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0.xml" ContentType="application/vnd.ms-excel.person+xml"/>
  <Override PartName="/xl/persons/person.xml" ContentType="application/vnd.ms-excel.pers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05" yWindow="-105" windowWidth="23250" windowHeight="12570" tabRatio="567" activeTab="1"/>
  </bookViews>
  <sheets>
    <sheet name="11 приложение  " sheetId="1" r:id="rId1"/>
    <sheet name="11-1 приложение по пилотам рус" sheetId="2" r:id="rId2"/>
  </sheets>
  <externalReferences>
    <externalReference r:id="rId3"/>
  </externalReferences>
  <definedNames>
    <definedName name="_xlnm.Print_Titles" localSheetId="0">'11 приложение  '!$5:$6</definedName>
    <definedName name="_xlnm.Print_Titles" localSheetId="1">'11-1 приложение по пилотам рус'!$5:$6</definedName>
    <definedName name="_xlnm.Print_Area" localSheetId="0">'11 приложение  '!$A$1:$Q$877</definedName>
    <definedName name="_xlnm.Print_Area" localSheetId="1">'11-1 приложение по пилотам рус'!$A$1:$Q$345</definedName>
  </definedNames>
  <calcPr calcId="144525"/>
</workbook>
</file>

<file path=xl/calcChain.xml><?xml version="1.0" encoding="utf-8"?>
<calcChain xmlns="http://schemas.openxmlformats.org/spreadsheetml/2006/main">
  <c r="I133" i="1" l="1"/>
  <c r="J133" i="1"/>
  <c r="H133" i="1"/>
  <c r="I126" i="1"/>
  <c r="I139" i="1" s="1"/>
  <c r="J126" i="1"/>
  <c r="H126" i="1"/>
  <c r="J139" i="1" l="1"/>
  <c r="J81" i="1"/>
  <c r="I81" i="1"/>
  <c r="H807" i="1" l="1"/>
  <c r="J638" i="1"/>
  <c r="J634" i="1"/>
  <c r="I638" i="1"/>
  <c r="I634" i="1"/>
  <c r="J333" i="2"/>
  <c r="I333" i="2"/>
  <c r="H333" i="2"/>
  <c r="J329" i="2"/>
  <c r="I329" i="2"/>
  <c r="H329" i="2"/>
  <c r="J322" i="2"/>
  <c r="I322" i="2"/>
  <c r="H322" i="2"/>
  <c r="J317" i="2"/>
  <c r="I317" i="2"/>
  <c r="H317" i="2"/>
  <c r="J309" i="2"/>
  <c r="I309" i="2"/>
  <c r="H309" i="2"/>
  <c r="J306" i="2"/>
  <c r="I306" i="2"/>
  <c r="H306" i="2"/>
  <c r="J298" i="2"/>
  <c r="I298" i="2"/>
  <c r="I304" i="2" s="1"/>
  <c r="H298" i="2"/>
  <c r="G298" i="2"/>
  <c r="F298" i="2"/>
  <c r="H268" i="2"/>
  <c r="G268" i="2"/>
  <c r="F268" i="2"/>
  <c r="H257" i="2"/>
  <c r="G257" i="2"/>
  <c r="F257" i="2"/>
  <c r="J254" i="2"/>
  <c r="G254" i="2"/>
  <c r="F254" i="2"/>
  <c r="J247" i="2"/>
  <c r="I247" i="2"/>
  <c r="J244" i="2"/>
  <c r="I244" i="2"/>
  <c r="J238" i="2"/>
  <c r="H238" i="2"/>
  <c r="G238" i="2"/>
  <c r="F238" i="2"/>
  <c r="I228" i="2"/>
  <c r="I227" i="2" s="1"/>
  <c r="J227" i="2"/>
  <c r="H227" i="2"/>
  <c r="G227" i="2"/>
  <c r="F227" i="2"/>
  <c r="H226" i="2"/>
  <c r="H223" i="2"/>
  <c r="H221" i="2"/>
  <c r="H219" i="2"/>
  <c r="J204" i="2"/>
  <c r="I204" i="2"/>
  <c r="G204" i="2"/>
  <c r="F204" i="2"/>
  <c r="G199" i="2"/>
  <c r="J194" i="2"/>
  <c r="I194" i="2"/>
  <c r="H194" i="2"/>
  <c r="G194" i="2"/>
  <c r="F194" i="2"/>
  <c r="J164" i="2"/>
  <c r="I164" i="2"/>
  <c r="H164" i="2"/>
  <c r="G164" i="2"/>
  <c r="F164" i="2"/>
  <c r="H163" i="2"/>
  <c r="H162" i="2"/>
  <c r="H161" i="2"/>
  <c r="J147" i="2"/>
  <c r="I147" i="2"/>
  <c r="G147" i="2"/>
  <c r="F147" i="2"/>
  <c r="J144" i="2"/>
  <c r="I144" i="2"/>
  <c r="H144" i="2"/>
  <c r="G144" i="2"/>
  <c r="F144" i="2"/>
  <c r="I642" i="1" l="1"/>
  <c r="H204" i="2"/>
  <c r="H252" i="2" s="1"/>
  <c r="J304" i="2"/>
  <c r="F304" i="2"/>
  <c r="H345" i="2"/>
  <c r="J345" i="2"/>
  <c r="I238" i="2"/>
  <c r="G304" i="2"/>
  <c r="H304" i="2"/>
  <c r="J642" i="1"/>
  <c r="H147" i="2"/>
  <c r="I345" i="2"/>
  <c r="J875" i="1" l="1"/>
  <c r="I875" i="1"/>
  <c r="H875" i="1"/>
  <c r="G875" i="1"/>
  <c r="F875" i="1"/>
  <c r="J873" i="1"/>
  <c r="I873" i="1"/>
  <c r="H873" i="1"/>
  <c r="G873" i="1"/>
  <c r="F873" i="1"/>
  <c r="J868" i="1"/>
  <c r="J870" i="1" s="1"/>
  <c r="I868" i="1"/>
  <c r="I870" i="1" s="1"/>
  <c r="H868" i="1"/>
  <c r="H870" i="1" s="1"/>
  <c r="G863" i="1"/>
  <c r="F863" i="1"/>
  <c r="F870" i="1" s="1"/>
  <c r="G857" i="1"/>
  <c r="J852" i="1"/>
  <c r="I852" i="1"/>
  <c r="H852" i="1"/>
  <c r="G852" i="1"/>
  <c r="F852" i="1"/>
  <c r="J850" i="1"/>
  <c r="I850" i="1"/>
  <c r="H850" i="1"/>
  <c r="G850" i="1"/>
  <c r="F850" i="1"/>
  <c r="Q846" i="1"/>
  <c r="P846" i="1"/>
  <c r="O846" i="1"/>
  <c r="N846" i="1"/>
  <c r="M846" i="1"/>
  <c r="J846" i="1"/>
  <c r="I846" i="1"/>
  <c r="H846" i="1"/>
  <c r="G846" i="1"/>
  <c r="F846" i="1"/>
  <c r="J844" i="1"/>
  <c r="J842" i="1" s="1"/>
  <c r="I844" i="1"/>
  <c r="H844" i="1"/>
  <c r="J843" i="1"/>
  <c r="I843" i="1"/>
  <c r="H843" i="1"/>
  <c r="Q842" i="1"/>
  <c r="P842" i="1"/>
  <c r="O842" i="1"/>
  <c r="N842" i="1"/>
  <c r="M842" i="1"/>
  <c r="G842" i="1"/>
  <c r="F842" i="1"/>
  <c r="J840" i="1"/>
  <c r="I840" i="1"/>
  <c r="I839" i="1" s="1"/>
  <c r="H840" i="1"/>
  <c r="H839" i="1" s="1"/>
  <c r="F840" i="1"/>
  <c r="F839" i="1" s="1"/>
  <c r="Q839" i="1"/>
  <c r="P839" i="1"/>
  <c r="O839" i="1"/>
  <c r="N839" i="1"/>
  <c r="M839" i="1"/>
  <c r="L839" i="1"/>
  <c r="J839" i="1"/>
  <c r="G839" i="1"/>
  <c r="J838" i="1"/>
  <c r="J837" i="1" s="1"/>
  <c r="I838" i="1"/>
  <c r="I837" i="1" s="1"/>
  <c r="H838" i="1"/>
  <c r="H837" i="1" s="1"/>
  <c r="G837" i="1"/>
  <c r="G848" i="1" s="1"/>
  <c r="F837" i="1"/>
  <c r="J832" i="1"/>
  <c r="J834" i="1" s="1"/>
  <c r="I832" i="1"/>
  <c r="I834" i="1" s="1"/>
  <c r="H832" i="1"/>
  <c r="H834" i="1" s="1"/>
  <c r="G832" i="1"/>
  <c r="G834" i="1" s="1"/>
  <c r="F832" i="1"/>
  <c r="F834" i="1" s="1"/>
  <c r="J823" i="1"/>
  <c r="I823" i="1"/>
  <c r="H823" i="1"/>
  <c r="G823" i="1"/>
  <c r="F823" i="1"/>
  <c r="J814" i="1"/>
  <c r="J830" i="1" s="1"/>
  <c r="I814" i="1"/>
  <c r="H814" i="1"/>
  <c r="H830" i="1" s="1"/>
  <c r="G814" i="1"/>
  <c r="F814" i="1"/>
  <c r="F830" i="1" s="1"/>
  <c r="J811" i="1"/>
  <c r="J810" i="1" s="1"/>
  <c r="J812" i="1" s="1"/>
  <c r="I811" i="1"/>
  <c r="H811" i="1"/>
  <c r="H810" i="1" s="1"/>
  <c r="H812" i="1" s="1"/>
  <c r="I810" i="1"/>
  <c r="I812" i="1" s="1"/>
  <c r="G810" i="1"/>
  <c r="G812" i="1" s="1"/>
  <c r="F810" i="1"/>
  <c r="F812" i="1" s="1"/>
  <c r="J807" i="1"/>
  <c r="I807" i="1"/>
  <c r="I804" i="1" s="1"/>
  <c r="G807" i="1"/>
  <c r="J806" i="1"/>
  <c r="I806" i="1"/>
  <c r="H806" i="1"/>
  <c r="G806" i="1"/>
  <c r="J805" i="1"/>
  <c r="J804" i="1" s="1"/>
  <c r="I805" i="1"/>
  <c r="H805" i="1"/>
  <c r="G805" i="1"/>
  <c r="G804" i="1" s="1"/>
  <c r="F805" i="1"/>
  <c r="F804" i="1" s="1"/>
  <c r="H804" i="1"/>
  <c r="J803" i="1"/>
  <c r="I803" i="1"/>
  <c r="G803" i="1"/>
  <c r="J802" i="1"/>
  <c r="I802" i="1"/>
  <c r="H802" i="1"/>
  <c r="J801" i="1"/>
  <c r="I801" i="1"/>
  <c r="H801" i="1"/>
  <c r="G801" i="1"/>
  <c r="G800" i="1" s="1"/>
  <c r="F801" i="1"/>
  <c r="F800" i="1" s="1"/>
  <c r="J799" i="1"/>
  <c r="I799" i="1"/>
  <c r="G799" i="1"/>
  <c r="J798" i="1"/>
  <c r="I798" i="1"/>
  <c r="H798" i="1"/>
  <c r="G798" i="1"/>
  <c r="F798" i="1"/>
  <c r="J797" i="1"/>
  <c r="J795" i="1" s="1"/>
  <c r="I797" i="1"/>
  <c r="H797" i="1"/>
  <c r="G797" i="1"/>
  <c r="F797" i="1"/>
  <c r="F795" i="1" s="1"/>
  <c r="J796" i="1"/>
  <c r="I796" i="1"/>
  <c r="H796" i="1"/>
  <c r="G796" i="1"/>
  <c r="G795" i="1" s="1"/>
  <c r="J794" i="1"/>
  <c r="J793" i="1" s="1"/>
  <c r="I794" i="1"/>
  <c r="H794" i="1"/>
  <c r="G794" i="1"/>
  <c r="G793" i="1" s="1"/>
  <c r="F794" i="1"/>
  <c r="F793" i="1" s="1"/>
  <c r="I793" i="1"/>
  <c r="H793" i="1"/>
  <c r="H791" i="1"/>
  <c r="J788" i="1"/>
  <c r="J791" i="1" s="1"/>
  <c r="I788" i="1"/>
  <c r="I791" i="1" s="1"/>
  <c r="H788" i="1"/>
  <c r="G788" i="1"/>
  <c r="G791" i="1" s="1"/>
  <c r="F788" i="1"/>
  <c r="F791" i="1" s="1"/>
  <c r="J773" i="1"/>
  <c r="I773" i="1"/>
  <c r="H773" i="1"/>
  <c r="G773" i="1"/>
  <c r="F773" i="1"/>
  <c r="J770" i="1"/>
  <c r="I770" i="1"/>
  <c r="H770" i="1"/>
  <c r="G770" i="1"/>
  <c r="F770" i="1"/>
  <c r="J767" i="1"/>
  <c r="J766" i="1" s="1"/>
  <c r="I766" i="1"/>
  <c r="H766" i="1"/>
  <c r="G766" i="1"/>
  <c r="F766" i="1"/>
  <c r="J763" i="1"/>
  <c r="I763" i="1"/>
  <c r="H763" i="1"/>
  <c r="G763" i="1"/>
  <c r="F763" i="1"/>
  <c r="I760" i="1"/>
  <c r="I759" i="1" s="1"/>
  <c r="I761" i="1" s="1"/>
  <c r="J759" i="1"/>
  <c r="H759" i="1"/>
  <c r="G759" i="1"/>
  <c r="F759" i="1"/>
  <c r="F761" i="1" s="1"/>
  <c r="J757" i="1"/>
  <c r="I757" i="1"/>
  <c r="H757" i="1"/>
  <c r="G757" i="1"/>
  <c r="F757" i="1"/>
  <c r="H748" i="1"/>
  <c r="H745" i="1"/>
  <c r="H741" i="1"/>
  <c r="H738" i="1"/>
  <c r="H736" i="1"/>
  <c r="J734" i="1"/>
  <c r="I734" i="1"/>
  <c r="H734" i="1"/>
  <c r="G734" i="1"/>
  <c r="F733" i="1"/>
  <c r="F732" i="1"/>
  <c r="F731" i="1" s="1"/>
  <c r="J731" i="1"/>
  <c r="I731" i="1"/>
  <c r="H731" i="1"/>
  <c r="G731" i="1"/>
  <c r="H723" i="1"/>
  <c r="H719" i="1"/>
  <c r="H711" i="1"/>
  <c r="H700" i="1"/>
  <c r="H696" i="1"/>
  <c r="H685" i="1"/>
  <c r="H683" i="1"/>
  <c r="H678" i="1"/>
  <c r="J678" i="1" s="1"/>
  <c r="J677" i="1" s="1"/>
  <c r="G677" i="1"/>
  <c r="F677" i="1"/>
  <c r="I675" i="1"/>
  <c r="H675" i="1"/>
  <c r="J675" i="1" s="1"/>
  <c r="G675" i="1"/>
  <c r="F675" i="1"/>
  <c r="J670" i="1"/>
  <c r="H670" i="1"/>
  <c r="I670" i="1" s="1"/>
  <c r="H669" i="1"/>
  <c r="J669" i="1" s="1"/>
  <c r="G669" i="1"/>
  <c r="G666" i="1" s="1"/>
  <c r="H668" i="1"/>
  <c r="J668" i="1" s="1"/>
  <c r="H667" i="1"/>
  <c r="J667" i="1" s="1"/>
  <c r="F666" i="1"/>
  <c r="J665" i="1"/>
  <c r="I665" i="1"/>
  <c r="J664" i="1"/>
  <c r="H664" i="1"/>
  <c r="H663" i="1" s="1"/>
  <c r="G663" i="1"/>
  <c r="F663" i="1"/>
  <c r="J661" i="1"/>
  <c r="I661" i="1"/>
  <c r="H661" i="1"/>
  <c r="G661" i="1"/>
  <c r="J660" i="1"/>
  <c r="I660" i="1"/>
  <c r="H660" i="1"/>
  <c r="G660" i="1"/>
  <c r="F659" i="1"/>
  <c r="H657" i="1"/>
  <c r="J653" i="1"/>
  <c r="I653" i="1"/>
  <c r="G653" i="1"/>
  <c r="F653" i="1"/>
  <c r="J651" i="1"/>
  <c r="J650" i="1" s="1"/>
  <c r="I651" i="1"/>
  <c r="I650" i="1"/>
  <c r="I657" i="1" s="1"/>
  <c r="G650" i="1"/>
  <c r="F650" i="1"/>
  <c r="J647" i="1"/>
  <c r="J646" i="1" s="1"/>
  <c r="J648" i="1" s="1"/>
  <c r="I647" i="1"/>
  <c r="I646" i="1" s="1"/>
  <c r="I648" i="1" s="1"/>
  <c r="H647" i="1"/>
  <c r="H646" i="1"/>
  <c r="H648" i="1" s="1"/>
  <c r="J628" i="1"/>
  <c r="I628" i="1"/>
  <c r="H628" i="1"/>
  <c r="G628" i="1"/>
  <c r="F628" i="1"/>
  <c r="J624" i="1"/>
  <c r="J622" i="1" s="1"/>
  <c r="I624" i="1"/>
  <c r="I622" i="1" s="1"/>
  <c r="H623" i="1"/>
  <c r="H622" i="1" s="1"/>
  <c r="G622" i="1"/>
  <c r="F622" i="1"/>
  <c r="J619" i="1"/>
  <c r="I619" i="1"/>
  <c r="H619" i="1"/>
  <c r="G619" i="1"/>
  <c r="F619" i="1"/>
  <c r="J613" i="1"/>
  <c r="I613" i="1"/>
  <c r="H613" i="1"/>
  <c r="G613" i="1"/>
  <c r="F613" i="1"/>
  <c r="H612" i="1"/>
  <c r="H608" i="1" s="1"/>
  <c r="J608" i="1"/>
  <c r="I608" i="1"/>
  <c r="G608" i="1"/>
  <c r="F608" i="1"/>
  <c r="J606" i="1"/>
  <c r="I606" i="1"/>
  <c r="H606" i="1"/>
  <c r="G606" i="1"/>
  <c r="F606" i="1"/>
  <c r="G604" i="1"/>
  <c r="F604" i="1"/>
  <c r="H597" i="1"/>
  <c r="H596" i="1"/>
  <c r="H573" i="1"/>
  <c r="H572" i="1" s="1"/>
  <c r="G555" i="1"/>
  <c r="F555" i="1"/>
  <c r="J553" i="1"/>
  <c r="J555" i="1" s="1"/>
  <c r="I553" i="1"/>
  <c r="I555" i="1" s="1"/>
  <c r="H553" i="1"/>
  <c r="H555" i="1" s="1"/>
  <c r="H626" i="1" l="1"/>
  <c r="I664" i="1"/>
  <c r="I663" i="1" s="1"/>
  <c r="I668" i="1"/>
  <c r="H677" i="1"/>
  <c r="I795" i="1"/>
  <c r="H800" i="1"/>
  <c r="F848" i="1"/>
  <c r="F871" i="1" s="1"/>
  <c r="H855" i="1"/>
  <c r="G855" i="1"/>
  <c r="G869" i="1"/>
  <c r="G868" i="1" s="1"/>
  <c r="G870" i="1" s="1"/>
  <c r="H877" i="1"/>
  <c r="J657" i="1"/>
  <c r="I808" i="1"/>
  <c r="G681" i="1"/>
  <c r="F626" i="1"/>
  <c r="J626" i="1"/>
  <c r="F657" i="1"/>
  <c r="H688" i="1"/>
  <c r="H761" i="1"/>
  <c r="F775" i="1"/>
  <c r="J800" i="1"/>
  <c r="G830" i="1"/>
  <c r="H842" i="1"/>
  <c r="H848" i="1" s="1"/>
  <c r="H871" i="1" s="1"/>
  <c r="F855" i="1"/>
  <c r="J855" i="1"/>
  <c r="F877" i="1"/>
  <c r="J877" i="1"/>
  <c r="I800" i="1"/>
  <c r="G626" i="1"/>
  <c r="H604" i="1"/>
  <c r="F681" i="1"/>
  <c r="I669" i="1"/>
  <c r="I678" i="1"/>
  <c r="I677" i="1" s="1"/>
  <c r="J761" i="1"/>
  <c r="H775" i="1"/>
  <c r="G775" i="1"/>
  <c r="I830" i="1"/>
  <c r="I842" i="1"/>
  <c r="I855" i="1"/>
  <c r="I877" i="1"/>
  <c r="F734" i="1"/>
  <c r="G761" i="1"/>
  <c r="I775" i="1"/>
  <c r="H795" i="1"/>
  <c r="H808" i="1" s="1"/>
  <c r="G871" i="1"/>
  <c r="J848" i="1"/>
  <c r="F869" i="1"/>
  <c r="F868" i="1" s="1"/>
  <c r="G877" i="1"/>
  <c r="G657" i="1"/>
  <c r="H729" i="1"/>
  <c r="H755" i="1"/>
  <c r="F808" i="1"/>
  <c r="J808" i="1"/>
  <c r="J663" i="1"/>
  <c r="J666" i="1"/>
  <c r="I626" i="1"/>
  <c r="G808" i="1"/>
  <c r="I848" i="1"/>
  <c r="I871" i="1" s="1"/>
  <c r="J775" i="1"/>
  <c r="H666" i="1"/>
  <c r="H681" i="1" s="1"/>
  <c r="I667" i="1"/>
  <c r="I666" i="1" s="1"/>
  <c r="I681" i="1" s="1"/>
  <c r="H9" i="2"/>
  <c r="H12" i="2"/>
  <c r="H10" i="2"/>
  <c r="J681" i="1" l="1"/>
  <c r="J871" i="1"/>
  <c r="H94" i="2"/>
  <c r="H89" i="2"/>
  <c r="H58" i="2"/>
  <c r="H11" i="2"/>
  <c r="H37" i="2"/>
  <c r="H31" i="2"/>
  <c r="H201" i="1"/>
  <c r="J544" i="1" l="1"/>
  <c r="H81" i="1" l="1"/>
  <c r="H547" i="1"/>
  <c r="H141" i="2"/>
  <c r="H82" i="2"/>
  <c r="H79" i="2"/>
  <c r="H76" i="2"/>
  <c r="H70" i="2"/>
  <c r="I65" i="2"/>
  <c r="J65" i="2"/>
  <c r="H65" i="2"/>
  <c r="I59" i="2"/>
  <c r="J59" i="2"/>
  <c r="H59" i="2"/>
  <c r="I56" i="2"/>
  <c r="J56" i="2"/>
  <c r="H56" i="2"/>
  <c r="H327" i="1"/>
  <c r="H271" i="1"/>
  <c r="H282" i="1" s="1"/>
  <c r="H284" i="1"/>
  <c r="H290" i="1" s="1"/>
  <c r="H292" i="1"/>
  <c r="F40" i="2"/>
  <c r="H217" i="1"/>
  <c r="H244" i="1"/>
  <c r="H249" i="1" s="1"/>
  <c r="H234" i="1"/>
  <c r="H229" i="1"/>
  <c r="H225" i="1"/>
  <c r="H223" i="1"/>
  <c r="H219" i="1"/>
  <c r="H213" i="1"/>
  <c r="I209" i="1"/>
  <c r="J209" i="1"/>
  <c r="H209" i="1"/>
  <c r="H202" i="1"/>
  <c r="I159" i="1"/>
  <c r="J159" i="1"/>
  <c r="H159" i="1"/>
  <c r="H173" i="1"/>
  <c r="I154" i="1"/>
  <c r="J154" i="1"/>
  <c r="H154" i="1"/>
  <c r="I147" i="1"/>
  <c r="J147" i="1"/>
  <c r="H147" i="1"/>
  <c r="I173" i="1"/>
  <c r="J173" i="1"/>
  <c r="I170" i="1"/>
  <c r="J170" i="1"/>
  <c r="I167" i="1"/>
  <c r="J167" i="1"/>
  <c r="H167" i="1"/>
  <c r="H170" i="1"/>
  <c r="I143" i="1"/>
  <c r="J143" i="1"/>
  <c r="H143" i="1"/>
  <c r="I141" i="1"/>
  <c r="J141" i="1"/>
  <c r="H141" i="1"/>
  <c r="I109" i="1"/>
  <c r="J109" i="1"/>
  <c r="H109" i="1"/>
  <c r="I104" i="1"/>
  <c r="J104" i="1"/>
  <c r="H104" i="1"/>
  <c r="I87" i="1"/>
  <c r="J87" i="1"/>
  <c r="H87" i="1"/>
  <c r="I78" i="1"/>
  <c r="J78" i="1"/>
  <c r="H78" i="1"/>
  <c r="H68" i="1"/>
  <c r="I54" i="1"/>
  <c r="J54" i="1"/>
  <c r="H54" i="1"/>
  <c r="G33" i="1"/>
  <c r="G36" i="1" s="1"/>
  <c r="H33" i="1"/>
  <c r="H36" i="1" s="1"/>
  <c r="I33" i="1"/>
  <c r="I36" i="1" s="1"/>
  <c r="J33" i="1"/>
  <c r="J36" i="1" s="1"/>
  <c r="F33" i="1"/>
  <c r="F36" i="1" s="1"/>
  <c r="I8" i="1"/>
  <c r="I16" i="1" s="1"/>
  <c r="J8" i="1"/>
  <c r="J16" i="1" s="1"/>
  <c r="H8" i="1"/>
  <c r="H16" i="1" s="1"/>
  <c r="J145" i="1" l="1"/>
  <c r="I145" i="1"/>
  <c r="H242" i="1"/>
  <c r="H83" i="2"/>
  <c r="H145" i="1"/>
  <c r="H227" i="1"/>
  <c r="H221" i="1"/>
  <c r="H338" i="1"/>
  <c r="H339" i="1" s="1"/>
  <c r="H177" i="1"/>
  <c r="H123" i="1"/>
  <c r="G271" i="1"/>
  <c r="G282" i="1" s="1"/>
  <c r="I271" i="1"/>
  <c r="I282" i="1" s="1"/>
  <c r="J271" i="1"/>
  <c r="J282" i="1" s="1"/>
  <c r="F271" i="1"/>
  <c r="F282" i="1" s="1"/>
  <c r="H96" i="2" l="1"/>
  <c r="H503" i="1" l="1"/>
  <c r="H540" i="1" s="1"/>
  <c r="H517" i="1"/>
  <c r="J301" i="1" l="1"/>
  <c r="I301" i="1"/>
  <c r="I334" i="1" l="1"/>
  <c r="I330" i="1" l="1"/>
  <c r="J330" i="1"/>
  <c r="J318" i="1"/>
  <c r="I318" i="1"/>
  <c r="H264" i="1"/>
  <c r="J264" i="1" l="1"/>
  <c r="I264" i="1"/>
  <c r="I257" i="1" l="1"/>
  <c r="J257" i="1"/>
  <c r="H257" i="1"/>
  <c r="I255" i="1"/>
  <c r="J255" i="1"/>
  <c r="H255" i="1"/>
  <c r="I252" i="1"/>
  <c r="J252" i="1"/>
  <c r="H252" i="1"/>
  <c r="H259" i="1" l="1"/>
  <c r="G112" i="2"/>
  <c r="H112" i="2"/>
  <c r="I112" i="2"/>
  <c r="J112" i="2"/>
  <c r="F112" i="2"/>
  <c r="F133" i="2"/>
  <c r="F96" i="2"/>
  <c r="F85" i="2"/>
  <c r="G133" i="2"/>
  <c r="H133" i="2"/>
  <c r="J133" i="2"/>
  <c r="G96" i="2"/>
  <c r="I96" i="2"/>
  <c r="J96" i="2"/>
  <c r="G85" i="2"/>
  <c r="H85" i="2"/>
  <c r="I85" i="2"/>
  <c r="J85" i="2"/>
  <c r="F42" i="2"/>
  <c r="G194" i="1"/>
  <c r="G198" i="1" s="1"/>
  <c r="H194" i="1"/>
  <c r="H198" i="1" s="1"/>
  <c r="I194" i="1"/>
  <c r="I198" i="1" s="1"/>
  <c r="J194" i="1"/>
  <c r="J198" i="1" s="1"/>
  <c r="F194" i="1"/>
  <c r="F198" i="1" s="1"/>
  <c r="J142" i="2" l="1"/>
  <c r="H142" i="2"/>
  <c r="F142" i="2"/>
  <c r="G142" i="2"/>
  <c r="I140" i="2"/>
  <c r="I133" i="2" s="1"/>
  <c r="I142" i="2" s="1"/>
  <c r="G544" i="1" l="1"/>
  <c r="H544" i="1"/>
  <c r="I544" i="1"/>
  <c r="F544" i="1"/>
  <c r="G542" i="1"/>
  <c r="H542" i="1"/>
  <c r="I542" i="1"/>
  <c r="J542" i="1"/>
  <c r="F542" i="1"/>
  <c r="I292" i="1"/>
  <c r="J292" i="1"/>
  <c r="I551" i="1" l="1"/>
  <c r="J551" i="1"/>
  <c r="H551" i="1"/>
  <c r="G549" i="1"/>
  <c r="G551" i="1" s="1"/>
  <c r="F549" i="1"/>
  <c r="F551" i="1" s="1"/>
  <c r="J327" i="1" l="1"/>
  <c r="J338" i="1" l="1"/>
  <c r="J339" i="1" s="1"/>
  <c r="I327" i="1"/>
  <c r="F327" i="1"/>
  <c r="G327" i="1"/>
  <c r="I338" i="1" l="1"/>
  <c r="I339" i="1" s="1"/>
  <c r="J30" i="2"/>
  <c r="J394" i="1"/>
  <c r="G338" i="1" l="1"/>
  <c r="G339" i="1" s="1"/>
  <c r="F292" i="1"/>
  <c r="F338" i="1" s="1"/>
  <c r="F339" i="1" s="1"/>
  <c r="G123" i="1" l="1"/>
  <c r="I123" i="1"/>
  <c r="J123" i="1"/>
  <c r="F123" i="1"/>
  <c r="G261" i="1" l="1"/>
  <c r="G42" i="2" l="1"/>
  <c r="J203" i="1" l="1"/>
  <c r="J202" i="1" s="1"/>
  <c r="I203" i="1"/>
  <c r="I202" i="1" s="1"/>
  <c r="G203" i="1"/>
  <c r="F203" i="1"/>
  <c r="J201" i="1"/>
  <c r="J200" i="1" s="1"/>
  <c r="I201" i="1"/>
  <c r="I200" i="1" s="1"/>
  <c r="H200" i="1"/>
  <c r="G201" i="1"/>
  <c r="F201" i="1"/>
  <c r="I212" i="1"/>
  <c r="H212" i="1"/>
  <c r="H211" i="1" s="1"/>
  <c r="J212" i="1"/>
  <c r="H215" i="1" l="1"/>
  <c r="H250" i="1" s="1"/>
  <c r="I394" i="1"/>
  <c r="H394" i="1"/>
  <c r="G394" i="1"/>
  <c r="F394" i="1"/>
  <c r="J369" i="1"/>
  <c r="I369" i="1"/>
  <c r="H369" i="1"/>
  <c r="G369" i="1"/>
  <c r="F369" i="1"/>
  <c r="J358" i="1"/>
  <c r="I358" i="1"/>
  <c r="H358" i="1"/>
  <c r="G358" i="1"/>
  <c r="F358" i="1"/>
  <c r="J424" i="1" l="1"/>
  <c r="H424" i="1"/>
  <c r="I424" i="1"/>
  <c r="F424" i="1"/>
  <c r="G424" i="1"/>
  <c r="H480" i="1" l="1"/>
  <c r="I480" i="1"/>
  <c r="J480" i="1"/>
  <c r="Q211" i="1" l="1"/>
  <c r="P211" i="1"/>
  <c r="O211" i="1"/>
  <c r="N211" i="1"/>
  <c r="M211" i="1"/>
  <c r="O206" i="1"/>
  <c r="P206" i="1" s="1"/>
  <c r="Q206" i="1" s="1"/>
  <c r="O205" i="1"/>
  <c r="P205" i="1" s="1"/>
  <c r="Q205" i="1" s="1"/>
  <c r="O204" i="1"/>
  <c r="P204" i="1" s="1"/>
  <c r="Q204" i="1" s="1"/>
  <c r="O203" i="1"/>
  <c r="P203" i="1" s="1"/>
  <c r="N202" i="1"/>
  <c r="M202" i="1"/>
  <c r="P202" i="1" l="1"/>
  <c r="Q203" i="1"/>
  <c r="Q202" i="1" s="1"/>
  <c r="O202" i="1"/>
  <c r="M81" i="2" l="1"/>
  <c r="Q70" i="2"/>
  <c r="P70" i="2"/>
  <c r="O70" i="2"/>
  <c r="N70" i="2"/>
  <c r="M70" i="2"/>
  <c r="Q66" i="2"/>
  <c r="P66" i="2"/>
  <c r="O66" i="2"/>
  <c r="N66" i="2"/>
  <c r="M66" i="2"/>
  <c r="J268" i="1" l="1"/>
  <c r="J261" i="1" s="1"/>
  <c r="I268" i="1"/>
  <c r="I261" i="1" s="1"/>
  <c r="H268" i="1"/>
  <c r="H261" i="1" s="1"/>
  <c r="G24" i="1" l="1"/>
  <c r="G18" i="1" s="1"/>
  <c r="H24" i="1"/>
  <c r="H18" i="1" s="1"/>
  <c r="I24" i="1"/>
  <c r="I18" i="1" s="1"/>
  <c r="J24" i="1"/>
  <c r="J18" i="1" s="1"/>
  <c r="F24" i="1"/>
  <c r="F18" i="1" s="1"/>
  <c r="N21" i="1"/>
  <c r="Q19" i="1"/>
  <c r="P19" i="1"/>
  <c r="O19" i="1"/>
  <c r="M19" i="1"/>
  <c r="J72" i="1" l="1"/>
  <c r="I72" i="1"/>
  <c r="H72" i="1"/>
  <c r="G72" i="1"/>
  <c r="F72" i="1"/>
  <c r="J67" i="1"/>
  <c r="I67" i="1"/>
  <c r="H67" i="1"/>
  <c r="G67" i="1"/>
  <c r="F67" i="1"/>
  <c r="J56" i="1"/>
  <c r="J65" i="1" s="1"/>
  <c r="I56" i="1"/>
  <c r="I65" i="1" s="1"/>
  <c r="H56" i="1"/>
  <c r="H65" i="1" s="1"/>
  <c r="G56" i="1"/>
  <c r="G65" i="1" s="1"/>
  <c r="F56" i="1"/>
  <c r="F65" i="1" s="1"/>
  <c r="H76" i="1" l="1"/>
  <c r="H124" i="1" s="1"/>
  <c r="F76" i="1"/>
  <c r="J76" i="1"/>
  <c r="J124" i="1" s="1"/>
  <c r="G76" i="1"/>
  <c r="I76" i="1"/>
  <c r="I124" i="1" s="1"/>
  <c r="J53" i="2" l="1"/>
  <c r="J52" i="2" s="1"/>
  <c r="I53" i="2"/>
  <c r="I52" i="2" s="1"/>
  <c r="H52" i="2"/>
  <c r="G52" i="2"/>
  <c r="F52" i="2"/>
  <c r="J48" i="2"/>
  <c r="I48" i="2"/>
  <c r="H48" i="2"/>
  <c r="G48" i="2"/>
  <c r="F48" i="2"/>
  <c r="J46" i="2"/>
  <c r="I46" i="2"/>
  <c r="H46" i="2"/>
  <c r="G46" i="2"/>
  <c r="J45" i="2"/>
  <c r="I45" i="2"/>
  <c r="H45" i="2"/>
  <c r="G45" i="2"/>
  <c r="G40" i="2" s="1"/>
  <c r="J44" i="2"/>
  <c r="I44" i="2"/>
  <c r="H44" i="2"/>
  <c r="J43" i="2"/>
  <c r="I43" i="2"/>
  <c r="I40" i="2" s="1"/>
  <c r="H43" i="2"/>
  <c r="J38" i="2"/>
  <c r="I38" i="2"/>
  <c r="J37" i="2"/>
  <c r="G37" i="2"/>
  <c r="J36" i="2"/>
  <c r="I36" i="2"/>
  <c r="H36" i="2"/>
  <c r="G36" i="2"/>
  <c r="I30" i="2"/>
  <c r="H30" i="2"/>
  <c r="G30" i="2"/>
  <c r="F30" i="2"/>
  <c r="F29" i="2" s="1"/>
  <c r="F28" i="2"/>
  <c r="J27" i="2"/>
  <c r="J26" i="2" s="1"/>
  <c r="I27" i="2"/>
  <c r="I26" i="2" s="1"/>
  <c r="H27" i="2"/>
  <c r="H26" i="2" s="1"/>
  <c r="G27" i="2"/>
  <c r="G26" i="2" s="1"/>
  <c r="F27" i="2"/>
  <c r="G23" i="2"/>
  <c r="F23" i="2"/>
  <c r="G19" i="2"/>
  <c r="F19" i="2"/>
  <c r="G17" i="2"/>
  <c r="F17" i="2"/>
  <c r="G16" i="2"/>
  <c r="F16" i="2"/>
  <c r="G15" i="2"/>
  <c r="F15" i="2"/>
  <c r="G14" i="2"/>
  <c r="F14" i="2"/>
  <c r="J9" i="2"/>
  <c r="J8" i="2" s="1"/>
  <c r="I9" i="2"/>
  <c r="I8" i="2" s="1"/>
  <c r="H8" i="2"/>
  <c r="G9" i="2"/>
  <c r="G8" i="2" s="1"/>
  <c r="F9" i="2"/>
  <c r="F8" i="2" s="1"/>
  <c r="H40" i="2" l="1"/>
  <c r="J40" i="2"/>
  <c r="G29" i="2"/>
  <c r="J42" i="2"/>
  <c r="H29" i="2"/>
  <c r="H54" i="2" s="1"/>
  <c r="H42" i="2"/>
  <c r="I42" i="2"/>
  <c r="J29" i="2"/>
  <c r="I29" i="2"/>
  <c r="F26" i="2"/>
  <c r="G12" i="2"/>
  <c r="G11" i="2" s="1"/>
  <c r="F12" i="2"/>
  <c r="F11" i="2" s="1"/>
  <c r="F54" i="2" s="1"/>
  <c r="J11" i="2"/>
  <c r="I11" i="2"/>
  <c r="J54" i="2" l="1"/>
  <c r="G54" i="2"/>
  <c r="I54" i="2"/>
  <c r="H139" i="1" l="1"/>
  <c r="G139" i="1"/>
  <c r="F139" i="1"/>
  <c r="F428" i="1" l="1"/>
  <c r="F431" i="1" l="1"/>
  <c r="F430" i="1" s="1"/>
  <c r="G431" i="1"/>
  <c r="G430" i="1" s="1"/>
  <c r="H430" i="1"/>
  <c r="I430" i="1"/>
  <c r="J430" i="1"/>
  <c r="F445" i="1"/>
  <c r="G445" i="1"/>
  <c r="F459" i="1"/>
  <c r="G459" i="1"/>
  <c r="F474" i="1"/>
  <c r="F481" i="1"/>
  <c r="G481" i="1"/>
  <c r="F482" i="1"/>
  <c r="G482" i="1"/>
  <c r="G480" i="1" l="1"/>
  <c r="G444" i="1"/>
  <c r="F444" i="1"/>
  <c r="I444" i="1"/>
  <c r="J444" i="1"/>
  <c r="F480" i="1"/>
  <c r="H444" i="1"/>
  <c r="H483" i="1"/>
  <c r="J483" i="1"/>
  <c r="G483" i="1"/>
  <c r="I483" i="1"/>
  <c r="F483" i="1"/>
  <c r="H428" i="1"/>
  <c r="I428" i="1"/>
  <c r="J428" i="1"/>
  <c r="G428" i="1"/>
  <c r="J352" i="1"/>
  <c r="I352" i="1"/>
  <c r="H352" i="1"/>
  <c r="G352" i="1"/>
  <c r="F352" i="1"/>
  <c r="J351" i="1"/>
  <c r="J344" i="1" s="1"/>
  <c r="I344" i="1"/>
  <c r="H344" i="1"/>
  <c r="G344" i="1"/>
  <c r="F344" i="1"/>
  <c r="J341" i="1"/>
  <c r="I341" i="1"/>
  <c r="H341" i="1"/>
  <c r="G341" i="1"/>
  <c r="F341" i="1"/>
  <c r="G356" i="1" l="1"/>
  <c r="J356" i="1"/>
  <c r="H356" i="1"/>
  <c r="I356" i="1"/>
  <c r="F356" i="1"/>
  <c r="G31" i="1" l="1"/>
  <c r="H31" i="1"/>
  <c r="I31" i="1"/>
  <c r="J31" i="1"/>
  <c r="F31" i="1"/>
  <c r="M8" i="1"/>
  <c r="N8" i="1"/>
  <c r="G9" i="1"/>
  <c r="G8" i="1" s="1"/>
  <c r="G16" i="1" s="1"/>
  <c r="F9" i="1"/>
  <c r="F8" i="1" s="1"/>
  <c r="F16" i="1" s="1"/>
  <c r="Q8" i="1"/>
  <c r="P8" i="1"/>
  <c r="O8" i="1"/>
</calcChain>
</file>

<file path=xl/sharedStrings.xml><?xml version="1.0" encoding="utf-8"?>
<sst xmlns="http://schemas.openxmlformats.org/spreadsheetml/2006/main" count="3986" uniqueCount="2058">
  <si>
    <t>Код прогр.</t>
  </si>
  <si>
    <t>Код меры</t>
  </si>
  <si>
    <t>Код иниц.</t>
  </si>
  <si>
    <t>Бюджетные программы/
Бюджетные меры</t>
  </si>
  <si>
    <t>Индикаторы результативности</t>
  </si>
  <si>
    <t>Ед. изм-я</t>
  </si>
  <si>
    <t>Базовый год</t>
  </si>
  <si>
    <t>Целевые значения</t>
  </si>
  <si>
    <t>001</t>
  </si>
  <si>
    <t>Индекс доверия населения</t>
  </si>
  <si>
    <t>Управление и администрирование отрасли на центральном уровне</t>
  </si>
  <si>
    <t>Администрирование на региональном уровне</t>
  </si>
  <si>
    <t>ед.</t>
  </si>
  <si>
    <t>шт.</t>
  </si>
  <si>
    <t>%</t>
  </si>
  <si>
    <t>ВСЕГО (контрольные цифры)</t>
  </si>
  <si>
    <t>03</t>
  </si>
  <si>
    <t>01</t>
  </si>
  <si>
    <t>02</t>
  </si>
  <si>
    <t>04</t>
  </si>
  <si>
    <t>05</t>
  </si>
  <si>
    <t>06</t>
  </si>
  <si>
    <t>07</t>
  </si>
  <si>
    <t>08</t>
  </si>
  <si>
    <t>002</t>
  </si>
  <si>
    <t>ед</t>
  </si>
  <si>
    <t>чел</t>
  </si>
  <si>
    <t>09</t>
  </si>
  <si>
    <t>10</t>
  </si>
  <si>
    <t>12</t>
  </si>
  <si>
    <t>Финансирование (тыс. сом)</t>
  </si>
  <si>
    <t>Отношение расходов на заработную плату по Программе 001 к сумме расходов на заработную плату по всем программам</t>
  </si>
  <si>
    <t>22</t>
  </si>
  <si>
    <t>балл</t>
  </si>
  <si>
    <t>шт</t>
  </si>
  <si>
    <t>39. Государственная академия управления при Президенте Кыргызской Республики</t>
  </si>
  <si>
    <t>млн.сом</t>
  </si>
  <si>
    <t>голов</t>
  </si>
  <si>
    <t>Общая площадь пастбищ  по республике</t>
  </si>
  <si>
    <t>тыс.га</t>
  </si>
  <si>
    <t>Поддержка развития племенного дела в животноводстве</t>
  </si>
  <si>
    <t>Осеменение КРС</t>
  </si>
  <si>
    <t>Осеменение МРС</t>
  </si>
  <si>
    <t>Организация и осуществление мониторинга над состоянием и использованием пастбищ и пастбищного хозяйства</t>
  </si>
  <si>
    <t>Площадь пастбищ земель сельскохозяйственного назначения</t>
  </si>
  <si>
    <t xml:space="preserve">Средства поступившие от пастбищепользователей </t>
  </si>
  <si>
    <t>Количество экологически устойчивых жайыт комитетов</t>
  </si>
  <si>
    <t>Научно-исследовательская работа в области животноводства</t>
  </si>
  <si>
    <t>тема</t>
  </si>
  <si>
    <t>Сохранение и увеличение рыбных запасов</t>
  </si>
  <si>
    <t>Объем производства товарной рыбы (аквакультура), всего</t>
  </si>
  <si>
    <t>тонн</t>
  </si>
  <si>
    <t>Выпуск молоди (зарыбление) в водоемы Кыргызской Республики</t>
  </si>
  <si>
    <t>млн. штук</t>
  </si>
  <si>
    <t>Количество выданных рыболовных карточек</t>
  </si>
  <si>
    <t>Реализация проекта "Развитие животноводства и рынка- 1,2" донор МФСР</t>
  </si>
  <si>
    <t xml:space="preserve">Реализация проекта "Комплексное развитие производительности молочного сектора" (ВБ) </t>
  </si>
  <si>
    <t>кг.</t>
  </si>
  <si>
    <t>Обеспечения сельских товаропроизводителей высококачественными сертифицированными семенами посадочным материалом (дотация)</t>
  </si>
  <si>
    <t>Обеспечение безопасного обращения с пестицидами и агрохимикатами, сокращение потерь сельскохозяйственного производства, наносимых некарантинными вредными организмами, а также повышение продуктивности растениеводства и качества растительной продукции</t>
  </si>
  <si>
    <t>Площади химической обработки сельскохозяйственных угодий против саранчовых вредителей</t>
  </si>
  <si>
    <t>Площади химической обработки сельскохозяйственных угодий против карантинного вредителя АББ</t>
  </si>
  <si>
    <t>тыс.тонн</t>
  </si>
  <si>
    <t>Площадь обследования сельхозугодий на выявление карантинного  вредителя АББ</t>
  </si>
  <si>
    <t xml:space="preserve">Обеспечение карантинной фитосанитарной безопасности и мониторинга карантинного фитосанитарного состояния </t>
  </si>
  <si>
    <t>Количество поступивших образцов</t>
  </si>
  <si>
    <t>Количество проведенных экспертиз</t>
  </si>
  <si>
    <t>Развитие органического сельского хозяйства и  производства  сельскохозяйственной биотехнологии</t>
  </si>
  <si>
    <t>20974,3</t>
  </si>
  <si>
    <t xml:space="preserve">Обработка площадей земель сельскохозяйственных назначений биологическими средствами по КР                            </t>
  </si>
  <si>
    <t>Биолигнин</t>
  </si>
  <si>
    <t>Триходермин</t>
  </si>
  <si>
    <t>Амблисейус</t>
  </si>
  <si>
    <t>млн. особ</t>
  </si>
  <si>
    <t>Трихограмма</t>
  </si>
  <si>
    <t>Проведение полевой инспекции семенных посевов и насаждений, грунтового контроля партий семян</t>
  </si>
  <si>
    <t>Удельный вес, площади, засеваемой элитными семенами</t>
  </si>
  <si>
    <t>Наличие сертифицированных семян</t>
  </si>
  <si>
    <t>Проведение экспертизы и мониторинга качества зерна сельскохозяйственных культур и продуктов его переработки</t>
  </si>
  <si>
    <t>Площадь выбороч.обследования образцов зерна фермерских и крестянских хозяйств, на комбинатах хлебных продуктов</t>
  </si>
  <si>
    <t>Обьем анализа образцов  зерна  поступающих их госрезерва, комбинатов хлебных продуктов</t>
  </si>
  <si>
    <t>Сортоопыт, официальные испытания, сохранение генетических ресурсов растений</t>
  </si>
  <si>
    <t>Проведение официальных испытаний сортов и гибридов с/х культур</t>
  </si>
  <si>
    <t>сорто-опыт</t>
  </si>
  <si>
    <t>Проведение качественной  оценки испытываемых сортов и гибридов с/х культур</t>
  </si>
  <si>
    <t>анализ</t>
  </si>
  <si>
    <t>Сохранение генетических ресурсов растений</t>
  </si>
  <si>
    <t>образец</t>
  </si>
  <si>
    <t xml:space="preserve">Научно-исследовательская работа в области земледелия, почвоведения, агрохимии и растениеводства </t>
  </si>
  <si>
    <t>Развитие механизации сельского хозяйства</t>
  </si>
  <si>
    <t>Количество сельскохозяйственной техники выданных сельхозсубьектам по лизинговым кредитным проектам</t>
  </si>
  <si>
    <t>Общее количество обновлен.машинно-тракторного парка</t>
  </si>
  <si>
    <t>Учет и контроль за качеством и безопасностью ветеринарных  лекарственных средств</t>
  </si>
  <si>
    <t>Количество государственных регистраций  ветеринарных лекарственных средств</t>
  </si>
  <si>
    <t>кол</t>
  </si>
  <si>
    <t>Количество экспертизы качества ветеринарных лекарственных средств</t>
  </si>
  <si>
    <t>Осуществление государственного надзора за соблюдением ветеринарных и фитосанитарных норм</t>
  </si>
  <si>
    <t>Обеспечение эпизоотического благополучия, пищевой безопасности, а также контроля болезней, общих для человека и животных.</t>
  </si>
  <si>
    <t>Кол-во пров-х суьектов</t>
  </si>
  <si>
    <t>Противоэпизоотические мероприятия по ликвидации  заболеваний животных и проведение ветеринарной диагностики и экспертизы животных, и продуктов животного происхождения</t>
  </si>
  <si>
    <t>Кол-во вспышек</t>
  </si>
  <si>
    <t>Количество провакцинированных животных</t>
  </si>
  <si>
    <t>млн.голов</t>
  </si>
  <si>
    <t>Количество проведенных ветеринарно-диагностических исследований</t>
  </si>
  <si>
    <t>тыс. голов</t>
  </si>
  <si>
    <t>Обеспечение пищевой безопасности, предотвращение пищевых отравлении</t>
  </si>
  <si>
    <t>экспертиз</t>
  </si>
  <si>
    <t>Проведение идентификации сельскохозяйственных животных</t>
  </si>
  <si>
    <t>415</t>
  </si>
  <si>
    <t>Площадь орошаемых земель</t>
  </si>
  <si>
    <t>млн.куб.</t>
  </si>
  <si>
    <t>Регулирование отношении в сфере управления и использования водных ресурсов и водных обьектов</t>
  </si>
  <si>
    <t>Содержание и капитальный ремонт государственных водохозяйственных объектов</t>
  </si>
  <si>
    <t>Улучшение мелиоративного состояние земель</t>
  </si>
  <si>
    <t>га</t>
  </si>
  <si>
    <t>Восстановление ирригационных каналов</t>
  </si>
  <si>
    <t>км</t>
  </si>
  <si>
    <t>Ремонт  ГТС, улучшение урегулирования объема подачи воды</t>
  </si>
  <si>
    <t>Ремонт ГП улучшения учета объема воды</t>
  </si>
  <si>
    <t>Капитальный ремонт и замена насосных агрегатов</t>
  </si>
  <si>
    <t>Подача поливной воды на орошение</t>
  </si>
  <si>
    <t xml:space="preserve">Осуществление надзора и контроля за использованием водных ресурсов и объектов </t>
  </si>
  <si>
    <t xml:space="preserve">Реализация проекта  "Улучшение управления национальными водными ресурсами"  - Фаза 2 (ВБ) (грант)  </t>
  </si>
  <si>
    <t>Создание Бассейновых управлений водных ресурсов в структуре ГАВР</t>
  </si>
  <si>
    <t>кол.ед.</t>
  </si>
  <si>
    <t xml:space="preserve">Реализация проекта "Улучшение сельскохозяйственной производительности и питания" (Глобальный фонд по с/х и продовольственной безопасности) (ВБ) (грант) </t>
  </si>
  <si>
    <t>Количество водопользователей, имеющих доступ к улучшенным услугам ирригации и дренажа</t>
  </si>
  <si>
    <t>жен</t>
  </si>
  <si>
    <t>Повышение доли женщин в возрасте от 15 до 49 лет, потребляющих продукты как минимум 5 из 9 продовольственных групп</t>
  </si>
  <si>
    <t>Реализация  проекта "Развитие ирригационной сети Сарымсак"</t>
  </si>
  <si>
    <t>Строительство Магистрального канала "Сарымсак"</t>
  </si>
  <si>
    <t xml:space="preserve">Строительство внутрихозяйственной сети </t>
  </si>
  <si>
    <t>Выполнение модернизационных и реабилитационных работ на межхозяйственных ирригационных каналах4 подпроектов</t>
  </si>
  <si>
    <t>Выполнение модернизационных и реабилитационных работ на внутрихозяйственных каналах АВП 4 подпроектов</t>
  </si>
  <si>
    <t>Реализация проекта "Развитие орошаемого земледелия в Иссык-Кульской и Нарынской областях"</t>
  </si>
  <si>
    <t xml:space="preserve">Строительство 4-х БСР </t>
  </si>
  <si>
    <t>Улучшение сети орошения</t>
  </si>
  <si>
    <t>Строительство скаладов хранения сельскохозяйственной продукции</t>
  </si>
  <si>
    <t>Площадь проведения геобанических и почвенных обследований, инвентаризация</t>
  </si>
  <si>
    <t xml:space="preserve">Регулирование отношений в области земельных ресурсов и земельных правоотношений, государственной регистрации прав на недвижимое имущество, геодезии и картографии, развития рынка земли и недвижимости </t>
  </si>
  <si>
    <t>Реконструкция и поддержание государственной геодезической сети и обоснование и издание топографических картмасштабного ряда</t>
  </si>
  <si>
    <t>Пункты GPS-сети второго порядка и исходные пункты нулевого и первого порядка повышенной точности</t>
  </si>
  <si>
    <t>пункт</t>
  </si>
  <si>
    <t>Каталоги координат и высот геодезических пунктов в системах координат СК-42, СК-95 и Kyrg-06 на листы карты масштаба 1:200 000</t>
  </si>
  <si>
    <t>каталог</t>
  </si>
  <si>
    <t>Количество созданных и обновленных государственных топографических карт масштабного ряда</t>
  </si>
  <si>
    <t>лист</t>
  </si>
  <si>
    <t>Обеспечение работ по делимитации и демаркации государственной границы</t>
  </si>
  <si>
    <t xml:space="preserve">Пограничные знаки по линии государственной границы Кыргызской Республики </t>
  </si>
  <si>
    <t>знак</t>
  </si>
  <si>
    <t>Площадь выполнения планово-высотной привязки космических снимков</t>
  </si>
  <si>
    <t>кв.км</t>
  </si>
  <si>
    <t>Количество цифровых топографических карт необходимого масштабного ряда при обновления на при граничных территориях</t>
  </si>
  <si>
    <t>Корректировка почвенных обследований, мотиторинг пахотных земель, проектно-ызыскательские, обследовательские работы по землеустройству</t>
  </si>
  <si>
    <t>Геоботаническое и почвенное  обследование пастбищных  угодий, инвентаризация  населенных пунктов</t>
  </si>
  <si>
    <t>кол-во район/айыл аймак</t>
  </si>
  <si>
    <t xml:space="preserve">Осуществление надзора, контроля и охрана земель </t>
  </si>
  <si>
    <t xml:space="preserve">Покрытая лесом площадь государственного лесного фонда </t>
  </si>
  <si>
    <t>Площадь государственного лесного фонда подлежащий к охране от лесонарушений и пожаров</t>
  </si>
  <si>
    <t>Площадь ежегодной посадки лесных культур</t>
  </si>
  <si>
    <t>Площадь пройденная рубками ухода</t>
  </si>
  <si>
    <t>Численность населения, получающая доход от леса</t>
  </si>
  <si>
    <t>тыс.чел-к</t>
  </si>
  <si>
    <t>Координирование и формирование условий в сфере лесного хозяйства</t>
  </si>
  <si>
    <t>Воспроизводство лесных ресурсов, охрана лесов от лесонарушений</t>
  </si>
  <si>
    <t xml:space="preserve">Кол-во выращенных посадочных материалов </t>
  </si>
  <si>
    <t>Отношение площади обработанных против вредителей лесов к общей площади зараженных вредителями лесов</t>
  </si>
  <si>
    <t>Приживаемость культур</t>
  </si>
  <si>
    <t>Проведение лесоустройство, охотоустройства, камеральных работ,инвентаризации лесов</t>
  </si>
  <si>
    <t>Реализация проекта "Интегрированиое управление лесными экосистемами Кыргызской Республики" (ВБ) (Грант)</t>
  </si>
  <si>
    <t>0</t>
  </si>
  <si>
    <t>50</t>
  </si>
  <si>
    <t>70</t>
  </si>
  <si>
    <t>Бюджеты министерств и ведомств на программной основе</t>
  </si>
  <si>
    <t>нет индикатора</t>
  </si>
  <si>
    <t>Обьем производства  продукции животноводства</t>
  </si>
  <si>
    <t>Индекс физического обьема животноводства, в % к предыдущему году</t>
  </si>
  <si>
    <t xml:space="preserve">Исследование по научно-технической программе в области пастбищ и животноводства </t>
  </si>
  <si>
    <t>Индекс объема продаж продукции животноводства со стороны крестьянских и фермерских хозяйств</t>
  </si>
  <si>
    <t>Реализация проекта "Устойчивость региональных пастбищных сообществ" (МФСР)</t>
  </si>
  <si>
    <t>Обьем производства  продукции растениеводства</t>
  </si>
  <si>
    <t>Индекс физического обьема растениеводства, в % к предыдущему году</t>
  </si>
  <si>
    <t>Площадь семянных посевов сельскохозяйственных культур</t>
  </si>
  <si>
    <t>Площадь обследования сельхозугодий на выявление саранчовых вредителей</t>
  </si>
  <si>
    <t>Количество выданных свидетельств</t>
  </si>
  <si>
    <t>19554,2</t>
  </si>
  <si>
    <t>21758,6</t>
  </si>
  <si>
    <t>21908,6</t>
  </si>
  <si>
    <t xml:space="preserve"> Объем производства биологических средств</t>
  </si>
  <si>
    <t>литр</t>
  </si>
  <si>
    <t>Площадь полевых инспекций семенных посевов в % к общей посевной площади сельскохозяйственных культур</t>
  </si>
  <si>
    <t xml:space="preserve">Исследований по научно-технической программе в области земледелия, почвоведения, агрохимии и растениеводства </t>
  </si>
  <si>
    <t>Включение предприятий Кыргызской Республики (в том числе убойных пунктов) в реестр предприятий ЕАЭС и третьих стран.</t>
  </si>
  <si>
    <t>Обеспечение учета сельскохозяйственных животных</t>
  </si>
  <si>
    <t>Замена насосных станций</t>
  </si>
  <si>
    <t>Мониторинг и конроль нарушений  в сфере водного законодательства КР</t>
  </si>
  <si>
    <t>Охват объектов подлежащих проведению надзора и котроля в сфере водного законодательства по КР</t>
  </si>
  <si>
    <t>42</t>
  </si>
  <si>
    <t>48</t>
  </si>
  <si>
    <t>Реализация проекта Улушение водохозяйственных услуг, устойчивых к изменению климата (ВБ)</t>
  </si>
  <si>
    <t>кол-во сел</t>
  </si>
  <si>
    <t>5 селах  Баткенской  областей,</t>
  </si>
  <si>
    <t>8 селах Баткенской и 1 сел Иссык-Кульской областей,</t>
  </si>
  <si>
    <t>9 селах Баткенской и 1 сел Иссык-Кульской областей,</t>
  </si>
  <si>
    <t>90  а/а  7 районов Ошской обл., 71 а/а  8 районов Дж.-Аб.обл.,51  а/а  13 районов  И-К области</t>
  </si>
  <si>
    <t>91  а/а  7 районов Ошской обл., 71 а/а  8 районов Дж.-Аб.обл.,51  а/а  13 районов  И-К области</t>
  </si>
  <si>
    <t>92  а/а  7 районов Ошской обл., 71 а/а  8 районов Дж.-Аб.обл.,51  а/а  13 районов  И-К области</t>
  </si>
  <si>
    <t>93  а/а  7 районов Ошской обл., 71 а/а  8 районов Дж.-Аб.обл.,51  а/а  13 районов  И-К области</t>
  </si>
  <si>
    <t>94  а/а  7 районов Ошской обл., 71 а/а  8 районов Дж.-Аб.обл.,51  а/а  13 районов  И-К области</t>
  </si>
  <si>
    <t>Мониторинг и конроль нарушений  в сфере земельного законодательства КР</t>
  </si>
  <si>
    <t>60</t>
  </si>
  <si>
    <t>Охват объектов подлежащих проведению надзора и котроля в сфере земельного законодательства по КР</t>
  </si>
  <si>
    <t>37</t>
  </si>
  <si>
    <t>61</t>
  </si>
  <si>
    <t>68</t>
  </si>
  <si>
    <t>74</t>
  </si>
  <si>
    <t>млн шт.</t>
  </si>
  <si>
    <t xml:space="preserve">Проведение лесоустройство </t>
  </si>
  <si>
    <t xml:space="preserve">Проведение охотоустройства </t>
  </si>
  <si>
    <t xml:space="preserve">Проведение камеральных работ </t>
  </si>
  <si>
    <t xml:space="preserve">Инвентаризация лесов  </t>
  </si>
  <si>
    <t>штук</t>
  </si>
  <si>
    <t>Доля подписанных Президентом законопроектов от количества принятых Жогорку Кенешем</t>
  </si>
  <si>
    <t>Ознакомление населения с текущей деятельностью парламента (доля законопроектов, доступных для предварительного ознакомления)</t>
  </si>
  <si>
    <t>коэф.</t>
  </si>
  <si>
    <t>Количество штатных единиц на одного постоянно работающего депутата</t>
  </si>
  <si>
    <t>Количество принятых постановлений на 100 депутато-дней</t>
  </si>
  <si>
    <t>Количество подписанных Президентом законов за 100 депутато-дней</t>
  </si>
  <si>
    <t>ед/ед</t>
  </si>
  <si>
    <t>Количество подписанных документов о сотрудничестве</t>
  </si>
  <si>
    <t>Количество депутатских комиссий, созданных в текущем периоде, работа которых была завершена</t>
  </si>
  <si>
    <t>13</t>
  </si>
  <si>
    <t>Организация деятельности и службы обеспечения</t>
  </si>
  <si>
    <t>Доля особо ценных док-в на которые созданы страховые копии</t>
  </si>
  <si>
    <t>18 Центральная комиссия  по выборам и проведению референдумов Кыргызской Республики</t>
  </si>
  <si>
    <t xml:space="preserve"> </t>
  </si>
  <si>
    <t>290/5280623</t>
  </si>
  <si>
    <t>500/7000,0</t>
  </si>
  <si>
    <t>600/8000,0</t>
  </si>
  <si>
    <t>650/8500,0</t>
  </si>
  <si>
    <t>700/9000,0</t>
  </si>
  <si>
    <t>106/226 942 794</t>
  </si>
  <si>
    <t>200/31000,0</t>
  </si>
  <si>
    <t>250/32000,0</t>
  </si>
  <si>
    <t>300/33000,0</t>
  </si>
  <si>
    <t>350/35000,0</t>
  </si>
  <si>
    <t>50/700368</t>
  </si>
  <si>
    <t>150/18000,0</t>
  </si>
  <si>
    <t>160/19000,0</t>
  </si>
  <si>
    <t>170/20000,0</t>
  </si>
  <si>
    <t>180/21000,0</t>
  </si>
  <si>
    <t xml:space="preserve">Управление и администрирование                                                                                                                              </t>
  </si>
  <si>
    <t xml:space="preserve">Управление и администрирование отрасли на центральном уровне                                                                                                                             </t>
  </si>
  <si>
    <t>Осуществление общего надзора за соблюдением военного законодательства</t>
  </si>
  <si>
    <t>Надзор за точным и единообразным исполнением законодательства Кыргызской Республики</t>
  </si>
  <si>
    <t>Надзор за исполнением законов и воинских уставов</t>
  </si>
  <si>
    <t xml:space="preserve">Надзор за соответствием издаваемых Вооруженных силах нормативных актов </t>
  </si>
  <si>
    <t>Уголовное преследование лиц, совершивших преступление в Вооруженных силах</t>
  </si>
  <si>
    <t>Предупреждение преступлений в Вооруженных силах</t>
  </si>
  <si>
    <t>Поддержание государственного обвинения в судах</t>
  </si>
  <si>
    <t>Участие в судебных процессах</t>
  </si>
  <si>
    <t>Подготовка и предъявление государственного обвинения в судах</t>
  </si>
  <si>
    <t>Качественный контроль и эффективное управление за деятельностью органов Военной прокуратуры Кыргызской Республики</t>
  </si>
  <si>
    <t>Уменьшение правонарушений по военному законодательству</t>
  </si>
  <si>
    <t>Количество проведённых проверок по несоблюдению военного законодательства</t>
  </si>
  <si>
    <t>Количество жалоб и заявлений на действия командиров и начальников</t>
  </si>
  <si>
    <t>Количество нормативных актов, возвращенных на доработку от общего числа разработанных нормативных актов</t>
  </si>
  <si>
    <t>Увеличение процента раскрываемости преступлений в Вооруженных силах</t>
  </si>
  <si>
    <t>Количество раскрытых уголовных дел в Вооруженных силах</t>
  </si>
  <si>
    <t>Количество военнослужащих, прошедших занятия по профилактике преступлений (к общему количеству военнослужащих)</t>
  </si>
  <si>
    <t>Количество государственных обвинений, поддержанных решением военного суда</t>
  </si>
  <si>
    <t>Количество рассмотренных уголовных дел судами</t>
  </si>
  <si>
    <t>20 Военная прокуратура Кыргызской Республики</t>
  </si>
  <si>
    <t>Управление и админстрирование  отрасли  на центральном уровне</t>
  </si>
  <si>
    <t>Управление и админстрирование  отрасли  на территориальном уровне</t>
  </si>
  <si>
    <t>Обеспечение финансового менеджмента и учета</t>
  </si>
  <si>
    <t>Управление человеческими ресурсами</t>
  </si>
  <si>
    <t>Правовая поддержка</t>
  </si>
  <si>
    <t>Поддержание внешних связей и связей с общественностью</t>
  </si>
  <si>
    <t>Обеспечение мониторинга, анализа и стратегического планирования</t>
  </si>
  <si>
    <t>Общая координация на региональном уровне</t>
  </si>
  <si>
    <t>Организация и деятельности и службы обеспечения</t>
  </si>
  <si>
    <t>Процент исполнения бюджета без нарушений</t>
  </si>
  <si>
    <t xml:space="preserve">Доля выигранных судебных процессов по трудовым спорам </t>
  </si>
  <si>
    <t>Отношение выигранных судебных дел к их общему количеству</t>
  </si>
  <si>
    <t>27 Конституционный суд Кыргызской Республики</t>
  </si>
  <si>
    <t>Осуществление конституционного правосудия</t>
  </si>
  <si>
    <t>Обеспечение деятельности судей по осуществлению конституционного правосудия</t>
  </si>
  <si>
    <t>Интеграция Конституционного суда в систему международного правосудия</t>
  </si>
  <si>
    <t>Участие в работе международных и региональных организаций и объединений по конституционному правосудию, членами которых является Конституционный суд</t>
  </si>
  <si>
    <t>Проведение международных конференций, посвяшенных актуальным вопросам конституционализма</t>
  </si>
  <si>
    <t>Проведение национальных научно-практических конференций, посвященных актуальным вопросам конституционализма в Кыргызстане</t>
  </si>
  <si>
    <t>Повышение квалификации работников аппарата Конституционного суда, стажировки в конституционных судах зарубежных стран.</t>
  </si>
  <si>
    <t>Организация и проведение летних школ конституциализма, конкурсов среди студентов гостевых лекций</t>
  </si>
  <si>
    <t xml:space="preserve">Выпуск Вестника, публикация годового доклада, профайла, календаря, создание видеороликов и трансляции на ТВ </t>
  </si>
  <si>
    <t>Обеспечение системы аудио-видеофиксации судебных заседаний, сайта КС</t>
  </si>
  <si>
    <t>Отношение расходов на заработную плату по программе 001 к расходам по всем программам КС КР</t>
  </si>
  <si>
    <t>Количество обращений, поступивщих в КП и мероприятий, направленных на повышение профессионального уровня судей и сотрудников аппарата КС</t>
  </si>
  <si>
    <t>Количество рассмотренных дел по обеспечению конституционности</t>
  </si>
  <si>
    <t>Количество участий представителей КС на международных мероприятиях</t>
  </si>
  <si>
    <t>Количество участий в мероприятиях, организованных по линии международных и региональных организаций и объединений по конституционному правосудию (Всемирная конференция по конституционному правосудию, Венецианская комиссия Совета Европы, Ассоциация азиатских конституционных судов и эквивалентных институтов, Конференция органов конституционного контроля стран новой демократии)</t>
  </si>
  <si>
    <t>Количество мероприятий, направленных на обеспечение открытости и празрачности деятельности КС и участников данных мероприятий</t>
  </si>
  <si>
    <t>Количество слушателей и участников</t>
  </si>
  <si>
    <t>Количество выпущенной продукции</t>
  </si>
  <si>
    <t>Функционирование всех систем автоматизации конституционного правосудия</t>
  </si>
  <si>
    <t>да/нет</t>
  </si>
  <si>
    <t>да</t>
  </si>
  <si>
    <t xml:space="preserve">  </t>
  </si>
  <si>
    <t>Внесение в законодательство Кыргызской Республики изменений, направленных на повышение эффективности системы мотивации авторов служебных РИД</t>
  </si>
  <si>
    <t>-</t>
  </si>
  <si>
    <t>Издание книг отечественных авторов, каталогов, справочников, методических рекомендаций, учебных пособий</t>
  </si>
  <si>
    <t>Введение электронной формы охранных документов на объектов интеллектуальной собственности (ОИС)</t>
  </si>
  <si>
    <t>Усиление IT-направления Кыргызпатента по сопровождению баз данных, порталов и электронных платформ в сфере интеллектуальной собственности (ИС), инноваций и НИОКР</t>
  </si>
  <si>
    <t>Внесение изменений в законодательство Кыргызской Республики в сфере охраны и защиты прав на ОИС</t>
  </si>
  <si>
    <t>Развитие института медиации в сфере защиты ИС</t>
  </si>
  <si>
    <t xml:space="preserve">ед. </t>
  </si>
  <si>
    <t>Внесение изменений и дополнений в Закон Кыргызской Республики "Об инновационной деятельности"</t>
  </si>
  <si>
    <t>Создание региональных инновационных центров</t>
  </si>
  <si>
    <t>Привлечение зарубежных технологий или компаний, ориентированных на передовые технологии</t>
  </si>
  <si>
    <t>Разработка и реализация PR-стратегии</t>
  </si>
  <si>
    <t>Продвижение отечественных предприятий на внешние рынки путем проведения рекламных кампаний и выставок</t>
  </si>
  <si>
    <t xml:space="preserve">Реализация Государственной программы развития системы интеллектуальной собственности и инноваций в Кыргызской Республике на 2022-2026 годы                                                                                                                                                                           </t>
  </si>
  <si>
    <t xml:space="preserve">Содействие открытию и последующему генерированию идей, мотивирование авторов для создания и распространения творческих работ </t>
  </si>
  <si>
    <t>Подготовка учебно-методических материалов по вопросам ИС</t>
  </si>
  <si>
    <t>Создание электронной платформы, ориентированной на различные категории пользователей, с целью предоставления им доступа к мировым источникам информационных/образовательных ресурсов по ИС и инновациям</t>
  </si>
  <si>
    <t>Разработка и содействие включению в образовательные программы вузов специального курса "IP-грамотность"</t>
  </si>
  <si>
    <t>Разработка и реализация программ повышения квалификации и профессиональной переподготовки государственных и муниципальных служащих, руководителей организаций, предприятий и учреждений, акционерных обществ, в том числе судебных органов в области ИС и инноваций</t>
  </si>
  <si>
    <t>Содействие созданию Общества по коллективному управлению имущественными правами авторов и правообладателей (ОКУП)</t>
  </si>
  <si>
    <t>Расширение категорий сферы коллективного управления имущественными правами авторов и правообладателей</t>
  </si>
  <si>
    <t>Проведение мероприятий совместно с творческими союзами и ассоциациями Кыргызской Республики, в том числе в регионах</t>
  </si>
  <si>
    <t>Организация и проведение международного форума "Антиконтрафакт"</t>
  </si>
  <si>
    <t>Выработка подходов к борьбе с нарушениями прав на объекты промышленной собственности и информационно-телекоммуникационной сети Интернет</t>
  </si>
  <si>
    <t>Повышение квалификации сотрудников органов внутренрих дел Кыргызской Республики по противодействию посягательствам против интеллектуальной собственности</t>
  </si>
  <si>
    <t>Совершенствование процесса регистрации ОИС и обеспечение эффективной правовой основы для защиты и охраны прав ИС</t>
  </si>
  <si>
    <t>Включение в критерии оценки эффективности деятельности руководителей в регионах Кыргызской Республики уровня изобретательской активности региона как элемента оценки уровня инновационного развития территории</t>
  </si>
  <si>
    <t>Внесение в систему оценки результативности деятельности научных и образовательных организаций показателей создания и коммерциализации охраняемых ОИС</t>
  </si>
  <si>
    <t>Разработка НПА в части установления обязанности государственных заказчиков включать государственные контракты на выполнение НИОКР обязательств по проведению патентных исследований, созданию и выявлению охраноспособных результатов интеллектуальной деятельности (РИД), а также по обеспечению их правовой охраны и дальнейшего использования</t>
  </si>
  <si>
    <t>Проведение работ по регистрации НИОКР и создание базы данных РИД</t>
  </si>
  <si>
    <t>Введение в гражданский оборот нового ОИС "Географическое указание"</t>
  </si>
  <si>
    <t>Содействие в продвижении отечественных брендов</t>
  </si>
  <si>
    <t>Создание информационных ресурсов по традиционным знаниям, наименованиям мест происхождния товаров, географическим указаниям</t>
  </si>
  <si>
    <t>Оптимизация процессов регистрации объектов промышленной собственности</t>
  </si>
  <si>
    <t>2</t>
  </si>
  <si>
    <t>Использование программного продукта "Искусственный интеллект-решение" в процессе проведения экспертизы</t>
  </si>
  <si>
    <t>Обеспечение подачи и обработки заявок на регистрацию объектов промышленной собственности с использованием цифровых 3D-моделей и 3D-изображений</t>
  </si>
  <si>
    <t>Создание сервисов, позволяющих осуществлять в режиме онлайн поиск информации об объектах промышленной собственности, интеграция с информационными системами международных организаций</t>
  </si>
  <si>
    <t>Создание электронных государственных реестров объектов промышленной собственности Кыргызской Республики</t>
  </si>
  <si>
    <t>Разработка и реализация образовательных программ по ИС и инновациям на всей территории республики, в том числе реализация проектов по концепции STEAM-образования</t>
  </si>
  <si>
    <t>Формирование экосистемы интеллектуальной собственности и инноваций для развития рынка ОИС и инновационной продукции</t>
  </si>
  <si>
    <t>Проведение олимпиад по ИС, конкурсов, выставок детского творчества</t>
  </si>
  <si>
    <t>Развитие сети кружков детского технического творчества в регионах республики</t>
  </si>
  <si>
    <t>Организация конкурсов и выставок в сфере ИС и инноваций среди женщин</t>
  </si>
  <si>
    <t>Разработка электронной платформы для обеспечения взаимодействия ключевых участников сектора ИС и инноваций, с целью объединения субъектов ИС и заинтересованных лиц для коммерциализации ИС</t>
  </si>
  <si>
    <t>Создание условий для финансовой поддержки развития инновационной деятельности</t>
  </si>
  <si>
    <t xml:space="preserve">Государственный  инновационный фонд </t>
  </si>
  <si>
    <t xml:space="preserve">Организация процесса профессиональной подготовки и повышения квалификации кадров по инновационным специальностям  </t>
  </si>
  <si>
    <t xml:space="preserve">Количество обученных специалистов в сфере развития инноваций </t>
  </si>
  <si>
    <t>Всего (контрольные цифры)</t>
  </si>
  <si>
    <t>Проведение внутренних расследований</t>
  </si>
  <si>
    <t>192</t>
  </si>
  <si>
    <t>Отдел по надзору за соблюдением прав предпринимателей и защиты инвесторов</t>
  </si>
  <si>
    <t>193</t>
  </si>
  <si>
    <t>Надзор за следствием и оперативно-розыскной деятельностью в органах внутренних дел и исполнения наказания.</t>
  </si>
  <si>
    <t>Надзор за следствием и оперативно-розыскной деятельностью в органах государственной службы по экономическим преступлениям и таможни</t>
  </si>
  <si>
    <t>Расследование уголовных дел в Военной прокуратуре</t>
  </si>
  <si>
    <t>194</t>
  </si>
  <si>
    <t>Обеспечение поддержания гособвинения и представительство в судах</t>
  </si>
  <si>
    <t>Представительство прокуратуры в гражданских, административных и экономических делах в интересах государства</t>
  </si>
  <si>
    <t>195</t>
  </si>
  <si>
    <t>Обеспечение правовой статистики</t>
  </si>
  <si>
    <t>Надзор и формирование (свод статистики по всей правоохранительной системе) уголовно-правовой статистики о преступности, лиц их совершивших и следственной работы право-охранительных органов, разработка, внедре-ние и модернизация автоматизированной информационной системы «Единый реестр преступлений и проступков» для правоохранительной системы</t>
  </si>
  <si>
    <t xml:space="preserve"> Разработка, внедрение и модерн/я автомати-зированной информационной системы «ЕРПП» для правоохранительной системы</t>
  </si>
  <si>
    <t>196</t>
  </si>
  <si>
    <t>Судебно-правовая реформа</t>
  </si>
  <si>
    <t>Реализация проекта создания и внедрения АИС "ЕРПП"</t>
  </si>
  <si>
    <t>Единый реестр нарушений</t>
  </si>
  <si>
    <t>197</t>
  </si>
  <si>
    <t>Следственное управление</t>
  </si>
  <si>
    <t>Следственное управление №1</t>
  </si>
  <si>
    <t>Следственное управление №2</t>
  </si>
  <si>
    <t>Следственное управление №3</t>
  </si>
  <si>
    <t>26%</t>
  </si>
  <si>
    <t>аудит не проведен</t>
  </si>
  <si>
    <t xml:space="preserve"> преступ. - 78254                                   </t>
  </si>
  <si>
    <t xml:space="preserve"> преступ. - 78254                                    </t>
  </si>
  <si>
    <t xml:space="preserve">преступ. - 78254                                     </t>
  </si>
  <si>
    <t xml:space="preserve">Количество зарегистрированных преступлений и нарушений </t>
  </si>
  <si>
    <t xml:space="preserve">  проступ. -                61 236</t>
  </si>
  <si>
    <t xml:space="preserve">  проступ. -      61 236</t>
  </si>
  <si>
    <t xml:space="preserve">Количество показателей направленных дел суд,  сумма возмещение ущерба </t>
  </si>
  <si>
    <t>23. Министерство инностранных дел Кыргызской Республики</t>
  </si>
  <si>
    <t>Обеспечение финансирования мероприятия</t>
  </si>
  <si>
    <t>Материально-техническое обеспечение</t>
  </si>
  <si>
    <t>Доля сотрудников, прошедших оценку деятельности с высоким баллом (4,1-5) от общего количества сотрудников</t>
  </si>
  <si>
    <t>Доля сотрудников, повысивших квалификацию от общего количества сотрудников</t>
  </si>
  <si>
    <t>Количество, рассмотренных проектов нормативно-правовых актов, проектов межведомственных соглашений</t>
  </si>
  <si>
    <t>Количество, рассмотренных проектов постановлений Совета Счетной палаты</t>
  </si>
  <si>
    <t>Количество запланированных аудиторских мероприятий</t>
  </si>
  <si>
    <t>Деятельность Посольств и Постоянных представительств, генеральных консульств, консульских агентств и визовых пунктов</t>
  </si>
  <si>
    <t>Предоставление высшего профессонального, послевузовского и дополнительного профессионального  образования в области международных отношений</t>
  </si>
  <si>
    <t>балл.</t>
  </si>
  <si>
    <t>Количество проведенных внешнеполитических мероприятий за рубежом</t>
  </si>
  <si>
    <t>Процент трудоустройства и удержания в профессии выпускников академии</t>
  </si>
  <si>
    <t xml:space="preserve">Доля студентов, обучающихся на  основе государственного образовательного гранта  в области магистрского образования </t>
  </si>
  <si>
    <t>Управление и администрирование отрасли на территориальном уровне</t>
  </si>
  <si>
    <t>Формирование бюджета, и обеспечение  сбалансированности и устойчивости бюджета                 
Цель программы</t>
  </si>
  <si>
    <t>Планирование и прогнозирование бюджета</t>
  </si>
  <si>
    <t>Анализ и оценка ресурсной базы республиканского бюджета</t>
  </si>
  <si>
    <t xml:space="preserve">Планирование капитальных расходов 
</t>
  </si>
  <si>
    <t>Финансирование проектов за счет стимулирующих грантов</t>
  </si>
  <si>
    <t>Планирование  и привлечение государственных инвестиций</t>
  </si>
  <si>
    <t>Поддержание устойчивости государственного долга в среднесрочной перспективе</t>
  </si>
  <si>
    <t>Мониторинг планирования и исполнения местных бюджетов</t>
  </si>
  <si>
    <t xml:space="preserve">Планирование и исполнение местного  бюджета </t>
  </si>
  <si>
    <t>Кассовое обслуживание исполнения бюджета по доходам и расходам       
Цель программы</t>
  </si>
  <si>
    <t>Кассовое исполнение бюджета и формирование отчетности об исполнении бюджета</t>
  </si>
  <si>
    <t>Кассовое обслуживание исполнения бюджета на местном уровне</t>
  </si>
  <si>
    <t>Переподготовка и повышение квалификации сотрудников госуправления  и органов МСУ по вопросам эффективного управления государственными финансами</t>
  </si>
  <si>
    <t>Обеспечение эффективности государственных закупок</t>
  </si>
  <si>
    <t>Осуществление государственного контроля и надзора за операциями с драгоценными металлами и драгоценными камнями на территории КР</t>
  </si>
  <si>
    <t>Учет, анализ и управление бюджетными кредитами</t>
  </si>
  <si>
    <t>Проведение внутреннего аудита и внутреннего контроля в бюджетных учреждениях, государственных и муниципальных предприятиях/ Осуществление внутреннего аудита</t>
  </si>
  <si>
    <t>Налоговое администрирование на центральном уровне</t>
  </si>
  <si>
    <t>Обеспечение полноты и своевременности поступлений налогов, страховых взносов и других платежей на территориальном уровне</t>
  </si>
  <si>
    <t xml:space="preserve">Управление и таможенное администритрование на центральном уровне.              </t>
  </si>
  <si>
    <t>Администрирование таможенного дела, обеспечение полноты и своевременности поступления таможенных платежей, сборов и других видов платежей на подведомственном уровне</t>
  </si>
  <si>
    <t>Сопровождение и обеспечение информационных систем</t>
  </si>
  <si>
    <t>Противодействие финансированию террористической деятельности и легализации (отмыванию) преступных доходов.</t>
  </si>
  <si>
    <t>Обеспечение координации и общего руководства противодействием финансированию террористической деятельности и легализации (отмыванию) преступных доходов</t>
  </si>
  <si>
    <t>Реализация инфраструктурных проектов</t>
  </si>
  <si>
    <t>Реализация проектов государственных инвестиций</t>
  </si>
  <si>
    <t>коэфф.</t>
  </si>
  <si>
    <t>тыс.сом</t>
  </si>
  <si>
    <t>Ежегодный общий объем финансирования стимулирующих грантов</t>
  </si>
  <si>
    <t>Объем привлеченной грантовой помощи</t>
  </si>
  <si>
    <t>Объем привлеченных кредитных средств на льготной основе</t>
  </si>
  <si>
    <t xml:space="preserve">Объем просроченной задолженности по государственному долгу </t>
  </si>
  <si>
    <t>сом</t>
  </si>
  <si>
    <t>Уровень льготности новых внешних заимствований (% грант-элемента)</t>
  </si>
  <si>
    <t>≥ 35%</t>
  </si>
  <si>
    <t>Доля выпуска ГЦБ на аукционной основе</t>
  </si>
  <si>
    <t xml:space="preserve">Объем просроченной задолженности по государственному внутреннему долгу </t>
  </si>
  <si>
    <t>количество районов, ОМСУ</t>
  </si>
  <si>
    <t xml:space="preserve">Степень удовлетворенности закупающих организаций и поставщиков (подрядчиков) оказанной помощью </t>
  </si>
  <si>
    <t>оценка</t>
  </si>
  <si>
    <t>"А"</t>
  </si>
  <si>
    <t xml:space="preserve">Доля объявлений о государственных закупках на Портале госзакупок от общего числа предоставленной информации в Департамент     </t>
  </si>
  <si>
    <t>доля</t>
  </si>
  <si>
    <t xml:space="preserve">Среднее количество участников в процессе закупок (отношение общего количества поданных заявок к общему количеству объявлений о госзакупках) </t>
  </si>
  <si>
    <t>кол-во</t>
  </si>
  <si>
    <t>7 к 1</t>
  </si>
  <si>
    <t>Общее время бесперебойного функционирования Портала в течение года</t>
  </si>
  <si>
    <t>Доля экспертных заключений, подготовленных в установленные сроки</t>
  </si>
  <si>
    <t>Процент выполнения плановых показателей сбора таможенных платжей, сборов и других видов платежей (%)</t>
  </si>
  <si>
    <t>Себестоимость 1 сома собранного налога (Расходы ГНС /к общему объему налоговых поступлений)</t>
  </si>
  <si>
    <t xml:space="preserve">сом </t>
  </si>
  <si>
    <t>Себестоимость 1 сома собранных таможенных платежей и сборов (Расходы ГТС / Общая сумма поступлений платедей и сборов за год)</t>
  </si>
  <si>
    <t>сом.</t>
  </si>
  <si>
    <t>Количество сформированных и направленных обобщенных материалов и информации в компетентные органы</t>
  </si>
  <si>
    <t xml:space="preserve">Количество обработанных сообщений о подозрительных операциях                                                </t>
  </si>
  <si>
    <t>тыс.шт</t>
  </si>
  <si>
    <t>Количество полученных и обработанных запросов из правоохранительных органов</t>
  </si>
  <si>
    <t>17</t>
  </si>
  <si>
    <t>19</t>
  </si>
  <si>
    <t>Количество возвращенных дел по причине некачественного правосудия в местных судах</t>
  </si>
  <si>
    <t>Осуществление правосудия по гражданским, уголовным и административно-экономическим делам</t>
  </si>
  <si>
    <t>Количество отмененных дел по причине некачественного правосудия в местных судах</t>
  </si>
  <si>
    <t>640</t>
  </si>
  <si>
    <t>630</t>
  </si>
  <si>
    <t>Обеспечение ВС зданием, соответствующего стандарта</t>
  </si>
  <si>
    <t>Соответствие здания ВС КР установленным стандартам по площади: да / нет</t>
  </si>
  <si>
    <t>Оснащение здания ВС современным оборудованием (мебель, ПК и др.)/ Выделение финансов на их приобретение</t>
  </si>
  <si>
    <t>Оснащенность оборудованием – 0-100%</t>
  </si>
  <si>
    <t>Поддержание рабочего состояния технического оборудования ( мебель, ПК, МФУ, ксерокопии)</t>
  </si>
  <si>
    <t>Поддержание оборудования</t>
  </si>
  <si>
    <t>Проведение регулярного обучения судей и работников аппарата, семинаров по повышению квалификации (за исключением плана УЦС ВС КР)</t>
  </si>
  <si>
    <t>Охват сотрудников аппарата ВС КР семинарами и др.</t>
  </si>
  <si>
    <t>Обобщение и совершенствование судебной практики</t>
  </si>
  <si>
    <t>Количество обобщений судебной практики</t>
  </si>
  <si>
    <t>Работа с законопроектами</t>
  </si>
  <si>
    <t>Количество законопроектов по которым внесены предложения</t>
  </si>
  <si>
    <t>Сбор материалов для Бюллетеня ВС КР</t>
  </si>
  <si>
    <t>Количество собранных материалов</t>
  </si>
  <si>
    <t xml:space="preserve">Высшая школа правосудия при Верховном суде Кыргызской Республики </t>
  </si>
  <si>
    <t>Отношение расходов на заработную плату по программе 001 к расходам по всем программам УЦ при ВС КР</t>
  </si>
  <si>
    <t>Количество нарушений, связанных с должностными обязанностями сотрудников аппарата ВШП ВС КР</t>
  </si>
  <si>
    <t>Процент исполнения бюджета ВШП ВС КР  без нарушений и неоправданных задержек</t>
  </si>
  <si>
    <t>Количество судебных процессов по трудовым спорам</t>
  </si>
  <si>
    <t>Обеспечение деятельности и службы обеспечения</t>
  </si>
  <si>
    <t>Количество положительных упоминаний учреждения в СМИ</t>
  </si>
  <si>
    <t>Усиление прозрачности и профессионализма судейского корпуса</t>
  </si>
  <si>
    <t>Укрепление кадрового потенциала в судебной системе Кыргызской Республики</t>
  </si>
  <si>
    <t>Повышение уровня профессионализма</t>
  </si>
  <si>
    <t>Внедрение практики совместного обучения судей, прокуроров и адвокатов</t>
  </si>
  <si>
    <t>Развитие международных связей (СНГ, страны дальнего зарубежья) Высшей школы правосудия и Совета судей в сфере профессиональной подготовки судей, проведение тематических конференций и семинаров</t>
  </si>
  <si>
    <t xml:space="preserve">Повышение уровня профессиональной культуры работников судебной системы </t>
  </si>
  <si>
    <t>Процент исполнения бюджета Судебного департамента при ВС КР  без нарушений и неоправданных задержек</t>
  </si>
  <si>
    <t>Доля выигранных судебных процессов по трудовым спорам</t>
  </si>
  <si>
    <t>Доля сотрудников служб обеспечения от общей численности сотрудников центрального аппарата</t>
  </si>
  <si>
    <t>Доля своевременно реализованных мероприятий Государственной целевой прораммы запланированных на соответсвующий год</t>
  </si>
  <si>
    <t>Место Кыргызстана в рейтинге Глобального индекса конкурентоспособности Всемирного экономического форума (в т.ч. по показателю "независимость судов")</t>
  </si>
  <si>
    <t>индекс</t>
  </si>
  <si>
    <t>Внедрение автоматизированной информационной системы (АИС)</t>
  </si>
  <si>
    <t>Создание государственного реестра судебных актов</t>
  </si>
  <si>
    <t>Создание электронного архива</t>
  </si>
  <si>
    <t>Обеспечение безопасности и охрана зданий судов</t>
  </si>
  <si>
    <t xml:space="preserve">Обеспечение безопасности для участников сторон судебных процессов </t>
  </si>
  <si>
    <t>Осуществление правосудия</t>
  </si>
  <si>
    <t>Обеспечение надлежащего профессионального уровня судей, работников местных судов</t>
  </si>
  <si>
    <t>2058</t>
  </si>
  <si>
    <t>Обеспечение деятельности служб судебных приставов</t>
  </si>
  <si>
    <t>Внедрение технических средств и системы безопасности зданий судов</t>
  </si>
  <si>
    <t>11</t>
  </si>
  <si>
    <t>Обеспечение деятельности института исполнительного производства</t>
  </si>
  <si>
    <t xml:space="preserve">Создание необходимых условий труда для осуществления правосудия </t>
  </si>
  <si>
    <t>Доля граждан, считающих организацию работы судов неудовлетворительной, в том числе опрошенных</t>
  </si>
  <si>
    <t>Обеспечение оперативности процесса судопроизводства</t>
  </si>
  <si>
    <t>Обеспечен реальный доступ граждан к квалифицированной юридической помощи</t>
  </si>
  <si>
    <t>14</t>
  </si>
  <si>
    <t>Разработка и внедрение системы для получения судебных актов в удаленном режиме (система электронного правосудия)</t>
  </si>
  <si>
    <t>Улучшение качества отправления правосудия</t>
  </si>
  <si>
    <t>15</t>
  </si>
  <si>
    <t>Автоматизированное распределение судебных актов (АРД)</t>
  </si>
  <si>
    <t>Количество судов, в которых внедрены информационные технологии, обеспечивающее быстрое разрешение судебных дел</t>
  </si>
  <si>
    <t>16</t>
  </si>
  <si>
    <t>Внедрение института присяжных заседателей</t>
  </si>
  <si>
    <t>Количество межрайонных судов, рассматривающие судебные дела с участием присяжных заседателей</t>
  </si>
  <si>
    <t>Доля прозрачности судебной системы и расширение возможности доступа лиц к правосудию</t>
  </si>
  <si>
    <t>Внедрение института следственных судей и аппарата судов</t>
  </si>
  <si>
    <t>Доля совершенствования специализации судей</t>
  </si>
  <si>
    <t xml:space="preserve">Внедрение института судебных исполнителей и судебных приставов </t>
  </si>
  <si>
    <t>Доля исполнения судебных актов и принудительного привода и количество инцидентов в зале суда, повлиявщих на ход прохождения судебного процесса (отложения, длительное пауза)</t>
  </si>
  <si>
    <t>Количество административных судов рассмотривающие судебные дела с участием присяжных заседателей</t>
  </si>
  <si>
    <t xml:space="preserve">В рамках Концепции цифровой трансформации "Цифровой Кыргызстан 2019-2023"                                                                     </t>
  </si>
  <si>
    <t>Внедрение единой корпоративной почтовой системы</t>
  </si>
  <si>
    <t>Внедрение единого цифрового паспорта сотрудника судебной системы КР и электронной подписи (единая система авторизации и аутентификации)</t>
  </si>
  <si>
    <t>Внедрение системы контроля, управления доступа и обеспечения безопасности зданий судов, ПССИ и других субъектов судебной системы КР</t>
  </si>
  <si>
    <t>Внедрение системы внутреннего и внешнего видеонаблюдения для обеспечения безопасности судов и других субъектов судебной системы КР</t>
  </si>
  <si>
    <t>Разработка и внедрение портала электронных сервисов судебной системы КР с поддержкой электронных платежей (включая личный кабинет гражданина и участника судебного процесса)</t>
  </si>
  <si>
    <t>Создание Call-центра судебной системы КР и внедрение корпоративной системы ip-телефонии</t>
  </si>
  <si>
    <t>Создание ситуационного центра для обеспечения контроля, мониторинга, управления информационно- технической инфраструктуры судебной системы КР</t>
  </si>
  <si>
    <t>Внедрение системы дистанционного правосудия</t>
  </si>
  <si>
    <t>Обеспечения информационной безопасности в судебной системы КР</t>
  </si>
  <si>
    <t>Развитие и сопровождение программно-аппаратного комплекса "Аудио-видео фиксации и протоколирования судебных заседаний"</t>
  </si>
  <si>
    <t>Сопровождение и развитие Автоматизированной информационной системы "Суд"</t>
  </si>
  <si>
    <t>ИТОГО (контрольные цифры)</t>
  </si>
  <si>
    <t>Оказание государственной поддержки в случае возникновения непредвиденных расходов по экономическим, социально-культурным и другими мероприятиями, а также чрезвычайным событиям</t>
  </si>
  <si>
    <t>Оказание государственной поддержки в случае возникновения непредвиденных расходов, связанных с экономическими, социально-культурными и другими мероприятиями, проводимыми в республике</t>
  </si>
  <si>
    <t>Отношение расходов по бюджетной мере к общим расходам республиканского бюджета</t>
  </si>
  <si>
    <t>Полнота обеспеченности</t>
  </si>
  <si>
    <t>Количество изданных распоряжений на оказание финансовой помощи</t>
  </si>
  <si>
    <t>Количество проведенных встреч по вопросам делимитации и демаркации госграниц</t>
  </si>
  <si>
    <t>Обеспечение высокого уровня предоставления государственных услуг, а также обеспечение государственного протокола</t>
  </si>
  <si>
    <t>Программное и техническое обеспечение единиго канала связи государственных учреждений и обеспечение прозрачности выборов референдумов</t>
  </si>
  <si>
    <t>Обеспечение и организация мероприятий по награждению государственными наградами лиц, внесших вклад в защиту и укрепление государства и демократического общества, единства народа, а также заслуг в различных видах деятельности перед государством и народом</t>
  </si>
  <si>
    <t>Обеспечение и организация  саммитов и других госзначимых мероприятий</t>
  </si>
  <si>
    <t>Обеспечение деятельности должностных лиц, возложенных на УДПКР</t>
  </si>
  <si>
    <t>Предоставление транспортных услуг в государственном секторе</t>
  </si>
  <si>
    <t>Поддержание существующей сети государственных дошкольных образовательных организаций</t>
  </si>
  <si>
    <t xml:space="preserve">Повышение  качества  услуг и приобщение населения к профессиональному искусству </t>
  </si>
  <si>
    <t>Количество обслуживаемых смет</t>
  </si>
  <si>
    <t>Количество организованных протокольных мероприятий</t>
  </si>
  <si>
    <t>Количество  государственных учреждений</t>
  </si>
  <si>
    <t>Количество лиц</t>
  </si>
  <si>
    <t>чел.</t>
  </si>
  <si>
    <t>Количество мероприятий гос.значимых</t>
  </si>
  <si>
    <t>Удельный вес  в % от общей суммы годового бюджета</t>
  </si>
  <si>
    <t>Количество детей</t>
  </si>
  <si>
    <t>Доля спецсредств к общей сумме организации</t>
  </si>
  <si>
    <t>Количество обслуживаемых автомашин за счет республиканского бюджета</t>
  </si>
  <si>
    <t>Количество обслуживаемых автомашин за счет специальных средств</t>
  </si>
  <si>
    <t>Количество обслуживаемых мероприятий государственного протокола</t>
  </si>
  <si>
    <t>24.Резервные и другие фонды территорий</t>
  </si>
  <si>
    <t>Резервные и другие фонды территорий</t>
  </si>
  <si>
    <t>Фонд развития Иссык-Кульской области</t>
  </si>
  <si>
    <t>Фонды развития районов</t>
  </si>
  <si>
    <t>Фонды развития областей</t>
  </si>
  <si>
    <t>Резервный фонд полномочного представителя Правительства Кыргызской Республики в областях</t>
  </si>
  <si>
    <t>Резервный фонд акимов</t>
  </si>
  <si>
    <t>Фонд финансирования проектов ГЧП</t>
  </si>
  <si>
    <t>120</t>
  </si>
  <si>
    <t>140</t>
  </si>
  <si>
    <t>150</t>
  </si>
  <si>
    <t>220</t>
  </si>
  <si>
    <t>320</t>
  </si>
  <si>
    <t>Развитие инфраструктуры районов</t>
  </si>
  <si>
    <t>Развитие инфраструктуры областей</t>
  </si>
  <si>
    <t>Решение важных вопросов в областях</t>
  </si>
  <si>
    <t>26. Министерство  финансов  Кыргызской Республики (Государственные программы, мероприятия и выплаты)</t>
  </si>
  <si>
    <t>Доля расходов на ПМСП в общих расходах по другим программам</t>
  </si>
  <si>
    <t>Количество посещений к врачам ГСВ на 1 жителя</t>
  </si>
  <si>
    <t>Уровень удовлетворенности пациентов (по оценочной карте)</t>
  </si>
  <si>
    <t>Процент соответствия количества фактически функционирующих бригад СМП к утвержденному количеству</t>
  </si>
  <si>
    <t>Улучшение качества предоставления медицинской помощи населению путем стимулирования групп семейных врачей за достижение целевых показателей качества деятельности (Мероприятия Программы, ориентированной на результат (ПОР))</t>
  </si>
  <si>
    <t>Мероприятия по проекту Азиатского банка развития</t>
  </si>
  <si>
    <t>Поддержка онкологической службы</t>
  </si>
  <si>
    <t>Мероприятия по проекту "Караван здоровья"</t>
  </si>
  <si>
    <t xml:space="preserve">Мероприятия по проекту Всемирного банка </t>
  </si>
  <si>
    <t>Прочие доходы Фонда ОМС</t>
  </si>
  <si>
    <t xml:space="preserve"> Министерство финансов  Кыргызской Республики (Трансферты ФОМС при Министерстве здравоохранения  Кыргызской Республики)</t>
  </si>
  <si>
    <t>180</t>
  </si>
  <si>
    <t>Обеспечение базовой части пенсии</t>
  </si>
  <si>
    <t>Выплата компенсации за электроэнергию пенсионерам</t>
  </si>
  <si>
    <t>Пенсионное обеспечение военнослужащих, выплата сотрудникам органов внутренних дел и членам их семей единовременного пособия</t>
  </si>
  <si>
    <t>Льготное (досрочное) пенсионное обеспечение отдельных категорий населения и выплата надбавок к пенсиям</t>
  </si>
  <si>
    <t>Компенсация дополнительных расходов или потерь доходов бюджета Социального фонда, образовавшихся в результате принятия нормативных правовых актов Кыргызской Республики</t>
  </si>
  <si>
    <t>Общегосударственные программы</t>
  </si>
  <si>
    <t xml:space="preserve">Процент исполнения бюджета по общегосударственным программам </t>
  </si>
  <si>
    <t>−</t>
  </si>
  <si>
    <t xml:space="preserve">Выполнение плана реализации Национальной программы </t>
  </si>
  <si>
    <t>Цифровая экономика</t>
  </si>
  <si>
    <t>Охват точек ктроля средствами наблюдения</t>
  </si>
  <si>
    <t>Взносы в международные организации</t>
  </si>
  <si>
    <t>Выполнение обязательств по выплате взносов ежегодно</t>
  </si>
  <si>
    <t>Государственный долг</t>
  </si>
  <si>
    <t>Выполнение обязательств по выплате основной суммы и процентов ежегодно</t>
  </si>
  <si>
    <t>Возмещение и возврат НДС</t>
  </si>
  <si>
    <t>Выполнение обязательств по возврату НДС ежегодно</t>
  </si>
  <si>
    <t>Исполнение решений суда</t>
  </si>
  <si>
    <t xml:space="preserve">Процент своевременных исполнений решений суда </t>
  </si>
  <si>
    <t>Оплата услуг банков</t>
  </si>
  <si>
    <t>Выполнение обязательств по оплате услуг банков</t>
  </si>
  <si>
    <t>Субсидирование процентных ставок коммерческих банков</t>
  </si>
  <si>
    <t>Выполнение обязательств по субсидированию процентных ставок</t>
  </si>
  <si>
    <t>Развитие приграничных территорий</t>
  </si>
  <si>
    <t>Фискализация</t>
  </si>
  <si>
    <t>Исполнение бюджета мероприятий по фискализации</t>
  </si>
  <si>
    <t>18</t>
  </si>
  <si>
    <t>Выплата обязательств</t>
  </si>
  <si>
    <t>Исполнение бюджета по финансированию проектов экономического развития</t>
  </si>
  <si>
    <t>20</t>
  </si>
  <si>
    <t>Покупка стратегических объектов</t>
  </si>
  <si>
    <t xml:space="preserve">Реализация плана покупки стратегических объектов </t>
  </si>
  <si>
    <t>26</t>
  </si>
  <si>
    <t>ОАО "Национальная холдинговая компания "Наследие великих кочевников"</t>
  </si>
  <si>
    <t>27</t>
  </si>
  <si>
    <t>Государственная программа по обеспечению безопасности и социально-экономического развития Баткенской области</t>
  </si>
  <si>
    <t xml:space="preserve">Выполнение плана реализации Государственной программы </t>
  </si>
  <si>
    <t>Государственные программы, мероприятия и выплаты</t>
  </si>
  <si>
    <t>Процент исполнения бюджета по гсударственным программам, мероприятиям и выплатам</t>
  </si>
  <si>
    <t>Капитальные вложения</t>
  </si>
  <si>
    <t>Исполнение бюджета по финансированию капитальных вложений</t>
  </si>
  <si>
    <t>Мероприятия по ликвидации стихийных бедствий</t>
  </si>
  <si>
    <t>Исполнение бюджета по финансированию ликвидации стихийных бедствий</t>
  </si>
  <si>
    <t>Повышение социальных выплат</t>
  </si>
  <si>
    <t>Исполнение обязательств по повышенным социальным выплатам</t>
  </si>
  <si>
    <t>Выравнивающие трансферты</t>
  </si>
  <si>
    <t>Исполнение бюджета по выравнивающим трансфертам</t>
  </si>
  <si>
    <t>Целевые трансферты</t>
  </si>
  <si>
    <t>Исполнение бюджета по целевым трансфертам</t>
  </si>
  <si>
    <t>Стимулирующие гранты</t>
  </si>
  <si>
    <t>Исполнение бюджета по СДГ</t>
  </si>
  <si>
    <t xml:space="preserve">Выплата обязательств по финансированию переданных учреждений </t>
  </si>
  <si>
    <t>Учреждения, переданные из районного бюджета в республиканский бюджет</t>
  </si>
  <si>
    <t>Государственный бюджетный резерв</t>
  </si>
  <si>
    <t>Доля имеющейся суммы государственного бюджетного резерва от планового значения ежегодно</t>
  </si>
  <si>
    <t>Доля имеющейся суммы специального счета МЧС от планового значения ежегодно</t>
  </si>
  <si>
    <t>Управление и администрирование</t>
  </si>
  <si>
    <t>201</t>
  </si>
  <si>
    <t xml:space="preserve">Осуществление государственной регистрации и координации нотариальной деятельности </t>
  </si>
  <si>
    <t>Оказание государственной юридической помощи гражданам Кыргызской Республики</t>
  </si>
  <si>
    <t>Исполнение уголовных наказаний, не связанных с изоляцией от общества</t>
  </si>
  <si>
    <t>Совершенствование правовой политики в нормотворчестве</t>
  </si>
  <si>
    <t>Количество легализованных документов</t>
  </si>
  <si>
    <t>Доля обработанных запросов от количества поступивших запросов</t>
  </si>
  <si>
    <t>Количество обработанных запросов</t>
  </si>
  <si>
    <t>Исправление и переобучение граждан, совершивших правонарушение, а также социальное интеграция осужденных лиц</t>
  </si>
  <si>
    <t>34. Министерство образования и науки Кыргызской республики</t>
  </si>
  <si>
    <t>Управление и администрирование отрасли на территориальном  уровне</t>
  </si>
  <si>
    <t xml:space="preserve">Доля охвата детей дошкольным образованием   </t>
  </si>
  <si>
    <t>Доля детей в возрасте 5,5-7 лет, охваченных предшкольным образованием</t>
  </si>
  <si>
    <t xml:space="preserve">Доля охвата детей в возрасте 3-7 лет, охваченных всеми формами дошкольного образования </t>
  </si>
  <si>
    <t>Расширение сети вариативных форм ДОО</t>
  </si>
  <si>
    <t>запуск</t>
  </si>
  <si>
    <t xml:space="preserve">Количество центров развития ребенка на базе библиотек </t>
  </si>
  <si>
    <t xml:space="preserve">Охват детей средним общим образованием, от общего количества детей 7-17 лет </t>
  </si>
  <si>
    <t>Доля детей в системе интернатов и детдомов к общему количеству детей (по учреждениям МОН)</t>
  </si>
  <si>
    <t xml:space="preserve">Показатели среднего балла ОРТ по стране </t>
  </si>
  <si>
    <t>Охват учителей программами повышения квалификации</t>
  </si>
  <si>
    <t>Процент охвата молодежи начальным и средним профессиональным образованием (от населения в возрасте 15-20 лет)</t>
  </si>
  <si>
    <t>Доля трудоустройства выпускников на основе проведенного анализа трудоустроенных выпускников (в первый год после выпуска и закрепившихся в течение года по данным отслеживания выпускников)</t>
  </si>
  <si>
    <t>Процент охвата молодежи начальным  профессиональным образованием (от населения в возрасте 15-18 лет)</t>
  </si>
  <si>
    <t>Удельный вес педагогических кадров, прошедших повышение квалификации по разработке образовательных программ и модулей (НПО)</t>
  </si>
  <si>
    <t>Процент охвата молодежи средним профессиональным образованием (от населения в возрасте 17- 20 лет)</t>
  </si>
  <si>
    <t>Инклюзивное образование и воспитание учащихся СПО</t>
  </si>
  <si>
    <t>Доля образовательных организаций начального профессионального образования с созданной благоприятной для ЛОВЗ инфраструктурой и средой обучения</t>
  </si>
  <si>
    <t>Поддержание функционирования сети организаций  высшего профессионального образования</t>
  </si>
  <si>
    <t>Развития сети организаций  высшего профессионального образования</t>
  </si>
  <si>
    <t>Доля студентов, обучающихся на контрактной основе</t>
  </si>
  <si>
    <t xml:space="preserve">Доля участия в выполнении госзаказов
отраслевых научных, научно-технических организаций и региональных высших учебных заведений </t>
  </si>
  <si>
    <t xml:space="preserve">Развитие прикладной науки </t>
  </si>
  <si>
    <t xml:space="preserve">Развитие институционального потенциала и повышение качества вузовской науки, увеличение в вузах количества НИР, направленных на получение практического применения </t>
  </si>
  <si>
    <t>Количество внедряемых научных результатов в производство, социальную жизнь по итогам выполнения НИОКР</t>
  </si>
  <si>
    <t xml:space="preserve">Реализация проектов государственных инвестиций </t>
  </si>
  <si>
    <t>Разработка проектов НПА</t>
  </si>
  <si>
    <t>Осуществление судебных экспертиз</t>
  </si>
  <si>
    <t>Принятие участие в международных и местных судах для наиболее благоприятного разрешение споров</t>
  </si>
  <si>
    <t>Организация порядка и условий отбывания наказаний в УИС</t>
  </si>
  <si>
    <t>Организация исполнения наказаний осужденных в лечебных учреждениях</t>
  </si>
  <si>
    <t>Оказание первичной медико-санитарной помощи осужденным</t>
  </si>
  <si>
    <t>Поддержание дошкольных учреждений и ее расширение</t>
  </si>
  <si>
    <t>Улучшение процента финансирование дошкольных учреждений</t>
  </si>
  <si>
    <t>Строительство тюрьмы для содержания осужденных-злостных нарушителей установленного порядка отбывания наказания, переведенных из исправительных колоний</t>
  </si>
  <si>
    <t>Строительство, реконструкция, ремонтно-восстановительные работы</t>
  </si>
  <si>
    <t>Градация условий содержания осужденных</t>
  </si>
  <si>
    <t>Организация участков с различными видами режимов в исправительной колонии для содержания лиц мужского пола, женщин, осужденных больных разными инфекционными заболеваниями (участки общего, усиленного режимов и строгого режимов, также для содержания несовершеннолетних лиц мужского и женского пола)</t>
  </si>
  <si>
    <t>Обеспечение права осужденных на получение образования</t>
  </si>
  <si>
    <t>Организационное и методическое обеспечение учебного процесса</t>
  </si>
  <si>
    <t>Реконструкция и оснащение (повышение безопасности) ИУ и СИЗО современными ИТСО</t>
  </si>
  <si>
    <t>Строительство и реконструкция объектов социально-культурного и коммунально-бытового назначения</t>
  </si>
  <si>
    <t>Организация социальной помощи лицам, освободившимся из мест лишения свободы</t>
  </si>
  <si>
    <t xml:space="preserve">Охрана и оборона  исправительных учреждений и конвоирование осужденных </t>
  </si>
  <si>
    <t>Обеспечение конвоированием судебных учреждений</t>
  </si>
  <si>
    <t>Взаимодействие  с администрациями исправительных учреждений , судами, органами внутренных дел и МЮ КР</t>
  </si>
  <si>
    <t>Судебно-экспертной службе при Министерстве юстиции Кыргызской Республики</t>
  </si>
  <si>
    <t>Центр судебного представительства при Министерстве юстиции Кыргызской Республики</t>
  </si>
  <si>
    <t>Служба исполнения наказаний при Министерстве юстиции Кыргызской Республики</t>
  </si>
  <si>
    <t>Департамент по охране исправительных учреждений и конвоированию осужденных и лиц, заключенных под стражу, Службы исполнения наказаний при Министерстве юстиции Кыргызской Республики</t>
  </si>
  <si>
    <t>152</t>
  </si>
  <si>
    <t>153</t>
  </si>
  <si>
    <t>154</t>
  </si>
  <si>
    <t>155</t>
  </si>
  <si>
    <t>162</t>
  </si>
  <si>
    <t>172</t>
  </si>
  <si>
    <t>182</t>
  </si>
  <si>
    <t>203</t>
  </si>
  <si>
    <t>204</t>
  </si>
  <si>
    <t>212</t>
  </si>
  <si>
    <t>Оценка исполнения республиканского бюджета, составления и исполнения местных бюджетов, внебюджетных и специальных средств, использования государственной и муниципальной собственности, обеспечение и реализация международных стандартов аудита</t>
  </si>
  <si>
    <t>055</t>
  </si>
  <si>
    <t>Процент исполнения бюджета без нарушения (ед.изм.%)</t>
  </si>
  <si>
    <t>Исполнение Плана законопроектных работ Министерства  (ед.изм.%)</t>
  </si>
  <si>
    <t xml:space="preserve"> Правовая консультация структурных подразделений министерства в рассмотрении заявлений и обращений физических и юридических лиц (ед.изм.%)</t>
  </si>
  <si>
    <t>Мероприятия по инвентаризации отраслевых НПА и актов министерства (ед.изм.%)</t>
  </si>
  <si>
    <t>Представление интересов в судебных органах совместно со структурными подразделениями Министерства</t>
  </si>
  <si>
    <t xml:space="preserve">Осуществление закупок товаров, работ, услуг и консультационных услуг без нарушения </t>
  </si>
  <si>
    <t>% сотрудников прошедших обучение из бюджетных средств (ед.изм.%)</t>
  </si>
  <si>
    <t>056</t>
  </si>
  <si>
    <t>Отклонение прогнозных значений макропоказателей (темп роста ВВП) от фактических значений</t>
  </si>
  <si>
    <t>±5</t>
  </si>
  <si>
    <t>Количество разработанных НПА</t>
  </si>
  <si>
    <t>Мониторинг ПГИ</t>
  </si>
  <si>
    <t>Проведение оценки проектов ПГИ</t>
  </si>
  <si>
    <t>Участие в Ежегодном заседании Совета Управляющих ЕБРР</t>
  </si>
  <si>
    <t>Количество стран, с которыми подписаны и ратифицированы соглашения об избежании двойного налогообложения</t>
  </si>
  <si>
    <t>+1</t>
  </si>
  <si>
    <t>Количество НПА</t>
  </si>
  <si>
    <t xml:space="preserve">Количество увтержденных внутренних стратегических документов и планов </t>
  </si>
  <si>
    <t xml:space="preserve">Проценты реализованных договоренностей в рамках межправительственных комиссий </t>
  </si>
  <si>
    <t>Количество НПА в сфере технического регулирования и метрологии</t>
  </si>
  <si>
    <t>Количество проведенных мероприятий</t>
  </si>
  <si>
    <t>Содействие в формировании Единого реестра государственных услуг, выработка рекомендаций по совершенствованию законодательства и механизма</t>
  </si>
  <si>
    <t>Поступления в республиканский бюджет</t>
  </si>
  <si>
    <t>Темп роста текстильного производства, производства одежды и обуви, кожи и прочих кожаных изделий</t>
  </si>
  <si>
    <t>Аналитическая записка для руководства</t>
  </si>
  <si>
    <t>2.20 Улучшение позиций страны в международных рейтингах</t>
  </si>
  <si>
    <t>Обновление и публикация ежегодного отчета по международным рейтингам страны (Ведение бизнеса и суверенный рейтинг)</t>
  </si>
  <si>
    <t>место</t>
  </si>
  <si>
    <t>2.21 Повышение инвестиционной привлекательности и продвижение проектов в рамках ГЧП</t>
  </si>
  <si>
    <t>Приток прямых иностранных инвестиций</t>
  </si>
  <si>
    <t>млн.долл.</t>
  </si>
  <si>
    <t>2.22 Разработка и внедрение автоматизированной информационной системы по выдаче лицензий на экспорт и импорт товаров, включенных в единый перечень</t>
  </si>
  <si>
    <t>Доля выданнх лицензий на экспорт и импорт товаров,  включенных в единый перечень в электронном формате</t>
  </si>
  <si>
    <t>Количество введенных новых предприятий</t>
  </si>
  <si>
    <t xml:space="preserve">Количество созданных новых рабочих мест </t>
  </si>
  <si>
    <t>Объем внешнеторгового оборота Кыргызской Республики  со странами ВТО</t>
  </si>
  <si>
    <t>3.4 Развитие предоставления услуг по внешнеэкономической деятельности по принципу единого окна</t>
  </si>
  <si>
    <t>Доля документов выданных по принципу"Единого окна" вовлеченными ведомствами, где проведена полная автоматизация внутренних бизнес процессов</t>
  </si>
  <si>
    <t>Подтверждение компетентности органов по оценке соответствия</t>
  </si>
  <si>
    <t>Разработка межгосударственных стандартов на основе национальных стандартов, в целях защиты интересов бизнеса</t>
  </si>
  <si>
    <t xml:space="preserve">Обеспечение единства измерени для соблюдения требований ТР ТС путем рекабликовки дополнительных единиц эталонов по видам измерений   Национальных институтах других стран и участие в сличениях эталонов по видам измерений в рамках регионального органа по метрологии               </t>
  </si>
  <si>
    <t>Участие в работах межгосударственных технических комитетах по стандартизации(МТК)  и метрологии по пищевой продукции</t>
  </si>
  <si>
    <t>Количество субъектов доминантов, исключенных из Госреестра доминантов</t>
  </si>
  <si>
    <t>по результатам анализов</t>
  </si>
  <si>
    <t>Количество хозсубъектов, включенных в Госреестр субъектов естественных монополий по Республике</t>
  </si>
  <si>
    <t>Количество нарушений требований Закона КР "Обеспечение единство измерения" (количество неповеренных средств измерения)</t>
  </si>
  <si>
    <t>Количество проведенных анализов состояния конкуренции</t>
  </si>
  <si>
    <t>план будет составлен в конце 2022года</t>
  </si>
  <si>
    <t>план будет составлен в конце отчетного предыдущего года</t>
  </si>
  <si>
    <t>Поступление дивидендов на государственный пакет акций акционерных обществ с государственным участием в республиканский бюджет</t>
  </si>
  <si>
    <t>Поступление чистой прибыли государственных предприятий в республиканский бюджет</t>
  </si>
  <si>
    <t>Поступление средств от приватизации государственного имущества</t>
  </si>
  <si>
    <t>Поступление средств от аренды государственного имущества</t>
  </si>
  <si>
    <t>млр.сом</t>
  </si>
  <si>
    <t>Объем торгов</t>
  </si>
  <si>
    <t xml:space="preserve">Объем собранных страховых премий по обязательным и добровольным видам страхования </t>
  </si>
  <si>
    <t>Объем средств пенсионных накоплений НПФ</t>
  </si>
  <si>
    <t xml:space="preserve">Количество зарегистрированных аудиторских организаций </t>
  </si>
  <si>
    <t xml:space="preserve">Объем сделок с ценными бумагами </t>
  </si>
  <si>
    <t xml:space="preserve">Количество сделок с ценными  бумагами </t>
  </si>
  <si>
    <t>Количество новых проектов ГЧП</t>
  </si>
  <si>
    <t>Привлечение дополнительных средств в фонд финансирования проектов ГЧП ежегодно</t>
  </si>
  <si>
    <t xml:space="preserve">Создания условий для развития халал индустрии в КР посредством разработки системных документов </t>
  </si>
  <si>
    <t xml:space="preserve">
Пенсионное обеспечение и компенсации за счет бюджетных средств</t>
  </si>
  <si>
    <t>Реализация проектов Программы государственных инвестиций</t>
  </si>
  <si>
    <t>Стабилизационный фонд Кыргызской Республики</t>
  </si>
  <si>
    <t>39</t>
  </si>
  <si>
    <t>24</t>
  </si>
  <si>
    <t>ОАО "Айыл банк"</t>
  </si>
  <si>
    <t>32</t>
  </si>
  <si>
    <t>"Фонд поддержки развития туризма в Кыргызской Республике"</t>
  </si>
  <si>
    <t>"ОАО РСК банк"</t>
  </si>
  <si>
    <t>34</t>
  </si>
  <si>
    <t>Увеличение уставного капитала энергетическим компаниям</t>
  </si>
  <si>
    <t>44</t>
  </si>
  <si>
    <t>Строительство Камбар-Атинской ГЭС</t>
  </si>
  <si>
    <t>38</t>
  </si>
  <si>
    <t>Поручительство перед финансово-кредитными организациями</t>
  </si>
  <si>
    <t>Процент реализации плана по созданию устойчивой цифровой инфраструктуры</t>
  </si>
  <si>
    <t>Выполнение обязательств</t>
  </si>
  <si>
    <t>Финансирование проектов экономического развития и накопленные финансовые резервы</t>
  </si>
  <si>
    <t>43</t>
  </si>
  <si>
    <t>45</t>
  </si>
  <si>
    <t>Льготное финансирование Баткенской области</t>
  </si>
  <si>
    <t xml:space="preserve">Управление и администрирование на центральном уровне </t>
  </si>
  <si>
    <t>Управление и администрирование на территориальном уровне</t>
  </si>
  <si>
    <t>Обеспечение пособиями детей: при рождении ребенка и нуждающихся семей, имеющих детей в возрасте до 16 лет</t>
  </si>
  <si>
    <t>810 сом</t>
  </si>
  <si>
    <t>Соотношение размера гарантированного минимального дохода текущего года по отношению к базовому году</t>
  </si>
  <si>
    <t>Обеспечение лиц, не имеющих права на пенсионное обеспечение, ежемесячными социальными пособиями (ЕСП), а также лиц, пострадавшим в событиях 2010 года и  Аксыйского события в 2002г. дополнительными ежемесячными социальными пособиями</t>
  </si>
  <si>
    <t>64,6-95,7</t>
  </si>
  <si>
    <t>86,2-127,6</t>
  </si>
  <si>
    <t>Соотношение размера пособий детям в случае потери одного/обоих родителей и детям, оба родителя которых не известны к базовой части пенсии</t>
  </si>
  <si>
    <t>84,3-168,5</t>
  </si>
  <si>
    <t>112,4-337,0</t>
  </si>
  <si>
    <t>Размер дополнительного ежемесячного социального пособия</t>
  </si>
  <si>
    <t>количество расчетных показателей</t>
  </si>
  <si>
    <t xml:space="preserve">Развитие социальных услуг для детей, находящихся в трудной жизненной ситуации, в рамках государственного социального заказа </t>
  </si>
  <si>
    <t xml:space="preserve">Наличие центра </t>
  </si>
  <si>
    <t>количество центров</t>
  </si>
  <si>
    <t>Поддержка созданных ранее центров</t>
  </si>
  <si>
    <t>Повышение потенциала сотрудников территориальных и подведомственных подразделений Министерства</t>
  </si>
  <si>
    <t>Охвачены обучением не менее 100 сотрудников по системе Министерства</t>
  </si>
  <si>
    <t>Развитие института приемных (фостерных) семей</t>
  </si>
  <si>
    <t xml:space="preserve">Численность подготовленных  приемных семей </t>
  </si>
  <si>
    <t>Численность размещенных детей в приемных семьях</t>
  </si>
  <si>
    <t>Возвращение (репатриация) детей, оставшихся без попечения родителей, являющихся гражданами КР на территории иностранного государства</t>
  </si>
  <si>
    <t>Численность возвращенных детей</t>
  </si>
  <si>
    <t xml:space="preserve">Оказание консультативно-психологической помощи абонентам по телефону, в том числе детям </t>
  </si>
  <si>
    <t>Количество поступивших звонков от абонентов, в том числе от детей</t>
  </si>
  <si>
    <t>абонент</t>
  </si>
  <si>
    <t>Улучшение системы оценки инвалидности и реабилитации лиц с ограниченными возможностями здоровья</t>
  </si>
  <si>
    <t xml:space="preserve">Разработана обновленная методика МКФ </t>
  </si>
  <si>
    <t>документ</t>
  </si>
  <si>
    <t>Количество обученных врачей-экспертов по Международной классификации функционирования (МКФ)</t>
  </si>
  <si>
    <t>человек</t>
  </si>
  <si>
    <t>Реабилитация лиц с ограниченными возможностями здоровья (ЛОВЗ)</t>
  </si>
  <si>
    <t xml:space="preserve">Количество ЛОВЗ охваченых реабилитацией </t>
  </si>
  <si>
    <t>Количество обученных врачей</t>
  </si>
  <si>
    <t xml:space="preserve">Предоставление услуг в социальных стационарных  учреждениях 
</t>
  </si>
  <si>
    <t>Предоставление социальных услуг пожилым гражданам и лицам с ограниченными возможностями здоровья (ЛОВЗ), в рамках государственного социального заказа</t>
  </si>
  <si>
    <t>Обеспечение ЛОВЗ техническими средствами для реабилитации (протезно-ортопедические изделия, технические вспомогательные средства и иные специализированные средства)</t>
  </si>
  <si>
    <t>Обеспечение доступа ЛОВЗ к путевкам на санаторно-курортное лечение, а также услугой сурдоперевода лиц с инвалидностью слуха и речи</t>
  </si>
  <si>
    <t>Социальная поддержка матерям ухаживающим за детьми с ОВЗ, нуждающихся в постоянном уходе и надзоре</t>
  </si>
  <si>
    <t>Количество детей с ОВЗ охваченных услугами персональных ассистентов</t>
  </si>
  <si>
    <t xml:space="preserve">Количество ЛОВЗ старше 18 лет охваченных услугами персональных ассистентов </t>
  </si>
  <si>
    <t>Обеспечение выплат ежемесячных денежных компенсаций 25 категориям граждан, а также ежемесячной стипендии ветеранам Великой Отечественной войны</t>
  </si>
  <si>
    <t xml:space="preserve">Сохранение размера денежных компенсаций 25 категориям граждан на уровне базового года </t>
  </si>
  <si>
    <t>1000-7000</t>
  </si>
  <si>
    <t xml:space="preserve">Размеры пожизненной стипендии </t>
  </si>
  <si>
    <t>Обеспечение выплат ежегодного единовременного денежного пособия к 9 мая ветеранам Великой Отечественной войны</t>
  </si>
  <si>
    <t xml:space="preserve">Размеры денежного пособия </t>
  </si>
  <si>
    <t>100-600</t>
  </si>
  <si>
    <t xml:space="preserve">Размеры дополнительного денежного пособия  </t>
  </si>
  <si>
    <t>10000-15000</t>
  </si>
  <si>
    <t>15000-20000</t>
  </si>
  <si>
    <t xml:space="preserve">Обеспечение выплат ритуального пособия (на погребение) </t>
  </si>
  <si>
    <t>Размеры ритуального пособия (погребение)</t>
  </si>
  <si>
    <t>1438-7189</t>
  </si>
  <si>
    <t>Пассивные и активные меры политики содействия занятости</t>
  </si>
  <si>
    <t>Количество получающих пособия</t>
  </si>
  <si>
    <t>Доля безработных граждан, трудоустроенных после обучения, переобучения повышения квалификации</t>
  </si>
  <si>
    <t>Количество безработных охваченных по линии оплачиваемых общественных работ (ООР)</t>
  </si>
  <si>
    <t>тыс.чел.</t>
  </si>
  <si>
    <t>Количество граждан прошедших краткосрочные курсы обучения через Фонд развития навыков (ФРН)</t>
  </si>
  <si>
    <t xml:space="preserve">Интеграция безработных в число занятого населения </t>
  </si>
  <si>
    <t>Количество безработных, трудоустроенных в результате посещения Ярмарки вакансий</t>
  </si>
  <si>
    <t xml:space="preserve">Содействие в трудоустройстве </t>
  </si>
  <si>
    <t xml:space="preserve">Обеспечение выплат пособия по беременности и родам с одиннадцатого рабочего дня </t>
  </si>
  <si>
    <t>Соотношение среднемесячного размера пособия по беременности и родам к 10 расчетным показателям, в % (в условиях не высокогорья)</t>
  </si>
  <si>
    <t>Соотношение среднемесячного размера пособия по беременности и родам к среднемесячной заработной плате, в % ( в условиях высокогорья)</t>
  </si>
  <si>
    <t>Развитие услуг социальных служб/кризисных центров по оказанию помощи лицам, пострадавшим от гендерного и семейного насилия и внедрение коррекционных программ для лиц, совершивших семейное насилие</t>
  </si>
  <si>
    <t>Соотношение участников Кризисного Центра на конкурсе госсоцзаказа к выигравшим участникам Кризисного Центра на конкурсе, в %</t>
  </si>
  <si>
    <t xml:space="preserve">Создание государственного кризисного центра для оказания помощи пострадавшим от насилия и для внедрения программ поддержки для семей в ситуации семейного насилия </t>
  </si>
  <si>
    <t>Число новых государственных кризисных центров</t>
  </si>
  <si>
    <t>единица</t>
  </si>
  <si>
    <t xml:space="preserve">Доля выпускников высшего профессионального образования, успешно окончивших академию </t>
  </si>
  <si>
    <t>Реализация учебных программ</t>
  </si>
  <si>
    <t>Годовой обьем обучающихся студентов</t>
  </si>
  <si>
    <t>Подготовка квалифицированного кадрового персонала ВПО</t>
  </si>
  <si>
    <t>Доля студентов, занявших призовые места на соревнованиях, конкурсах республиканского и международного уровней</t>
  </si>
  <si>
    <t>Количество государственных и муниципальных служащих, получивших сертификаты</t>
  </si>
  <si>
    <t>100%</t>
  </si>
  <si>
    <t>Проведение тренингов</t>
  </si>
  <si>
    <t>Количество привлеченных государственных служащих на повышение квалификации</t>
  </si>
  <si>
    <t>Доля выпускников среднего профессионального образования, успешно окончивших техникум</t>
  </si>
  <si>
    <t>Подготовка квалифицированного кадрового персонала СПО</t>
  </si>
  <si>
    <t>Доля обучающихся, занявших призовые места на соревнованиях, конкурсах республиканского и международного уровней</t>
  </si>
  <si>
    <t xml:space="preserve">% </t>
  </si>
  <si>
    <t>Кол-во</t>
  </si>
  <si>
    <t>по факту</t>
  </si>
  <si>
    <t>006</t>
  </si>
  <si>
    <t>005</t>
  </si>
  <si>
    <r>
      <rPr>
        <b/>
        <sz val="11"/>
        <color theme="1"/>
        <rFont val="Times New Roman"/>
        <family val="1"/>
        <charset val="204"/>
      </rPr>
      <t xml:space="preserve">Обеспечение прозрачности бюджета Судебного департамента </t>
    </r>
    <r>
      <rPr>
        <sz val="11"/>
        <color theme="1"/>
        <rFont val="Times New Roman"/>
        <family val="1"/>
        <charset val="204"/>
      </rPr>
      <t>/ бюджетные средства использованы на достижение поставленных целей</t>
    </r>
  </si>
  <si>
    <r>
      <rPr>
        <b/>
        <sz val="11"/>
        <color theme="1"/>
        <rFont val="Times New Roman"/>
        <family val="1"/>
        <charset val="204"/>
      </rPr>
      <t>Количество судов оснащенные информационными системами (видео запись и трансляция судебных процессов, аудио и видео протоколирование и т.д.) /</t>
    </r>
    <r>
      <rPr>
        <sz val="11"/>
        <color theme="1"/>
        <rFont val="Times New Roman"/>
        <family val="1"/>
        <charset val="204"/>
      </rPr>
      <t xml:space="preserve"> Обеспечена полная гласность и прозрачность судебных разбирательств</t>
    </r>
  </si>
  <si>
    <r>
      <rPr>
        <b/>
        <sz val="11"/>
        <color theme="1"/>
        <rFont val="Times New Roman"/>
        <family val="1"/>
        <charset val="204"/>
      </rPr>
      <t xml:space="preserve">Определение приоритетных направлений развития судебной системы Кыргызской Республики </t>
    </r>
    <r>
      <rPr>
        <sz val="11"/>
        <color theme="1"/>
        <rFont val="Times New Roman"/>
        <family val="1"/>
        <charset val="204"/>
      </rPr>
      <t>/ Усилен потенциал органов судейского самоуправления</t>
    </r>
  </si>
  <si>
    <r>
      <rPr>
        <b/>
        <sz val="11"/>
        <color theme="1"/>
        <rFont val="Times New Roman"/>
        <family val="1"/>
        <charset val="204"/>
      </rPr>
      <t>Совершенствование взаимодействия модели исполнения судебных решений</t>
    </r>
    <r>
      <rPr>
        <sz val="11"/>
        <color theme="1"/>
        <rFont val="Times New Roman"/>
        <family val="1"/>
        <charset val="204"/>
      </rPr>
      <t xml:space="preserve"> / Увеличение доли исполнения судебных решений</t>
    </r>
  </si>
  <si>
    <r>
      <t xml:space="preserve">Обеспечение открытости и прозрачности деятельности Коституционного суда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доверия общества к КС</t>
    </r>
  </si>
  <si>
    <r>
      <t xml:space="preserve">Предоставление высшего профессионального образования Академией Государственного управления при Президенте Кыргызской Республики
</t>
    </r>
    <r>
      <rPr>
        <i/>
        <sz val="11"/>
        <color theme="1"/>
        <rFont val="Times New Roman"/>
        <family val="1"/>
        <charset val="204"/>
      </rPr>
      <t>Цель программы:</t>
    </r>
    <r>
      <rPr>
        <b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Подготовка кадров с высшим профессиональным образованием в соответствии с потребностями рынка труда</t>
    </r>
  </si>
  <si>
    <r>
      <t xml:space="preserve">Повышение квалификации государственных и муниципальных служащих
</t>
    </r>
    <r>
      <rPr>
        <i/>
        <sz val="11"/>
        <color theme="1"/>
        <rFont val="Times New Roman"/>
        <family val="1"/>
        <charset val="204"/>
      </rPr>
      <t>Цель программы: Подготовка, переподготовка и повышение квалификации государственных и муниципальных служащих</t>
    </r>
  </si>
  <si>
    <r>
      <t xml:space="preserve">Осуществление судебно-экспертной деятельности
</t>
    </r>
    <r>
      <rPr>
        <i/>
        <sz val="11"/>
        <color indexed="8"/>
        <rFont val="Times New Roman"/>
        <family val="1"/>
        <charset val="204"/>
      </rPr>
      <t>Цель программы: Проведение судебных экспертиз</t>
    </r>
  </si>
  <si>
    <r>
      <t xml:space="preserve">Обеспечение социально- экономического развития Кыргызской Республики.                </t>
    </r>
    <r>
      <rPr>
        <i/>
        <sz val="11"/>
        <rFont val="Times New Roman"/>
        <family val="1"/>
        <charset val="204"/>
      </rPr>
      <t xml:space="preserve">Цель программы: Обеспечение органов государственного управления полной, своевременной и достоверной информацией об изменениях в социально-экономической сферах для оперативного реагирования и своевременного принятия </t>
    </r>
  </si>
  <si>
    <t>Проведение единой согласованной макроэкономической политики при улучшении координации министерств и административных ведомств, полномочных представительств Правительства КР в областях, мэрии гг. Бишкек и Ош по вопросам макроэкономического анализа и прогнозирования</t>
  </si>
  <si>
    <t>Развитие экспорта</t>
  </si>
  <si>
    <t>Выездной мониторинг проектов ПГИ</t>
  </si>
  <si>
    <t>Мониторинг и оценка эффективности проектов международной грантовой и технической помощи в Кыргызской Республике</t>
  </si>
  <si>
    <t>Обеспечение двойного налогообложения между Кыргызской Республикой и другими государствами</t>
  </si>
  <si>
    <t xml:space="preserve">Создание благоприятной конкурентной среды на товарных рынках, обеспечение экономической доступности товаров (работ, услуг) населению, защита прав потребителей (путем принятия соответствующих НПА в сфере антимонопольного регулирования, защите и развитии конкуренции, ценообразования, защиты прав потребителей и рекламы) </t>
  </si>
  <si>
    <t>Обеспечение стратегического планирования. Разработка мер государственной политики, направленных на обеспечение устойчивого развития экономики страны</t>
  </si>
  <si>
    <t>Обеспечение развития внешнеэкономического сотрудничества путем проведения заседаний межправительственных комиссий по торгово-экономическому сотрудничеству КР с зарубежными странами</t>
  </si>
  <si>
    <t>Совершенствование нормативно-правовой базы,регулирующей проведение процедур банкротства и управление государственным имуществом в Кыргызской Республике</t>
  </si>
  <si>
    <t>Создание благоприятной предпринимательской среды путем принятия соответствующих НПА в сфере предпринимательской деятельности (Развитие и поддержка предпринимательской деятельности, внедрение новых подходов в системе анализа АРВ, лицензионно-разрешительной и контрольно-надзорной сферах, в сфере антимонопольного регулирования, защите и развитии конкуренции, защиты прав потребителей и рекламы)</t>
  </si>
  <si>
    <t xml:space="preserve">Формирование благоприятной нормативно-правовой среды для сокращения технических барьеров и активизации экспортного потенциала. </t>
  </si>
  <si>
    <t>Проведение информационно-разъяснительной работы среди субъектов предпринимательства, потребителей продукции о требованиях и правилах устанавливаемых техническими регламентами ТС/ЕАЭС</t>
  </si>
  <si>
    <t>Разработка единой государственной политики развития регионов.</t>
  </si>
  <si>
    <t xml:space="preserve">Обеспечение дальнейшей оптимизации системы предоставления госуслуг и формирование Единого реестра функций государственных органов </t>
  </si>
  <si>
    <t xml:space="preserve">Внедрение системы оценки  качества государственного управления, ориентированного на результат госорганов, руководителей госорганов, структурных подразделений госорганов </t>
  </si>
  <si>
    <t>Внедрение электронной системы фискализации налоговых процедур</t>
  </si>
  <si>
    <t>Мониторинг, анализ и реализация политики легкой промышленности Кыргызской Республики</t>
  </si>
  <si>
    <t>Проведение комплексной оценки экономических и социальных эффектов от вступления Кыргызской Республики в ЕАЭС</t>
  </si>
  <si>
    <t>Содействие в разработке программы комплексного развития регионов, в том числе составление экономических прогнозов</t>
  </si>
  <si>
    <t>Обеспечение соблюдения международных обязательств Кыргызской Республики перед Всемирной торговой организацией и эффективное использование преимуществ участия Кыргызской Республики в рамках многосторонней торговой системы</t>
  </si>
  <si>
    <t>Подтверждение соответствия КЦА на соответствие ИСО/МЭК 17011</t>
  </si>
  <si>
    <t xml:space="preserve">Повышение уровня гармонизации национальных стандартов с международными и европейчкими нормами и защита интересов государства и граждан от последствий недостоверных результатов измерений </t>
  </si>
  <si>
    <t xml:space="preserve">Управление объектами государственного имущества и систематизированный учет объектов государственной собственности ;   </t>
  </si>
  <si>
    <t xml:space="preserve">Предоставление государственного имущества в аренду путем проведения электронных аукционов и торгов    </t>
  </si>
  <si>
    <t>Надзор за небанковском  финансовым  рынком</t>
  </si>
  <si>
    <t>Надзор за небанковском  финансовым  рынком на региональном уровне</t>
  </si>
  <si>
    <t>Инициирование и координация проектов государственно-частного партнёрства (ГЧП), распространение механизма ГЧП в КР</t>
  </si>
  <si>
    <t>Развитие халал-индустрии в Кыргызской Республике в части создания условий для производства и экспорта конкурентоспособной сельскохозяйственной продукции и продукции перерабатывающей промышленности на внутреннем и внешнем рынках в соответствии с международными стандартами и требованиями к халал-продукции</t>
  </si>
  <si>
    <r>
      <rPr>
        <b/>
        <sz val="11"/>
        <rFont val="Times New Roman"/>
        <family val="1"/>
        <charset val="204"/>
      </rPr>
      <t xml:space="preserve">Социальная защита лиц с ограниченными возможностями здоровья (ЛОВЗ) и пожилых граждан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пргграммы: Обеспечение равноправного доступа к базовым услугам и создание доступной среды жизнедеятельности для лиц с ограниченными возможностями здоровья в целях эффективной интеграции их в общество</t>
    </r>
  </si>
  <si>
    <r>
      <t xml:space="preserve">Предоставление денежных компенсаций отдельным категориям граждан и социальные гарантии 
</t>
    </r>
    <r>
      <rPr>
        <i/>
        <sz val="11"/>
        <rFont val="Times New Roman"/>
        <family val="1"/>
        <charset val="204"/>
      </rPr>
      <t>Цель программы: Сохранение размера денежных компенсаций 25 категориям граждан на уровне базового года. Обеспечение выплат ежегодных единовременных денежных пособий к 9 мая и ежемесячной пожизненной стипендии ветеранам ВОВ, а также ритуальных пособий</t>
    </r>
  </si>
  <si>
    <r>
      <t xml:space="preserve">Предоставление среднего профессионального образования Академией Государственного управления при Президенте Кыргызской Республики
</t>
    </r>
    <r>
      <rPr>
        <i/>
        <sz val="11"/>
        <color theme="1"/>
        <rFont val="Times New Roman"/>
        <family val="1"/>
        <charset val="204"/>
      </rPr>
      <t>Цель программы: Подготовка кадров с средне-профессиональным образованием в соответствии с потребностями рынка труда</t>
    </r>
  </si>
  <si>
    <t>Показатель  младенческой смертности на 1000 живорожденных</t>
  </si>
  <si>
    <t xml:space="preserve"> случаев на 1000 живорожденных</t>
  </si>
  <si>
    <t xml:space="preserve">Показатель неонатальной смертности (ЦУР) </t>
  </si>
  <si>
    <t xml:space="preserve">Смертность детей в возрасте до пяти лет </t>
  </si>
  <si>
    <t>Смертность от болезней системы кровообращения</t>
  </si>
  <si>
    <t>на 100 тыс.населения</t>
  </si>
  <si>
    <t xml:space="preserve">Индекс доверия населения </t>
  </si>
  <si>
    <t>≤ 5</t>
  </si>
  <si>
    <t xml:space="preserve">Количество ОЗ в которых внедрено электронное здравоохранение </t>
  </si>
  <si>
    <t>процент</t>
  </si>
  <si>
    <t xml:space="preserve">Профилактические меры по обеспечению безопасности здоровья человека(пищевой продукции, воды, воздуха в помещениях, радиационного фона) </t>
  </si>
  <si>
    <t>Аккредитация  лабораторий по ISO 17025, ISO 15189-2009 (всего 49 лабораторий)</t>
  </si>
  <si>
    <t>Заболеваемость бруцелезом</t>
  </si>
  <si>
    <t>Заболеваемость населения вирусными гепатитами</t>
  </si>
  <si>
    <t>Заболеваемость острыми кишечными инфекциями</t>
  </si>
  <si>
    <t>Политика и имунизация населения</t>
  </si>
  <si>
    <t>Доля детей до 2 лет, охваченных  вакцинным комплексом</t>
  </si>
  <si>
    <t>Процент</t>
  </si>
  <si>
    <t>&gt;95</t>
  </si>
  <si>
    <t>&gt;96</t>
  </si>
  <si>
    <t>Доля вакцинированных лиц по эпидемиологическим  показаниям для предотвращения особо опасных и карантинных инфекций (от бешенства, чумы, клещевого вирусного энцефалита)</t>
  </si>
  <si>
    <t>&gt;90</t>
  </si>
  <si>
    <t>Информационная работа с населением по вопросам укрепления здоровья</t>
  </si>
  <si>
    <t>Количество приоритетных заболеваний, охваченных информационными кампаниями.</t>
  </si>
  <si>
    <t>количество</t>
  </si>
  <si>
    <t>Количество выездов КУЗ в 1600 сел для обучения СКЗ в год</t>
  </si>
  <si>
    <t>Раз</t>
  </si>
  <si>
    <t>Профилактика, диагностика, лечение и уход при ВИЧ-инфекции</t>
  </si>
  <si>
    <t xml:space="preserve">Число новых случаев ВИЧ </t>
  </si>
  <si>
    <t xml:space="preserve">на 100 тыс. населения </t>
  </si>
  <si>
    <t>Доля беременных женщин, прошедших полное консультирование и тестирование на ВИЧ-инфекцию и знающих свои результаты</t>
  </si>
  <si>
    <t>Доля ЛЖВ, знающих свой статус и получающих АРТ</t>
  </si>
  <si>
    <t>Предоставление комплексного пакета услуг в рамках осуществления Государственного социального заказа</t>
  </si>
  <si>
    <t xml:space="preserve">Количество предстовителей ключевых групп населения (Лица, употребляющие наркотики, секс работники, мужчины, имеющие секс с мужчинами, люди, живущие с ВИЧ) получивщих комплексный пакет профилактических услуг в связи с ВИЧ  . </t>
  </si>
  <si>
    <t>Профилактические меры по санитарной охране и обеспечение эпидемиологического и зоо-энтомологического надзора в природно-очаговых территориях страны</t>
  </si>
  <si>
    <t>Площадь обработанных территорий  в природно-очаговых зонах от чумы.</t>
  </si>
  <si>
    <t>т/га</t>
  </si>
  <si>
    <t xml:space="preserve"> Обеспечение  контроля качества   лабороторной диагностики социально-значимых инфекционных заболеваний</t>
  </si>
  <si>
    <t>Заболеваемость туберкулезом в год</t>
  </si>
  <si>
    <t>Закупка туберкулина для диагностики туберкулеза</t>
  </si>
  <si>
    <t>тыс. доз</t>
  </si>
  <si>
    <t>Доля организаций здравоохранения, внедривших электронные медицинские карты пациента на всех уровнях здравоохранения</t>
  </si>
  <si>
    <t xml:space="preserve">Доля населения, использующие онлайн-сервисы при обращении за услугами здравоохранения </t>
  </si>
  <si>
    <t>Раннее выявление больных с сахарным диабетом</t>
  </si>
  <si>
    <t>Количество зарегистрированных с сахарным диабетом</t>
  </si>
  <si>
    <t>Охват  инсулинами больных с сахарным диабетом</t>
  </si>
  <si>
    <t>Человек</t>
  </si>
  <si>
    <t>Повышения уровня информированности и потенциала организация здравоохранения по воппросам обращения лекарственнных средств</t>
  </si>
  <si>
    <t>Количество проведённых мероприятий по информированности специалистов организаций здравоохранения</t>
  </si>
  <si>
    <t>Количество обученных специалистов организаций здравоохранения по вопросам обращения лекарственных средств и медицинских изделий</t>
  </si>
  <si>
    <t>Заготовка компонентов и препаратов крови</t>
  </si>
  <si>
    <t>Объем заготовленных компонентов и препаратов крови</t>
  </si>
  <si>
    <t>Литр</t>
  </si>
  <si>
    <t>Профилактика, диагностика, лечение и уход при неинфекционных заболеваниях</t>
  </si>
  <si>
    <t>Количество больных, обеспеченных инсулинами.</t>
  </si>
  <si>
    <t>Увеличение финансирования для приобретения антигемофильных препаратов, охват, количество нуждающихся</t>
  </si>
  <si>
    <t>Доля  больных с онкологическими заболеваниями, которым предоставляются химиопрепараты</t>
  </si>
  <si>
    <t>Доля детей с онкологическими заболеваниями охваченные химиопрепаратами</t>
  </si>
  <si>
    <t>Доля больных, охваченных имуносупрессорами</t>
  </si>
  <si>
    <t>Доля женщин из медико-социальной группы риска, использующих внутриматочную спираль</t>
  </si>
  <si>
    <t>Доля беременных, вставших на учет в первые 12 недель беременности</t>
  </si>
  <si>
    <t xml:space="preserve">Распространенность анемии </t>
  </si>
  <si>
    <t>На 100 тыс.человек</t>
  </si>
  <si>
    <t>Восстановление здоровья населения и интеграция в обществе</t>
  </si>
  <si>
    <t>Количество пациентов, получивших  реабилитационную помощь</t>
  </si>
  <si>
    <t>Предоставление дорогостоящей и высокотехнологичной помощи, а также сопроводительных и консультативных мероприятий (ЦМ и ФВТ)</t>
  </si>
  <si>
    <t>Количество пациентов,  получающих дорогостоящую и высокотехнологичной помощи в рамках программы ФВТ ( эндопротезы, клапаны сердца, стенды, оклюдеры,оксигинираторы, сосудистые протезы)</t>
  </si>
  <si>
    <t>Организация судебно-медицинских экспертиз</t>
  </si>
  <si>
    <t>Количество проведенных судебно-медицинских экспертиз в отношении  умерших   лиц от количества запросов</t>
  </si>
  <si>
    <t>Улучшение системы управления кадровыми ресурсами в здравоохранении на основе межведомственного и межсекторального взаимодействия.</t>
  </si>
  <si>
    <t xml:space="preserve">Количество сертифицированных семейных врачей </t>
  </si>
  <si>
    <t>на 10 тыс.населения</t>
  </si>
  <si>
    <t>Количество врачей включенных в программу по дополнительному стимулированию врачей, работающих в отдаленных регионах сельской местности и малых городах</t>
  </si>
  <si>
    <t>Подготовка специалистов с высшим медицинским образованием</t>
  </si>
  <si>
    <t>Количество выпускников КГМА подготовленных за счет республиканского бюджета на додипломном уровне</t>
  </si>
  <si>
    <t>Количество выпускников КГМА  подготовленных за счет республиканского бюджета на последипломном уровне</t>
  </si>
  <si>
    <t>Повышение квалификации работников в сфере здравоохранения</t>
  </si>
  <si>
    <t>Количество специалистов,  прошедших переподготовку и повышение квалификаций за счет республиканского бюджета КГМИПиПК</t>
  </si>
  <si>
    <t>Количество выпускников  КГМИПиПК, подготовленных за счет республиканского бюджета на последипломном уровне</t>
  </si>
  <si>
    <t>Развитие сестринского образования в соответствии с новыми требованиями и потребностями здравоохранения</t>
  </si>
  <si>
    <t>Количество выпускников медколледжей, подготовленных за счет республиканского бюджета</t>
  </si>
  <si>
    <t>1180</t>
  </si>
  <si>
    <t>1179</t>
  </si>
  <si>
    <t>Улучшение инфраструктуры (ПГИ)</t>
  </si>
  <si>
    <t xml:space="preserve">ВСЕГО контрольные цифры </t>
  </si>
  <si>
    <t>43. Министерство транспорта и коммуникаций Кыргызской Республики</t>
  </si>
  <si>
    <t>Цели программы: Координирующее и организационное воздействие на реализацию других программ и обеспечение,достижение поставленных задач</t>
  </si>
  <si>
    <t>Доля дорог, соответствующих нормативным требованиям</t>
  </si>
  <si>
    <t xml:space="preserve">Цель программы: Содержание инфраструктуры внутренней сети дорог в должном состоянии в соответствии со стандартами </t>
  </si>
  <si>
    <t xml:space="preserve">Общая протяженность дорог/ дороги соответствующие  нормативным требованиям </t>
  </si>
  <si>
    <t>18942,2/11242,8</t>
  </si>
  <si>
    <t>18942,2/11642,8</t>
  </si>
  <si>
    <t>18942,2/12042,8</t>
  </si>
  <si>
    <t>Отремонтированные дороги, мосты к общей потребности (отремонтировано к потребной протяженности, к общему количеству)</t>
  </si>
  <si>
    <t>шт./%</t>
  </si>
  <si>
    <t>15/100</t>
  </si>
  <si>
    <t>5/100</t>
  </si>
  <si>
    <t>факт к потребности,%</t>
  </si>
  <si>
    <t>7/7</t>
  </si>
  <si>
    <t>7/9</t>
  </si>
  <si>
    <t>19/1/5,5</t>
  </si>
  <si>
    <t>19,5/1/5</t>
  </si>
  <si>
    <t>20,5/1/5</t>
  </si>
  <si>
    <t>70/100</t>
  </si>
  <si>
    <t>3,3</t>
  </si>
  <si>
    <t>3,6</t>
  </si>
  <si>
    <t>3,8</t>
  </si>
  <si>
    <t>205/100</t>
  </si>
  <si>
    <t>Количество установленных  дорожных знаков к потребности</t>
  </si>
  <si>
    <t>Доля установленных светофоров от общего количества потребности</t>
  </si>
  <si>
    <t>Доля покрытия потребности</t>
  </si>
  <si>
    <t>Покрытие потребности в технике</t>
  </si>
  <si>
    <t>Общая протяженность международных транспортных коридоров</t>
  </si>
  <si>
    <t>Протяженность завершенных  дорог</t>
  </si>
  <si>
    <t xml:space="preserve">Цель программы: Повышение интегрированности в мировую экономическую систему, обеспечение доступа населения и экономических субъектов республики к региональным рынкам товаров и услуг, развитие транзитного потенциала.                                                                              </t>
  </si>
  <si>
    <t xml:space="preserve">Протяженность (км)/доля дорог, от общей длины международных транспортных коридоров </t>
  </si>
  <si>
    <t>Общая протяженность международных транспортных корридоров</t>
  </si>
  <si>
    <t>Протяженность завершенных дорог (нараст. итог)</t>
  </si>
  <si>
    <t>Протяженность (км)/доля дорог, от общей длины международного транспортного коридора (фактич. год)</t>
  </si>
  <si>
    <t>Протяженность (км)/доля дорог, от общей длины международного транспортного коридора Ош - Баткен - Исфана</t>
  </si>
  <si>
    <t xml:space="preserve">км </t>
  </si>
  <si>
    <t>Протяженность (км)/доля дорог, от общей длины международного транспортного коридора Бишкек - Ош</t>
  </si>
  <si>
    <t>Строительство галереи</t>
  </si>
  <si>
    <t>% освоения</t>
  </si>
  <si>
    <t>Исключение  ДТП  связанных со сходом  лавин</t>
  </si>
  <si>
    <t>Протяженность (км)/доля дорог, от общей длины международного транспортного коридора Север - Юг</t>
  </si>
  <si>
    <t>199</t>
  </si>
  <si>
    <t xml:space="preserve">Протяженность (км)/доля дорог, от общей длины международного транспортного коридора (Тараз-Талас-Суусамыр) </t>
  </si>
  <si>
    <t>Доля выполненных строительных работ от общей</t>
  </si>
  <si>
    <t xml:space="preserve">Обеспечение безопасного проезда через р.Урмарал, путем реконструкции существующего моста </t>
  </si>
  <si>
    <t>Общая протяженность проектного участка</t>
  </si>
  <si>
    <t>Протяженность завершенных  дорог (нараст. итог)</t>
  </si>
  <si>
    <t>Протяженность (км)/доля дорог, от общей длины международного транспортного коридора Иссык-Кульской кольцевой дороги</t>
  </si>
  <si>
    <t>Протяженность (км)/доля дорог, от общей длины международного транспортного коридора Тюп- Кеген</t>
  </si>
  <si>
    <t>Рамочная программа Зеленые города 2 (Окно 2: Бишкекские автобусы)</t>
  </si>
  <si>
    <t xml:space="preserve">Проект электрификации городского транспорта </t>
  </si>
  <si>
    <t>Обеспечение регулярным пассажирским сообщением населенных пунктов Кыргызской Республики</t>
  </si>
  <si>
    <t>Обеспечение потребности  регулярными пассажирскими перевозками населения воздушным транспортом внутри республики</t>
  </si>
  <si>
    <t>Цель программы: Обеспечение качества и безопасности предоставляемых транспортных услуг,сохранность автомобильных дорог и развитие рынка авиаперевозок.</t>
  </si>
  <si>
    <t>Международные грузоперевозки на автомобильнои транспорте</t>
  </si>
  <si>
    <t>рейс/млн.тонн</t>
  </si>
  <si>
    <t>170139/2,6</t>
  </si>
  <si>
    <t>180140/2,7</t>
  </si>
  <si>
    <t>190140/2,9</t>
  </si>
  <si>
    <t>200000/3,0</t>
  </si>
  <si>
    <t>210000/3,2</t>
  </si>
  <si>
    <t>55. Министерство энергетики  Кыргызской Республики</t>
  </si>
  <si>
    <t>Снижение дефицита денежных средств в энергосекторе</t>
  </si>
  <si>
    <t>Установление тарифов на электрическую энергию</t>
  </si>
  <si>
    <t>Установление тарифов на тепловую энергию</t>
  </si>
  <si>
    <t>Установление тарифов на газ</t>
  </si>
  <si>
    <t>Осуществление контроля соблюдения законодательства в секторе энергетики</t>
  </si>
  <si>
    <t xml:space="preserve">Проведено проверок лицензиатов от их общего количества </t>
  </si>
  <si>
    <t>Снижение количества смертельных случаев, по контролируемым видам рисков</t>
  </si>
  <si>
    <t>Обеспечение промышленной безопасности</t>
  </si>
  <si>
    <t>Количество инцидентов связанных с нарушением технологий  и норм (аварийные отключения)</t>
  </si>
  <si>
    <t>Осуществление горного надзора и рационального использования недр</t>
  </si>
  <si>
    <t>Общее количество проверок</t>
  </si>
  <si>
    <t>Количество нарушений связанных с лицензионными соглашениями</t>
  </si>
  <si>
    <t>Административный блок</t>
  </si>
  <si>
    <t>Обеспечение безопасности в энергосистеме</t>
  </si>
  <si>
    <t>Доля снижения электротравматизма на предприятиях ТЭК</t>
  </si>
  <si>
    <t>Повышение надежности и эффективности функционирования технических средств топливно- энергетического комплекса</t>
  </si>
  <si>
    <t>Разработка практических рекомендаций по повышению надежности и эффективности функционирования электротехнического оборудования</t>
  </si>
  <si>
    <t>кол. отчет</t>
  </si>
  <si>
    <t xml:space="preserve">1 отчет </t>
  </si>
  <si>
    <t xml:space="preserve"> Проведение энергетического обследования эффективности использования электроэнергии в бюджетных организациях</t>
  </si>
  <si>
    <t>Разработка методики потребления электрической, тепловой энергии и природного газа</t>
  </si>
  <si>
    <t>Рост объема производства электроэнергии к базовому году</t>
  </si>
  <si>
    <t>15,3 млрд Квт</t>
  </si>
  <si>
    <t>Реконструкция Атбашинской ГЭС (Швейцария) (грант)</t>
  </si>
  <si>
    <t>Реконструкция ГЭС, ввод гидроагрегатов</t>
  </si>
  <si>
    <t>единиц</t>
  </si>
  <si>
    <t>генератор 3 шт</t>
  </si>
  <si>
    <t>2 гидроагрегата</t>
  </si>
  <si>
    <t>1 гидроагрегат</t>
  </si>
  <si>
    <t xml:space="preserve">Проект CASA-1000 </t>
  </si>
  <si>
    <t xml:space="preserve">Начало строительства ЛЭП 500 кВ  </t>
  </si>
  <si>
    <t>ПИР-3</t>
  </si>
  <si>
    <t>ЛЭП 500кВт ПС Датка до границы КР-РТ, протяж. 455,6 км,1241 кмп. Фунд., 1241 шт. опор, яч.500кВ на ПС Датка</t>
  </si>
  <si>
    <t>Улучшение электроснабжения Аркинского массива Лейлекского района (ИБР) (кредит)</t>
  </si>
  <si>
    <t>Строительство ЛЭП 110 кВ и ПС 110 кВ, реконструкция ПС 110 кВ</t>
  </si>
  <si>
    <t>ЛЭП 51 км ПС 2 шт</t>
  </si>
  <si>
    <t xml:space="preserve">Ввод в эксплуатацию второго гидроагрегата Камбаратинской ГЭС-2 </t>
  </si>
  <si>
    <t>Установка гидроагрегата мощностью 120 МВт и строительство ОРУ-500кВ</t>
  </si>
  <si>
    <t>Завершение осн. работ запланировано на 2025 год</t>
  </si>
  <si>
    <t>Вторая и третья фазы реабилитации Токтогульской ГЭС</t>
  </si>
  <si>
    <t>Замена 2-х  гидроагрегатов (4 и 2), затворов и гидромеханического оборудования</t>
  </si>
  <si>
    <t xml:space="preserve">Замена 4 агрегата,реабил.турбинного провода ГА № 4 </t>
  </si>
  <si>
    <t xml:space="preserve">Замена 2 агрегата,реабил.турбинного провода ГА № 4 </t>
  </si>
  <si>
    <t>Индивидуальные тепловые пункты (ИТП) и запасные части к уже существующим ИТП</t>
  </si>
  <si>
    <t>ед. ИТП</t>
  </si>
  <si>
    <t>231 новых ИТП 1825 комплектов зап. частей для действ. ИТП</t>
  </si>
  <si>
    <t>Узлы учета тепла</t>
  </si>
  <si>
    <t>ед. приб. Учета</t>
  </si>
  <si>
    <t>2210 шт. новых комплектов</t>
  </si>
  <si>
    <t>Замена и реконструкция магистральной тепловой сети "Восток" (ПК-пусковой комплекс)</t>
  </si>
  <si>
    <t>м/км</t>
  </si>
  <si>
    <t>ПК-I -326 м; ПК-III-1,2 км; ПК-IV-745 м</t>
  </si>
  <si>
    <t>27242,34</t>
  </si>
  <si>
    <t>Сокращение потерь ОАО "Востокэлектро". Внедрение систем АСКУЭ</t>
  </si>
  <si>
    <t xml:space="preserve">АСКУЭ тыс. штук , СИП кабели </t>
  </si>
  <si>
    <t>30 тыс. счетчиков АСКУЭ, 200 км СИП</t>
  </si>
  <si>
    <t>18 тыс. счетчиков АСКУЭ, 200 км СИП</t>
  </si>
  <si>
    <t>15 тыс. счетчиков АСКУЭ, 160 км СИП</t>
  </si>
  <si>
    <t>19934,9</t>
  </si>
  <si>
    <t>Сокращение потерь ОАО "Ошэлектро". Внедрение систем АСКУЭ</t>
  </si>
  <si>
    <t>АСКУЭ тыс. штук, СИП кабель</t>
  </si>
  <si>
    <t>АСКУЭ 18,0 тыс. In СИП 122,64 км</t>
  </si>
  <si>
    <t>АСКУЭ 18,324 тыс. шт СИП 286,16 км</t>
  </si>
  <si>
    <t>Модернизация Учкурганской ГЭС</t>
  </si>
  <si>
    <t>1367514,12</t>
  </si>
  <si>
    <t>Замена гидромеханического оборудования (ГЭМ) оборудования и гидротехнических сооружений (ГТС)</t>
  </si>
  <si>
    <t>подписание контракта с подрядчиком</t>
  </si>
  <si>
    <t>Проектирование и изготовление осн. оборуд.</t>
  </si>
  <si>
    <t>Поставка и замена генератора и ГА № 4</t>
  </si>
  <si>
    <t>Поставка и замена генератора и ГА № 3</t>
  </si>
  <si>
    <t>1407063,7</t>
  </si>
  <si>
    <t>Динамика роста обеспечения абонентов центральным отплением</t>
  </si>
  <si>
    <t>100 (45476)</t>
  </si>
  <si>
    <t>Выработка и реализация тепловой энергии населению</t>
  </si>
  <si>
    <t>Потери тепловой энергии на 1 км тепловых сетей</t>
  </si>
  <si>
    <t>Гкал</t>
  </si>
  <si>
    <t>Уд расход топлива на выработку 1 Гкал тепловой энрегии</t>
  </si>
  <si>
    <t>уголь кг/Гкал</t>
  </si>
  <si>
    <t>мазут кг/Гкал</t>
  </si>
  <si>
    <t>газ ,м3</t>
  </si>
  <si>
    <t>эл.эн., кВ/ч</t>
  </si>
  <si>
    <t>Удовлетворение потребностей жителей с.Мин-Куш в качественных услугах по тепловодоснабжению и водоотведению с наименьшими  затратами</t>
  </si>
  <si>
    <t>Проведение саночистки и благоустройство с. Мин-Куш к базовому году</t>
  </si>
  <si>
    <t>100 (59,5 тонн)</t>
  </si>
  <si>
    <t xml:space="preserve">Обеспечение экологической безопасности населения </t>
  </si>
  <si>
    <t>Динамика роста дезактивации загрязненного белья радиоактивными веществами к базовому году</t>
  </si>
  <si>
    <t>100 (18154 кг)</t>
  </si>
  <si>
    <t xml:space="preserve">Управление и администрирование                                                                                                        </t>
  </si>
  <si>
    <t>Поддержание автомобильных дорог общего пользования в рабочем состоянии</t>
  </si>
  <si>
    <t xml:space="preserve">Подготовка проектно - изыскательских работ и экспертизы для ремонтных работ </t>
  </si>
  <si>
    <t>Капитальный ремонт (строительство мостов и дорог)</t>
  </si>
  <si>
    <t>Средний  ремонт (асфальтобетонные покрытия, ШПО, черногравийные покрытия, гравийные покрытия)</t>
  </si>
  <si>
    <t>Текущий ремонт (ямочный ремонт, профилировка, планировка и т.д.)</t>
  </si>
  <si>
    <t>Зимнее и летнее содержание автомобильных дорог</t>
  </si>
  <si>
    <t>Разметка проезжей части, установка дорожных знаков и светофоров.</t>
  </si>
  <si>
    <t>Административные расходы на содержание автомобильных дорог (ЗП и содержание АУП, ТОП и МОП)</t>
  </si>
  <si>
    <t>Приобретение техники</t>
  </si>
  <si>
    <t>Реабилитация международных транспортных коридоров восточного направления (Бишкек-Нарын-Торугарт)</t>
  </si>
  <si>
    <t>Реабилитация международных транспортных коридоров западного направления (Ош-Баткен-Исфана)</t>
  </si>
  <si>
    <t>Реабилитация международных транспортных коридоров западного направления (Бишкек-Ош)</t>
  </si>
  <si>
    <t>Проект "Противолавинная защита автодороги Бишкек-Ош" (JICA) (Грант) ВБ</t>
  </si>
  <si>
    <t>Реабилитация международных транспортных коридоров (Север-Юг)</t>
  </si>
  <si>
    <t xml:space="preserve">Реабилитация международных транспортных коридоров западного направления (Тараз-Талас-Суусамыр) </t>
  </si>
  <si>
    <t>Реабилитация международных транспортных коридоров восточного направления (Реконструкция Иссык-Кульской кольцевой автодороги)</t>
  </si>
  <si>
    <t xml:space="preserve">Реабилитация международных транспортных коридоров восточного направления. (Третья фаза  Проект по улучшению дорожных путей сообщения в Центральной Азии ( уч.Туп-Кеген км 39 -76  и развитие туризма) </t>
  </si>
  <si>
    <t xml:space="preserve">Развитие транспортной отрасли в Кыргызской Республике  </t>
  </si>
  <si>
    <t xml:space="preserve">Управление и админстрирование  </t>
  </si>
  <si>
    <t>Обеспечение организационно-технической   деятельности министерства , а также обучение и повышение квалификации сотрудников</t>
  </si>
  <si>
    <t>Обеспечение финансового менеджмента и учета в соответствии с передовыми практиками, правовая поддержка и экспертиза.</t>
  </si>
  <si>
    <r>
      <t xml:space="preserve">Планирование, управление и администрирование
</t>
    </r>
    <r>
      <rPr>
        <i/>
        <sz val="11"/>
        <rFont val="Times New Roman"/>
        <family val="1"/>
        <charset val="204"/>
      </rPr>
      <t>Цель программы: Координация и организация для обеспечения эффективной реализации бюджетных программ, включенных в настоящую стратегию</t>
    </r>
  </si>
  <si>
    <t>99</t>
  </si>
  <si>
    <t xml:space="preserve">Организация охраны здоровья матери и ребенка 
</t>
  </si>
  <si>
    <t>Управление и администрование на центральном уровне</t>
  </si>
  <si>
    <r>
      <t xml:space="preserve">Дошкольное образование и предшкольная подготовка 
</t>
    </r>
    <r>
      <rPr>
        <i/>
        <sz val="11"/>
        <color theme="1"/>
        <rFont val="Times New Roman"/>
        <family val="1"/>
        <charset val="204"/>
      </rPr>
      <t>Цель программы: Расширение доступа к качественному дошкольному образованию и программам раннего развития детей</t>
    </r>
  </si>
  <si>
    <r>
      <t xml:space="preserve">Школьное образование. 
</t>
    </r>
    <r>
      <rPr>
        <i/>
        <sz val="11"/>
        <color theme="1"/>
        <rFont val="Times New Roman"/>
        <family val="1"/>
        <charset val="204"/>
      </rPr>
      <t>Цель программы: Повышение качества, соответствующего требованиям развивающей экономики и сохранение широкого доступа школьного образования</t>
    </r>
  </si>
  <si>
    <r>
      <t xml:space="preserve">Начальное и среднее профессиональное образование 
</t>
    </r>
    <r>
      <rPr>
        <i/>
        <sz val="11"/>
        <color theme="1"/>
        <rFont val="Times New Roman"/>
        <family val="1"/>
        <charset val="204"/>
      </rPr>
      <t>Цель программы: Создание новой системы профессионального образования, отвечающего требованиям рынка труда, общества и государства.</t>
    </r>
  </si>
  <si>
    <r>
      <t xml:space="preserve">Высшее профессиональное образование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качества образования в соответствии с международными стандартами и изменяющимися требованиями к навыкам и знаниям выпускников.</t>
    </r>
  </si>
  <si>
    <r>
      <t xml:space="preserve">Государственная поддержка прикладных исследований и разработак 
</t>
    </r>
    <r>
      <rPr>
        <i/>
        <sz val="11"/>
        <color theme="1"/>
        <rFont val="Times New Roman"/>
        <family val="1"/>
        <charset val="204"/>
      </rPr>
      <t xml:space="preserve">Цель программы: Развитие прикладной (вузовской) науки и повышение качества вузовской науки, увеличение в вузах количества НИР, направленных на получение практического применения.   </t>
    </r>
  </si>
  <si>
    <r>
      <rPr>
        <b/>
        <sz val="11"/>
        <rFont val="Times New Roman"/>
        <family val="1"/>
        <charset val="204"/>
      </rPr>
      <t xml:space="preserve">Управление и администрирование     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</si>
  <si>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rPr>
        <b/>
        <sz val="11"/>
        <rFont val="Times New Roman"/>
        <family val="1"/>
        <charset val="204"/>
      </rPr>
      <t>Общественное здравоохранение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Создание устойчивой службы общественного здравоохранения, основанной на интеграции программ профилактики заболеваний и укрепления здоровья, широком межсекторальном взаимодействии и активном участии общества в вопросах охраны и укрепления здоровья</t>
    </r>
  </si>
  <si>
    <r>
      <t xml:space="preserve">Организация предоставления услуг здравоохранения 
</t>
    </r>
    <r>
      <rPr>
        <i/>
        <sz val="11"/>
        <rFont val="Times New Roman"/>
        <family val="1"/>
        <charset val="204"/>
      </rPr>
      <t>Цель программы: Улучшение качества предоставления медицинских услуг для всех групп населения и повышение доступности населения республики к высокотехнологичныхм методовам лечения для населения.</t>
    </r>
  </si>
  <si>
    <r>
      <rPr>
        <sz val="11"/>
        <color rgb="FFC00000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процент</t>
    </r>
  </si>
  <si>
    <r>
      <rPr>
        <sz val="11"/>
        <color theme="1"/>
        <rFont val="Times New Roman"/>
        <family val="1"/>
        <charset val="204"/>
      </rPr>
      <t xml:space="preserve">Уровень абортов на 1000 женщин репродуктивного возраста   </t>
    </r>
    <r>
      <rPr>
        <sz val="10"/>
        <color rgb="FFFF0000"/>
        <rFont val="Times New Roman"/>
        <family val="1"/>
        <charset val="204"/>
      </rPr>
      <t/>
    </r>
  </si>
  <si>
    <r>
      <t xml:space="preserve">Управление и администрирование                                   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</si>
  <si>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Государственная поддержка и развитие  животноводства                                                               </t>
    </r>
    <r>
      <rPr>
        <i/>
        <sz val="11"/>
        <rFont val="Times New Roman"/>
        <family val="1"/>
        <charset val="204"/>
      </rPr>
      <t>Цель программы:  Обеспечение удовлетворения потребностей населения в продуктах животноводства путем организации устойчивого функционирования и развития животноводческого комплекса в сельском хозяйстве страны</t>
    </r>
  </si>
  <si>
    <r>
      <t xml:space="preserve">Государственная поддержка и развитие растениеводства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Обеспечение населения и экономики страны качественными и доступными продуктами земледелия, повышение потенциала экспорта продуктов сельского хозяйства</t>
    </r>
  </si>
  <si>
    <r>
      <t xml:space="preserve">Обеспечение ветеринарной и фитосанитарной безопастности и охраны здоровья животных.                                         </t>
    </r>
    <r>
      <rPr>
        <i/>
        <sz val="11"/>
        <rFont val="Times New Roman"/>
        <family val="1"/>
        <charset val="204"/>
      </rPr>
      <t>Цель программы: Улучшение статуса здоровья животных страны и безопасности продуктов животноводства, улучшение ветеринарного здоровья и повышение конкурентоспособности сектора животноводства</t>
    </r>
  </si>
  <si>
    <r>
      <t xml:space="preserve">Господдержка и развитие государственного ирригационного фонда и мелиорации.
</t>
    </r>
    <r>
      <rPr>
        <i/>
        <sz val="11"/>
        <rFont val="Times New Roman"/>
        <family val="1"/>
        <charset val="204"/>
      </rPr>
      <t xml:space="preserve">Цель программы:Обеспечение поливной водой сельхозпроизводителей для получения гарантированных урожаев сельскохозяйственных культур </t>
    </r>
  </si>
  <si>
    <r>
      <t xml:space="preserve">Государственная поддержка и развитие земельных ресурсов.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Обеспечение рационального и эффективного использования земельных ресурсов в устойчивом развитии сельского хозяйства  </t>
    </r>
    <r>
      <rPr>
        <b/>
        <i/>
        <sz val="11"/>
        <rFont val="Times New Roman"/>
        <family val="1"/>
        <charset val="204"/>
      </rPr>
      <t xml:space="preserve">        </t>
    </r>
    <r>
      <rPr>
        <b/>
        <sz val="11"/>
        <rFont val="Times New Roman"/>
        <family val="1"/>
        <charset val="204"/>
      </rPr>
      <t xml:space="preserve">                                                                        </t>
    </r>
  </si>
  <si>
    <r>
      <t xml:space="preserve">Управление, обеспечение сохранения и развития лесных ресурсов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 Устойчивое управление лесами для обеспечения экономического благосостояния народа, социального благополучия, экологической безопасности и благоприятной среды для жизни граждан Кыргызской Республики </t>
    </r>
  </si>
  <si>
    <r>
      <rPr>
        <b/>
        <sz val="11"/>
        <color theme="1"/>
        <rFont val="Times New Roman"/>
        <family val="1"/>
        <charset val="204"/>
      </rPr>
      <t xml:space="preserve">Проекты государственных инвестиций   энергетического сектора  </t>
    </r>
    <r>
      <rPr>
        <sz val="11"/>
        <color theme="1"/>
        <rFont val="Times New Roman"/>
        <family val="1"/>
        <charset val="204"/>
      </rPr>
      <t xml:space="preserve">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Реализация государственной политики в  энергетической сфере</t>
    </r>
  </si>
  <si>
    <t>0
111                                 
0</t>
  </si>
  <si>
    <t>Всего:
32648           
19018                   
8049                      
5581         
388 945 321 сом</t>
  </si>
  <si>
    <t>Всего:
16402        
8170                    
5210                          
3022                    
332 291 628 сом</t>
  </si>
  <si>
    <t>Всего: 
7544                                                                      
4124                                                         
1892                                    
1528                  
56 653 693 сом</t>
  </si>
  <si>
    <t xml:space="preserve">Всего:  
8702         
6724                      
947                   
1031             </t>
  </si>
  <si>
    <t>Всего: 
36                                          
5                                  
18                           
5                                     
8                                      
0</t>
  </si>
  <si>
    <t xml:space="preserve">Всего:
53766               
473                         
44975                        
159                        
7386                        
494                                
245                                  
34 </t>
  </si>
  <si>
    <t xml:space="preserve">Всего:
49366               
428                         
42142                        
148                         
5951                        
453                                
222                                   
22 </t>
  </si>
  <si>
    <t>31                               
1511                     
6                          
786                           
29                            
21                             
0</t>
  </si>
  <si>
    <t>33                               
2689                     
9                          
1118                             
29                            
21                             0</t>
  </si>
  <si>
    <t>Всего:
3899          
33                               
2689                     
9                          
1118                             
29                            
21                             
0</t>
  </si>
  <si>
    <t>Всего:
501                   
12                            
144                           
2                              
317                            
12                             
2                               
12</t>
  </si>
  <si>
    <t xml:space="preserve">Всего:
15409        
10208                       
2818                           
1034                        
684                       
665                        
45 850 555                       </t>
  </si>
  <si>
    <t xml:space="preserve">Всего:
13441          
8390                    
2818                    
934                           
634                   665              </t>
  </si>
  <si>
    <t xml:space="preserve">Всего:
1968              
1818                   
100                          
50                           
0                            
45 850 555             </t>
  </si>
  <si>
    <t>Всего: 
113                                                                               
41                                           
10                                             
62</t>
  </si>
  <si>
    <t>Всего: 139 490, 
в т.ч. преступ. - 78254                                      
проступ. - 
61 236</t>
  </si>
  <si>
    <t>Антимонопольное администрирование на центральном уровне</t>
  </si>
  <si>
    <t>29 Институт исследований экономической политики при Кабинете Министров Кыргызской Республики</t>
  </si>
  <si>
    <t xml:space="preserve">41. Министерство сельского хозяйства Кыргызской Республики </t>
  </si>
  <si>
    <t xml:space="preserve">Управление и администрирование </t>
  </si>
  <si>
    <t>ОАО "Майлу-Сууйский ламповый завод"</t>
  </si>
  <si>
    <t>Учреждения, переданные из местного бюджета на республиканский бюджет</t>
  </si>
  <si>
    <t>Код ГРБС</t>
  </si>
  <si>
    <t>Доля архивных документов, переведенных в цифровой формат</t>
  </si>
  <si>
    <r>
      <t xml:space="preserve">Обеспечение доступа населения к качественному правосудию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справедливости, неотвративности и исполнения судебных решений</t>
    </r>
  </si>
  <si>
    <r>
      <t xml:space="preserve">Планирование, управление и администрирование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Конституционной палаты, координация реализации других программ ведомства</t>
    </r>
  </si>
  <si>
    <t>Экспертно-аналитическое, информационное, правовое, протокольное, организационное, документационное обеспечение функционирования деятельности Президента Кыргызской Республики</t>
  </si>
  <si>
    <t>Координация и принятие решений в вопросах делимитации и демаркации государственной границы Кыргызской Республики</t>
  </si>
  <si>
    <t>Обеспечение деятельности Президента Кыргызской Республики, Председателя Кабинета Министров Кыргызской Республики и Администрации Президента Кыргызской Республики</t>
  </si>
  <si>
    <t>Администрация Президента Кыргызской Республики</t>
  </si>
  <si>
    <t>Постоянное хранение и использование документов архивного фонда Президента Кыргызской Республики</t>
  </si>
  <si>
    <t>Транспортное обеспечение  экс-Президента Кыргызской Республики и бывших руководителей Киргизской ССР</t>
  </si>
  <si>
    <t>Доля принятых в архив  новых документов (в общем количестве документов Архивного фонда)</t>
  </si>
  <si>
    <t>Количествово изготовленных наград</t>
  </si>
  <si>
    <t>Обеспечение бесперебойной работы процесса судопроизводства по местным судам Кыргызской Республики и Судебному департаменту</t>
  </si>
  <si>
    <t>Независимый отбор судей Советом по отбору судей Кыргызской Республики</t>
  </si>
  <si>
    <t>Обеспечение деятельности Совета судей Кыргызской Республики и Дисциплинарной комиссии при Совете судей</t>
  </si>
  <si>
    <r>
      <t xml:space="preserve">Повышение эффективности, прозрачности и независимости судебной системы Кыргызской Республики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качественного правосудия в Кыргызской Республики</t>
    </r>
  </si>
  <si>
    <t>Внедрение системы аудио-видеофиксации судебных процессов</t>
  </si>
  <si>
    <t>Количество судов, оснащенных системами аудио-видеофиксации и протоколирования судебных заседаний</t>
  </si>
  <si>
    <r>
      <rPr>
        <b/>
        <sz val="11"/>
        <color theme="1"/>
        <rFont val="Times New Roman"/>
        <family val="1"/>
        <charset val="204"/>
      </rPr>
      <t xml:space="preserve">Создание условий для участников сторон судебных процессов / </t>
    </r>
    <r>
      <rPr>
        <sz val="11"/>
        <color theme="1"/>
        <rFont val="Times New Roman"/>
        <family val="1"/>
        <charset val="204"/>
      </rPr>
      <t xml:space="preserve">количество модернизированных и построенных новых зданий для местных судов Кыргызской Республики, отвечающих утвержденным нормативам для служебных помещений судов </t>
    </r>
  </si>
  <si>
    <r>
      <t xml:space="preserve">Планирование, управление и администрирование       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Судебного департамента, координация реализации других программ ведомства</t>
    </r>
  </si>
  <si>
    <r>
      <t xml:space="preserve">Повышение эффективности, прозрачности и независимости местных судов Кыргызской Республики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доверия к судебной системе Кыргызской Республики</t>
    </r>
  </si>
  <si>
    <r>
      <t xml:space="preserve">Судебно-правовая реформа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условий для реализации прав человека на справедливое правосудие на основе верховенства права в соответствии с международными стандартами</t>
    </r>
  </si>
  <si>
    <t>Реализация мероприятий по аудио-видеофиксации судебных заседаний, реестра лиц, совершивщих преступления, проступки, нарушения</t>
  </si>
  <si>
    <t>Количество судов оснащенных системами аудио-видеофиксации и протоколирования судебных заседаний</t>
  </si>
  <si>
    <t>Развитие и модернизация технической инфраструктуры судов, ПССИ и других субъектов системы Кыргызской Республики</t>
  </si>
  <si>
    <t>Создание единой информационной экосистемы судебной системы Кыргызской Республики "Цифровое правосудие" и интеграция информационных систем судебной системы Кыргызской Республики с другими государственными органами и ведомствами</t>
  </si>
  <si>
    <t>Представление отчета Счетной палаты Кыргызской Республики в Жогорку Кенеше Кыргызской Республики</t>
  </si>
  <si>
    <r>
      <t xml:space="preserve">Управление и администрирование                  </t>
    </r>
    <r>
      <rPr>
        <i/>
        <sz val="11"/>
        <color theme="1"/>
        <rFont val="Times New Roman"/>
        <family val="1"/>
        <charset val="204"/>
      </rPr>
      <t xml:space="preserve">Цель программы: Координирующее и организационное воздействие на реализацию других программ
</t>
    </r>
  </si>
  <si>
    <r>
      <t xml:space="preserve">Проведение государственного аудита
</t>
    </r>
    <r>
      <rPr>
        <i/>
        <sz val="11"/>
        <color theme="1"/>
        <rFont val="Times New Roman"/>
        <family val="1"/>
        <charset val="204"/>
      </rPr>
      <t>Цель программы: Аудит и аудит эффективности</t>
    </r>
  </si>
  <si>
    <r>
      <t xml:space="preserve">Реализация конституционных прав граждан на осуществление власти через участие в референдумах и выборах.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Высокий уровень явки избирателей на референдумах и выборах</t>
    </r>
  </si>
  <si>
    <t>Подведение итогов голосований и определение результата выборов</t>
  </si>
  <si>
    <t>Количество проведенных расследований, количество рассмотренных жалоб, количество возбужденных УД</t>
  </si>
  <si>
    <t>Надзор за законностью издаваемых органами исполнительной власти НПА и исполнением законов</t>
  </si>
  <si>
    <t>Противодействие коррупции. Координация деятельности госорганов по противодействию коррупции</t>
  </si>
  <si>
    <t>Надзор за исполнением законов по защите прав детей</t>
  </si>
  <si>
    <t>Надзор за соблюдением законов органами, осуществляющими оперативно-розыскную деятельность, следствие</t>
  </si>
  <si>
    <r>
      <t>Количество проведенных проверок (</t>
    </r>
    <r>
      <rPr>
        <b/>
        <u/>
        <sz val="11"/>
        <color theme="1"/>
        <rFont val="Times New Roman"/>
        <family val="1"/>
        <charset val="204"/>
      </rPr>
      <t>выявлено нарушений в 2021 году</t>
    </r>
    <r>
      <rPr>
        <b/>
        <sz val="11"/>
        <color theme="1"/>
        <rFont val="Times New Roman"/>
        <family val="1"/>
        <charset val="204"/>
      </rPr>
      <t>): внесенных актов прокур-го реагир-я, наказанных в адм-м, дисц.                                             порядке лиц, сумма возмещенного по актам реагирования ущерба</t>
    </r>
  </si>
  <si>
    <r>
      <t>Количество провед-х проверок (</t>
    </r>
    <r>
      <rPr>
        <u/>
        <sz val="11"/>
        <color theme="1"/>
        <rFont val="Times New Roman"/>
        <family val="1"/>
        <charset val="204"/>
      </rPr>
      <t>выявлено наруше-ний в 2021 году</t>
    </r>
    <r>
      <rPr>
        <sz val="11"/>
        <color theme="1"/>
        <rFont val="Times New Roman"/>
        <family val="1"/>
        <charset val="204"/>
      </rPr>
      <t>), внесенных актов прокурор-ского реагирования,наказанных в адм/м и дисц-м порядке лиц  и сумма возмещенного по актам реагирования ущерба</t>
    </r>
  </si>
  <si>
    <r>
      <t>Количество провед-х проверок (</t>
    </r>
    <r>
      <rPr>
        <u/>
        <sz val="11"/>
        <color theme="1"/>
        <rFont val="Times New Roman"/>
        <family val="1"/>
        <charset val="204"/>
      </rPr>
      <t>выявлено наруше-ний в 2021 году</t>
    </r>
    <r>
      <rPr>
        <sz val="11"/>
        <color theme="1"/>
        <rFont val="Times New Roman"/>
        <family val="1"/>
        <charset val="204"/>
      </rPr>
      <t>), внесенных актов прокурорско-го реагирования, наказанных администр.и дисц. порядке лиц и сумма возмещенного по актам реагирования ущерба</t>
    </r>
  </si>
  <si>
    <r>
      <t>Количество провед-х проверок (</t>
    </r>
    <r>
      <rPr>
        <u/>
        <sz val="11"/>
        <color theme="1"/>
        <rFont val="Times New Roman"/>
        <family val="1"/>
        <charset val="204"/>
      </rPr>
      <t>выявлено наруше-ний в 2021 году</t>
    </r>
    <r>
      <rPr>
        <sz val="11"/>
        <color theme="1"/>
        <rFont val="Times New Roman"/>
        <family val="1"/>
        <charset val="204"/>
      </rPr>
      <t>), внесенных актов прокурорского реагирования, наказанных в администр. дисц. порядке лиц и сумма возмещенного по актам реагирования ущерба</t>
    </r>
  </si>
  <si>
    <t>Количество провед-х проверок, количество провер-х ма-териалов об отказе возбуждении УД, количество выявл-х укрытых преступлений, количество отменен-х необоснов-х решений следов-й, количество внесенных представл-й, количество наказанных в администр-м и дисципл-м порядке лиц, количество должн-х лиц правоохр-х органов, привлеч-х к уголовной ответ-ти</t>
  </si>
  <si>
    <t>Количество провед-х проверок, количество провер-х материалов об отказе возбуждении УД, количество выявл-х укрытых преступлений, количество отменен-х необоснов-х решений следов-й, количество внесенных представл-й, количество наказанных в администр-м и дисципл-м порядке лиц, количество должн-х лиц правоохр-х органов привлеч-х к уголовной ответ-ти</t>
  </si>
  <si>
    <t>Количество провед-х проверок, кол-во провер/х ма-териалов об отказе возбуждении УД, кол-во выявл-х укрытых преступлений, количество отменен-х необоснов-х решений следов-й, количество внесенных представл-й, количество наказанных в администр-м и дисципл-м порядке лиц, количество должн-х лиц правоохр-х органов привлеч.х к уголовной ответ-ти</t>
  </si>
  <si>
    <t xml:space="preserve">Количество принятых участий на судебных процессах. Количество обвинительных приговоров. Количество внесенных аппеляционных, кассационных и надзорных представлений. </t>
  </si>
  <si>
    <t>Количество провед-х проверок, количество провер-х материалов об отказе возбуждения УД, количество выявл-х укрытых преступлений, количество отменен-х необоснов-х решений следов-й, количество внесенных представл-й, количество наказанных в администр-м и дисципл-м порядке лиц, количество должн-х лиц правоохр-х органов, привлеч-х к уголовной ответ-ти</t>
  </si>
  <si>
    <t>Надзор за следствием и оперативно-розыскной деятельностью в  следствии Военной прокуратуры, в органах национальной безопасности</t>
  </si>
  <si>
    <t>Количество принятых участий на судебных процессах. Количество обвинительных приговоров первой инстанции. Количество внесенных представлений. Сумма возмещенного по искам ущерба</t>
  </si>
  <si>
    <t>Количество провед/х проверок по достоверности и формир-ю уголовно-правовой статистики на местах (в.т.ч поднадз.органами), разработка техно-логического программного обеспечения, отвечающее всем требованиям для полноценного функционирования правоохранительных органов и органов прокуратуры</t>
  </si>
  <si>
    <t>Количество провед/х проверок по достоверности и формированию уголовно-правовой статистики на местах (в.т.ч поднадз/ми органами), разработка технологического программного обеспечения, отвечающее всем требованиям для полноценного функционирования правоохр/х органов и органов прокуратуры</t>
  </si>
  <si>
    <t>Количество провед/х проверок по достоверности и формир-ю уголовно-правовой статистики на местах (в.т.ч поднадзорными органами), разработка технологического программного обеспечения, отвечающее всем требованиям для полноценного функц/я правоохр/х органов и органов прокуратуры, количество проведенных проверок по достоверности и формированию уголовно-правовой статистики на местах (в.т.ч поднадзорными органами), разработка технологического программного обеспечения, отвечающее всем требованиям для полноценного функционирования правоохранительных органов и органов прокуратуры</t>
  </si>
  <si>
    <t xml:space="preserve"> Количество проведенных проверок и проведенных занятий, выступлений в средствах информации  на центральном уровне согласно утвержденного плана </t>
  </si>
  <si>
    <t>Предупреждение и раскрытие уголовных дел в Вооруженных силах</t>
  </si>
  <si>
    <t>Защита прав и свобод человека</t>
  </si>
  <si>
    <t xml:space="preserve">Количество гос.регистрации, пере-регистрации и прекращение, апостилирований и нотариальных действий        </t>
  </si>
  <si>
    <t>Количество апостилированных документов</t>
  </si>
  <si>
    <t>Количество государственных нотариальных действий</t>
  </si>
  <si>
    <t>Исправление и переобучение граждан, совершивших правонарушение, а также социальная интеграция осужденных лиц</t>
  </si>
  <si>
    <r>
      <t xml:space="preserve">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</si>
  <si>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Количество проведенных судебных экспертиз</t>
  </si>
  <si>
    <t>Обеспечение прозрачности деятельности СИН при МЮКР</t>
  </si>
  <si>
    <t>Организация деятельности по исполнению наказаний осужденных на местах лишения свободы</t>
  </si>
  <si>
    <r>
      <t xml:space="preserve">Управление,администрирование и содержание осужденных и заключенных под стражу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Цель программы:Исправления и содержание осужденных и заключенных под стражу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</si>
  <si>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</si>
  <si>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 xml:space="preserve">Охрана исправительных учреждениях и конвоирование осужденных </t>
  </si>
  <si>
    <t>Количество предотвр. побега осужденных</t>
  </si>
  <si>
    <t>Количество отконвоированных осужденных и подсудимых</t>
  </si>
  <si>
    <t xml:space="preserve">Количество обеспечения процессов </t>
  </si>
  <si>
    <t>Обеспечение деятельности Президента Кыргызской Республики согласно Закону Кыргызской Республики "О гарантиях деятельности Президента Кыргызской Республики"</t>
  </si>
  <si>
    <t xml:space="preserve">Доля документов архивного фонда Президента Кыргызской Республики находящихся в нормативных условиях, обеспечивающих их постоянное хранение </t>
  </si>
  <si>
    <t>Количество государственных обвинений поддержанных решениями судов</t>
  </si>
  <si>
    <t xml:space="preserve">Количество государственной регистрации, перерегистрации и прекращение                   </t>
  </si>
  <si>
    <t>Количество стран, в которые разрешен безвизовый въезд  гражданам КР</t>
  </si>
  <si>
    <r>
      <rPr>
        <b/>
        <sz val="11"/>
        <color theme="1"/>
        <rFont val="Times New Roman"/>
        <family val="1"/>
        <charset val="204"/>
      </rPr>
      <t xml:space="preserve">Предоставление высшего  образования в области международных отношений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Цель программы:  Создание человеческого капитала в сфере международных отношений путем качественного предос-тавления высшего профессионального, послевузовского и дополнительного профессионального образования в области международных отношений </t>
    </r>
  </si>
  <si>
    <r>
      <t xml:space="preserve">Представление интересов КР и ее граждан зарубежом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Всестороннее представленное качество государства и интересы КР за рубежом. Положительный имидж страны на международной арене</t>
    </r>
  </si>
  <si>
    <r>
      <t xml:space="preserve">Предоставление услуг первичной медико-санитарной помощи                                                              </t>
    </r>
    <r>
      <rPr>
        <i/>
        <sz val="11"/>
        <rFont val="Times New Roman"/>
        <family val="1"/>
        <charset val="204"/>
      </rPr>
      <t>Цели программы: Раннее выявление, диагностика заболеваний, повышение качества и эффективности предоставления медицинской и профилактической помощи на уровне первичной медико-санитарной помощи</t>
    </r>
  </si>
  <si>
    <t>Министерство финансов  Кыргызской Республики (Трансферты Социальному фонду при Кабинете Министров Кыргызской Республики)</t>
  </si>
  <si>
    <r>
      <t xml:space="preserve">Управление и администрирование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Конституционного суда, координация реализации других программ ведомства</t>
    </r>
  </si>
  <si>
    <t>Экспертиза законопроектов разрабатываемых другими государсвтенными органами (ед.изм.%)</t>
  </si>
  <si>
    <t>Подготовка аналитических записок для министерств, Кабинет Министров Кыргызской Республики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</si>
  <si>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</si>
  <si>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Использование программного продукта "Искусственное интеллект-решение" в процессе проведения экспертизы</t>
  </si>
  <si>
    <t>Создание сервисов, позволяющих осуществлять в режиме онлайн, поиск информации об объектах промышленной собственности, интеграция с информационными системами международных организаций</t>
  </si>
  <si>
    <t>Отбор и реализация инновационных проектов в регионах, в рамках проекта "40 районов-40 инициатив"</t>
  </si>
  <si>
    <t xml:space="preserve">Реализация Концепции  научно-инновационного развития  Кыргызской Республики на период до 2022 года                                                                                                                                                                                    </t>
  </si>
  <si>
    <t>Сохранение размера единовременной выплаты при рождении ребенка - "Балага сүйүнчү" текущего года по отношению к предыдущему году</t>
  </si>
  <si>
    <t>Соотношение размера ежемесячного пособия нуждающимся гражданам (семьям), имеющим детей в возрасте до 16 лет - "Үй-бүлөгө көмөк" текущего года по отношению к базовому году</t>
  </si>
  <si>
    <t>Количество обслуживаемых</t>
  </si>
  <si>
    <t>Сумма на обслуживание одного получателя услуг в месяц</t>
  </si>
  <si>
    <t>Разработка программы активного долголетия</t>
  </si>
  <si>
    <t xml:space="preserve">Количество ЛОВЗ охваченых услугами в рамках госсоцзаказа </t>
  </si>
  <si>
    <t>Количество пожилых граждан охваченых услугами в рамках госсоцзаказа</t>
  </si>
  <si>
    <t>Доля ЛОВЗ, обеспеченных кресло-колясками от общего числа обратившихся</t>
  </si>
  <si>
    <t>Количество обученных специалистов</t>
  </si>
  <si>
    <t>Количество изготовленных протезно-ортопедических изделий</t>
  </si>
  <si>
    <t>Доля ЛОВЗ, обеспеченных санаторно-курортными путевками от общего количества поступивших заявлений</t>
  </si>
  <si>
    <t xml:space="preserve">Доля ЛОВЗ по слуху и речи получившие услуги сурдопереводчика из общей численности обратившихся </t>
  </si>
  <si>
    <r>
      <t xml:space="preserve">Социальная защита жертв от семейного и гендерного насилия.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Развитие системы оказания помощи пострадавшим от гендерной дискриминации и насилия</t>
    </r>
  </si>
  <si>
    <t>Общая сумма расходов (республиканский бюджет)</t>
  </si>
  <si>
    <r>
      <t xml:space="preserve">Управление и администрирование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программы:координирующее и организационное воздействие на реализацию других программ</t>
    </r>
  </si>
  <si>
    <t>Исполнение бюджета мероприятий по борьбе в COVID-19 и последствиями его влияния на экономику</t>
  </si>
  <si>
    <t>Процент реализации плана по развитию приграничных территорий</t>
  </si>
  <si>
    <t>количество уг. дел</t>
  </si>
  <si>
    <t>представле-ние и предписа-ния</t>
  </si>
  <si>
    <t xml:space="preserve">количество </t>
  </si>
  <si>
    <t xml:space="preserve">Управление и администрирование                                                                                            </t>
  </si>
  <si>
    <t xml:space="preserve">Индекс бюджетной прозрачности   </t>
  </si>
  <si>
    <t>Ежегодный рост налоговых доходов республиканского бюджета</t>
  </si>
  <si>
    <t>Финансирование объектов капитальных вложений</t>
  </si>
  <si>
    <t>Доля местных бюджетов не получающих межбюджетные трансферты</t>
  </si>
  <si>
    <t xml:space="preserve">Доля просроченной кредиторской задолженности в расходах местных бюджетов </t>
  </si>
  <si>
    <t>Количество районных фин.подразделений (доля) и ОМСУ, в которых применяется автоматизированное программное обеспечение</t>
  </si>
  <si>
    <t>Полнота финансирования защищенных статей от установленных плановых показателей</t>
  </si>
  <si>
    <t>Количество слушателей</t>
  </si>
  <si>
    <t>Объем исполнения плановых показателей по возврату государственных заемных средств</t>
  </si>
  <si>
    <t>Процент выполнения плановых показателей сбора налогов и других платежей</t>
  </si>
  <si>
    <t>Реализация поставленных задач</t>
  </si>
  <si>
    <t>Оценка PEFA (PI-24) Закупки</t>
  </si>
  <si>
    <t xml:space="preserve">Количество краткосрочных детских садов для детей 3-5 лет   </t>
  </si>
  <si>
    <t>Процент охвата детей внешкольным образованием от общего количества детей</t>
  </si>
  <si>
    <t xml:space="preserve">Доля охвата детей в возрасте 0-3 лет, охваченных всеми формами раннего развития </t>
  </si>
  <si>
    <t>Процент охвата молодежи высшим  профессиональным образованием (от населения в возрасте 17-24 лет )</t>
  </si>
  <si>
    <t>Доля обучающихся по госзаказу к общему числу учащихся в вузах</t>
  </si>
  <si>
    <t xml:space="preserve">Количество публикаций в периодических научных изданиях, индексируемых системами "Scopus", "Web of Science", Рост impact фактора (индекс цитируемости научных исследований) </t>
  </si>
  <si>
    <t>пок-ль на 100 тыс.чел</t>
  </si>
  <si>
    <t>на 1 000 родившихся живыми</t>
  </si>
  <si>
    <t>случаев на 1000 человек</t>
  </si>
  <si>
    <t>Организация ветеринарно-санитарной экспертизы продуктов животного и растительного происхождения, обеспечение ветеринарной и фитосанитарной безопасности и обеспечение соблюдения требований технических регламентов ЕАЭС- процент контроля со стороны министерства</t>
  </si>
  <si>
    <t>Количество зарегистрированных вспышек заболевании животных</t>
  </si>
  <si>
    <t>Доля обслуженных  и плановых участков дорог от потребности</t>
  </si>
  <si>
    <t>Обеспечение население автобусами (г. Бишкек)</t>
  </si>
  <si>
    <t>Обеспечение население электрификацией городского транспорта  (г. Бишкек)</t>
  </si>
  <si>
    <t>Количество выданных лицензий на перевозку</t>
  </si>
  <si>
    <t>Количество выданных бланков разрешений на международные перевозки</t>
  </si>
  <si>
    <t>Процент фактического исполнения запланированных аудиторских мероприятий</t>
  </si>
  <si>
    <t>Количество проведенных проверок и проведенных занятий, выступлений в средствах информации  на территориальном уровне, согласно утвержденного плана</t>
  </si>
  <si>
    <r>
      <t xml:space="preserve">Управление и администрирование     </t>
    </r>
    <r>
      <rPr>
        <b/>
        <i/>
        <sz val="11"/>
        <color indexed="8"/>
        <rFont val="Times New Roman"/>
        <family val="1"/>
        <charset val="204"/>
      </rPr>
      <t xml:space="preserve">   </t>
    </r>
    <r>
      <rPr>
        <b/>
        <sz val="11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Цель программы: Координиция судебно-экспертной деятельности</t>
    </r>
  </si>
  <si>
    <t>Социально-экономическое развитие области</t>
  </si>
  <si>
    <t>Проведение единой оценки деятельности государственных органов исполнительной власти Кыргызской Республики, мэрий городов Бишкек и Ош, а также повышения ответственности их руководителей и полномочных представителей Правительства Кыргызской Республики в областях</t>
  </si>
  <si>
    <t>Национальная программа развития Кыргызской Республики до 2026 года, утвержденная постановлением Кабинета Министров Кыргызской Республики от 25 декабря 2021 года №352» , в реализации постановления КМКР утверждено распоряжение №134 от 24.03.2022 года, где на ежемесячной основе исполнение предоставляется в МЭК КР</t>
  </si>
  <si>
    <t>Темп  роста КРС в % к предыдущему году</t>
  </si>
  <si>
    <t xml:space="preserve">Обеспеченность минеральными удобрениями в % к потребности </t>
  </si>
  <si>
    <t xml:space="preserve">Обеспеченность пестицидами в % к потребности </t>
  </si>
  <si>
    <t>Реализация  проекта "Повышение устойчивости водных ресурсов к изменению климата и стихийным бедствиям" (АБР)</t>
  </si>
  <si>
    <t>Управление  автомобильным, водным транспортом и весогабаритным контролем (ДНВТ)</t>
  </si>
  <si>
    <t>Количество наложенных штрафов и сборов за возмещение ущерба автомобильным дорогам</t>
  </si>
  <si>
    <t>265</t>
  </si>
  <si>
    <t>Гранты другим единицам сектора государственного управления</t>
  </si>
  <si>
    <t>Законодательное обеспечение реформ, необходимых для устойчивого развития общества и государства</t>
  </si>
  <si>
    <t xml:space="preserve">Фонд Президента и резервный фонд Кабинета Министров </t>
  </si>
  <si>
    <t>Обеспечение высокого уровня предоставления государственных услуг</t>
  </si>
  <si>
    <t>221</t>
  </si>
  <si>
    <t>222</t>
  </si>
  <si>
    <t>223</t>
  </si>
  <si>
    <t>224</t>
  </si>
  <si>
    <t>225</t>
  </si>
  <si>
    <t xml:space="preserve">Экспертиза проектов подзаконных актов и осуществление экспертизы проектов международных договоров и соглашений </t>
  </si>
  <si>
    <t>226</t>
  </si>
  <si>
    <t>229</t>
  </si>
  <si>
    <t>252</t>
  </si>
  <si>
    <t>253</t>
  </si>
  <si>
    <t>254</t>
  </si>
  <si>
    <t>255</t>
  </si>
  <si>
    <t>256</t>
  </si>
  <si>
    <t>46</t>
  </si>
  <si>
    <t>47</t>
  </si>
  <si>
    <t>ОАО "Чакан ГЭС" (Орто-Токой)</t>
  </si>
  <si>
    <t>49</t>
  </si>
  <si>
    <t>Лизинг на покупку сельхозтехники</t>
  </si>
  <si>
    <t>Востановление средств специальных счетов</t>
  </si>
  <si>
    <t>Оказание помощи пострадавщим субъектам предпринимательства в Баткенской области</t>
  </si>
  <si>
    <t>36</t>
  </si>
  <si>
    <t>ОАО "Чакан ГЭС" (Бала Саруу)</t>
  </si>
  <si>
    <t>272</t>
  </si>
  <si>
    <t>273</t>
  </si>
  <si>
    <t>342</t>
  </si>
  <si>
    <t>343</t>
  </si>
  <si>
    <t>Доступность к качественному дошкольному образованию и предшкольной подготовке</t>
  </si>
  <si>
    <t>Доступность образования, многоязычие, инклюзивное образование и воспитание школьников и система оценки качества школьного образования</t>
  </si>
  <si>
    <t>Непрерывное профессиональное развитие педагогов</t>
  </si>
  <si>
    <t>344</t>
  </si>
  <si>
    <t>Доступность начального профессионального образования</t>
  </si>
  <si>
    <t>Доступность среднего профессионального образования</t>
  </si>
  <si>
    <t>345</t>
  </si>
  <si>
    <t>346</t>
  </si>
  <si>
    <t>992</t>
  </si>
  <si>
    <t>372</t>
  </si>
  <si>
    <t>373</t>
  </si>
  <si>
    <t>374</t>
  </si>
  <si>
    <t>382</t>
  </si>
  <si>
    <t>383</t>
  </si>
  <si>
    <t>384</t>
  </si>
  <si>
    <t>392</t>
  </si>
  <si>
    <t>393</t>
  </si>
  <si>
    <t>166</t>
  </si>
  <si>
    <t>167</t>
  </si>
  <si>
    <t>168</t>
  </si>
  <si>
    <t>169</t>
  </si>
  <si>
    <t>Автоматизировано-информационная система  "Единый реестр правонарушений", в том числе автоматизировано-информационная система  "Безопасный город"</t>
  </si>
  <si>
    <t>Общегосударственные мероприятия  по борьбе в COVID-19</t>
  </si>
  <si>
    <t>Спецсчет по предупреждению и ликвидации последствий чрезвычайных ситуаций</t>
  </si>
  <si>
    <t>402</t>
  </si>
  <si>
    <t>Внесение предложений по защите материальных и социальных прав ветеранов и ветеранских организаций</t>
  </si>
  <si>
    <t>Внесение предложений в государственные органы по повышению жизненного уровня ветеранов а также, совершенствованию законодательства в области социальной защиты ветеранов и ветеранских организаций</t>
  </si>
  <si>
    <t>Содействие по обеспечению и по повышению жизненного уровня ветеранов, ветеранских организаций</t>
  </si>
  <si>
    <t>42. Государственное агентство гражданской авиации при Кабинете Министров Кыргызской Республики</t>
  </si>
  <si>
    <t>Управление и администрирование Цель программы:  Развитие рынка авиаперевозок.</t>
  </si>
  <si>
    <t xml:space="preserve"> Управление  и администрирование отрасли на центральном уровне</t>
  </si>
  <si>
    <t>Обеспечение потребности регулярными пассажирскими перевозками населения воздушным транспортом в международном направлении</t>
  </si>
  <si>
    <t>Обеспечение потребности населения в грузоперевозках воздушным транспортом</t>
  </si>
  <si>
    <t>422</t>
  </si>
  <si>
    <t xml:space="preserve">Авиационное транспортное обслуживание </t>
  </si>
  <si>
    <t>423</t>
  </si>
  <si>
    <t>Подготовка квалифицированных специалистов для авиационного и водного транспорта   Цель: Удовлетворение потребностей предприятий гражданской авиации и водного транспорта КР квалифицированными специалистами в соответствии с потребностями рынка труда</t>
  </si>
  <si>
    <t>Выпуск востребованных специалистов с высшим авиационным и средним профессиональным образованием</t>
  </si>
  <si>
    <t>47/174/1368</t>
  </si>
  <si>
    <t>36/495/1769</t>
  </si>
  <si>
    <t>40/496/1415</t>
  </si>
  <si>
    <t>45/568/1415</t>
  </si>
  <si>
    <t>59/687/1415</t>
  </si>
  <si>
    <t xml:space="preserve">Среднее профессиональное образование для гражданской авиации в соответствии  с государственным заказом на бюджетной основе </t>
  </si>
  <si>
    <t>Выпуск дипломированных специалистов со средним профессиональным образованием</t>
  </si>
  <si>
    <t>Высшее профессиональное образование  для гражданской авиации и водного транспорта Кыргызской Республики (контракт)</t>
  </si>
  <si>
    <t>Выпуск дипломированных специалистов с высшим профессиональным образованием</t>
  </si>
  <si>
    <t xml:space="preserve">Среднее  профессиональное образование для гражданской авиации и повышение квалификаций и переподготовка авиационных специалистов (контракт) </t>
  </si>
  <si>
    <t>Выпуск дипломированных специалистов со средним  профессиональным образованием  и переподготовленных авиаспециалистов</t>
  </si>
  <si>
    <t>174(СПО) 1368 (ДПО)</t>
  </si>
  <si>
    <t>331 (СПО) 1769 (ДПО)</t>
  </si>
  <si>
    <t>291 (СПО) 1415 (ДПО)</t>
  </si>
  <si>
    <t>325 (СПО) 1415 (ДПО)</t>
  </si>
  <si>
    <t>419 (СПО)            1415 (ДПО)</t>
  </si>
  <si>
    <r>
      <t xml:space="preserve">Управление и администрирование                                    </t>
    </r>
    <r>
      <rPr>
        <i/>
        <sz val="11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</si>
  <si>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 xml:space="preserve">Индекс доверия наседения </t>
  </si>
  <si>
    <t>442</t>
  </si>
  <si>
    <r>
      <t xml:space="preserve">Сохранение, развитие культуры, искусства, информационной среды  и молодежной политики
</t>
    </r>
    <r>
      <rPr>
        <i/>
        <sz val="11"/>
        <color theme="1"/>
        <rFont val="Times New Roman"/>
        <family val="1"/>
        <charset val="204"/>
      </rPr>
      <t>Цель программы: Создание институциональных и инновационных условий, направленных на развитие  социально-экономического, гуманитарного  и духовного благосостояния Кыргызской Республики</t>
    </r>
  </si>
  <si>
    <t>Процент от общего числа населения вовлеченных в культурный и информационный процесс страны</t>
  </si>
  <si>
    <t>Повышение доступности  и качества услуг библиотек, музеев, ТЗУ, НКЦ, ДК и реализация молодежной политики</t>
  </si>
  <si>
    <t>Количество посетителей государственных театрально-зрелищных учреждений</t>
  </si>
  <si>
    <t>тыс. чел.</t>
  </si>
  <si>
    <t>Количество постановок государственных театрально-зрелищных учреждений</t>
  </si>
  <si>
    <t>Количество посещений библиотек, музеев, домов культур</t>
  </si>
  <si>
    <t>Количество проведенных музейных выставок</t>
  </si>
  <si>
    <t>Количество проведенных мероприятий библиотек, музеев, домов культур</t>
  </si>
  <si>
    <t>Количество проведенных мероприятий по развитию молодежной политики страны</t>
  </si>
  <si>
    <t xml:space="preserve">ед.  </t>
  </si>
  <si>
    <t>Создание условий по обеспечению сохранности и защите объектов ИКН (Инспекция)</t>
  </si>
  <si>
    <t>Процент  утвержденных проектов охранной зоны территории объектов историко-культурного наследия от общего их числа</t>
  </si>
  <si>
    <t>Процент отреставрированных памятников истории и культуры от общего числа памятников истории и культуры</t>
  </si>
  <si>
    <t>Процент  обследованных (исследованных) и документированных объектов историко-культурного наследия от общего их числа</t>
  </si>
  <si>
    <t>Сохранение, развитие и популяризация национальной  кинематографии</t>
  </si>
  <si>
    <t>Процент населения посетивших киносеансы в год (от общего числа населения)</t>
  </si>
  <si>
    <t>Количество выпущенных фильмов (национальные в том числе; художественные, анимационные, документальные, короткометражные и полнометражные)</t>
  </si>
  <si>
    <t>Процент отечественных фильмов  участвоваших в международных кинофестивалях от общего числа созданных национальнных фильмов в год</t>
  </si>
  <si>
    <t>Развитие информационной среды</t>
  </si>
  <si>
    <t>Количество опубликованных статей республиканскими и областными редакциями газет, освещающих государственные программы, стратегии, планы мероприятий</t>
  </si>
  <si>
    <t>Доля сотрудников областных медиацентров, обучившимся новым технологиям и навыкам в сфере информации</t>
  </si>
  <si>
    <t>Доведение информации населению Кыргызской Республики и зарубежной аудитории от официальных источников государственной власти Кыргызской Республики</t>
  </si>
  <si>
    <t>общее количество выпускаемой информации и аналитических материалов, перевод материалов на иностранные языки</t>
  </si>
  <si>
    <t>443</t>
  </si>
  <si>
    <r>
      <t xml:space="preserve">Развитие образования в сфере культуры и искусства   
</t>
    </r>
    <r>
      <rPr>
        <i/>
        <sz val="11"/>
        <color theme="1"/>
        <rFont val="Times New Roman"/>
        <family val="1"/>
        <charset val="204"/>
      </rPr>
      <t>Цель программы: Подготовка, переподготовка и повышение квалификации кадров культуры и искусства.</t>
    </r>
  </si>
  <si>
    <t>Количество педагогических и руководящих работников, прошедшие курсы повышения квалификации и переподготовку</t>
  </si>
  <si>
    <t>Доля выпускников учебных заведений культуры и искусства (ВУЗ, СПУЗ), в том числе в разбивке по полу</t>
  </si>
  <si>
    <t xml:space="preserve">Повышение квалификации педагогического состава учебных заведений </t>
  </si>
  <si>
    <t>Доля выпускников, прошедших образовательную программу дополнительного образования (ДМШ, ДШИ, ДХШ) в том числе в разбивке по полу</t>
  </si>
  <si>
    <t>Доля лауреатов и дипломантов от числа обучающихся в образовательных учреждениях и организация культуры и искусства</t>
  </si>
  <si>
    <t xml:space="preserve">Поддержка дошкольных образовательных организаций культуры и искусства </t>
  </si>
  <si>
    <t>444</t>
  </si>
  <si>
    <r>
      <t xml:space="preserve">Развитие массового и высшего спорта
</t>
    </r>
    <r>
      <rPr>
        <i/>
        <sz val="11"/>
        <color theme="1"/>
        <rFont val="Times New Roman"/>
        <family val="1"/>
        <charset val="204"/>
      </rPr>
      <t>Цель программы: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Оздоровление нации средствами физического воспитания</t>
    </r>
  </si>
  <si>
    <t xml:space="preserve">Развитие физической культуры и массового спорта </t>
  </si>
  <si>
    <t>Количество проведенных мероприятий по популяризации, пропаганды, активного образа жизни и развития спорта среди населения страны</t>
  </si>
  <si>
    <t xml:space="preserve">Количество завоеванных призовых мест на спортивной арене </t>
  </si>
  <si>
    <t>445</t>
  </si>
  <si>
    <r>
      <t xml:space="preserve">Развитие устойчивого туризма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Кыргызская Республика - один из ведущих устойчивых туристских дестинаций Центральной Азии</t>
    </r>
  </si>
  <si>
    <t>Разработка и реализация образовательных и маркетинговых мероприятий, способствующих продвижению устойчивого туризма</t>
  </si>
  <si>
    <t>Количество прибывших из стран дальнего и ближнего зарубежья, попадающих под классификацию Всемирной Туристской Организации</t>
  </si>
  <si>
    <t>Доля сферы туристской деятельности в ВВП страны</t>
  </si>
  <si>
    <t>Экспорт туристских продуктов и услуг (доходы от приема иностранных граждан)</t>
  </si>
  <si>
    <t>млн. долл.</t>
  </si>
  <si>
    <t>Инвестиции в основной капитал в сферу туризма</t>
  </si>
  <si>
    <t>млн. сом.</t>
  </si>
  <si>
    <t>15 211,8</t>
  </si>
  <si>
    <t>15 442,4</t>
  </si>
  <si>
    <t>15 614,5</t>
  </si>
  <si>
    <t>баллов</t>
  </si>
  <si>
    <t>452</t>
  </si>
  <si>
    <r>
      <t xml:space="preserve">Прогнозирование опасных природных процессов и явлений 
</t>
    </r>
    <r>
      <rPr>
        <i/>
        <sz val="11"/>
        <rFont val="Times New Roman"/>
        <family val="1"/>
        <charset val="204"/>
      </rPr>
      <t>Цель программы: Совершенствование оценки рисков и раннего предупреждения чрезвычайных ситуаций в Кыргызкой Республике</t>
    </r>
  </si>
  <si>
    <t>Оправдываемость прогноза</t>
  </si>
  <si>
    <t>7</t>
  </si>
  <si>
    <t>9</t>
  </si>
  <si>
    <t xml:space="preserve">Осуществление мониторинга и анализа опасных природных, техногенных процессов и явлений, выполнение научно-исследовательской работы на отдельных опасных участках </t>
  </si>
  <si>
    <t>Оправдываемость прогнозов по проведению мониторинга первоочередных, предупредительных работ</t>
  </si>
  <si>
    <t>Оправдываемость прогнозов опасных природных явлений и процессов</t>
  </si>
  <si>
    <t>88</t>
  </si>
  <si>
    <t>90</t>
  </si>
  <si>
    <t xml:space="preserve">Освоение </t>
  </si>
  <si>
    <t>Выпуск всех видов прогнозов, предоставление специализированной гидрометеорологической информации и информация о загрязнении окружающей среды</t>
  </si>
  <si>
    <t>Увеличение заблаговременности выпускаемых гидрометеорологических прогнозов</t>
  </si>
  <si>
    <t>в сутках</t>
  </si>
  <si>
    <t>453</t>
  </si>
  <si>
    <t xml:space="preserve">Количество защищенных жилых домов                                              Количество  сельхозугодий (га)/ год
</t>
  </si>
  <si>
    <t>7493/5205</t>
  </si>
  <si>
    <t>6184/3008</t>
  </si>
  <si>
    <t>7979/1920</t>
  </si>
  <si>
    <t>8748/3815</t>
  </si>
  <si>
    <t xml:space="preserve">Количество защищенных жилых домов/год     
</t>
  </si>
  <si>
    <t>7493</t>
  </si>
  <si>
    <t>6184</t>
  </si>
  <si>
    <t>7979</t>
  </si>
  <si>
    <t>8748</t>
  </si>
  <si>
    <t>5205</t>
  </si>
  <si>
    <t>3008</t>
  </si>
  <si>
    <t>1920</t>
  </si>
  <si>
    <t>3815</t>
  </si>
  <si>
    <t>Проведение комплексного мониторинга хвостохранилищ и горных отвалов бывшего уранодобывающего производства, предупредительных защитных аварийно-восстановительных и реабилитационных работ</t>
  </si>
  <si>
    <t>Проведение мониторинга и содержание объектов</t>
  </si>
  <si>
    <t>100</t>
  </si>
  <si>
    <t>Количество реабилитированных объектов урановых хвостохранилищ</t>
  </si>
  <si>
    <t>4</t>
  </si>
  <si>
    <t>5</t>
  </si>
  <si>
    <t>Процент укомплектованности служб ЧС оборудованием, необходимым для своевременной ликвидации чрезвычайных ситуаций</t>
  </si>
  <si>
    <t>Снижения уровня материального ущерба</t>
  </si>
  <si>
    <t>73</t>
  </si>
  <si>
    <t>75</t>
  </si>
  <si>
    <t>80</t>
  </si>
  <si>
    <t>454</t>
  </si>
  <si>
    <t>Доля местных органов власти, принявших и осуществляющих  местные стратегии снижения риска бедствий  в соответствии с национальными стратегиями снижения риска бедствий</t>
  </si>
  <si>
    <t>12 000 /150</t>
  </si>
  <si>
    <t>10 456     /98</t>
  </si>
  <si>
    <t>14 000     /100</t>
  </si>
  <si>
    <t>15 000     /100</t>
  </si>
  <si>
    <t>Количество подготовленных специалистов по ГЗ</t>
  </si>
  <si>
    <t>12 000</t>
  </si>
  <si>
    <t>10 456</t>
  </si>
  <si>
    <t>14 000</t>
  </si>
  <si>
    <t>15 000</t>
  </si>
  <si>
    <t>Количество подготовленных специалистов по водолазному делу</t>
  </si>
  <si>
    <t>98</t>
  </si>
  <si>
    <t>455</t>
  </si>
  <si>
    <t>Управление материальными ценностями государственного и мобилизационного резерва</t>
  </si>
  <si>
    <t>Обеспечение мобилизационных нужд Кыргызской Республики</t>
  </si>
  <si>
    <t>Управление материальными ценностями государственного и мобилизационного резерва (администрирование)</t>
  </si>
  <si>
    <t>Организация закладок, накопления, хранения и использования госматрезервов</t>
  </si>
  <si>
    <t>Накопления материальных ценностей (гос.резерв)</t>
  </si>
  <si>
    <t>Накопления материальных ценностей (моб.резерв)</t>
  </si>
  <si>
    <t>462</t>
  </si>
  <si>
    <t>Исследование геодинамических процессов и георисков в Кыргызстане и трансграничных регионах со странами Центрально-Азиатскими странами</t>
  </si>
  <si>
    <t>Индикатор результативности по бюджетной программе</t>
  </si>
  <si>
    <t>492</t>
  </si>
  <si>
    <r>
      <t xml:space="preserve">Обеспечение равных прав и возможностей в обществе для инвалидов по зрению и слуху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 : Социальная реабилитация лиц с ограниченными возможностями здоровья</t>
    </r>
  </si>
  <si>
    <t>Содержание спецбиблиотеки</t>
  </si>
  <si>
    <t>Обеспечение книжного фонда для инвалидов по зрению и слуху спецбиблиотеки КОС и КОГ, что позволяет их обучению и трудоустройству.</t>
  </si>
  <si>
    <t xml:space="preserve">Использование товаров и услуг </t>
  </si>
  <si>
    <t>Общий книжный фонд, в т.ч. обеспеченность спецбиблиотеки необходимой литературой по системе Брайля рельефно-точечным шрифтом.</t>
  </si>
  <si>
    <t xml:space="preserve">шт.         </t>
  </si>
  <si>
    <t>31322  10506</t>
  </si>
  <si>
    <t>31500         10554</t>
  </si>
  <si>
    <t>31600           10600</t>
  </si>
  <si>
    <t>31600    10650</t>
  </si>
  <si>
    <t>31600         10700</t>
  </si>
  <si>
    <t>Приобретение тифлосурдосредств инвалидам по зрению и слуху для реабилитации  и интеграции в здоровое общество</t>
  </si>
  <si>
    <t>493</t>
  </si>
  <si>
    <r>
      <rPr>
        <b/>
        <sz val="11"/>
        <color theme="1"/>
        <rFont val="Times New Roman"/>
        <family val="1"/>
        <charset val="204"/>
      </rPr>
      <t xml:space="preserve">Социальная защита работающих инвалидов по зрению и слуху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               </t>
    </r>
    <r>
      <rPr>
        <i/>
        <sz val="11"/>
        <color theme="1"/>
        <rFont val="Times New Roman"/>
        <family val="1"/>
        <charset val="204"/>
      </rPr>
      <t>Цели программы : приобщение к труду, создание благоприятных условий</t>
    </r>
  </si>
  <si>
    <t>Возмещение налогов и сборов , НДС   по Кыргызскому обществу слепых и глухих</t>
  </si>
  <si>
    <t>Занятость инвалидов работой на учебно-производственных предприятиях Кыргызского общества слепых и глухих</t>
  </si>
  <si>
    <t>Возмещение  отчислений в Социальный фонд от работодателя (17,25%) по Кыргызскому обществу слепых и глухих</t>
  </si>
  <si>
    <t>Объем  производства  и реализации на учебно-производственных предприятиях Кыргызского общества слепых и глухих к фактически выпущенному объему производства  в 2021 году</t>
  </si>
  <si>
    <t>тыс.сом        %</t>
  </si>
  <si>
    <t>207500         71%</t>
  </si>
  <si>
    <t>208642         71%</t>
  </si>
  <si>
    <t>209166     72%</t>
  </si>
  <si>
    <t>211258      74%</t>
  </si>
  <si>
    <t>502</t>
  </si>
  <si>
    <t>Оценка уровня владения государственным и официальным языками</t>
  </si>
  <si>
    <t>Количество протестированных</t>
  </si>
  <si>
    <t>57</t>
  </si>
  <si>
    <t>Количество решенных вопросов инвесторов с государственными органами и органами местного самоуправления</t>
  </si>
  <si>
    <r>
      <t xml:space="preserve">Привлечение прямых иностранных инвестиций в республику
</t>
    </r>
    <r>
      <rPr>
        <i/>
        <sz val="11"/>
        <rFont val="Times New Roman"/>
        <family val="1"/>
        <charset val="204"/>
      </rPr>
      <t xml:space="preserve">Цель программы: Способствовать улучшению инвестиционного климата страны, создание благоприятных условий для привлечения зарубежных инвестиций </t>
    </r>
  </si>
  <si>
    <t>Объем привлеченных прямых иностранных инвестиций ежегодно</t>
  </si>
  <si>
    <t>млн.долл. США</t>
  </si>
  <si>
    <t>Привлечение, продвижение и сопровождение прямых иностранных инвестиций</t>
  </si>
  <si>
    <t>Количество инвестиционных проектов ежегодно</t>
  </si>
  <si>
    <t xml:space="preserve">Темп роста количество инвестиционных проектов </t>
  </si>
  <si>
    <t>Способствование продвижению экспорта отечественных товаров</t>
  </si>
  <si>
    <t>Заключение контрактов на экспорт</t>
  </si>
  <si>
    <r>
      <t xml:space="preserve">Управление и администрирование
</t>
    </r>
    <r>
      <rPr>
        <i/>
        <sz val="11"/>
        <rFont val="Times New Roman"/>
        <family val="1"/>
        <charset val="204"/>
      </rPr>
      <t>Цель программы: Контроль, надзор и координация соблюдений требований законодательства КР по защите персональных данных, разработка НПА в сфере защиты персональных данных, внедрение и дальнейшее ведение Реестра массивов держателей персональных данных</t>
    </r>
  </si>
  <si>
    <t>План действий Агентства по защите персональных данных на 2021-2022 годы утвержденный Заместителем Кабинете Министров Кыргызской Республики в 2021 году, "Повышение уровня защиты персональных данных"</t>
  </si>
  <si>
    <t>59</t>
  </si>
  <si>
    <r>
      <t xml:space="preserve">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</si>
  <si>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Управление администрирование на центральном уровне</t>
  </si>
  <si>
    <t>Доля рекомендаций, исполненных государственными органами и органами местного самоуправления по итогам мониторинга, от общего числа органов, где проведен мониторинг</t>
  </si>
  <si>
    <t>Управление администрирование на региональном  уровне</t>
  </si>
  <si>
    <t>592</t>
  </si>
  <si>
    <r>
      <t xml:space="preserve">Совершенствование государственной кадровой политики
</t>
    </r>
    <r>
      <rPr>
        <i/>
        <sz val="11"/>
        <rFont val="Times New Roman"/>
        <family val="1"/>
        <charset val="204"/>
      </rPr>
      <t>Цель программы: Разработка, реализация и обеспечение устойчивого функционирования единой государственной кадровой политики в государственных органах и органах МСУ</t>
    </r>
  </si>
  <si>
    <t>Доля обращений граждан о несоблюдении законодательства о государственной гражданской службе и муниципальной службе при найме на работу, служебном продвижении или увольнении по отношению от общего количества обращений</t>
  </si>
  <si>
    <t xml:space="preserve">Обеспечение равного доступа при поступлении и прохождении на государственную службу </t>
  </si>
  <si>
    <t>Доля административных государственных должностей, замещенных из кадрового резерва</t>
  </si>
  <si>
    <t>Доля административных муниципальных  должностей, замещенных из кадрового резерва</t>
  </si>
  <si>
    <t>Обеспечение объективного и прозрачного компьютерного тестирования на знание законодательства при поступлении и прохождении ГМС</t>
  </si>
  <si>
    <t xml:space="preserve">Доля участников тестирования, удовлетворенных системой тестирования </t>
  </si>
  <si>
    <t>Внедрение (анализ, поддержка и сопровождение) автоматизированной информационной системы управления человеческими ресурсами в сфере государственной гражданской службы и муниципальной службы, а также в органах МСУ</t>
  </si>
  <si>
    <t>Доля государственных органов и органов местного самоуправления, подключенных к модулю "Электронное штатное расписание"  автоматизированной информационной системы       "e-Кyzmat", от числа запланированных</t>
  </si>
  <si>
    <t xml:space="preserve">Доля государственных органов и органов местного самоуправления, подключенных к модулям "Личный кабинет пользователя" и "Электронная трудовая книжка" автоматизированной информационной системы       "e-Кyzmat", от числа запланированных </t>
  </si>
  <si>
    <t>Доля государственных органов и органов местного самоуправления, подключенных к модулю "Аналитический блок"  автоматизированной информационной системы       "e-Кyzmat", от числа запланированных</t>
  </si>
  <si>
    <t xml:space="preserve">Доля органов местного самоуправления, подключенных к модулям "Похозяйственная книга",  "Электронная книга ОМСУ" автоматизированной информационной системы "Санарип аймак", от числа запланированных  </t>
  </si>
  <si>
    <t>Доля органов местного самоуправления, подключенных к модулям "Очередность выдачи земельных участков по индивидуальное жилищное строительство", "Единый реестр учета объектов муниципальной собственности" автоматизированной информационной системы "Санарип аймак", от числа запланированных</t>
  </si>
  <si>
    <t xml:space="preserve">Реализация Госзаказа на обучение государственной и муниципальной службы </t>
  </si>
  <si>
    <t xml:space="preserve">Доля государственных служащих, прошедших обучение, от числа запланированных </t>
  </si>
  <si>
    <t xml:space="preserve">Доля муниципальных служащих, прошедших обучение, от числа запланированных </t>
  </si>
  <si>
    <t>593</t>
  </si>
  <si>
    <r>
      <t xml:space="preserve">Совершенствование системы местного самоуправления 
</t>
    </r>
    <r>
      <rPr>
        <i/>
        <sz val="11"/>
        <rFont val="Times New Roman"/>
        <family val="1"/>
        <charset val="204"/>
      </rPr>
      <t>Цель программы:  Разработка, реализация и содействие органам МСУ в реализации отдельных функций местного значения и государственных программ</t>
    </r>
  </si>
  <si>
    <t xml:space="preserve">Количество исполнительных органов МСУ, вышедших из дотаций </t>
  </si>
  <si>
    <t>Координация и поддержка деятельности органов МСУ</t>
  </si>
  <si>
    <t>Количество  исполнительных органов МСУ, где внедрены лучшие практики по решению вопросов местного значения</t>
  </si>
  <si>
    <t>Количество исполнительных органов МСУ, работающих с международными проектами по привлечению инвестиций для улучшения инфраструктуры сел и городов</t>
  </si>
  <si>
    <t>Количество сел, где реализованы проекты по улучшение инфраструктуры с привлечением инвестиций международных  доноров</t>
  </si>
  <si>
    <t>Управление администрирование отрасли на центральном уровне</t>
  </si>
  <si>
    <t>602</t>
  </si>
  <si>
    <t>Создание условий для устойчивого  развития питьевого водоснабжения и водоотведения населенных пунктов</t>
  </si>
  <si>
    <t>64</t>
  </si>
  <si>
    <t>Управление и администрирование сектора/отрасли на центральном уровне</t>
  </si>
  <si>
    <t>Подготовка информационных материалов и аналитических отчетов, разработка и публикация информационно-практических материалов, методических пособий
 осуществление сотрудничества с экспертным и консультативным сообществом в религиозной сфере, сотрудничество с религиозными организациями, зарегистрированными в установленном порядке,
Проведение полевых исследований в регионах страны, где религиозная ситуация требует глубинного изучения, с целью раннего реагирования и недопущения религиозной напряженности</t>
  </si>
  <si>
    <t>Администрирование на территориальном уровне</t>
  </si>
  <si>
    <t>Привлечение ресурсов государственных органов, органов МСУ, а также неправительственных доноров для исследования и мониторинга религиозной ситуации и предупреждения конфликтных и проблемных ситуаций по религиозным вопросам</t>
  </si>
  <si>
    <t>65</t>
  </si>
  <si>
    <t>Цель программы: Координирование и организационное воздействие на реализацию других программ и обеспечение достижение поставленных задач</t>
  </si>
  <si>
    <t>Обеспечение экологического контроля, безопасности, мониторинга и развитие гидрометеослужбы</t>
  </si>
  <si>
    <t>Позиция Кыргызской Республики в рейтинге "Индекс экологической эффективности"</t>
  </si>
  <si>
    <t>Цель программы. Предотвращение воздествия возможных негативных последствий от хозяйственных и иной деятельности на здоровье населения и окружающую среду, в том числе с учетом изенений климата в Кыргызской Республики</t>
  </si>
  <si>
    <t>Осуществление надзора и контроля охраны окружающей среды и рациональное использование природных ресурсов</t>
  </si>
  <si>
    <t>Количество приведенных в нормативное состояние объектов резмещения отходов</t>
  </si>
  <si>
    <t>Количество измененных категорий земель под свалками и полигонами</t>
  </si>
  <si>
    <t>Количество приведенных в нормативное состояние объектов радиационной безопасности</t>
  </si>
  <si>
    <t xml:space="preserve">Координация деятельности по радиационной, биологической и химической безопасности. </t>
  </si>
  <si>
    <t>Снижение рисков для окружающей среды и здоровьянаселения от опасных, токсичных химических веществ и источников ионизирующего излучения</t>
  </si>
  <si>
    <t>Соотношение заявлений на выдачу лицензий и выданные лицензии</t>
  </si>
  <si>
    <t>Соотношение заявлении на экспертное заключение к выданным экспертным заключениям на ввоз/вывоз товаров двойного назначения</t>
  </si>
  <si>
    <t>Развития системы мониторинга за состоянием окружающей среды</t>
  </si>
  <si>
    <t>Количество отобранных проб на качество копонентов окружающей среды</t>
  </si>
  <si>
    <t xml:space="preserve">Количество  проведенных лабораторных  исследований  </t>
  </si>
  <si>
    <t>Количество проведенных исследований на качество радиационного фона</t>
  </si>
  <si>
    <t xml:space="preserve">Сохранеие биоразнообразия </t>
  </si>
  <si>
    <t>Доля для особо охраняемых природных территорий к общей площади страны</t>
  </si>
  <si>
    <t>Цель программы: Сохранение и улучшение биоразнообразия, в т.ч. Восстановление численности популяций редких и исчезающих видов животного и растительного мира; устойчивое использование биоразнообразия Кыргызской Республики</t>
  </si>
  <si>
    <t>Координация деятельности ООПТ и пропаганда вопросов по сохранению экосистем, мероприятия по сохранению биоразнообразия на территории ООПТ, а также проведение научной деятельности, сохранение и воспроизводство объектов биоразнообразия</t>
  </si>
  <si>
    <t>Площадь особо охраняемых природных территорий</t>
  </si>
  <si>
    <t>Количество устроенных солонцов для диких животных в ООПТ</t>
  </si>
  <si>
    <t xml:space="preserve">Количество проведенных научных работ  </t>
  </si>
  <si>
    <t>Кол-во мероприятий по выявлению и предотвращению распространения заболеваний диких животных</t>
  </si>
  <si>
    <t>Количество установленных информационных аншлагов и панно за год/всего. Для информированности местного населения, в целях предупреждения и минимизации фактов нарушений природоохранного законодательства</t>
  </si>
  <si>
    <t>17/34</t>
  </si>
  <si>
    <t>17/35</t>
  </si>
  <si>
    <t>17/36</t>
  </si>
  <si>
    <t>Проведение аукционов на получение прав пользования нендрами</t>
  </si>
  <si>
    <t>кол.во</t>
  </si>
  <si>
    <t>55</t>
  </si>
  <si>
    <t>Защита  экономических интересов государства при пользовании недрами</t>
  </si>
  <si>
    <t>Прирост объемов полезных ископаемых: к запасом на начало года</t>
  </si>
  <si>
    <t>Золото</t>
  </si>
  <si>
    <t>Уголь</t>
  </si>
  <si>
    <t>Количество завершенных геологоразведочных работ  от общего количества запланированных объектов</t>
  </si>
  <si>
    <t>Поиск и оценка месторождений полезных ископаемых</t>
  </si>
  <si>
    <t>Площадь проведения геолого-поисковых работ от общей площади запланированных работ</t>
  </si>
  <si>
    <t>Обеспечение доступности геологической информации, анализ и обобщение геологических материалов</t>
  </si>
  <si>
    <t>Кол-во отскан-х листов</t>
  </si>
  <si>
    <t>Создание базы данных по всем видам геолого-геохимических поисков</t>
  </si>
  <si>
    <t>тыс.проб</t>
  </si>
  <si>
    <t>Мониторинг геологической среды в части наблюдений за режимом и качеством подземных вод и развитием опасных экзогенных геологических процессов</t>
  </si>
  <si>
    <t>Количество обследованных объектов      водопользования за состоянием качества подземных вод  от общего количества запланированных объектов</t>
  </si>
  <si>
    <t>Количество обследованных участков проявления екзогенных геологических процессов  от общего количества запланированных объектов</t>
  </si>
  <si>
    <r>
      <t xml:space="preserve">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</si>
  <si>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Соотношение финансирования бюджета к республиканскому бюджету</t>
  </si>
  <si>
    <r>
      <t xml:space="preserve">Управление и администрирование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</si>
  <si>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Отношение текущих расходов по Программе 1 к сумме текущих расходов по другим программам</t>
  </si>
  <si>
    <t>692</t>
  </si>
  <si>
    <r>
      <t xml:space="preserve">Развитие инфраструктуры электронного управления и электронных услуг
</t>
    </r>
    <r>
      <rPr>
        <i/>
        <sz val="11"/>
        <color theme="1"/>
        <rFont val="Times New Roman"/>
        <family val="1"/>
        <charset val="204"/>
      </rPr>
      <t>Цель программы: Развитие электронного управления, внедрение электронных государственных услуг</t>
    </r>
  </si>
  <si>
    <t>Количество функционирующих информационных систем, порталов</t>
  </si>
  <si>
    <t>Создание, модернизация, эксплуатация и техническая поддержка информационных систем</t>
  </si>
  <si>
    <t>Количество управленческих процессов государственных органов модернизированных путем цифровой трансформации</t>
  </si>
  <si>
    <t>Развитие информационных технологий и отрасли связи</t>
  </si>
  <si>
    <t>693</t>
  </si>
  <si>
    <r>
      <t xml:space="preserve">Развитие электрической и почтовой связи
</t>
    </r>
    <r>
      <rPr>
        <i/>
        <sz val="11"/>
        <color theme="1"/>
        <rFont val="Times New Roman"/>
        <family val="1"/>
        <charset val="204"/>
      </rPr>
      <t>Цель программы: Построение современной высокотехнологичной и конкурентоспособной Национальной сети передачи данных и интеграция Национальной сети в общемировое информационное пространство</t>
    </r>
  </si>
  <si>
    <t>Средний охват услугами связи (сотовая) населенных пунктов Кыргызстана %</t>
  </si>
  <si>
    <t>Осуществление регулирования в области электрической и почтовой связи</t>
  </si>
  <si>
    <t>Количество лицензиатов в области электрической и почтовой связи</t>
  </si>
  <si>
    <t>348</t>
  </si>
  <si>
    <t>353</t>
  </si>
  <si>
    <t>359</t>
  </si>
  <si>
    <t>365</t>
  </si>
  <si>
    <t>Выдача сертификатов соответствия на оборудование и услуги связи</t>
  </si>
  <si>
    <t>Количество выданных сертификатов соответствия за год</t>
  </si>
  <si>
    <t>Подбор радиочастот доступных к выделению</t>
  </si>
  <si>
    <t>Количество подобранных запросов на получение информации по подбору радиочастот доступных к выделению</t>
  </si>
  <si>
    <t>694</t>
  </si>
  <si>
    <t>Регистрация населения и актов гражданского состояния</t>
  </si>
  <si>
    <t>Регистрация населения</t>
  </si>
  <si>
    <t>Количество персонифицированных паспортов</t>
  </si>
  <si>
    <t>тыс. шт.</t>
  </si>
  <si>
    <t>Регистрация актов гражданского состояния</t>
  </si>
  <si>
    <t>Количество зарегистрированных актов гражданского состояния</t>
  </si>
  <si>
    <t>696</t>
  </si>
  <si>
    <t>Обеспечение сохранности документов архивного фонда КР</t>
  </si>
  <si>
    <t>Формирование, комплектование, сохранение и использование Национального архивного фонда КР в интересах государства и общества</t>
  </si>
  <si>
    <t>Повышение качества и безопасности при хранении архивных документов</t>
  </si>
  <si>
    <t>Обеспечение физического сохранения архивных документов на постоянном хранении  с целью соблюдения нормативов и стандартов</t>
  </si>
  <si>
    <t>ед. хранения</t>
  </si>
  <si>
    <t>Оцифровка архивных документов</t>
  </si>
  <si>
    <t>Создания страхового фонда архивных документов (цифровая копия архивных документов) и фонда пользования архивных документов в целях неиспользования оригиналов документов, оперативный поиск архивных документов</t>
  </si>
  <si>
    <t>Эксплуатация и администрирование системы межведомственного электронного взаимодействия "Тундук", Государственного портала электронных услуг, Единой системы идентификации, Государственной системы электронных сообщений</t>
  </si>
  <si>
    <t>Обеспечение функционирования системы межведомственного электронного взаимодействия "Тундук", Государственного портала электронных услуг, Единой системы идентификации, Государственной системы электронных сообщений</t>
  </si>
  <si>
    <t>Проект "Digital CASA - Кыргызская Республика"</t>
  </si>
  <si>
    <t>Реализация проекта "Digital CASA - Кыргызская Республика"</t>
  </si>
  <si>
    <r>
      <rPr>
        <b/>
        <sz val="11"/>
        <color theme="1"/>
        <rFont val="Times New Roman"/>
        <family val="1"/>
        <charset val="204"/>
      </rPr>
      <t xml:space="preserve">Управление и администрирование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</si>
  <si>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Процент исполнения индикаторов результативности программ НИСИ КР</t>
  </si>
  <si>
    <t>702</t>
  </si>
  <si>
    <t xml:space="preserve">Аналитическая,научная и информационная поддержка деятельности высших органов власти </t>
  </si>
  <si>
    <t>Количество исследовательских продуктов (отчеты,аналитические записки,справки,рекомендации,статьи,доклады(тезисы к докладам) методические вклады и.т.д.) в области  социально экономической сферы, внутренней и внешней политики</t>
  </si>
  <si>
    <t>Проведение исследований в приоритетных  сферах экономики, внутренней и внешной политики</t>
  </si>
  <si>
    <t>Количество исследовательских продуктов (отчеты,аналитические записки,справки,рекомендации,статьи,доклады(тезисы к докладам) методические вклады и.т.д.) в области  социально  экономической сферы, внутренней и внешней политики</t>
  </si>
  <si>
    <t xml:space="preserve">Управление и администрирование                                                                                                                              
</t>
  </si>
  <si>
    <t>Управление и администрирование отрасли на центральном уровне.</t>
  </si>
  <si>
    <t>Управление и администрироование отрасли на территориальном уровне.</t>
  </si>
  <si>
    <t xml:space="preserve">Обеспечение качественного и достоверного статистического учета
</t>
  </si>
  <si>
    <t>Индекс  удовлетворенности  пользователей к официальной статистической информации</t>
  </si>
  <si>
    <t>Сбор и техническая обработка статистических показателей (ЦИКТ НСК КР)</t>
  </si>
  <si>
    <t>Соотношение числа включенных в статрегистр хозяйствующих субъектов к ощему числу хозяйствующих субъектов включенных в статрегистр:
- сельское хозяйство, лесное хозяйство 
- оптовая и розничная торговля;
- ремонт автомобилей и мотоциклов</t>
  </si>
  <si>
    <t xml:space="preserve">
51,6
20,8
4,1
</t>
  </si>
  <si>
    <t xml:space="preserve">
51,3
20,7
4,2
</t>
  </si>
  <si>
    <t xml:space="preserve">
51,8
20,9
4,7
</t>
  </si>
  <si>
    <t xml:space="preserve">
51,9
21,0
4,9</t>
  </si>
  <si>
    <t xml:space="preserve">
60,0
21,2
5,0</t>
  </si>
  <si>
    <t>Доля вновь созданных хозяйствующих субъектов к общему числу хозяйствующих субъектов включенных в базу данных в ЕГРСЕ</t>
  </si>
  <si>
    <t>Подготовка и проведение государственных статистических переписей</t>
  </si>
  <si>
    <t>Количество собираемой информации (субъектов переписи)</t>
  </si>
  <si>
    <t>числен. населен.тыс. ед.</t>
  </si>
  <si>
    <r>
      <rPr>
        <b/>
        <sz val="11"/>
        <color indexed="8"/>
        <rFont val="Times New Roman"/>
        <family val="1"/>
        <charset val="204"/>
      </rPr>
      <t>Разработка, совершенствование и внедрение научно-обоснованной методологии в области статистики</t>
    </r>
    <r>
      <rPr>
        <sz val="11"/>
        <color indexed="8"/>
        <rFont val="Times New Roman"/>
        <family val="1"/>
        <charset val="204"/>
      </rPr>
      <t xml:space="preserve">
</t>
    </r>
    <r>
      <rPr>
        <i/>
        <sz val="11"/>
        <color indexed="8"/>
        <rFont val="Times New Roman"/>
        <family val="1"/>
        <charset val="204"/>
      </rPr>
      <t>Цель программы: Высокий уровень качества статистической информации</t>
    </r>
  </si>
  <si>
    <t xml:space="preserve">Доля новых методик, разработанных институтом в  общем количестве применяемых статкомитетом методик </t>
  </si>
  <si>
    <t>Совершенствование методики сбора, обработки и анализа статистической информации</t>
  </si>
  <si>
    <t>Доля новых методик, внедренных в повседневную работу стат.органов от общего количества разработанных методик и предложений</t>
  </si>
  <si>
    <t>Повышение квалификации  работников статистических органов</t>
  </si>
  <si>
    <t>Доля работников стат. Органов,повысивших квалификацию от общей численности занятых в статкомитете</t>
  </si>
  <si>
    <r>
      <rPr>
        <b/>
        <sz val="11"/>
        <color indexed="8"/>
        <rFont val="Times New Roman"/>
        <family val="1"/>
        <charset val="204"/>
      </rPr>
      <t>Модернизация налогового администрирования и статистической системы. (Кредит МАР №6546 KG,Гранд MAP №D566KG от 28.04.2020г.)</t>
    </r>
    <r>
      <rPr>
        <sz val="11"/>
        <color indexed="8"/>
        <rFont val="Times New Roman"/>
        <family val="1"/>
        <charset val="204"/>
      </rPr>
      <t xml:space="preserve">
</t>
    </r>
    <r>
      <rPr>
        <i/>
        <sz val="11"/>
        <color indexed="8"/>
        <rFont val="Times New Roman"/>
        <family val="1"/>
        <charset val="204"/>
      </rPr>
      <t>Цель программы:Повышение эффективности национальной статистической системы,институциональные реформы и нарашивание потенциала в области статистической системы.</t>
    </r>
  </si>
  <si>
    <t>Повышение эффективности национальной статистической системы, институциональные реформы и наращивание потенциала в области статистической системы.</t>
  </si>
  <si>
    <t>Модернизация национальной статистической системы</t>
  </si>
  <si>
    <r>
      <t xml:space="preserve">Управление и администрирование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</si>
  <si>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__</t>
  </si>
  <si>
    <t xml:space="preserve">Процент исполнения бюджета без нарушений/организация кадрового учета с проведением без нарушений процедур по приему/перемещению/увольнению сотрудников/процент рассмотрения в установленные сроки поданных апелляций на решения Президиума ВАК </t>
  </si>
  <si>
    <t xml:space="preserve">Доля выигранных судебных процессов по трудовым спорам/организация кадрового учета с проведением без нарушений процедур по приему/перемещению/увольнению сотрудников </t>
  </si>
  <si>
    <t xml:space="preserve">Отношение выигранных судебных дел к их общему количеству/процент рассмотрения в установленные сроки поданных апелляций на решения Президиума ВАК </t>
  </si>
  <si>
    <t>ед/ед  %</t>
  </si>
  <si>
    <t>1 --1 100%</t>
  </si>
  <si>
    <t>772</t>
  </si>
  <si>
    <r>
      <t xml:space="preserve">Содействие улучшению качественного состава научных и научно-педагогических кадров, повышению эффективности их подготовки
</t>
    </r>
    <r>
      <rPr>
        <i/>
        <sz val="11"/>
        <color indexed="8"/>
        <rFont val="Times New Roman"/>
        <family val="1"/>
        <charset val="204"/>
      </rPr>
      <t>Цель программы Обеспечение контроля за научным уровнем диссертаций, их научной и практической ценностью, единством требований при аттестации научных и научно-педагогических кадров высшей квалификации</t>
    </r>
  </si>
  <si>
    <r>
      <rPr>
        <b/>
        <sz val="11"/>
        <color indexed="8"/>
        <rFont val="Times New Roman"/>
        <family val="1"/>
        <charset val="204"/>
      </rPr>
      <t xml:space="preserve">Процент решений Президиума ВАК на заключения эекпертных советов и выданных дипломов на положительные решения  </t>
    </r>
    <r>
      <rPr>
        <i/>
        <sz val="9"/>
        <color indexed="8"/>
        <rFont val="Arial"/>
        <family val="2"/>
        <charset val="204"/>
      </rPr>
      <t/>
    </r>
  </si>
  <si>
    <t xml:space="preserve">Организация работы диссертационных и экспертных советов, присуждение ученых степеней, присвоение ученых званий </t>
  </si>
  <si>
    <t>Отношение количества рассмотренных в срок диссертационных работ и аттестационных дел к общему количеству поступивших дел</t>
  </si>
  <si>
    <t>Количество заключенных международных договоров</t>
  </si>
  <si>
    <t>Внедрение и использование электронных программ, Баз данных, программы "Антиплагиат"</t>
  </si>
  <si>
    <t>Количество оцифрованного и введенного в Базу Данных материалов и диссертационных работ/ Отношение количества проверенных в срок диссертационных работ по программе "Антиплагиат"  к общему количеству поступивших дел на проверку</t>
  </si>
  <si>
    <t>ЕИ/%</t>
  </si>
  <si>
    <t>3000 /100</t>
  </si>
  <si>
    <t>Секретариат Совета безопасности КР</t>
  </si>
  <si>
    <t>Обеспечение деятельности Совета безопасности Кыргызской Республики по проведению единой государственной политики в сфере обеспечения национальной безопасности</t>
  </si>
  <si>
    <t>Количество вопросов рассмотренных на заседании Совета безопасности Кыргызской Республики</t>
  </si>
  <si>
    <t>Количество двухстрононних и многосторонних встреч в рамках сотрудничества со странами ШОС, ОДКБ и СНГ</t>
  </si>
  <si>
    <t>Управление и администрирование  на центральном уровне</t>
  </si>
  <si>
    <t>802</t>
  </si>
  <si>
    <t>Развитие физико-технических, математических и горно-геологических исследований</t>
  </si>
  <si>
    <t>Внедрение технологических разработок в производство</t>
  </si>
  <si>
    <t>Оценка сейсмического опасности и создание инженерно-сейсмометрической службы в районах расположения крупных ГЭС</t>
  </si>
  <si>
    <t xml:space="preserve">Количество проведенных землетрясений </t>
  </si>
  <si>
    <t>Изучение водных ресурсов и создание методов и средств контроля управления водными ресурсами. Научные основы рационального освоения гидроэнергетических ресурсов                   р. Сары-Джаз</t>
  </si>
  <si>
    <t>Количество проведенных экспертиз по расчету гидроэнергетического потенциала с учетом изменения климата для различных сценариев по отдельным рекам</t>
  </si>
  <si>
    <t xml:space="preserve">Разработка автоматизированной системы мониторинга оборудования высоковольтных энергетических объектов. Исследование и разработка структур и методов </t>
  </si>
  <si>
    <t>Количество полученных патентов на разработанные  методы и средства контроля состояния геоэкосферы. Обработка аэрокосмической информации для конкретных народнохозяйственных задач</t>
  </si>
  <si>
    <t xml:space="preserve">Разработка методов и средств прогноза и предотвращения природных и техногенных катастроф. Разработка техники для бурения шпуров и скважин </t>
  </si>
  <si>
    <t>Количество внедрений геологические карты</t>
  </si>
  <si>
    <t>803</t>
  </si>
  <si>
    <t>Развитие химико-технологических, медико-биологических и сельскохозяйственных исследований</t>
  </si>
  <si>
    <t xml:space="preserve">Количество лабораторных исследований </t>
  </si>
  <si>
    <t>Интродукция и селекция и сохранение растений в Кыргызской Республике. Изучение лесных растительных ресурсов Кыргызской Республики с целью их сохранения и устойчивого использования Изучение природных запасов и разработка технологий получения биоактивных соединений из полезных и лекарственных растений Кыргызской Республики</t>
  </si>
  <si>
    <t>Количество реализованной продукции (посадочный материал, эфирные масла) / Пополнение коллекционного гербарного фонда</t>
  </si>
  <si>
    <t>Биотестирование животных номинированных в банк генетических ресурсов Кыргызской Республики. Разработка научных основ мониторинга состояние биологических компонентов природы Кыргызской Республики</t>
  </si>
  <si>
    <t>Проведение биоаттестации коров. Пополнение коллекционных фондов.</t>
  </si>
  <si>
    <t xml:space="preserve">Разработка инновационных технологий комплексной переработки минерального и органического сырья; поиск средств оптимизации адаптационных возможностей и повышения качества жизни населения гор </t>
  </si>
  <si>
    <t>Количество проведенных госэкспертиз и международных региональных проектов по разработке нового способа активизации карбонизатов (угля-сырца) с получением активированного угля, получению топливных брикетов из рисовой шелухи</t>
  </si>
  <si>
    <t>804</t>
  </si>
  <si>
    <t>Развитие гуманитарных исследований</t>
  </si>
  <si>
    <t>Публикации (статьи, монографии, учебные пособии)</t>
  </si>
  <si>
    <t>Изучение истории кыргызов и Кыргызской Республики с древности до современности; проблемыизучения,использования культурного наследия Кыргызской Республики. Особенности развития и проблемы совершенствования рыночных институтов Кыргызской Республики</t>
  </si>
  <si>
    <t>Проведение госэкспертиз законов, нормативных актов</t>
  </si>
  <si>
    <t>Исследование вопросов методологии наук и  проведение социологических исследований в горных районах. Развитие гуманитарных исследований</t>
  </si>
  <si>
    <t>Количество выпущенных работ по теме "Межэтнические конфликтыв Кыргызской Республики: социологический анализ", "Экономика Кыргызской Республики: проблемы рационального использования природных ресурсов"</t>
  </si>
  <si>
    <t>Исследование региональных историко-философских, этно-лингвистических и социально-экономических проблем</t>
  </si>
  <si>
    <t>Количество проведенных научных конференций и мероприятий , гос экспертиз</t>
  </si>
  <si>
    <t>81</t>
  </si>
  <si>
    <t>812</t>
  </si>
  <si>
    <r>
      <rPr>
        <b/>
        <sz val="11"/>
        <color theme="1"/>
        <rFont val="Times New Roman"/>
        <family val="1"/>
        <charset val="204"/>
      </rPr>
      <t>Предоставление медицинских услуг</t>
    </r>
    <r>
      <rPr>
        <i/>
        <sz val="11"/>
        <color theme="1"/>
        <rFont val="Times New Roman"/>
        <family val="1"/>
        <charset val="204"/>
      </rPr>
      <t xml:space="preserve">
Цель программы: Качественное предоставление медицинских услуг</t>
    </r>
  </si>
  <si>
    <t>Число пролеченных больных</t>
  </si>
  <si>
    <r>
      <rPr>
        <b/>
        <sz val="11"/>
        <color theme="1"/>
        <rFont val="Times New Roman"/>
        <family val="1"/>
        <charset val="204"/>
      </rPr>
      <t xml:space="preserve">Управление и администриро-вание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</si>
  <si>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Количество положительных упоминаний министерства/ведомства в средствах массовой информации</t>
  </si>
  <si>
    <t>Доля результатов мониторинга принятых к исполнению в официальных внутренних документах от общего количества результатов мониторинга</t>
  </si>
  <si>
    <t>Процентное соотношение количества превентивных посещений в регионах к посещениям в ЦА Национального центра</t>
  </si>
  <si>
    <r>
      <t xml:space="preserve">Предупреждение пыток и жестокого обращения в местах лишения и ограничения свободы
</t>
    </r>
    <r>
      <rPr>
        <i/>
        <sz val="11"/>
        <color rgb="FF000000"/>
        <rFont val="Times New Roman"/>
        <family val="1"/>
        <charset val="204"/>
      </rPr>
      <t>Цель программы: Искоренение пыток и жестокого обращения, угрозы их применения  в местах лишения и ограничения свободы, детских учреждениях и психоневрологических диспансерах и т. д.</t>
    </r>
  </si>
  <si>
    <t>Динамика снижения (увеличения) фактов пыток в местах лишения и ограничения свободы, детских учреждениях и психоневрологических диспансерах</t>
  </si>
  <si>
    <t>Формирование в обществе нетерпимости к пыткам и жестокому обращению</t>
  </si>
  <si>
    <t>Количество проведенных мероприятий (круглых столов, семинаров, тренингов)</t>
  </si>
  <si>
    <t>Обеспечение законных прав в местах лишения и ограничения свободы</t>
  </si>
  <si>
    <t>Содействие улучшению условий содержания в местах лишения и ограничения свободы, детских учреждениях и психоневрологических диспансерах</t>
  </si>
  <si>
    <t>Удовлетворенность положительными изменениями условий содержания в местах лишения и ограничения свободы, детских учреждениях и психоневрологических диспансерах(результаты опросов)</t>
  </si>
  <si>
    <t>Обеспечение проведения регулярных превентивных посещений мест лишения и ограничения свободы, детских учреждений и психоневрологических диспансеров</t>
  </si>
  <si>
    <t>Общее количество превентивных посещений по республике по сообщениям, заявлениям</t>
  </si>
  <si>
    <t>Из них количество превентивных посещений согласно ежегодному плану Национального центра</t>
  </si>
  <si>
    <t>Мониторинг и анализ исполнения Кыргызской Республики требований международных конвенций в области искоренения пыток и жесткого обращения</t>
  </si>
  <si>
    <t>Процент исполнения требований международных договоров в области предупреждения пыток</t>
  </si>
  <si>
    <t>84</t>
  </si>
  <si>
    <t>842</t>
  </si>
  <si>
    <t>Издание газеты Эркин-Тоо</t>
  </si>
  <si>
    <t>Опубликование нормативных правовых актов Правительства, Президента, Жогорку кенеша Кыргызской Республики в газете "Эркин-Тоо"</t>
  </si>
  <si>
    <t>Доля своевременного опубликованных нормативно-правовых актов</t>
  </si>
  <si>
    <t>Общественная телерадиовещательная корпорация Кыргызской Республики</t>
  </si>
  <si>
    <r>
      <t xml:space="preserve">Координирование, создание программ ТВ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Качественное и доступное получение информации по ТВ</t>
    </r>
  </si>
  <si>
    <t>Объем вещания</t>
  </si>
  <si>
    <t>Создание программ ТВ</t>
  </si>
  <si>
    <t>час</t>
  </si>
  <si>
    <t>Техническое обеспечение ТВ программ  (РРТЦ)</t>
  </si>
  <si>
    <t>Качество оказываемых технических услуг</t>
  </si>
  <si>
    <r>
      <t xml:space="preserve">Программирование, создание программ РВ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Качественное и доступное получение информации по РВ</t>
    </r>
  </si>
  <si>
    <t>Создание программ РВ</t>
  </si>
  <si>
    <t>Распространение РВ программ на всю республику</t>
  </si>
  <si>
    <t>Охват населения</t>
  </si>
  <si>
    <t>Техническое обеспечение РВ  программ     (РРТЦ)</t>
  </si>
  <si>
    <r>
      <t xml:space="preserve">Производство ТВ фильмов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Цель программа:     Просвещение, программа зретелей      </t>
    </r>
    <r>
      <rPr>
        <b/>
        <sz val="11"/>
        <color theme="1"/>
        <rFont val="Times New Roman"/>
        <family val="1"/>
        <charset val="204"/>
      </rPr>
      <t xml:space="preserve">               </t>
    </r>
  </si>
  <si>
    <t>Количество фильмов, телепередач</t>
  </si>
  <si>
    <t xml:space="preserve">Производство художественных,  хроникально-документальных телефильмов, телепередач                    </t>
  </si>
  <si>
    <t>Государственная телерадиовещательная компания Кыргызской Республики "ЭлТР"</t>
  </si>
  <si>
    <t xml:space="preserve">Управление и адмнистрирование отрасли на центральном уровне </t>
  </si>
  <si>
    <t>Индикатор результативности: Охват телевещанием в % от общего числа населения</t>
  </si>
  <si>
    <t>Производство и выпуск в эфир телерадиопрограмм</t>
  </si>
  <si>
    <t>Рейтинг телепрограмм</t>
  </si>
  <si>
    <t>Техническое обеспечение телевещания</t>
  </si>
  <si>
    <t>Удельный вес территории КР, охваченной телевещанием</t>
  </si>
  <si>
    <r>
      <t xml:space="preserve">Национальный филиал межгосударственной телерадиовещательной компания "Мир" </t>
    </r>
    <r>
      <rPr>
        <b/>
        <sz val="12.1"/>
        <rFont val="Times New Roman"/>
        <family val="1"/>
        <charset val="204"/>
      </rPr>
      <t>в Кыргызской Республике</t>
    </r>
  </si>
  <si>
    <t>85</t>
  </si>
  <si>
    <t>Охват ТВ и РВ вещанием населения КР</t>
  </si>
  <si>
    <t>Организация деятельности службы обеспечения</t>
  </si>
  <si>
    <t>Производство телевизионных и радио программи их распространение</t>
  </si>
  <si>
    <t>Общее кол-во созданных филиалом ТВ и РВ программ в консолидированном эфире МТРК "Мир"</t>
  </si>
  <si>
    <t>541ч06м20</t>
  </si>
  <si>
    <t>Создание ТВ программ</t>
  </si>
  <si>
    <t>Хронометраж созданных филиалом ТВ программ для МТРК "Мир"</t>
  </si>
  <si>
    <t>41ч46м20с</t>
  </si>
  <si>
    <t>Создание РВ программ</t>
  </si>
  <si>
    <t>Хронометраж созданных филиалом РВ программ для МТРК "Мир"</t>
  </si>
  <si>
    <t>Техническое обеспечение и распространение ТВ и РВ программ</t>
  </si>
  <si>
    <t>Создание и распространени ТВ И РВ программ и их техническое обеспечение</t>
  </si>
  <si>
    <t>Итого (контрольные цифры)</t>
  </si>
  <si>
    <r>
      <t xml:space="preserve">Управление и администрирование отрасли на территориальном уровне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</si>
  <si>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 xml:space="preserve">Организация и проведение культурных мероприятий, междунарадных симпозиумов, конгрессов по проблемам эпоса "Манас" и наследия Ч.Айтматова». Публикация научных материалов в области манасаведения и чингизоведения                    </t>
  </si>
  <si>
    <t xml:space="preserve">Процент исполнения бюджета без нарушений </t>
  </si>
  <si>
    <t>132</t>
  </si>
  <si>
    <t>228</t>
  </si>
  <si>
    <t>394</t>
  </si>
  <si>
    <t>552</t>
  </si>
  <si>
    <t>554</t>
  </si>
  <si>
    <t>555</t>
  </si>
  <si>
    <t>556</t>
  </si>
  <si>
    <t>557</t>
  </si>
  <si>
    <t>412</t>
  </si>
  <si>
    <t>413</t>
  </si>
  <si>
    <t>414</t>
  </si>
  <si>
    <t>416</t>
  </si>
  <si>
    <t>417</t>
  </si>
  <si>
    <t>432</t>
  </si>
  <si>
    <t>433</t>
  </si>
  <si>
    <t>434</t>
  </si>
  <si>
    <t>572</t>
  </si>
  <si>
    <t>652</t>
  </si>
  <si>
    <t>653</t>
  </si>
  <si>
    <t>654</t>
  </si>
  <si>
    <t>655</t>
  </si>
  <si>
    <t>698</t>
  </si>
  <si>
    <t>855</t>
  </si>
  <si>
    <t>852</t>
  </si>
  <si>
    <t>853</t>
  </si>
  <si>
    <t>854</t>
  </si>
  <si>
    <t>856</t>
  </si>
  <si>
    <t>Выработка и реализации государственной политики в области ТЭК</t>
  </si>
  <si>
    <t>Степень выполнения отраслевых программ МЭП КР</t>
  </si>
  <si>
    <t>Оказание поддержки в обучении талантливых и одаренных детей и молодежи, в том числе за рубежом;</t>
  </si>
  <si>
    <t>Оказание адресной поддержки детям, находящимся в трудной жизненой ситуации;</t>
  </si>
  <si>
    <t>Поддержка инициатив в области образования и науки и других проектов, направленных на развитие личностных качеств молодежи</t>
  </si>
  <si>
    <t>Судебный департамент при Верховном суде Кыргызской Республики</t>
  </si>
  <si>
    <t>11  Жогорку Кенеш Кыргызской Республики</t>
  </si>
  <si>
    <t>12  Администрация Президента Кыргызской Республики</t>
  </si>
  <si>
    <t>13  Архив Президента Кыргызской Республики</t>
  </si>
  <si>
    <t>14  Фонды</t>
  </si>
  <si>
    <t>15  Управление делами Президента Кыргызской Республики</t>
  </si>
  <si>
    <t xml:space="preserve">16 Верховный суд Кыргызской Республики </t>
  </si>
  <si>
    <t>17 Счетная палата Кыргызской Республики</t>
  </si>
  <si>
    <t>Организация подготовки и проведение выборов Президента, депутатов Жогорку Кенеша Кыргызской Республики, депутатов местных кенешей, глав исполнительных органов местного самоуправления и референдумов</t>
  </si>
  <si>
    <t>Количество положительных упоминаний министерства, ведомства в средствах массовой информации</t>
  </si>
  <si>
    <t>Надзор за точным и единообразным исполнением законов орг. исполнитительной власти, органами местного самоуправления, их должност. лицами, другими госорганами, перечень которых определяется конституционным законом</t>
  </si>
  <si>
    <t>Количество принятых участий на судебных процессах. Количество обвинительных приговоров первой инстанции. Количество внесенных апелляционных, кассационных и надзорных представлений. Сумма возмещенного по искам ущерба</t>
  </si>
  <si>
    <t>Поддержка внешных связей с общественностью</t>
  </si>
  <si>
    <t>22   Министерство юстиции Кыргызской Республики</t>
  </si>
  <si>
    <t>19  Генеральная прокуратура Кыргызской Республики</t>
  </si>
  <si>
    <t>21  Омбудсмен (Акыйкатчы) Кыргызской республики</t>
  </si>
  <si>
    <t>Защита и представление прав и интересов Кабинета Министров Кыргызской Республики, а также интересов Кыргызской Республики в международных и местных судебных органах</t>
  </si>
  <si>
    <t>Руководство и контроль за обеспечением деятельности СИН и организация деятельности подразделений</t>
  </si>
  <si>
    <t>Судебно-правовая реформа Кыргызской Республики</t>
  </si>
  <si>
    <t>Оснащенность исправительных учреждений и следственных изоляторов современными инженерно-техническими средствами охраны (радио-лучевыми)</t>
  </si>
  <si>
    <t>обеспечения питанием, одеждой, обувью выдаче единивременного денежного пособия и оплате проезд лиц, освобождаемых из мест лишения  (до 1000 человек ежегодно)</t>
  </si>
  <si>
    <t>Количество проникновений  во внешнюю запретную зону</t>
  </si>
  <si>
    <t>Количество проникновений  во внутреннюю зону</t>
  </si>
  <si>
    <r>
      <rPr>
        <b/>
        <sz val="11"/>
        <color theme="1"/>
        <rFont val="Times New Roman"/>
        <family val="1"/>
        <charset val="204"/>
      </rPr>
      <t xml:space="preserve">Управление и администрирование                 </t>
    </r>
    <r>
      <rPr>
        <sz val="11"/>
        <color theme="1"/>
        <rFont val="Times New Roman"/>
        <family val="1"/>
        <charset val="204"/>
      </rPr>
      <t xml:space="preserve">       </t>
    </r>
    <r>
      <rPr>
        <i/>
        <sz val="11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программ, включенных в данную стратегию</t>
    </r>
  </si>
  <si>
    <t>Количество нарушений по задержке выплаты пенсий, финансируемых за счёт республиканского бюджета</t>
  </si>
  <si>
    <t>Реализация Национальной программы развития государственного языка и совершенствования языковой политики в Кыргызской Республике</t>
  </si>
  <si>
    <t>ОАО "Государственная ипотечная компания"</t>
  </si>
  <si>
    <t>ОАО "Электрические станции"</t>
  </si>
  <si>
    <t xml:space="preserve">ОАО "МКК" Фонд развития предпринимательства" </t>
  </si>
  <si>
    <t>Бюджетные кредиты на покупку электроавтобусов и зарядной инфраструктуры</t>
  </si>
  <si>
    <r>
      <t xml:space="preserve">Обеспечение конституционного правосудия и повышение потенциала Конституционного суда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Повышение эффективности обеспечение конституционного правосудия, изучение и применение международных стандартов конституционного правосудия</t>
    </r>
  </si>
  <si>
    <t>Количество прошедших стажировки работников</t>
  </si>
  <si>
    <t>Проведение национальной конференции 1 раз в два года</t>
  </si>
  <si>
    <t>Проведение международной конференции 1 раз в два года</t>
  </si>
  <si>
    <r>
      <t xml:space="preserve">Наращивание внутреннего потенциала Министерства экономики и коммерции КР. </t>
    </r>
    <r>
      <rPr>
        <i/>
        <sz val="11"/>
        <rFont val="Times New Roman"/>
        <family val="1"/>
        <charset val="204"/>
      </rPr>
      <t>Цель программы:Усиление потенциала министерства путем развития  УЧР, оптимизация рабочих процессов и совершенствование систем. Координирующее и организационное воздействие на реализацию других программ</t>
    </r>
  </si>
  <si>
    <t>Совершенствование нормативной правовой базы в сфере мобилизационной подготовки экономики</t>
  </si>
  <si>
    <t>Разработка новой редакции Концепции политики развития регионов</t>
  </si>
  <si>
    <t>Темп роста объемов экспорта,  в % к предыдущему году</t>
  </si>
  <si>
    <r>
      <t xml:space="preserve">Благоприятная нормативно-правовая среда для развития приоритетных сфер экономики.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Создание благоприятной нормативно-правовой среды и проведение разумных реформ для активизации приоритетных сфер экономики и деятельности субъектов бизнеса</t>
    </r>
  </si>
  <si>
    <t>Осуществление мер по применению оздоровительных процедур банкротства с целью сохранения производства должника</t>
  </si>
  <si>
    <t>Количество предприятий, в отношении которых применена реструктуризация, реабилитация,санация и мировое соглашение</t>
  </si>
  <si>
    <t>Объем эмиссии на фондовом рынке</t>
  </si>
  <si>
    <r>
      <t xml:space="preserve">Управление и администрирование                                           </t>
    </r>
    <r>
      <rPr>
        <i/>
        <sz val="11"/>
        <rFont val="Times New Roman"/>
        <family val="1"/>
        <charset val="204"/>
      </rPr>
      <t>Цель программы: Выработка рекомендаций для Кабинета Министров Кыргызской Республики в целях создания экономической устойчивости страны</t>
    </r>
  </si>
  <si>
    <t>Соотношение размера пособий для детей с ОВЗ к прожиточному минимуму на ребенка базового года</t>
  </si>
  <si>
    <t>Соотношение размеров пособий для ЛОВЗ с детства I, II, III группы к прожиточному минимуму на все население базового года</t>
  </si>
  <si>
    <r>
      <t xml:space="preserve">Содействие занятости населения и социальная поддержка безработных
</t>
    </r>
    <r>
      <rPr>
        <i/>
        <sz val="11"/>
        <rFont val="Times New Roman"/>
        <family val="1"/>
        <charset val="204"/>
      </rPr>
      <t>Цель программы: Эффективное содействие занятости населения (реализация мер активной политики занятости), оказание услуг по поиску подходящей работы и соц.поддержки безработных граждан и лиц ищущих работу через органы гос.службы занятости. Обеспечение выплат пособий по беременности и родам</t>
    </r>
  </si>
  <si>
    <r>
      <t xml:space="preserve">Поддержка семей и детей, находящихся в трудной жизненной ситуации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Повышение благосостояние лиц, находящихся в трудной жизненной ситуации (ТЖС), включая лиц с ограниченными возможностями здоровья и пожилых граждан, а также обеспечение детей государственными пособиями. Развитие института приемной семьи, оказавщихся в ТЖС. Возвращение в КР детей граждан КР оставщихся без попечения родителей на территории иностранного государства</t>
    </r>
  </si>
  <si>
    <t xml:space="preserve">38   Министерство труда, социального обеспечения и миграции Кыргызской Республики </t>
  </si>
  <si>
    <t>35  Государственное агентство интеллектуальной собственности и инноваций при Кабинете Министров Кыргызской Республики</t>
  </si>
  <si>
    <t>28   Министерство экономики и коммерции Кыргызской Республики</t>
  </si>
  <si>
    <t>39   Академия государственного управления при Президенте Кыргызской Республики</t>
  </si>
  <si>
    <t>40  Общественное объединение «Республиканский совет ветеранов войны, Вооруженных Сил, правоохранительных органов и труженников тыла Кыргызской Республики»</t>
  </si>
  <si>
    <t>Обслуживание официальных делегаций</t>
  </si>
  <si>
    <t>44  Министерство культуры, информации, спорта и молодежной политики Кыргызской Республики</t>
  </si>
  <si>
    <t>Количество выпущенной в эфире Социального пакета телеканалов аудиовизуальной продукции (социальные видеоролики, аудиоролики, телепередачи, новостные сюжеты, прямые эфиры и др.), направленные на освещение государственных программ, стратегий, планов мероприятий</t>
  </si>
  <si>
    <t>45   Министерство чрезвычайных ситуаций Кыргызской  Республики</t>
  </si>
  <si>
    <t>Реализация проекта государственных инвестиций: Повышение устойчивости к рискам стихийных бедствий КР</t>
  </si>
  <si>
    <r>
      <t xml:space="preserve">Предупреждение и ликвидация ЧС
</t>
    </r>
    <r>
      <rPr>
        <i/>
        <sz val="11"/>
        <rFont val="Times New Roman"/>
        <family val="1"/>
        <charset val="204"/>
      </rPr>
      <t>Цель программы: Минимизация рисков и негативных последствий чрезвычайных ситуаций с помощью проведения плановых превентивных и защитных мероприятий.Своевременное реагирование на чрезвычайные ситуации, проведение поисковых, аварийно-спасательных работ по ликвидации последствий ЧС</t>
    </r>
  </si>
  <si>
    <t>Проведение первоочередных  превентивных, аварийно-восстановительных, защитных мероприятий; строительство и эксплуатация селезащитных инженерных сооружений</t>
  </si>
  <si>
    <r>
      <t xml:space="preserve">Подготовка органов самоуправления, сил Гражданской защиты и населения к действиям в чрезвычайных ситуациях.
</t>
    </r>
    <r>
      <rPr>
        <i/>
        <sz val="11"/>
        <rFont val="Times New Roman"/>
        <family val="1"/>
        <charset val="204"/>
      </rPr>
      <t>Цель программы: Минимизация рисков и негативных последствий чрезвычайных ситуаций за счет повышения уровня осведомленности и подготовки органов управления, сил Гражданской защиты и населения</t>
    </r>
  </si>
  <si>
    <t>Подготовка и переподготовка специалистов ГЗ, органов самоуправления и населения к действиям в ЧС</t>
  </si>
  <si>
    <t>Подготовка и переподготовка специалистов по водолазному делу, проведение подводно-технических, поисково-спасательных, научно-исследовательских и экспертных работ на всех водных объектах</t>
  </si>
  <si>
    <r>
      <t xml:space="preserve">Управление и администрирование                               </t>
    </r>
    <r>
      <rPr>
        <i/>
        <sz val="11"/>
        <rFont val="Times New Roman"/>
        <family val="1"/>
        <charset val="204"/>
      </rPr>
      <t>Цель программы: координирую-щее и органи-зационное воздействие на реализацию других программ</t>
    </r>
  </si>
  <si>
    <r>
      <t>49   Общественное объединение «Кыргызское общество слепых и глухих</t>
    </r>
    <r>
      <rPr>
        <b/>
        <sz val="11"/>
        <rFont val="Calibri"/>
        <family val="2"/>
        <charset val="204"/>
      </rPr>
      <t>»</t>
    </r>
  </si>
  <si>
    <t>46   Центрально-Азиатский Институт прикладных Исследований Земли</t>
  </si>
  <si>
    <r>
      <t xml:space="preserve">Геологические исследования недр, контроль состояния подземных вод и опасных экзогенных геологических процессов - Государственный геологический заказ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Проведение поисково-оценочных работ, направленных на выявление проявлений и месторождений полезных ископаемых с оценкой их прогнозных ресурсов. Системное изучение геологической среды в части наблюдений за режимом и качеством подземных вод и опасных экзогенных геологических процессов </t>
    </r>
    <r>
      <rPr>
        <b/>
        <sz val="11"/>
        <rFont val="Times New Roman"/>
        <family val="1"/>
        <charset val="204"/>
      </rPr>
      <t xml:space="preserve">          </t>
    </r>
  </si>
  <si>
    <r>
      <t xml:space="preserve">Управление природными ресурсами                 </t>
    </r>
    <r>
      <rPr>
        <i/>
        <sz val="11"/>
        <rFont val="Times New Roman"/>
        <family val="1"/>
        <charset val="204"/>
      </rPr>
      <t>Цель программы:  Реализация государственной политики в области недропользования. Обеспечение рационального использования недр Кыргызской Республики.</t>
    </r>
  </si>
  <si>
    <t>Перенос геологических материалов на цифровые носители от общего количества материалов в геологическом архиве</t>
  </si>
  <si>
    <t>68   Секретариат Национальной комиссии Кыргызской Республики по делам ЮНЕСКО</t>
  </si>
  <si>
    <t>65  Министерство природных ресурсов, экологии и технического надзора Кыргызской Республики</t>
  </si>
  <si>
    <t xml:space="preserve">64   Государстенная комиссия по делам религий  Кыргызской  Республики </t>
  </si>
  <si>
    <t>60  Государственное агентство архитектуры, строительства и жилищно-коммунального  хозяйства при Кабинете Министров Кыргызской Республики</t>
  </si>
  <si>
    <t>59  Государственное агентство по делам государственной службы и местного самоуправления при Кабинете Министров Кыргызской Республики</t>
  </si>
  <si>
    <t>58   Государственное агентство по защите персональных данных при Кабинете Министров Кыргызской Республики</t>
  </si>
  <si>
    <t>57  Национальное агентство по инвестициям при Президенте Кыргызской Республики</t>
  </si>
  <si>
    <t>50   Национальная комиссия по государственному языку и языковой политике при Президенте Кыргызской Республики</t>
  </si>
  <si>
    <t>69  Министерство цифрового развития Кыргызской Республики</t>
  </si>
  <si>
    <t>Индекс доверия населения                                 (в разрезе министерств)</t>
  </si>
  <si>
    <t>Подготовка и заключение международных договоров по вопросам аттестации научных и научно-педагогических кадров</t>
  </si>
  <si>
    <t>Оптимизация системы предоставления медицинских услуг, оказываемых КБ УД П КР</t>
  </si>
  <si>
    <t xml:space="preserve">84  Редакция журналов и газет </t>
  </si>
  <si>
    <t>85   Телерадиовещательные компании Кыргызской Республики</t>
  </si>
  <si>
    <t>82  Национальный центр Кыргызской Республики по предупреждению пыток и других жестоких, бесчеловечных или унижающих достоинство видов обращения и наказания</t>
  </si>
  <si>
    <t>81   Клиническая больница  Управления Делами Президента Кыргызской Республики</t>
  </si>
  <si>
    <t>80   Национальная академия наук Кыргызской Республики</t>
  </si>
  <si>
    <t>79   Секретариат Совета безопасности Кыргызской Республики</t>
  </si>
  <si>
    <t>77    Национальная аттестационная комиссия при Президенте Кыргызской Республики</t>
  </si>
  <si>
    <t>74    Национальный статистический комитет Кыргызской Республики</t>
  </si>
  <si>
    <t>70   Национальный институт стратегических исследований Кыргызской Республики</t>
  </si>
  <si>
    <t>88  Национальная академия "Манас" и Чынгыза Айтматова</t>
  </si>
  <si>
    <r>
      <t xml:space="preserve">Организация и планирования мероприятий деятельности Учреждения
</t>
    </r>
    <r>
      <rPr>
        <i/>
        <sz val="11"/>
        <color indexed="8"/>
        <rFont val="Times New Roman"/>
        <family val="1"/>
        <charset val="204"/>
      </rPr>
      <t xml:space="preserve">Цель программы: Широкое распространение,сохранение,развитие и популяризация трилогии эпоса "Манас", а также ценностей культурного наследия народного писателя Кыргызской Республики Чингиза Айтматова </t>
    </r>
  </si>
  <si>
    <t>Общее количество созданных филиалом ТВ и РВ программ в консолидированном эфире МТРК "Мир"</t>
  </si>
  <si>
    <r>
      <t xml:space="preserve">Создание и распространение телерадиовещания на территории Кыргызской Республики и за ее пределами
</t>
    </r>
    <r>
      <rPr>
        <i/>
        <sz val="11"/>
        <rFont val="Times New Roman"/>
        <family val="1"/>
        <charset val="204"/>
      </rPr>
      <t>Цель программы: Оказание информационно-просветительских услуг путем выпуска телерадиопередач в эфир</t>
    </r>
  </si>
  <si>
    <t>Количество выработанных Нац. Центром рекомендаций по искоренению пыток и улучшению условий содержания, принятых к реализации другими гос. органами</t>
  </si>
  <si>
    <t>Количество источников доходов бюджета (налогов и сборов), по которым осуществляется прогнозирование</t>
  </si>
  <si>
    <t>25   Министерство финансов Кыргызской Республики</t>
  </si>
  <si>
    <t>Эффективное управление государственными финансами</t>
  </si>
  <si>
    <t xml:space="preserve">Администрирование государственных доходов </t>
  </si>
  <si>
    <t>Оценка рисков и отраслевая политика а также проведение оперативного и стратегического анализа и применение целевых финансовых санкций</t>
  </si>
  <si>
    <t>34 Министерство образования и науки Кыргызской Республики</t>
  </si>
  <si>
    <t xml:space="preserve">37   Министерство здравоохранения Кыргызской Республики </t>
  </si>
  <si>
    <t>процент от подлежаще-го контингента</t>
  </si>
  <si>
    <t>Улучшение качества медицинских услуг,  оказываемых государственными организациями здравоохранения с упором на развитие ПМСП</t>
  </si>
  <si>
    <t>Доля женщин из медико-социальной группы риска, применяющих оральные контрацептивы</t>
  </si>
  <si>
    <r>
      <t xml:space="preserve">Медицинское образование и управление человеческими ресурсами в здравоохранении
</t>
    </r>
    <r>
      <rPr>
        <i/>
        <sz val="11"/>
        <rFont val="Times New Roman"/>
        <family val="1"/>
        <charset val="204"/>
      </rPr>
      <t>Цель программы: Обеспечение квалифицированными медицинскими кадрами организаций здравоохранения республики</t>
    </r>
  </si>
  <si>
    <t>Реализация проекта "Обеспечения доступа к рынкам"</t>
  </si>
  <si>
    <t>Строительство и ремонт систем питьевого водоснабжения в 35 селах Баткенской и 3 селах Иссык-Кульской областей</t>
  </si>
  <si>
    <t>Реабилитация международных транспортных коридоров</t>
  </si>
  <si>
    <r>
      <rPr>
        <b/>
        <sz val="11"/>
        <color theme="1"/>
        <rFont val="Times New Roman"/>
        <family val="1"/>
        <charset val="204"/>
      </rPr>
      <t>Управление и администрирование</t>
    </r>
    <r>
      <rPr>
        <sz val="11"/>
        <color theme="1"/>
        <rFont val="Times New Roman"/>
        <family val="1"/>
        <charset val="204"/>
      </rPr>
      <t xml:space="preserve">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 Координирующее и организационное воздействие на реализацию других программ</t>
    </r>
  </si>
  <si>
    <r>
      <t xml:space="preserve">Обеспечение населения тепловой энергией               </t>
    </r>
    <r>
      <rPr>
        <i/>
        <sz val="11"/>
        <color theme="1"/>
        <rFont val="Times New Roman"/>
        <family val="1"/>
        <charset val="204"/>
      </rPr>
      <t>Цель программы: Государственная поддержка населению в получении социально-значимых, жизненно-важных услуг отопления и горячего водоснабжения.</t>
    </r>
  </si>
  <si>
    <r>
      <t xml:space="preserve">Создание экономических стимулов для развития сектора энергетики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Создание условий повышения экономической эффективности и надежности функционирования действующих в области ТЭК  хозяйствующих субъектов</t>
    </r>
  </si>
  <si>
    <t>Тарифное регулирование сектора энергетики</t>
  </si>
  <si>
    <r>
      <t xml:space="preserve">Мониторинг и контроль по энергетическому надзору  </t>
    </r>
    <r>
      <rPr>
        <i/>
        <sz val="11"/>
        <color theme="1"/>
        <rFont val="Times New Roman"/>
        <family val="1"/>
        <charset val="204"/>
      </rPr>
      <t>Цель программы: Государственный контроль и надзор в сфере энергетики</t>
    </r>
  </si>
  <si>
    <t>Количество несчастных случаев на пром. объектах</t>
  </si>
  <si>
    <r>
      <t xml:space="preserve">Развитие научно-технического потенциала 
</t>
    </r>
    <r>
      <rPr>
        <i/>
        <sz val="11"/>
        <color theme="1"/>
        <rFont val="Times New Roman"/>
        <family val="1"/>
        <charset val="204"/>
      </rPr>
      <t>Цель программы: Поддержание высокого уровня научно-технологического потенциала, направленного на эффективное использование энергетических ресурсов страны</t>
    </r>
  </si>
  <si>
    <t>Экономия финансирования выделенного бюджетным учреждениям по статье "Оплата за электроэнергию" к данным 2020 года</t>
  </si>
  <si>
    <t>Проект "Улучшение теплоснабжения"</t>
  </si>
  <si>
    <t>Реабилитация ОАО "Востокэлектро"</t>
  </si>
  <si>
    <t>Реабилитация ОАО "Ошэлектро"</t>
  </si>
  <si>
    <t>Количество сельскохозяйственных угодий (га)/ год</t>
  </si>
  <si>
    <t>Показатель эффективности соотношения выигранных судебных дел к их общему количеству</t>
  </si>
  <si>
    <t>Приложение 11
к Закону Кыргызской Республики «О республиканском бюджете 
Кыргызской Республики на 2023 год и плановый период 2024-2025 годов»</t>
  </si>
  <si>
    <t>Количество выданных государственных охотничьих удотоверений. Для упоряжочения количества охотников с ведением базы данных охотников в республике</t>
  </si>
  <si>
    <t>Приложение 11-1
к Закону Кыргызской Республики «О республиканском бюджете 
Кыргызской Республики на 2023 год и плановый период 2024-2025 годов»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</si>
</sst>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\ &quot;₽&quot;_-;\-* #,##0.00\ &quot;₽&quot;_-;_-* &quot;-&quot;??\ &quot;₽&quot;_-;_-@_-"/>
    <numFmt numFmtId="165" formatCode="_-* #,##0.00\ _₽_-;\-* #,##0.00\ _₽_-;_-* &quot;-&quot;??\ _₽_-;_-@_-"/>
    <numFmt numFmtId="166" formatCode="_-* #,##0.00\ _с_о_м_-;\-* #,##0.00\ _с_о_м_-;_-* &quot;-&quot;??\ _с_о_м_-;_-@_-"/>
    <numFmt numFmtId="167" formatCode="#,##0.0"/>
    <numFmt numFmtId="168" formatCode="0.0"/>
    <numFmt numFmtId="169" formatCode="_(* #,##0.00_);_(* \(#,##0.00\);_(* &quot;-&quot;??_);_(@_)"/>
    <numFmt numFmtId="170" formatCode="###,000__;\-###,000__"/>
    <numFmt numFmtId="171" formatCode="##,#00__;\-##,#00__"/>
    <numFmt numFmtId="172" formatCode="#,##0.0_р_."/>
    <numFmt numFmtId="173" formatCode="_-* #,##0.00\ _р_._-;\-* #,##0.00\ _р_._-;_-* &quot;-&quot;??\ _р_._-;_-@_-"/>
    <numFmt numFmtId="174" formatCode="000000"/>
    <numFmt numFmtId="175" formatCode="0.00;[Red]0.00"/>
    <numFmt numFmtId="176" formatCode="0;[Red]0"/>
    <numFmt numFmtId="177" formatCode="###,000;[Red]\-###,000"/>
    <numFmt numFmtId="178" formatCode="_-* #,##0.0\ _₽_-;\-* #,##0.0\ _₽_-;_-* &quot;-&quot;??\ _₽_-;_-@_-"/>
    <numFmt numFmtId="179" formatCode="0.000"/>
    <numFmt numFmtId="180" formatCode="#,##0_ ;[Red]\-#,##0\ "/>
    <numFmt numFmtId="181" formatCode="#,##0_ ;\-#,##0\ "/>
    <numFmt numFmtId="182" formatCode="0.0%"/>
    <numFmt numFmtId="183" formatCode="#,##0.0_ ;\-#,##0.0\ "/>
    <numFmt numFmtId="184" formatCode="_ * #,##0.00_ ;_ * \-#,##0.00_ ;_ * &quot;-&quot;??_ ;_ @_ "/>
    <numFmt numFmtId="185" formatCode="#,##0.0\ _₽;[Red]\-#,##0.0\ _₽"/>
    <numFmt numFmtId="186" formatCode="#,##0.0_ ;[Red]\-#,##0.0\ "/>
    <numFmt numFmtId="187" formatCode="0000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</font>
    <font>
      <sz val="10"/>
      <color indexed="8"/>
      <name val="MS Sans Serif"/>
      <family val="2"/>
      <charset val="204"/>
    </font>
    <font>
      <sz val="10"/>
      <name val="Times New Roman Cyr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1"/>
    </font>
    <font>
      <sz val="8"/>
      <name val="Arial"/>
      <family val="2"/>
      <charset val="204"/>
    </font>
    <font>
      <b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1"/>
      <color indexed="11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rgb="FF2B2B2B"/>
      <name val="Times New Roman"/>
      <family val="1"/>
      <charset val="204"/>
    </font>
    <font>
      <sz val="11"/>
      <color theme="1" tint="4.9989318521683403E-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rgb="FF000099"/>
      <name val="Times New Roman"/>
      <family val="1"/>
      <charset val="204"/>
    </font>
    <font>
      <sz val="11"/>
      <color rgb="FF2B2B2B"/>
      <name val="Times New Roman"/>
      <family val="1"/>
      <charset val="204"/>
    </font>
    <font>
      <b/>
      <sz val="11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i/>
      <sz val="9"/>
      <color indexed="8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b/>
      <sz val="12.1"/>
      <name val="Times New Roman"/>
      <family val="1"/>
      <charset val="20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EEECE1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8D8D8"/>
      </patternFill>
    </fill>
    <fill>
      <patternFill patternType="solid">
        <fgColor rgb="FFFFFFFF"/>
      </patternFill>
    </fill>
    <fill>
      <patternFill patternType="solid">
        <fgColor rgb="FFFFFFFF"/>
        <bgColor rgb="FFFFFFCC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66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1" fillId="0" borderId="0"/>
    <xf numFmtId="0" fontId="12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167" fontId="13" fillId="0" borderId="0"/>
    <xf numFmtId="0" fontId="14" fillId="0" borderId="0"/>
    <xf numFmtId="0" fontId="15" fillId="0" borderId="0"/>
    <xf numFmtId="0" fontId="15" fillId="0" borderId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6" fillId="0" borderId="0"/>
    <xf numFmtId="0" fontId="11" fillId="0" borderId="0"/>
    <xf numFmtId="0" fontId="11" fillId="0" borderId="0"/>
    <xf numFmtId="0" fontId="17" fillId="0" borderId="0"/>
    <xf numFmtId="0" fontId="3" fillId="0" borderId="0"/>
    <xf numFmtId="165" fontId="3" fillId="0" borderId="0" applyFont="0" applyFill="0" applyBorder="0" applyAlignment="0" applyProtection="0"/>
    <xf numFmtId="0" fontId="10" fillId="0" borderId="0"/>
    <xf numFmtId="0" fontId="1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3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4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9" fillId="0" borderId="4">
      <alignment vertical="center" wrapText="1"/>
    </xf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21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1" borderId="0" applyNumberFormat="0" applyBorder="0" applyAlignment="0" applyProtection="0"/>
    <xf numFmtId="0" fontId="20" fillId="10" borderId="0" applyNumberFormat="0" applyBorder="0" applyAlignment="0" applyProtection="0"/>
    <xf numFmtId="0" fontId="20" fillId="26" borderId="0" applyNumberFormat="0" applyBorder="0" applyAlignment="0" applyProtection="0"/>
    <xf numFmtId="0" fontId="27" fillId="12" borderId="0" applyNumberFormat="0" applyBorder="0" applyAlignment="0" applyProtection="0"/>
    <xf numFmtId="0" fontId="23" fillId="8" borderId="11" applyNumberFormat="0" applyAlignment="0" applyProtection="0"/>
    <xf numFmtId="0" fontId="25" fillId="27" borderId="12" applyNumberFormat="0" applyAlignment="0" applyProtection="0"/>
    <xf numFmtId="0" fontId="28" fillId="0" borderId="0" applyNumberFormat="0" applyFill="0" applyBorder="0" applyAlignment="0" applyProtection="0"/>
    <xf numFmtId="0" fontId="31" fillId="13" borderId="0" applyNumberFormat="0" applyBorder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34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21" fillId="6" borderId="11" applyNumberFormat="0" applyAlignment="0" applyProtection="0"/>
    <xf numFmtId="0" fontId="29" fillId="0" borderId="16" applyNumberFormat="0" applyFill="0" applyAlignment="0" applyProtection="0"/>
    <xf numFmtId="0" fontId="26" fillId="9" borderId="0" applyNumberFormat="0" applyBorder="0" applyAlignment="0" applyProtection="0"/>
    <xf numFmtId="0" fontId="17" fillId="7" borderId="17" applyNumberFormat="0" applyFont="0" applyAlignment="0" applyProtection="0"/>
    <xf numFmtId="0" fontId="22" fillId="8" borderId="18" applyNumberFormat="0" applyAlignment="0" applyProtection="0"/>
    <xf numFmtId="0" fontId="35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30" fillId="0" borderId="0" applyNumberFormat="0" applyFill="0" applyBorder="0" applyAlignment="0" applyProtection="0"/>
    <xf numFmtId="0" fontId="17" fillId="0" borderId="0"/>
    <xf numFmtId="0" fontId="3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7" fillId="0" borderId="0"/>
    <xf numFmtId="0" fontId="37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7" fillId="0" borderId="0"/>
    <xf numFmtId="173" fontId="16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0" fontId="23" fillId="8" borderId="20" applyNumberFormat="0" applyAlignment="0" applyProtection="0"/>
    <xf numFmtId="0" fontId="21" fillId="6" borderId="20" applyNumberFormat="0" applyAlignment="0" applyProtection="0"/>
    <xf numFmtId="0" fontId="17" fillId="7" borderId="21" applyNumberFormat="0" applyFont="0" applyAlignment="0" applyProtection="0"/>
    <xf numFmtId="0" fontId="22" fillId="8" borderId="22" applyNumberFormat="0" applyAlignment="0" applyProtection="0"/>
    <xf numFmtId="0" fontId="24" fillId="0" borderId="23" applyNumberFormat="0" applyFill="0" applyAlignment="0" applyProtection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2" fillId="0" borderId="0" applyFill="0"/>
    <xf numFmtId="165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9" fillId="0" borderId="25">
      <alignment vertical="center" wrapText="1"/>
    </xf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0" fontId="7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18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" fillId="0" borderId="0"/>
    <xf numFmtId="0" fontId="7" fillId="0" borderId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/>
    <xf numFmtId="0" fontId="3" fillId="0" borderId="0"/>
    <xf numFmtId="0" fontId="1" fillId="0" borderId="0">
      <alignment vertical="center"/>
    </xf>
    <xf numFmtId="0" fontId="7" fillId="0" borderId="0"/>
    <xf numFmtId="9" fontId="17" fillId="0" borderId="0" applyFont="0" applyFill="0" applyBorder="0" applyAlignment="0" applyProtection="0"/>
    <xf numFmtId="9" fontId="3" fillId="0" borderId="0" applyFont="0" applyFill="0" applyBorder="0" applyAlignment="0" applyProtection="0"/>
    <xf numFmtId="184" fontId="1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1" fillId="6" borderId="20" applyNumberFormat="0" applyAlignment="0" applyProtection="0"/>
    <xf numFmtId="0" fontId="23" fillId="8" borderId="20" applyNumberFormat="0" applyAlignment="0" applyProtection="0"/>
    <xf numFmtId="0" fontId="22" fillId="8" borderId="22" applyNumberFormat="0" applyAlignment="0" applyProtection="0"/>
    <xf numFmtId="0" fontId="17" fillId="7" borderId="21" applyNumberFormat="0" applyFont="0" applyAlignment="0" applyProtection="0"/>
    <xf numFmtId="0" fontId="24" fillId="0" borderId="23" applyNumberFormat="0" applyFill="0" applyAlignment="0" applyProtection="0"/>
    <xf numFmtId="0" fontId="22" fillId="8" borderId="22" applyNumberFormat="0" applyAlignment="0" applyProtection="0"/>
    <xf numFmtId="0" fontId="21" fillId="6" borderId="20" applyNumberFormat="0" applyAlignment="0" applyProtection="0"/>
    <xf numFmtId="0" fontId="19" fillId="0" borderId="25">
      <alignment vertical="center" wrapText="1"/>
    </xf>
    <xf numFmtId="0" fontId="21" fillId="6" borderId="20" applyNumberFormat="0" applyAlignment="0" applyProtection="0"/>
    <xf numFmtId="0" fontId="24" fillId="0" borderId="23" applyNumberFormat="0" applyFill="0" applyAlignment="0" applyProtection="0"/>
    <xf numFmtId="0" fontId="23" fillId="8" borderId="20" applyNumberFormat="0" applyAlignment="0" applyProtection="0"/>
    <xf numFmtId="0" fontId="22" fillId="8" borderId="22" applyNumberFormat="0" applyAlignment="0" applyProtection="0"/>
    <xf numFmtId="0" fontId="21" fillId="6" borderId="20" applyNumberFormat="0" applyAlignment="0" applyProtection="0"/>
    <xf numFmtId="0" fontId="17" fillId="7" borderId="21" applyNumberFormat="0" applyFont="0" applyAlignment="0" applyProtection="0"/>
    <xf numFmtId="0" fontId="22" fillId="8" borderId="22" applyNumberFormat="0" applyAlignment="0" applyProtection="0"/>
    <xf numFmtId="0" fontId="24" fillId="0" borderId="23" applyNumberFormat="0" applyFill="0" applyAlignment="0" applyProtection="0"/>
    <xf numFmtId="0" fontId="24" fillId="0" borderId="23" applyNumberFormat="0" applyFill="0" applyAlignment="0" applyProtection="0"/>
    <xf numFmtId="0" fontId="23" fillId="8" borderId="20" applyNumberFormat="0" applyAlignment="0" applyProtection="0"/>
    <xf numFmtId="0" fontId="24" fillId="0" borderId="23" applyNumberFormat="0" applyFill="0" applyAlignment="0" applyProtection="0"/>
    <xf numFmtId="0" fontId="17" fillId="7" borderId="21" applyNumberFormat="0" applyFont="0" applyAlignment="0" applyProtection="0"/>
    <xf numFmtId="0" fontId="24" fillId="0" borderId="23" applyNumberFormat="0" applyFill="0" applyAlignment="0" applyProtection="0"/>
    <xf numFmtId="0" fontId="22" fillId="8" borderId="22" applyNumberFormat="0" applyAlignment="0" applyProtection="0"/>
    <xf numFmtId="0" fontId="17" fillId="7" borderId="21" applyNumberFormat="0" applyFont="0" applyAlignment="0" applyProtection="0"/>
    <xf numFmtId="0" fontId="21" fillId="6" borderId="20" applyNumberFormat="0" applyAlignment="0" applyProtection="0"/>
    <xf numFmtId="0" fontId="19" fillId="0" borderId="25">
      <alignment vertical="center" wrapText="1"/>
    </xf>
    <xf numFmtId="0" fontId="23" fillId="8" borderId="20" applyNumberFormat="0" applyAlignment="0" applyProtection="0"/>
    <xf numFmtId="0" fontId="24" fillId="0" borderId="23" applyNumberFormat="0" applyFill="0" applyAlignment="0" applyProtection="0"/>
    <xf numFmtId="0" fontId="17" fillId="7" borderId="21" applyNumberFormat="0" applyFont="0" applyAlignment="0" applyProtection="0"/>
    <xf numFmtId="0" fontId="23" fillId="8" borderId="20" applyNumberFormat="0" applyAlignment="0" applyProtection="0"/>
    <xf numFmtId="0" fontId="17" fillId="7" borderId="21" applyNumberFormat="0" applyFont="0" applyAlignment="0" applyProtection="0"/>
    <xf numFmtId="0" fontId="23" fillId="8" borderId="20" applyNumberFormat="0" applyAlignment="0" applyProtection="0"/>
    <xf numFmtId="0" fontId="21" fillId="6" borderId="20" applyNumberFormat="0" applyAlignment="0" applyProtection="0"/>
    <xf numFmtId="0" fontId="17" fillId="7" borderId="21" applyNumberFormat="0" applyFont="0" applyAlignment="0" applyProtection="0"/>
    <xf numFmtId="0" fontId="22" fillId="8" borderId="22" applyNumberFormat="0" applyAlignment="0" applyProtection="0"/>
    <xf numFmtId="0" fontId="24" fillId="0" borderId="23" applyNumberFormat="0" applyFill="0" applyAlignment="0" applyProtection="0"/>
    <xf numFmtId="0" fontId="22" fillId="8" borderId="22" applyNumberFormat="0" applyAlignment="0" applyProtection="0"/>
    <xf numFmtId="0" fontId="23" fillId="8" borderId="20" applyNumberFormat="0" applyAlignment="0" applyProtection="0"/>
    <xf numFmtId="0" fontId="22" fillId="8" borderId="22" applyNumberFormat="0" applyAlignment="0" applyProtection="0"/>
    <xf numFmtId="0" fontId="21" fillId="6" borderId="20" applyNumberFormat="0" applyAlignment="0" applyProtection="0"/>
    <xf numFmtId="0" fontId="17" fillId="7" borderId="21" applyNumberFormat="0" applyFont="0" applyAlignment="0" applyProtection="0"/>
    <xf numFmtId="9" fontId="3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1" fillId="6" borderId="20" applyNumberFormat="0" applyAlignment="0" applyProtection="0"/>
    <xf numFmtId="0" fontId="23" fillId="8" borderId="20" applyNumberFormat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</cellStyleXfs>
  <cellXfs count="172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5" fillId="3" borderId="1" xfId="0" applyFont="1" applyFill="1" applyBorder="1" applyAlignment="1">
      <alignment vertical="center" wrapText="1"/>
    </xf>
    <xf numFmtId="0" fontId="6" fillId="2" borderId="0" xfId="0" applyFont="1" applyFill="1"/>
    <xf numFmtId="0" fontId="19" fillId="0" borderId="0" xfId="0" applyFont="1"/>
    <xf numFmtId="0" fontId="5" fillId="3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172" fontId="39" fillId="0" borderId="0" xfId="0" applyNumberFormat="1" applyFont="1" applyAlignment="1">
      <alignment horizontal="center"/>
    </xf>
    <xf numFmtId="172" fontId="39" fillId="0" borderId="0" xfId="0" applyNumberFormat="1" applyFont="1" applyAlignment="1">
      <alignment horizontal="center" vertical="center"/>
    </xf>
    <xf numFmtId="172" fontId="39" fillId="0" borderId="0" xfId="0" applyNumberFormat="1" applyFont="1" applyAlignment="1">
      <alignment horizontal="right" vertical="center"/>
    </xf>
    <xf numFmtId="172" fontId="8" fillId="0" borderId="0" xfId="0" applyNumberFormat="1" applyFont="1" applyAlignment="1">
      <alignment horizontal="center"/>
    </xf>
    <xf numFmtId="172" fontId="8" fillId="0" borderId="0" xfId="0" applyNumberFormat="1" applyFont="1" applyAlignment="1">
      <alignment horizontal="center" vertical="center"/>
    </xf>
    <xf numFmtId="172" fontId="8" fillId="0" borderId="0" xfId="0" applyNumberFormat="1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7" fontId="5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left" vertical="center" wrapText="1"/>
    </xf>
    <xf numFmtId="0" fontId="18" fillId="32" borderId="36" xfId="0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2" borderId="1" xfId="0" applyNumberFormat="1" applyFont="1" applyFill="1" applyBorder="1" applyAlignment="1">
      <alignment horizontal="center" vertical="center"/>
    </xf>
    <xf numFmtId="167" fontId="9" fillId="2" borderId="1" xfId="0" applyNumberFormat="1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/>
    <xf numFmtId="0" fontId="9" fillId="3" borderId="1" xfId="0" applyFont="1" applyFill="1" applyBorder="1"/>
    <xf numFmtId="9" fontId="6" fillId="0" borderId="1" xfId="0" applyNumberFormat="1" applyFon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5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6" fillId="3" borderId="1" xfId="0" applyFont="1" applyFill="1" applyBorder="1"/>
    <xf numFmtId="49" fontId="40" fillId="2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7" fontId="8" fillId="3" borderId="1" xfId="0" applyNumberFormat="1" applyFont="1" applyFill="1" applyBorder="1" applyAlignment="1">
      <alignment horizontal="center" vertical="center" wrapText="1"/>
    </xf>
    <xf numFmtId="167" fontId="8" fillId="3" borderId="3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72" fontId="8" fillId="2" borderId="1" xfId="0" applyNumberFormat="1" applyFont="1" applyFill="1" applyBorder="1" applyAlignment="1">
      <alignment horizontal="center" vertical="center"/>
    </xf>
    <xf numFmtId="172" fontId="8" fillId="2" borderId="1" xfId="0" applyNumberFormat="1" applyFont="1" applyFill="1" applyBorder="1" applyAlignment="1">
      <alignment horizontal="left" vertical="center" wrapText="1"/>
    </xf>
    <xf numFmtId="172" fontId="8" fillId="2" borderId="1" xfId="173" applyNumberFormat="1" applyFont="1" applyFill="1" applyBorder="1" applyAlignment="1">
      <alignment horizontal="right" vertical="center"/>
    </xf>
    <xf numFmtId="172" fontId="9" fillId="2" borderId="1" xfId="0" applyNumberFormat="1" applyFont="1" applyFill="1" applyBorder="1" applyAlignment="1">
      <alignment horizontal="left" vertical="center"/>
    </xf>
    <xf numFmtId="172" fontId="9" fillId="2" borderId="1" xfId="173" applyNumberFormat="1" applyFont="1" applyFill="1" applyBorder="1" applyAlignment="1">
      <alignment horizontal="right" vertical="center"/>
    </xf>
    <xf numFmtId="172" fontId="9" fillId="2" borderId="1" xfId="0" applyNumberFormat="1" applyFont="1" applyFill="1" applyBorder="1" applyAlignment="1">
      <alignment vertical="center" wrapText="1"/>
    </xf>
    <xf numFmtId="172" fontId="9" fillId="2" borderId="3" xfId="0" applyNumberFormat="1" applyFont="1" applyFill="1" applyBorder="1" applyAlignment="1">
      <alignment horizontal="left" vertical="center" wrapText="1"/>
    </xf>
    <xf numFmtId="172" fontId="9" fillId="2" borderId="1" xfId="0" applyNumberFormat="1" applyFont="1" applyFill="1" applyBorder="1" applyAlignment="1">
      <alignment horizontal="center" vertical="center"/>
    </xf>
    <xf numFmtId="172" fontId="9" fillId="2" borderId="1" xfId="0" applyNumberFormat="1" applyFont="1" applyFill="1" applyBorder="1" applyAlignment="1">
      <alignment horizontal="left" vertical="center" wrapText="1"/>
    </xf>
    <xf numFmtId="172" fontId="9" fillId="2" borderId="1" xfId="0" applyNumberFormat="1" applyFont="1" applyFill="1" applyBorder="1" applyAlignment="1">
      <alignment horizontal="left" wrapText="1"/>
    </xf>
    <xf numFmtId="172" fontId="9" fillId="2" borderId="2" xfId="0" applyNumberFormat="1" applyFont="1" applyFill="1" applyBorder="1" applyAlignment="1">
      <alignment horizontal="left" vertical="center" wrapText="1"/>
    </xf>
    <xf numFmtId="172" fontId="9" fillId="2" borderId="2" xfId="0" applyNumberFormat="1" applyFont="1" applyFill="1" applyBorder="1" applyAlignment="1">
      <alignment horizontal="center" vertical="center"/>
    </xf>
    <xf numFmtId="172" fontId="5" fillId="0" borderId="1" xfId="5" applyNumberFormat="1" applyFont="1" applyBorder="1" applyAlignment="1">
      <alignment horizontal="center" vertical="center" wrapText="1"/>
    </xf>
    <xf numFmtId="172" fontId="5" fillId="2" borderId="1" xfId="0" applyNumberFormat="1" applyFont="1" applyFill="1" applyBorder="1" applyAlignment="1">
      <alignment horizontal="center" vertical="center" wrapText="1"/>
    </xf>
    <xf numFmtId="172" fontId="5" fillId="2" borderId="1" xfId="66" applyNumberFormat="1" applyFont="1" applyFill="1" applyBorder="1" applyAlignment="1">
      <alignment horizontal="center" vertical="center" wrapText="1"/>
    </xf>
    <xf numFmtId="172" fontId="6" fillId="2" borderId="1" xfId="66" applyNumberFormat="1" applyFont="1" applyFill="1" applyBorder="1" applyAlignment="1">
      <alignment horizontal="center" vertical="center" wrapText="1"/>
    </xf>
    <xf numFmtId="172" fontId="6" fillId="2" borderId="1" xfId="0" applyNumberFormat="1" applyFont="1" applyFill="1" applyBorder="1" applyAlignment="1">
      <alignment horizontal="center" vertical="center" wrapText="1"/>
    </xf>
    <xf numFmtId="172" fontId="9" fillId="2" borderId="1" xfId="0" applyNumberFormat="1" applyFont="1" applyFill="1" applyBorder="1" applyAlignment="1">
      <alignment horizontal="center" vertical="center" wrapText="1"/>
    </xf>
    <xf numFmtId="170" fontId="8" fillId="0" borderId="9" xfId="28" applyNumberFormat="1" applyFont="1" applyBorder="1" applyAlignment="1">
      <alignment horizontal="center" vertical="center"/>
    </xf>
    <xf numFmtId="0" fontId="9" fillId="0" borderId="2" xfId="28" applyFont="1" applyBorder="1" applyAlignment="1">
      <alignment horizontal="center" vertical="center"/>
    </xf>
    <xf numFmtId="0" fontId="8" fillId="0" borderId="2" xfId="28" applyFont="1" applyBorder="1" applyAlignment="1">
      <alignment horizontal="right" vertical="center"/>
    </xf>
    <xf numFmtId="0" fontId="8" fillId="0" borderId="2" xfId="28" applyFont="1" applyBorder="1" applyAlignment="1">
      <alignment vertical="center" wrapText="1"/>
    </xf>
    <xf numFmtId="172" fontId="5" fillId="2" borderId="2" xfId="0" applyNumberFormat="1" applyFont="1" applyFill="1" applyBorder="1" applyAlignment="1">
      <alignment horizontal="center" vertical="center" wrapText="1"/>
    </xf>
    <xf numFmtId="0" fontId="8" fillId="0" borderId="2" xfId="29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0" fontId="9" fillId="0" borderId="1" xfId="29" applyFont="1" applyBorder="1" applyAlignment="1">
      <alignment horizontal="left" vertical="center" wrapText="1"/>
    </xf>
    <xf numFmtId="0" fontId="9" fillId="0" borderId="1" xfId="29" applyFont="1" applyBorder="1" applyAlignment="1">
      <alignment vertical="center" wrapText="1"/>
    </xf>
    <xf numFmtId="172" fontId="5" fillId="3" borderId="2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vertical="center" wrapText="1"/>
    </xf>
    <xf numFmtId="10" fontId="6" fillId="3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168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5" applyFont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left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80" fontId="6" fillId="2" borderId="1" xfId="0" applyNumberFormat="1" applyFont="1" applyFill="1" applyBorder="1" applyAlignment="1">
      <alignment horizontal="center" vertical="center"/>
    </xf>
    <xf numFmtId="172" fontId="5" fillId="3" borderId="1" xfId="0" applyNumberFormat="1" applyFont="1" applyFill="1" applyBorder="1" applyAlignment="1">
      <alignment horizontal="center" vertical="center" wrapText="1"/>
    </xf>
    <xf numFmtId="172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9" fontId="6" fillId="2" borderId="1" xfId="0" applyNumberFormat="1" applyFont="1" applyFill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0" fontId="6" fillId="2" borderId="1" xfId="0" applyNumberFormat="1" applyFont="1" applyFill="1" applyBorder="1" applyAlignment="1">
      <alignment vertical="center" wrapText="1"/>
    </xf>
    <xf numFmtId="17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9" fillId="0" borderId="1" xfId="5" applyFont="1" applyBorder="1" applyAlignment="1">
      <alignment vertical="center" wrapText="1"/>
    </xf>
    <xf numFmtId="0" fontId="9" fillId="0" borderId="1" xfId="5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81" fontId="6" fillId="2" borderId="1" xfId="7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0" borderId="1" xfId="0" applyFont="1" applyBorder="1"/>
    <xf numFmtId="0" fontId="9" fillId="2" borderId="1" xfId="0" applyFont="1" applyFill="1" applyBorder="1"/>
    <xf numFmtId="171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182" fontId="6" fillId="2" borderId="1" xfId="0" applyNumberFormat="1" applyFont="1" applyFill="1" applyBorder="1" applyAlignment="1">
      <alignment horizontal="center" vertical="center" wrapText="1"/>
    </xf>
    <xf numFmtId="18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9" fontId="6" fillId="2" borderId="1" xfId="2" applyFont="1" applyFill="1" applyBorder="1" applyAlignment="1">
      <alignment horizontal="center" vertical="center" wrapText="1"/>
    </xf>
    <xf numFmtId="182" fontId="6" fillId="2" borderId="1" xfId="2" applyNumberFormat="1" applyFont="1" applyFill="1" applyBorder="1" applyAlignment="1">
      <alignment horizontal="center" vertical="center" wrapText="1"/>
    </xf>
    <xf numFmtId="49" fontId="6" fillId="0" borderId="1" xfId="5" applyNumberFormat="1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center"/>
    </xf>
    <xf numFmtId="167" fontId="8" fillId="3" borderId="2" xfId="0" applyNumberFormat="1" applyFont="1" applyFill="1" applyBorder="1" applyAlignment="1">
      <alignment horizontal="center" vertical="top"/>
    </xf>
    <xf numFmtId="167" fontId="5" fillId="3" borderId="2" xfId="0" applyNumberFormat="1" applyFont="1" applyFill="1" applyBorder="1" applyAlignment="1">
      <alignment horizontal="center" vertical="top"/>
    </xf>
    <xf numFmtId="49" fontId="5" fillId="2" borderId="1" xfId="0" applyNumberFormat="1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center" vertical="center" wrapText="1"/>
    </xf>
    <xf numFmtId="49" fontId="6" fillId="0" borderId="1" xfId="183" applyNumberFormat="1" applyFont="1" applyBorder="1" applyAlignment="1">
      <alignment horizontal="center" vertical="center"/>
    </xf>
    <xf numFmtId="0" fontId="6" fillId="0" borderId="2" xfId="183" applyFont="1" applyBorder="1"/>
    <xf numFmtId="0" fontId="8" fillId="2" borderId="2" xfId="14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9" fontId="8" fillId="2" borderId="2" xfId="14" applyNumberFormat="1" applyFont="1" applyFill="1" applyBorder="1" applyAlignment="1">
      <alignment horizontal="center" vertical="center" wrapText="1"/>
    </xf>
    <xf numFmtId="49" fontId="8" fillId="2" borderId="2" xfId="14" applyNumberFormat="1" applyFont="1" applyFill="1" applyBorder="1" applyAlignment="1">
      <alignment horizontal="center" vertical="center" wrapText="1"/>
    </xf>
    <xf numFmtId="49" fontId="6" fillId="0" borderId="3" xfId="183" applyNumberFormat="1" applyFont="1" applyBorder="1" applyAlignment="1">
      <alignment horizontal="center" vertical="center"/>
    </xf>
    <xf numFmtId="49" fontId="6" fillId="0" borderId="3" xfId="183" applyNumberFormat="1" applyFont="1" applyBorder="1"/>
    <xf numFmtId="0" fontId="9" fillId="5" borderId="3" xfId="5" applyFont="1" applyFill="1" applyBorder="1" applyAlignment="1">
      <alignment vertical="center" wrapText="1"/>
    </xf>
    <xf numFmtId="0" fontId="6" fillId="5" borderId="1" xfId="14" applyFont="1" applyFill="1" applyBorder="1" applyAlignment="1">
      <alignment horizontal="center" vertical="center" wrapText="1"/>
    </xf>
    <xf numFmtId="168" fontId="6" fillId="5" borderId="1" xfId="14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168" fontId="9" fillId="5" borderId="1" xfId="14" applyNumberFormat="1" applyFont="1" applyFill="1" applyBorder="1" applyAlignment="1">
      <alignment horizontal="center" vertical="center" wrapText="1"/>
    </xf>
    <xf numFmtId="49" fontId="6" fillId="0" borderId="5" xfId="183" applyNumberFormat="1" applyFont="1" applyBorder="1" applyAlignment="1">
      <alignment horizontal="center" vertical="center"/>
    </xf>
    <xf numFmtId="49" fontId="6" fillId="0" borderId="5" xfId="183" applyNumberFormat="1" applyFont="1" applyBorder="1"/>
    <xf numFmtId="0" fontId="9" fillId="5" borderId="5" xfId="5" applyFont="1" applyFill="1" applyBorder="1" applyAlignment="1">
      <alignment horizontal="left" vertical="center" wrapText="1"/>
    </xf>
    <xf numFmtId="0" fontId="9" fillId="5" borderId="1" xfId="14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9" fontId="9" fillId="5" borderId="1" xfId="14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168" fontId="9" fillId="2" borderId="1" xfId="14" applyNumberFormat="1" applyFont="1" applyFill="1" applyBorder="1" applyAlignment="1">
      <alignment horizontal="center" vertical="center" wrapText="1"/>
    </xf>
    <xf numFmtId="49" fontId="6" fillId="0" borderId="1" xfId="183" applyNumberFormat="1" applyFont="1" applyBorder="1"/>
    <xf numFmtId="0" fontId="9" fillId="5" borderId="1" xfId="14" applyFont="1" applyFill="1" applyBorder="1" applyAlignment="1">
      <alignment vertical="center" wrapText="1"/>
    </xf>
    <xf numFmtId="0" fontId="43" fillId="5" borderId="1" xfId="6" applyFont="1" applyFill="1" applyBorder="1" applyAlignment="1">
      <alignment vertical="center" wrapText="1"/>
    </xf>
    <xf numFmtId="0" fontId="44" fillId="2" borderId="3" xfId="6" applyFont="1" applyFill="1" applyBorder="1" applyAlignment="1">
      <alignment vertical="center" wrapText="1"/>
    </xf>
    <xf numFmtId="0" fontId="5" fillId="2" borderId="1" xfId="14" applyFont="1" applyFill="1" applyBorder="1" applyAlignment="1">
      <alignment horizontal="center" vertical="center" wrapText="1"/>
    </xf>
    <xf numFmtId="0" fontId="43" fillId="5" borderId="3" xfId="6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3" xfId="14" applyFont="1" applyFill="1" applyBorder="1" applyAlignment="1">
      <alignment horizontal="center" vertical="center" wrapText="1"/>
    </xf>
    <xf numFmtId="168" fontId="6" fillId="2" borderId="1" xfId="14" applyNumberFormat="1" applyFont="1" applyFill="1" applyBorder="1" applyAlignment="1">
      <alignment horizontal="center" vertical="center" wrapText="1"/>
    </xf>
    <xf numFmtId="0" fontId="44" fillId="2" borderId="1" xfId="6" applyFont="1" applyFill="1" applyBorder="1" applyAlignment="1">
      <alignment vertical="center" wrapText="1"/>
    </xf>
    <xf numFmtId="0" fontId="6" fillId="2" borderId="1" xfId="14" applyFont="1" applyFill="1" applyBorder="1" applyAlignment="1">
      <alignment horizontal="center" vertical="center" wrapText="1"/>
    </xf>
    <xf numFmtId="167" fontId="6" fillId="5" borderId="1" xfId="14" applyNumberFormat="1" applyFont="1" applyFill="1" applyBorder="1" applyAlignment="1">
      <alignment horizontal="center" vertical="center" wrapText="1"/>
    </xf>
    <xf numFmtId="49" fontId="5" fillId="0" borderId="1" xfId="183" applyNumberFormat="1" applyFont="1" applyBorder="1" applyAlignment="1">
      <alignment horizontal="center" vertical="center"/>
    </xf>
    <xf numFmtId="0" fontId="8" fillId="2" borderId="1" xfId="6" applyFont="1" applyFill="1" applyBorder="1" applyAlignment="1">
      <alignment vertical="center" wrapText="1"/>
    </xf>
    <xf numFmtId="167" fontId="5" fillId="2" borderId="1" xfId="14" applyNumberFormat="1" applyFont="1" applyFill="1" applyBorder="1" applyAlignment="1">
      <alignment horizontal="center" vertical="center" wrapText="1"/>
    </xf>
    <xf numFmtId="0" fontId="9" fillId="0" borderId="1" xfId="6" applyFont="1" applyBorder="1" applyAlignment="1">
      <alignment vertical="center" wrapText="1"/>
    </xf>
    <xf numFmtId="167" fontId="6" fillId="5" borderId="1" xfId="14" applyNumberFormat="1" applyFont="1" applyFill="1" applyBorder="1" applyAlignment="1">
      <alignment horizontal="center" wrapText="1"/>
    </xf>
    <xf numFmtId="0" fontId="6" fillId="5" borderId="1" xfId="14" applyFont="1" applyFill="1" applyBorder="1" applyAlignment="1">
      <alignment horizontal="center" wrapText="1"/>
    </xf>
    <xf numFmtId="49" fontId="5" fillId="0" borderId="1" xfId="183" applyNumberFormat="1" applyFont="1" applyBorder="1"/>
    <xf numFmtId="49" fontId="6" fillId="0" borderId="0" xfId="183" applyNumberFormat="1" applyFont="1"/>
    <xf numFmtId="0" fontId="6" fillId="0" borderId="1" xfId="0" applyFont="1" applyBorder="1" applyAlignment="1">
      <alignment wrapText="1"/>
    </xf>
    <xf numFmtId="0" fontId="44" fillId="5" borderId="1" xfId="14" applyFont="1" applyFill="1" applyBorder="1" applyAlignment="1">
      <alignment horizontal="left" vertical="center" wrapText="1"/>
    </xf>
    <xf numFmtId="0" fontId="43" fillId="0" borderId="1" xfId="14" applyFont="1" applyBorder="1" applyAlignment="1">
      <alignment horizontal="center" vertical="center" wrapText="1"/>
    </xf>
    <xf numFmtId="0" fontId="9" fillId="2" borderId="1" xfId="14" applyFont="1" applyFill="1" applyBorder="1" applyAlignment="1">
      <alignment horizontal="center" vertical="center" wrapText="1"/>
    </xf>
    <xf numFmtId="0" fontId="6" fillId="0" borderId="1" xfId="183" applyFont="1" applyBorder="1" applyAlignment="1">
      <alignment horizontal="left" vertical="center" wrapText="1"/>
    </xf>
    <xf numFmtId="0" fontId="43" fillId="5" borderId="1" xfId="14" applyFont="1" applyFill="1" applyBorder="1" applyAlignment="1">
      <alignment horizontal="center" vertical="center" wrapText="1"/>
    </xf>
    <xf numFmtId="167" fontId="43" fillId="5" borderId="1" xfId="14" applyNumberFormat="1" applyFont="1" applyFill="1" applyBorder="1" applyAlignment="1">
      <alignment horizontal="center" vertical="center" wrapText="1"/>
    </xf>
    <xf numFmtId="0" fontId="43" fillId="2" borderId="1" xfId="14" applyFont="1" applyFill="1" applyBorder="1" applyAlignment="1">
      <alignment horizontal="center" vertical="center" wrapText="1"/>
    </xf>
    <xf numFmtId="49" fontId="9" fillId="2" borderId="1" xfId="14" applyNumberFormat="1" applyFont="1" applyFill="1" applyBorder="1" applyAlignment="1">
      <alignment horizontal="center" vertical="center" wrapText="1"/>
    </xf>
    <xf numFmtId="49" fontId="5" fillId="2" borderId="2" xfId="183" applyNumberFormat="1" applyFont="1" applyFill="1" applyBorder="1" applyAlignment="1">
      <alignment horizontal="center" vertical="center"/>
    </xf>
    <xf numFmtId="49" fontId="5" fillId="2" borderId="1" xfId="183" applyNumberFormat="1" applyFont="1" applyFill="1" applyBorder="1" applyAlignment="1">
      <alignment horizontal="center" vertical="center"/>
    </xf>
    <xf numFmtId="49" fontId="5" fillId="2" borderId="1" xfId="183" applyNumberFormat="1" applyFont="1" applyFill="1" applyBorder="1"/>
    <xf numFmtId="0" fontId="5" fillId="2" borderId="0" xfId="183" applyFont="1" applyFill="1" applyAlignment="1">
      <alignment horizontal="justify" vertical="center" wrapText="1"/>
    </xf>
    <xf numFmtId="0" fontId="44" fillId="2" borderId="1" xfId="14" applyFont="1" applyFill="1" applyBorder="1" applyAlignment="1">
      <alignment horizontal="center" vertical="center" wrapText="1"/>
    </xf>
    <xf numFmtId="49" fontId="6" fillId="2" borderId="5" xfId="183" applyNumberFormat="1" applyFont="1" applyFill="1" applyBorder="1" applyAlignment="1">
      <alignment horizontal="center" vertical="center"/>
    </xf>
    <xf numFmtId="49" fontId="6" fillId="2" borderId="1" xfId="183" applyNumberFormat="1" applyFont="1" applyFill="1" applyBorder="1"/>
    <xf numFmtId="0" fontId="43" fillId="2" borderId="1" xfId="14" applyFont="1" applyFill="1" applyBorder="1" applyAlignment="1">
      <alignment horizontal="left" vertical="center" wrapText="1"/>
    </xf>
    <xf numFmtId="167" fontId="43" fillId="2" borderId="1" xfId="14" applyNumberFormat="1" applyFont="1" applyFill="1" applyBorder="1" applyAlignment="1">
      <alignment horizontal="center" vertical="center" wrapText="1"/>
    </xf>
    <xf numFmtId="0" fontId="43" fillId="5" borderId="1" xfId="14" applyFont="1" applyFill="1" applyBorder="1" applyAlignment="1">
      <alignment horizontal="left" vertical="center" wrapText="1"/>
    </xf>
    <xf numFmtId="49" fontId="9" fillId="5" borderId="1" xfId="14" applyNumberFormat="1" applyFont="1" applyFill="1" applyBorder="1" applyAlignment="1">
      <alignment horizontal="center" vertical="center" wrapText="1"/>
    </xf>
    <xf numFmtId="49" fontId="5" fillId="0" borderId="2" xfId="183" applyNumberFormat="1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44" fillId="0" borderId="1" xfId="14" applyFont="1" applyBorder="1" applyAlignment="1">
      <alignment horizontal="center" vertical="center" wrapText="1"/>
    </xf>
    <xf numFmtId="0" fontId="44" fillId="5" borderId="1" xfId="14" applyFont="1" applyFill="1" applyBorder="1" applyAlignment="1">
      <alignment horizontal="center" vertical="center" wrapText="1"/>
    </xf>
    <xf numFmtId="0" fontId="51" fillId="2" borderId="1" xfId="14" applyFont="1" applyFill="1" applyBorder="1" applyAlignment="1">
      <alignment horizontal="center" vertical="center" wrapText="1"/>
    </xf>
    <xf numFmtId="4" fontId="44" fillId="3" borderId="3" xfId="14" applyNumberFormat="1" applyFont="1" applyFill="1" applyBorder="1" applyAlignment="1">
      <alignment horizontal="center"/>
    </xf>
    <xf numFmtId="167" fontId="44" fillId="3" borderId="3" xfId="14" applyNumberFormat="1" applyFont="1" applyFill="1" applyBorder="1" applyAlignment="1">
      <alignment horizontal="center"/>
    </xf>
    <xf numFmtId="167" fontId="44" fillId="3" borderId="8" xfId="14" applyNumberFormat="1" applyFont="1" applyFill="1" applyBorder="1"/>
    <xf numFmtId="167" fontId="44" fillId="3" borderId="32" xfId="14" applyNumberFormat="1" applyFont="1" applyFill="1" applyBorder="1"/>
    <xf numFmtId="167" fontId="44" fillId="3" borderId="46" xfId="14" applyNumberFormat="1" applyFont="1" applyFill="1" applyBorder="1"/>
    <xf numFmtId="167" fontId="44" fillId="3" borderId="9" xfId="14" applyNumberFormat="1" applyFont="1" applyFill="1" applyBorder="1"/>
    <xf numFmtId="170" fontId="44" fillId="0" borderId="9" xfId="186" applyNumberFormat="1" applyFont="1" applyBorder="1" applyAlignment="1">
      <alignment horizontal="center" vertical="center"/>
    </xf>
    <xf numFmtId="0" fontId="43" fillId="5" borderId="2" xfId="186" applyFont="1" applyFill="1" applyBorder="1" applyAlignment="1">
      <alignment horizontal="right" vertical="center"/>
    </xf>
    <xf numFmtId="0" fontId="44" fillId="5" borderId="2" xfId="186" applyFont="1" applyFill="1" applyBorder="1" applyAlignment="1">
      <alignment horizontal="right" vertical="center"/>
    </xf>
    <xf numFmtId="0" fontId="44" fillId="5" borderId="2" xfId="186" applyFont="1" applyFill="1" applyBorder="1" applyAlignment="1">
      <alignment horizontal="left" vertical="center" wrapText="1"/>
    </xf>
    <xf numFmtId="0" fontId="44" fillId="5" borderId="2" xfId="186" applyFont="1" applyFill="1" applyBorder="1" applyAlignment="1">
      <alignment horizontal="center" vertical="center" wrapText="1"/>
    </xf>
    <xf numFmtId="0" fontId="8" fillId="5" borderId="2" xfId="186" applyFont="1" applyFill="1" applyBorder="1" applyAlignment="1">
      <alignment horizontal="left" vertical="center" wrapText="1"/>
    </xf>
    <xf numFmtId="0" fontId="43" fillId="0" borderId="2" xfId="186" applyFont="1" applyBorder="1"/>
    <xf numFmtId="171" fontId="43" fillId="0" borderId="3" xfId="186" applyNumberFormat="1" applyFont="1" applyBorder="1" applyAlignment="1">
      <alignment horizontal="center" vertical="center"/>
    </xf>
    <xf numFmtId="0" fontId="43" fillId="5" borderId="3" xfId="5" applyFont="1" applyFill="1" applyBorder="1" applyAlignment="1">
      <alignment horizontal="left" vertical="center" wrapText="1"/>
    </xf>
    <xf numFmtId="0" fontId="43" fillId="5" borderId="1" xfId="186" applyFont="1" applyFill="1" applyBorder="1" applyAlignment="1">
      <alignment horizontal="center" vertical="center" wrapText="1"/>
    </xf>
    <xf numFmtId="0" fontId="9" fillId="5" borderId="1" xfId="186" applyFont="1" applyFill="1" applyBorder="1" applyAlignment="1">
      <alignment horizontal="left" vertical="center" wrapText="1"/>
    </xf>
    <xf numFmtId="9" fontId="43" fillId="5" borderId="1" xfId="186" applyNumberFormat="1" applyFont="1" applyFill="1" applyBorder="1" applyAlignment="1">
      <alignment horizontal="center" vertical="center" wrapText="1"/>
    </xf>
    <xf numFmtId="9" fontId="44" fillId="5" borderId="2" xfId="186" applyNumberFormat="1" applyFont="1" applyFill="1" applyBorder="1" applyAlignment="1">
      <alignment horizontal="center" vertical="center" wrapText="1"/>
    </xf>
    <xf numFmtId="171" fontId="43" fillId="0" borderId="5" xfId="186" applyNumberFormat="1" applyFont="1" applyBorder="1" applyAlignment="1">
      <alignment horizontal="center" vertical="center"/>
    </xf>
    <xf numFmtId="0" fontId="43" fillId="5" borderId="5" xfId="5" applyFont="1" applyFill="1" applyBorder="1" applyAlignment="1">
      <alignment horizontal="left" vertical="center" wrapText="1"/>
    </xf>
    <xf numFmtId="170" fontId="44" fillId="0" borderId="3" xfId="186" applyNumberFormat="1" applyFont="1" applyBorder="1" applyAlignment="1">
      <alignment horizontal="center" vertical="center"/>
    </xf>
    <xf numFmtId="171" fontId="43" fillId="0" borderId="1" xfId="186" applyNumberFormat="1" applyFont="1" applyBorder="1" applyAlignment="1">
      <alignment horizontal="center" vertical="center"/>
    </xf>
    <xf numFmtId="0" fontId="8" fillId="5" borderId="1" xfId="186" applyFont="1" applyFill="1" applyBorder="1" applyAlignment="1">
      <alignment horizontal="left" vertical="center" wrapText="1"/>
    </xf>
    <xf numFmtId="0" fontId="44" fillId="5" borderId="1" xfId="186" applyFont="1" applyFill="1" applyBorder="1" applyAlignment="1">
      <alignment horizontal="center" vertical="center" wrapText="1"/>
    </xf>
    <xf numFmtId="167" fontId="44" fillId="5" borderId="1" xfId="186" applyNumberFormat="1" applyFont="1" applyFill="1" applyBorder="1" applyAlignment="1">
      <alignment horizontal="center" vertical="center" wrapText="1"/>
    </xf>
    <xf numFmtId="0" fontId="8" fillId="5" borderId="3" xfId="186" applyFont="1" applyFill="1" applyBorder="1" applyAlignment="1">
      <alignment horizontal="left" vertical="center" wrapText="1"/>
    </xf>
    <xf numFmtId="0" fontId="9" fillId="5" borderId="3" xfId="186" applyFont="1" applyFill="1" applyBorder="1" applyAlignment="1">
      <alignment horizontal="left" vertical="center" wrapText="1"/>
    </xf>
    <xf numFmtId="49" fontId="43" fillId="5" borderId="3" xfId="186" applyNumberFormat="1" applyFont="1" applyFill="1" applyBorder="1" applyAlignment="1">
      <alignment horizontal="center" vertical="center"/>
    </xf>
    <xf numFmtId="167" fontId="43" fillId="5" borderId="1" xfId="186" applyNumberFormat="1" applyFont="1" applyFill="1" applyBorder="1" applyAlignment="1">
      <alignment horizontal="center" vertical="center" wrapText="1"/>
    </xf>
    <xf numFmtId="49" fontId="44" fillId="5" borderId="3" xfId="186" applyNumberFormat="1" applyFont="1" applyFill="1" applyBorder="1" applyAlignment="1">
      <alignment horizontal="center" vertical="center"/>
    </xf>
    <xf numFmtId="49" fontId="43" fillId="5" borderId="3" xfId="186" applyNumberFormat="1" applyFont="1" applyFill="1" applyBorder="1" applyAlignment="1">
      <alignment vertical="center"/>
    </xf>
    <xf numFmtId="0" fontId="43" fillId="5" borderId="1" xfId="186" applyFont="1" applyFill="1" applyBorder="1" applyAlignment="1">
      <alignment vertical="center" wrapText="1"/>
    </xf>
    <xf numFmtId="167" fontId="43" fillId="5" borderId="1" xfId="186" applyNumberFormat="1" applyFont="1" applyFill="1" applyBorder="1" applyAlignment="1">
      <alignment vertical="center" wrapText="1"/>
    </xf>
    <xf numFmtId="0" fontId="43" fillId="5" borderId="3" xfId="186" applyFont="1" applyFill="1" applyBorder="1" applyAlignment="1">
      <alignment horizontal="center" vertical="center" wrapText="1"/>
    </xf>
    <xf numFmtId="49" fontId="6" fillId="0" borderId="1" xfId="0" applyNumberFormat="1" applyFont="1" applyBorder="1"/>
    <xf numFmtId="172" fontId="6" fillId="0" borderId="1" xfId="0" applyNumberFormat="1" applyFont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right" vertical="center"/>
    </xf>
    <xf numFmtId="0" fontId="6" fillId="0" borderId="1" xfId="1" applyFont="1" applyBorder="1"/>
    <xf numFmtId="0" fontId="6" fillId="0" borderId="7" xfId="1" applyFont="1" applyBorder="1"/>
    <xf numFmtId="0" fontId="6" fillId="2" borderId="2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6" fillId="0" borderId="2" xfId="0" applyFont="1" applyBorder="1"/>
    <xf numFmtId="0" fontId="44" fillId="5" borderId="2" xfId="0" applyFont="1" applyFill="1" applyBorder="1" applyAlignment="1">
      <alignment vertical="center" wrapText="1"/>
    </xf>
    <xf numFmtId="0" fontId="43" fillId="5" borderId="2" xfId="0" applyFont="1" applyFill="1" applyBorder="1" applyAlignment="1">
      <alignment horizontal="center" vertical="center" wrapText="1"/>
    </xf>
    <xf numFmtId="0" fontId="43" fillId="5" borderId="3" xfId="5" applyFont="1" applyFill="1" applyBorder="1" applyAlignment="1">
      <alignment vertical="center" wrapText="1"/>
    </xf>
    <xf numFmtId="0" fontId="43" fillId="5" borderId="1" xfId="0" applyFont="1" applyFill="1" applyBorder="1" applyAlignment="1">
      <alignment horizontal="center" vertical="center" wrapText="1"/>
    </xf>
    <xf numFmtId="0" fontId="44" fillId="5" borderId="1" xfId="0" applyFont="1" applyFill="1" applyBorder="1" applyAlignment="1">
      <alignment horizontal="left" vertical="center" wrapText="1"/>
    </xf>
    <xf numFmtId="167" fontId="44" fillId="5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/>
    <xf numFmtId="0" fontId="43" fillId="5" borderId="3" xfId="0" applyFont="1" applyFill="1" applyBorder="1" applyAlignment="1">
      <alignment vertical="center" wrapText="1"/>
    </xf>
    <xf numFmtId="0" fontId="43" fillId="5" borderId="3" xfId="0" applyFont="1" applyFill="1" applyBorder="1" applyAlignment="1">
      <alignment horizontal="center" vertical="center" wrapText="1"/>
    </xf>
    <xf numFmtId="3" fontId="43" fillId="5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0" fontId="44" fillId="0" borderId="9" xfId="0" applyNumberFormat="1" applyFont="1" applyBorder="1" applyAlignment="1">
      <alignment horizontal="center" vertical="center"/>
    </xf>
    <xf numFmtId="0" fontId="43" fillId="5" borderId="2" xfId="0" applyFont="1" applyFill="1" applyBorder="1" applyAlignment="1">
      <alignment horizontal="right" vertical="center"/>
    </xf>
    <xf numFmtId="0" fontId="44" fillId="5" borderId="2" xfId="0" applyFont="1" applyFill="1" applyBorder="1" applyAlignment="1">
      <alignment horizontal="right" vertical="center"/>
    </xf>
    <xf numFmtId="0" fontId="44" fillId="5" borderId="2" xfId="0" applyFont="1" applyFill="1" applyBorder="1" applyAlignment="1">
      <alignment horizontal="left" vertical="center" wrapText="1"/>
    </xf>
    <xf numFmtId="0" fontId="44" fillId="5" borderId="2" xfId="0" applyFont="1" applyFill="1" applyBorder="1" applyAlignment="1">
      <alignment horizontal="center" vertical="center" wrapText="1"/>
    </xf>
    <xf numFmtId="171" fontId="43" fillId="0" borderId="3" xfId="0" applyNumberFormat="1" applyFont="1" applyBorder="1" applyAlignment="1">
      <alignment horizontal="center" vertical="center"/>
    </xf>
    <xf numFmtId="0" fontId="43" fillId="5" borderId="1" xfId="0" applyFont="1" applyFill="1" applyBorder="1" applyAlignment="1">
      <alignment horizontal="left" vertical="center" wrapText="1"/>
    </xf>
    <xf numFmtId="171" fontId="43" fillId="0" borderId="5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left" vertical="center" wrapText="1"/>
    </xf>
    <xf numFmtId="171" fontId="43" fillId="0" borderId="1" xfId="0" applyNumberFormat="1" applyFont="1" applyBorder="1" applyAlignment="1">
      <alignment horizontal="center" vertical="center"/>
    </xf>
    <xf numFmtId="0" fontId="43" fillId="5" borderId="1" xfId="0" applyFont="1" applyFill="1" applyBorder="1" applyAlignment="1">
      <alignment horizontal="right" vertical="center"/>
    </xf>
    <xf numFmtId="0" fontId="43" fillId="5" borderId="3" xfId="0" applyFont="1" applyFill="1" applyBorder="1" applyAlignment="1">
      <alignment horizontal="left" vertical="center" wrapText="1"/>
    </xf>
    <xf numFmtId="0" fontId="43" fillId="5" borderId="9" xfId="0" applyFont="1" applyFill="1" applyBorder="1" applyAlignment="1">
      <alignment horizontal="center" vertical="center" wrapText="1"/>
    </xf>
    <xf numFmtId="167" fontId="44" fillId="3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right" vertical="center"/>
    </xf>
    <xf numFmtId="167" fontId="44" fillId="5" borderId="2" xfId="0" applyNumberFormat="1" applyFont="1" applyFill="1" applyBorder="1" applyAlignment="1">
      <alignment horizontal="center" vertical="center" wrapText="1"/>
    </xf>
    <xf numFmtId="0" fontId="44" fillId="5" borderId="30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167" fontId="43" fillId="5" borderId="1" xfId="0" applyNumberFormat="1" applyFont="1" applyFill="1" applyBorder="1" applyAlignment="1">
      <alignment horizontal="center" vertical="center" wrapText="1"/>
    </xf>
    <xf numFmtId="171" fontId="43" fillId="0" borderId="25" xfId="0" applyNumberFormat="1" applyFont="1" applyBorder="1" applyAlignment="1">
      <alignment horizontal="center" vertical="center"/>
    </xf>
    <xf numFmtId="0" fontId="6" fillId="5" borderId="3" xfId="0" applyFont="1" applyFill="1" applyBorder="1" applyAlignment="1">
      <alignment vertical="center" wrapText="1"/>
    </xf>
    <xf numFmtId="3" fontId="43" fillId="5" borderId="1" xfId="0" applyNumberFormat="1" applyFont="1" applyFill="1" applyBorder="1" applyAlignment="1">
      <alignment horizontal="center" vertical="center" wrapText="1"/>
    </xf>
    <xf numFmtId="0" fontId="44" fillId="5" borderId="5" xfId="5" applyFont="1" applyFill="1" applyBorder="1" applyAlignment="1">
      <alignment horizontal="left" vertical="center" wrapText="1"/>
    </xf>
    <xf numFmtId="0" fontId="43" fillId="5" borderId="3" xfId="0" applyFont="1" applyFill="1" applyBorder="1" applyAlignment="1">
      <alignment horizontal="right" vertical="center"/>
    </xf>
    <xf numFmtId="0" fontId="43" fillId="5" borderId="1" xfId="5" applyFont="1" applyFill="1" applyBorder="1" applyAlignment="1">
      <alignment horizontal="left" vertical="center" wrapText="1"/>
    </xf>
    <xf numFmtId="167" fontId="54" fillId="28" borderId="3" xfId="0" applyNumberFormat="1" applyFont="1" applyFill="1" applyBorder="1" applyAlignment="1">
      <alignment horizontal="center" vertical="center" wrapText="1"/>
    </xf>
    <xf numFmtId="167" fontId="5" fillId="0" borderId="3" xfId="0" applyNumberFormat="1" applyFont="1" applyBorder="1" applyAlignment="1">
      <alignment horizontal="center" vertical="center" wrapText="1"/>
    </xf>
    <xf numFmtId="0" fontId="55" fillId="2" borderId="1" xfId="0" applyFont="1" applyFill="1" applyBorder="1" applyAlignment="1">
      <alignment vertical="center" wrapText="1"/>
    </xf>
    <xf numFmtId="167" fontId="9" fillId="0" borderId="1" xfId="0" applyNumberFormat="1" applyFont="1" applyBorder="1" applyAlignment="1">
      <alignment horizontal="center" vertical="center" wrapText="1"/>
    </xf>
    <xf numFmtId="167" fontId="9" fillId="0" borderId="3" xfId="0" applyNumberFormat="1" applyFont="1" applyBorder="1" applyAlignment="1">
      <alignment horizontal="center" vertical="center" wrapText="1"/>
    </xf>
    <xf numFmtId="167" fontId="9" fillId="0" borderId="0" xfId="0" applyNumberFormat="1" applyFont="1"/>
    <xf numFmtId="170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0" fontId="6" fillId="0" borderId="3" xfId="176" applyFont="1" applyBorder="1" applyAlignment="1">
      <alignment vertical="center" wrapText="1"/>
    </xf>
    <xf numFmtId="0" fontId="6" fillId="0" borderId="3" xfId="176" applyFont="1" applyBorder="1" applyAlignment="1">
      <alignment horizontal="center" vertical="center" wrapText="1"/>
    </xf>
    <xf numFmtId="1" fontId="6" fillId="0" borderId="3" xfId="176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0" fontId="6" fillId="2" borderId="1" xfId="176" applyFont="1" applyFill="1" applyBorder="1" applyAlignment="1">
      <alignment vertical="center" wrapText="1"/>
    </xf>
    <xf numFmtId="0" fontId="6" fillId="2" borderId="1" xfId="176" applyFont="1" applyFill="1" applyBorder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/>
    </xf>
    <xf numFmtId="0" fontId="6" fillId="0" borderId="1" xfId="176" applyFont="1" applyBorder="1" applyAlignment="1">
      <alignment vertical="center" wrapText="1"/>
    </xf>
    <xf numFmtId="0" fontId="6" fillId="0" borderId="1" xfId="176" applyFont="1" applyBorder="1" applyAlignment="1">
      <alignment horizontal="center" vertical="center" wrapText="1"/>
    </xf>
    <xf numFmtId="1" fontId="6" fillId="0" borderId="1" xfId="176" applyNumberFormat="1" applyFont="1" applyBorder="1" applyAlignment="1">
      <alignment horizontal="center" vertical="center" wrapText="1"/>
    </xf>
    <xf numFmtId="1" fontId="6" fillId="0" borderId="1" xfId="176" applyNumberFormat="1" applyFont="1" applyBorder="1" applyAlignment="1">
      <alignment horizontal="center" vertical="center"/>
    </xf>
    <xf numFmtId="0" fontId="6" fillId="0" borderId="1" xfId="176" applyFont="1" applyBorder="1" applyAlignment="1">
      <alignment horizontal="center" vertical="center"/>
    </xf>
    <xf numFmtId="17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172" fontId="5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168" fontId="9" fillId="0" borderId="0" xfId="0" applyNumberFormat="1" applyFont="1"/>
    <xf numFmtId="0" fontId="5" fillId="2" borderId="3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5" applyFont="1" applyBorder="1" applyAlignment="1">
      <alignment horizontal="left" vertical="center" wrapText="1"/>
    </xf>
    <xf numFmtId="182" fontId="9" fillId="0" borderId="1" xfId="247" applyNumberFormat="1" applyFont="1" applyFill="1" applyBorder="1" applyAlignment="1">
      <alignment horizontal="center" vertical="center" wrapText="1"/>
    </xf>
    <xf numFmtId="9" fontId="9" fillId="0" borderId="1" xfId="5" applyNumberFormat="1" applyFont="1" applyBorder="1" applyAlignment="1">
      <alignment horizontal="center" vertical="center" wrapText="1"/>
    </xf>
    <xf numFmtId="0" fontId="9" fillId="0" borderId="2" xfId="5" applyFont="1" applyBorder="1" applyAlignment="1">
      <alignment horizontal="left" vertical="center" wrapText="1"/>
    </xf>
    <xf numFmtId="178" fontId="9" fillId="0" borderId="2" xfId="193" applyNumberFormat="1" applyFont="1" applyFill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/>
    </xf>
    <xf numFmtId="185" fontId="9" fillId="0" borderId="2" xfId="193" applyNumberFormat="1" applyFont="1" applyFill="1" applyBorder="1" applyAlignment="1">
      <alignment horizontal="center" vertical="center" wrapText="1"/>
    </xf>
    <xf numFmtId="185" fontId="8" fillId="3" borderId="1" xfId="193" applyNumberFormat="1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0" fontId="5" fillId="2" borderId="1" xfId="5" applyFont="1" applyFill="1" applyBorder="1" applyAlignment="1">
      <alignment horizontal="left" vertical="center" wrapText="1"/>
    </xf>
    <xf numFmtId="0" fontId="43" fillId="2" borderId="1" xfId="5" applyFont="1" applyFill="1" applyBorder="1" applyAlignment="1">
      <alignment vertical="center" wrapText="1"/>
    </xf>
    <xf numFmtId="0" fontId="6" fillId="2" borderId="1" xfId="5" applyFont="1" applyFill="1" applyBorder="1" applyAlignment="1">
      <alignment vertical="center" wrapText="1"/>
    </xf>
    <xf numFmtId="172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9" fontId="6" fillId="4" borderId="1" xfId="0" applyNumberFormat="1" applyFont="1" applyFill="1" applyBorder="1" applyAlignment="1">
      <alignment vertical="center" wrapText="1"/>
    </xf>
    <xf numFmtId="10" fontId="6" fillId="4" borderId="1" xfId="0" applyNumberFormat="1" applyFont="1" applyFill="1" applyBorder="1" applyAlignment="1">
      <alignment vertical="center" wrapText="1"/>
    </xf>
    <xf numFmtId="170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8" fillId="0" borderId="1" xfId="5" applyFont="1" applyBorder="1" applyAlignment="1">
      <alignment horizontal="left" vertical="center" wrapText="1"/>
    </xf>
    <xf numFmtId="167" fontId="8" fillId="2" borderId="1" xfId="0" applyNumberFormat="1" applyFont="1" applyFill="1" applyBorder="1" applyAlignment="1">
      <alignment horizontal="center" vertical="center" wrapText="1"/>
    </xf>
    <xf numFmtId="172" fontId="8" fillId="2" borderId="1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167" fontId="43" fillId="3" borderId="1" xfId="27" applyNumberFormat="1" applyFont="1" applyFill="1" applyBorder="1" applyAlignment="1">
      <alignment wrapText="1"/>
    </xf>
    <xf numFmtId="49" fontId="8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top"/>
    </xf>
    <xf numFmtId="167" fontId="8" fillId="2" borderId="1" xfId="285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justify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/>
    </xf>
    <xf numFmtId="49" fontId="8" fillId="2" borderId="3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top"/>
    </xf>
    <xf numFmtId="167" fontId="8" fillId="2" borderId="3" xfId="285" applyNumberFormat="1" applyFont="1" applyFill="1" applyBorder="1" applyAlignment="1">
      <alignment horizontal="center" vertical="center" wrapText="1"/>
    </xf>
    <xf numFmtId="167" fontId="8" fillId="2" borderId="25" xfId="285" applyNumberFormat="1" applyFont="1" applyFill="1" applyBorder="1" applyAlignment="1">
      <alignment horizontal="center" vertical="center" wrapText="1"/>
    </xf>
    <xf numFmtId="17" fontId="6" fillId="2" borderId="1" xfId="0" applyNumberFormat="1" applyFont="1" applyFill="1" applyBorder="1" applyAlignment="1">
      <alignment horizontal="left" vertical="top" wrapText="1"/>
    </xf>
    <xf numFmtId="168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top" wrapText="1"/>
    </xf>
    <xf numFmtId="3" fontId="9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167" fontId="9" fillId="2" borderId="5" xfId="285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top" wrapText="1"/>
    </xf>
    <xf numFmtId="0" fontId="9" fillId="2" borderId="2" xfId="0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3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3" xfId="192" applyNumberFormat="1" applyFont="1" applyFill="1" applyBorder="1" applyAlignment="1">
      <alignment horizontal="center" vertical="top"/>
    </xf>
    <xf numFmtId="0" fontId="6" fillId="2" borderId="3" xfId="192" applyFont="1" applyFill="1" applyBorder="1" applyAlignment="1">
      <alignment horizontal="left" vertical="top" wrapText="1"/>
    </xf>
    <xf numFmtId="167" fontId="9" fillId="2" borderId="3" xfId="193" applyNumberFormat="1" applyFont="1" applyFill="1" applyBorder="1" applyAlignment="1">
      <alignment horizontal="center" vertical="center" wrapText="1"/>
    </xf>
    <xf numFmtId="167" fontId="9" fillId="2" borderId="25" xfId="193" applyNumberFormat="1" applyFont="1" applyFill="1" applyBorder="1" applyAlignment="1">
      <alignment horizontal="center" vertical="center" wrapText="1"/>
    </xf>
    <xf numFmtId="0" fontId="9" fillId="2" borderId="1" xfId="192" applyFont="1" applyFill="1" applyBorder="1" applyAlignment="1">
      <alignment vertical="top" wrapText="1"/>
    </xf>
    <xf numFmtId="0" fontId="9" fillId="2" borderId="1" xfId="192" applyFont="1" applyFill="1" applyBorder="1" applyAlignment="1">
      <alignment horizontal="center" vertical="center" wrapText="1"/>
    </xf>
    <xf numFmtId="3" fontId="9" fillId="2" borderId="1" xfId="192" applyNumberFormat="1" applyFont="1" applyFill="1" applyBorder="1" applyAlignment="1">
      <alignment horizontal="center" vertical="center" wrapText="1"/>
    </xf>
    <xf numFmtId="0" fontId="9" fillId="2" borderId="1" xfId="192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 wrapText="1"/>
    </xf>
    <xf numFmtId="49" fontId="9" fillId="2" borderId="3" xfId="0" applyNumberFormat="1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vertical="top" wrapText="1"/>
    </xf>
    <xf numFmtId="167" fontId="9" fillId="2" borderId="1" xfId="192" applyNumberFormat="1" applyFont="1" applyFill="1" applyBorder="1" applyAlignment="1">
      <alignment horizontal="center" vertical="center" wrapText="1"/>
    </xf>
    <xf numFmtId="167" fontId="9" fillId="2" borderId="1" xfId="192" applyNumberFormat="1" applyFont="1" applyFill="1" applyBorder="1" applyAlignment="1">
      <alignment horizontal="center" vertical="center"/>
    </xf>
    <xf numFmtId="0" fontId="9" fillId="2" borderId="3" xfId="192" applyFont="1" applyFill="1" applyBorder="1" applyAlignment="1">
      <alignment vertical="top" wrapText="1"/>
    </xf>
    <xf numFmtId="0" fontId="9" fillId="2" borderId="3" xfId="192" applyFont="1" applyFill="1" applyBorder="1" applyAlignment="1">
      <alignment horizontal="center" vertical="center" wrapText="1"/>
    </xf>
    <xf numFmtId="168" fontId="9" fillId="2" borderId="3" xfId="0" applyNumberFormat="1" applyFont="1" applyFill="1" applyBorder="1" applyAlignment="1">
      <alignment horizontal="center" vertical="center"/>
    </xf>
    <xf numFmtId="168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8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2" fontId="8" fillId="3" borderId="30" xfId="0" applyNumberFormat="1" applyFont="1" applyFill="1" applyBorder="1" applyAlignment="1">
      <alignment vertical="center" wrapText="1"/>
    </xf>
    <xf numFmtId="167" fontId="8" fillId="3" borderId="1" xfId="285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vertical="center"/>
    </xf>
    <xf numFmtId="0" fontId="9" fillId="2" borderId="3" xfId="176" applyFont="1" applyFill="1" applyBorder="1" applyAlignment="1">
      <alignment horizontal="center" vertical="center"/>
    </xf>
    <xf numFmtId="167" fontId="5" fillId="3" borderId="1" xfId="0" applyNumberFormat="1" applyFont="1" applyFill="1" applyBorder="1" applyAlignment="1">
      <alignment horizontal="center"/>
    </xf>
    <xf numFmtId="170" fontId="8" fillId="2" borderId="1" xfId="176" applyNumberFormat="1" applyFont="1" applyFill="1" applyBorder="1" applyAlignment="1">
      <alignment horizontal="center" vertical="center"/>
    </xf>
    <xf numFmtId="49" fontId="9" fillId="2" borderId="1" xfId="160" applyNumberFormat="1" applyFont="1" applyFill="1" applyBorder="1" applyAlignment="1">
      <alignment horizontal="center" vertical="center"/>
    </xf>
    <xf numFmtId="174" fontId="9" fillId="2" borderId="1" xfId="176" applyNumberFormat="1" applyFont="1" applyFill="1" applyBorder="1"/>
    <xf numFmtId="0" fontId="8" fillId="2" borderId="1" xfId="30" applyFont="1" applyFill="1" applyBorder="1" applyAlignment="1">
      <alignment vertical="center" wrapText="1"/>
    </xf>
    <xf numFmtId="167" fontId="5" fillId="0" borderId="3" xfId="0" applyNumberFormat="1" applyFont="1" applyBorder="1" applyAlignment="1">
      <alignment horizontal="center" vertical="center"/>
    </xf>
    <xf numFmtId="0" fontId="9" fillId="2" borderId="1" xfId="176" applyFont="1" applyFill="1" applyBorder="1" applyAlignment="1">
      <alignment horizontal="center" vertical="center" wrapText="1"/>
    </xf>
    <xf numFmtId="0" fontId="6" fillId="2" borderId="1" xfId="30" applyFont="1" applyFill="1" applyBorder="1" applyAlignment="1">
      <alignment horizontal="center" vertical="center" wrapText="1"/>
    </xf>
    <xf numFmtId="0" fontId="6" fillId="2" borderId="1" xfId="30" applyFont="1" applyFill="1" applyBorder="1" applyAlignment="1">
      <alignment horizontal="center" vertical="center"/>
    </xf>
    <xf numFmtId="0" fontId="9" fillId="2" borderId="1" xfId="176" applyFont="1" applyFill="1" applyBorder="1" applyAlignment="1">
      <alignment horizontal="left" vertical="center" wrapText="1"/>
    </xf>
    <xf numFmtId="170" fontId="8" fillId="2" borderId="3" xfId="176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175" fontId="8" fillId="2" borderId="3" xfId="0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 wrapText="1"/>
    </xf>
    <xf numFmtId="170" fontId="8" fillId="2" borderId="2" xfId="176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left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170" fontId="8" fillId="2" borderId="9" xfId="176" applyNumberFormat="1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left" vertical="top" wrapText="1"/>
    </xf>
    <xf numFmtId="175" fontId="6" fillId="3" borderId="1" xfId="0" applyNumberFormat="1" applyFont="1" applyFill="1" applyBorder="1" applyAlignment="1">
      <alignment horizontal="center" vertical="center" wrapText="1"/>
    </xf>
    <xf numFmtId="172" fontId="9" fillId="4" borderId="0" xfId="0" applyNumberFormat="1" applyFont="1" applyFill="1" applyAlignment="1">
      <alignment horizontal="center" vertical="center"/>
    </xf>
    <xf numFmtId="172" fontId="5" fillId="3" borderId="1" xfId="0" applyNumberFormat="1" applyFont="1" applyFill="1" applyBorder="1" applyAlignment="1">
      <alignment horizontal="left" vertical="center"/>
    </xf>
    <xf numFmtId="172" fontId="5" fillId="2" borderId="1" xfId="0" applyNumberFormat="1" applyFont="1" applyFill="1" applyBorder="1" applyAlignment="1">
      <alignment horizontal="left" vertical="center" wrapText="1"/>
    </xf>
    <xf numFmtId="172" fontId="6" fillId="0" borderId="1" xfId="0" applyNumberFormat="1" applyFont="1" applyBorder="1" applyAlignment="1">
      <alignment horizontal="left" vertical="center" wrapText="1"/>
    </xf>
    <xf numFmtId="172" fontId="5" fillId="2" borderId="1" xfId="363" applyNumberFormat="1" applyFont="1" applyFill="1" applyBorder="1" applyAlignment="1">
      <alignment horizontal="center" vertical="center" wrapText="1"/>
    </xf>
    <xf numFmtId="172" fontId="5" fillId="0" borderId="1" xfId="0" applyNumberFormat="1" applyFont="1" applyBorder="1" applyAlignment="1">
      <alignment horizontal="left" vertical="center" wrapText="1"/>
    </xf>
    <xf numFmtId="172" fontId="5" fillId="2" borderId="1" xfId="0" applyNumberFormat="1" applyFont="1" applyFill="1" applyBorder="1" applyAlignment="1">
      <alignment vertical="center" wrapText="1"/>
    </xf>
    <xf numFmtId="172" fontId="6" fillId="2" borderId="1" xfId="0" applyNumberFormat="1" applyFont="1" applyFill="1" applyBorder="1" applyAlignment="1">
      <alignment vertical="center" wrapText="1"/>
    </xf>
    <xf numFmtId="172" fontId="6" fillId="2" borderId="1" xfId="363" applyNumberFormat="1" applyFont="1" applyFill="1" applyBorder="1" applyAlignment="1">
      <alignment horizontal="center" vertical="center"/>
    </xf>
    <xf numFmtId="172" fontId="6" fillId="0" borderId="1" xfId="0" applyNumberFormat="1" applyFont="1" applyBorder="1" applyAlignment="1">
      <alignment vertical="center" wrapText="1"/>
    </xf>
    <xf numFmtId="172" fontId="6" fillId="2" borderId="1" xfId="0" applyNumberFormat="1" applyFont="1" applyFill="1" applyBorder="1" applyAlignment="1">
      <alignment wrapText="1"/>
    </xf>
    <xf numFmtId="172" fontId="5" fillId="3" borderId="1" xfId="0" applyNumberFormat="1" applyFont="1" applyFill="1" applyBorder="1" applyAlignment="1">
      <alignment vertical="center" wrapText="1"/>
    </xf>
    <xf numFmtId="172" fontId="5" fillId="3" borderId="1" xfId="0" applyNumberFormat="1" applyFont="1" applyFill="1" applyBorder="1" applyAlignment="1">
      <alignment horizontal="center" vertical="center"/>
    </xf>
    <xf numFmtId="172" fontId="5" fillId="2" borderId="1" xfId="66" applyNumberFormat="1" applyFont="1" applyFill="1" applyBorder="1" applyAlignment="1">
      <alignment horizontal="center" vertical="center"/>
    </xf>
    <xf numFmtId="172" fontId="6" fillId="3" borderId="0" xfId="0" applyNumberFormat="1" applyFont="1" applyFill="1" applyAlignment="1">
      <alignment horizontal="center" vertical="center"/>
    </xf>
    <xf numFmtId="172" fontId="5" fillId="3" borderId="1" xfId="66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170" fontId="44" fillId="0" borderId="3" xfId="0" applyNumberFormat="1" applyFont="1" applyBorder="1" applyAlignment="1">
      <alignment horizontal="center" vertical="center"/>
    </xf>
    <xf numFmtId="0" fontId="9" fillId="2" borderId="1" xfId="5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" xfId="183" applyFont="1" applyBorder="1" applyAlignment="1">
      <alignment horizontal="justify" vertical="center" wrapText="1"/>
    </xf>
    <xf numFmtId="167" fontId="43" fillId="5" borderId="3" xfId="186" applyNumberFormat="1" applyFont="1" applyFill="1" applyBorder="1" applyAlignment="1">
      <alignment horizontal="center" vertical="center" wrapText="1"/>
    </xf>
    <xf numFmtId="0" fontId="9" fillId="5" borderId="3" xfId="5" applyFont="1" applyFill="1" applyBorder="1" applyAlignment="1">
      <alignment horizontal="left" vertical="center" wrapText="1"/>
    </xf>
    <xf numFmtId="167" fontId="44" fillId="3" borderId="1" xfId="186" applyNumberFormat="1" applyFont="1" applyFill="1" applyBorder="1" applyAlignment="1">
      <alignment horizontal="center"/>
    </xf>
    <xf numFmtId="0" fontId="43" fillId="3" borderId="1" xfId="186" applyFont="1" applyFill="1" applyBorder="1" applyAlignment="1">
      <alignment horizontal="center"/>
    </xf>
    <xf numFmtId="49" fontId="5" fillId="0" borderId="1" xfId="0" applyNumberFormat="1" applyFont="1" applyBorder="1"/>
    <xf numFmtId="167" fontId="9" fillId="2" borderId="3" xfId="285" applyNumberFormat="1" applyFont="1" applyFill="1" applyBorder="1" applyAlignment="1">
      <alignment horizontal="center" vertical="center"/>
    </xf>
    <xf numFmtId="167" fontId="9" fillId="2" borderId="25" xfId="285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8" fillId="2" borderId="1" xfId="173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/>
    </xf>
    <xf numFmtId="172" fontId="5" fillId="3" borderId="1" xfId="0" applyNumberFormat="1" applyFont="1" applyFill="1" applyBorder="1" applyAlignment="1">
      <alignment horizontal="center"/>
    </xf>
    <xf numFmtId="49" fontId="40" fillId="2" borderId="1" xfId="1" applyNumberFormat="1" applyFont="1" applyFill="1" applyBorder="1" applyAlignment="1">
      <alignment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2" borderId="1" xfId="176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167" fontId="6" fillId="0" borderId="3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7" fontId="9" fillId="2" borderId="3" xfId="285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8" fillId="0" borderId="3" xfId="176" applyFont="1" applyBorder="1" applyAlignment="1">
      <alignment horizontal="left" vertical="top" wrapText="1"/>
    </xf>
    <xf numFmtId="167" fontId="9" fillId="2" borderId="3" xfId="0" applyNumberFormat="1" applyFont="1" applyFill="1" applyBorder="1" applyAlignment="1">
      <alignment horizontal="center" vertical="center" wrapText="1"/>
    </xf>
    <xf numFmtId="167" fontId="9" fillId="2" borderId="25" xfId="285" applyNumberFormat="1" applyFont="1" applyFill="1" applyBorder="1" applyAlignment="1">
      <alignment horizontal="center" vertical="center" wrapText="1"/>
    </xf>
    <xf numFmtId="167" fontId="9" fillId="2" borderId="1" xfId="285" applyNumberFormat="1" applyFont="1" applyFill="1" applyBorder="1" applyAlignment="1">
      <alignment horizontal="center" vertical="center" wrapText="1"/>
    </xf>
    <xf numFmtId="167" fontId="8" fillId="2" borderId="2" xfId="14" applyNumberFormat="1" applyFont="1" applyFill="1" applyBorder="1" applyAlignment="1">
      <alignment horizontal="center" vertical="center" wrapText="1"/>
    </xf>
    <xf numFmtId="167" fontId="9" fillId="5" borderId="1" xfId="14" applyNumberFormat="1" applyFont="1" applyFill="1" applyBorder="1" applyAlignment="1">
      <alignment horizontal="center" vertical="center" wrapText="1"/>
    </xf>
    <xf numFmtId="167" fontId="48" fillId="5" borderId="1" xfId="14" applyNumberFormat="1" applyFont="1" applyFill="1" applyBorder="1" applyAlignment="1">
      <alignment horizontal="center" vertical="center" wrapText="1"/>
    </xf>
    <xf numFmtId="167" fontId="5" fillId="5" borderId="1" xfId="14" applyNumberFormat="1" applyFont="1" applyFill="1" applyBorder="1" applyAlignment="1">
      <alignment horizontal="center" vertical="center" wrapText="1"/>
    </xf>
    <xf numFmtId="167" fontId="5" fillId="5" borderId="1" xfId="14" applyNumberFormat="1" applyFont="1" applyFill="1" applyBorder="1" applyAlignment="1">
      <alignment horizontal="center" wrapText="1"/>
    </xf>
    <xf numFmtId="167" fontId="44" fillId="2" borderId="2" xfId="14" applyNumberFormat="1" applyFont="1" applyFill="1" applyBorder="1" applyAlignment="1">
      <alignment horizontal="center" vertical="center" wrapText="1"/>
    </xf>
    <xf numFmtId="167" fontId="9" fillId="2" borderId="1" xfId="14" applyNumberFormat="1" applyFont="1" applyFill="1" applyBorder="1" applyAlignment="1">
      <alignment horizontal="center" vertical="center" wrapText="1"/>
    </xf>
    <xf numFmtId="167" fontId="6" fillId="2" borderId="1" xfId="14" applyNumberFormat="1" applyFont="1" applyFill="1" applyBorder="1" applyAlignment="1">
      <alignment horizontal="center" vertical="center" wrapText="1"/>
    </xf>
    <xf numFmtId="167" fontId="44" fillId="5" borderId="1" xfId="14" applyNumberFormat="1" applyFont="1" applyFill="1" applyBorder="1" applyAlignment="1">
      <alignment horizontal="center" vertical="center" wrapText="1"/>
    </xf>
    <xf numFmtId="167" fontId="44" fillId="5" borderId="2" xfId="186" applyNumberFormat="1" applyFont="1" applyFill="1" applyBorder="1" applyAlignment="1">
      <alignment horizontal="center" vertical="center" wrapText="1"/>
    </xf>
    <xf numFmtId="167" fontId="44" fillId="5" borderId="3" xfId="186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/>
    </xf>
    <xf numFmtId="167" fontId="5" fillId="0" borderId="2" xfId="0" applyNumberFormat="1" applyFont="1" applyBorder="1" applyAlignment="1">
      <alignment horizontal="center" vertical="center" wrapText="1"/>
    </xf>
    <xf numFmtId="167" fontId="5" fillId="3" borderId="2" xfId="0" applyNumberFormat="1" applyFont="1" applyFill="1" applyBorder="1" applyAlignment="1">
      <alignment horizontal="center" vertical="center" wrapText="1"/>
    </xf>
    <xf numFmtId="167" fontId="43" fillId="5" borderId="3" xfId="0" applyNumberFormat="1" applyFont="1" applyFill="1" applyBorder="1" applyAlignment="1">
      <alignment horizontal="center" vertical="center" wrapText="1"/>
    </xf>
    <xf numFmtId="170" fontId="44" fillId="0" borderId="1" xfId="0" applyNumberFormat="1" applyFont="1" applyBorder="1" applyAlignment="1">
      <alignment vertical="center"/>
    </xf>
    <xf numFmtId="167" fontId="5" fillId="0" borderId="2" xfId="0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67" fontId="8" fillId="2" borderId="1" xfId="5" applyNumberFormat="1" applyFont="1" applyFill="1" applyBorder="1" applyAlignment="1">
      <alignment horizontal="center" vertical="center" wrapText="1"/>
    </xf>
    <xf numFmtId="167" fontId="8" fillId="2" borderId="3" xfId="0" applyNumberFormat="1" applyFont="1" applyFill="1" applyBorder="1" applyAlignment="1">
      <alignment horizontal="center" vertical="center" wrapText="1"/>
    </xf>
    <xf numFmtId="167" fontId="9" fillId="2" borderId="2" xfId="0" applyNumberFormat="1" applyFont="1" applyFill="1" applyBorder="1" applyAlignment="1">
      <alignment horizontal="center" vertical="center" wrapText="1"/>
    </xf>
    <xf numFmtId="167" fontId="9" fillId="2" borderId="3" xfId="192" applyNumberFormat="1" applyFont="1" applyFill="1" applyBorder="1" applyAlignment="1">
      <alignment horizontal="center" vertical="center" wrapText="1"/>
    </xf>
    <xf numFmtId="167" fontId="9" fillId="2" borderId="3" xfId="0" applyNumberFormat="1" applyFont="1" applyFill="1" applyBorder="1" applyAlignment="1">
      <alignment horizontal="center" vertical="top" wrapText="1"/>
    </xf>
    <xf numFmtId="167" fontId="6" fillId="0" borderId="2" xfId="0" applyNumberFormat="1" applyFont="1" applyBorder="1" applyAlignment="1">
      <alignment horizontal="center" vertical="top" wrapText="1"/>
    </xf>
    <xf numFmtId="167" fontId="9" fillId="2" borderId="30" xfId="0" applyNumberFormat="1" applyFont="1" applyFill="1" applyBorder="1" applyAlignment="1">
      <alignment horizontal="center" vertical="center" wrapText="1"/>
    </xf>
    <xf numFmtId="172" fontId="8" fillId="2" borderId="1" xfId="173" applyNumberFormat="1" applyFont="1" applyFill="1" applyBorder="1" applyAlignment="1">
      <alignment horizontal="center" vertical="center" wrapText="1"/>
    </xf>
    <xf numFmtId="172" fontId="9" fillId="2" borderId="3" xfId="0" applyNumberFormat="1" applyFont="1" applyFill="1" applyBorder="1" applyAlignment="1">
      <alignment horizontal="center" vertical="center"/>
    </xf>
    <xf numFmtId="172" fontId="8" fillId="2" borderId="1" xfId="173" applyNumberFormat="1" applyFont="1" applyFill="1" applyBorder="1" applyAlignment="1">
      <alignment horizontal="center" vertical="center"/>
    </xf>
    <xf numFmtId="172" fontId="9" fillId="2" borderId="1" xfId="173" applyNumberFormat="1" applyFont="1" applyFill="1" applyBorder="1" applyAlignment="1">
      <alignment horizontal="center" vertical="center"/>
    </xf>
    <xf numFmtId="172" fontId="8" fillId="3" borderId="1" xfId="173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 wrapText="1"/>
    </xf>
    <xf numFmtId="167" fontId="9" fillId="2" borderId="1" xfId="0" applyNumberFormat="1" applyFont="1" applyFill="1" applyBorder="1" applyAlignment="1">
      <alignment horizontal="center" vertical="center"/>
    </xf>
    <xf numFmtId="10" fontId="9" fillId="0" borderId="1" xfId="5" applyNumberFormat="1" applyFont="1" applyBorder="1" applyAlignment="1">
      <alignment horizontal="center" vertical="center" wrapText="1"/>
    </xf>
    <xf numFmtId="167" fontId="40" fillId="32" borderId="36" xfId="0" applyNumberFormat="1" applyFont="1" applyFill="1" applyBorder="1" applyAlignment="1">
      <alignment horizontal="center" vertical="center" wrapText="1"/>
    </xf>
    <xf numFmtId="167" fontId="40" fillId="30" borderId="36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vertical="top"/>
    </xf>
    <xf numFmtId="167" fontId="8" fillId="3" borderId="1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170" fontId="8" fillId="2" borderId="9" xfId="176" applyNumberFormat="1" applyFont="1" applyFill="1" applyBorder="1" applyAlignment="1">
      <alignment horizontal="center" vertical="center"/>
    </xf>
    <xf numFmtId="172" fontId="9" fillId="2" borderId="3" xfId="0" applyNumberFormat="1" applyFont="1" applyFill="1" applyBorder="1" applyAlignment="1">
      <alignment horizontal="center" vertical="center" wrapText="1"/>
    </xf>
    <xf numFmtId="172" fontId="6" fillId="2" borderId="1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right" vertical="center"/>
    </xf>
    <xf numFmtId="172" fontId="5" fillId="0" borderId="3" xfId="0" applyNumberFormat="1" applyFont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67" fontId="5" fillId="2" borderId="34" xfId="0" applyNumberFormat="1" applyFont="1" applyFill="1" applyBorder="1" applyAlignment="1">
      <alignment horizontal="center" vertical="center" wrapText="1"/>
    </xf>
    <xf numFmtId="167" fontId="5" fillId="30" borderId="34" xfId="0" applyNumberFormat="1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167" fontId="6" fillId="2" borderId="36" xfId="0" applyNumberFormat="1" applyFont="1" applyFill="1" applyBorder="1" applyAlignment="1">
      <alignment horizontal="center" vertical="center" wrapText="1"/>
    </xf>
    <xf numFmtId="167" fontId="6" fillId="30" borderId="36" xfId="0" applyNumberFormat="1" applyFont="1" applyFill="1" applyBorder="1" applyAlignment="1">
      <alignment horizontal="center" vertical="center" wrapText="1"/>
    </xf>
    <xf numFmtId="167" fontId="6" fillId="2" borderId="38" xfId="0" applyNumberFormat="1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vertical="center" wrapText="1"/>
    </xf>
    <xf numFmtId="0" fontId="9" fillId="2" borderId="41" xfId="0" applyFont="1" applyFill="1" applyBorder="1"/>
    <xf numFmtId="167" fontId="6" fillId="30" borderId="34" xfId="0" applyNumberFormat="1" applyFont="1" applyFill="1" applyBorder="1" applyAlignment="1">
      <alignment horizontal="center" vertical="center" wrapText="1"/>
    </xf>
    <xf numFmtId="167" fontId="6" fillId="2" borderId="34" xfId="0" applyNumberFormat="1" applyFont="1" applyFill="1" applyBorder="1" applyAlignment="1">
      <alignment horizontal="center" vertical="center" wrapText="1"/>
    </xf>
    <xf numFmtId="167" fontId="6" fillId="2" borderId="39" xfId="0" applyNumberFormat="1" applyFont="1" applyFill="1" applyBorder="1" applyAlignment="1">
      <alignment horizontal="center" vertical="center" wrapText="1"/>
    </xf>
    <xf numFmtId="167" fontId="5" fillId="31" borderId="39" xfId="0" applyNumberFormat="1" applyFont="1" applyFill="1" applyBorder="1" applyAlignment="1">
      <alignment horizontal="center" vertical="center" wrapText="1"/>
    </xf>
    <xf numFmtId="167" fontId="5" fillId="31" borderId="1" xfId="0" applyNumberFormat="1" applyFont="1" applyFill="1" applyBorder="1" applyAlignment="1">
      <alignment horizontal="center" vertical="center" wrapText="1"/>
    </xf>
    <xf numFmtId="0" fontId="6" fillId="29" borderId="50" xfId="0" applyFont="1" applyFill="1" applyBorder="1" applyAlignment="1">
      <alignment horizontal="left" vertical="center" wrapText="1"/>
    </xf>
    <xf numFmtId="0" fontId="6" fillId="29" borderId="34" xfId="0" applyFont="1" applyFill="1" applyBorder="1" applyAlignment="1">
      <alignment horizontal="center" vertical="center"/>
    </xf>
    <xf numFmtId="0" fontId="6" fillId="29" borderId="36" xfId="0" applyFont="1" applyFill="1" applyBorder="1" applyAlignment="1">
      <alignment horizontal="left" vertical="center" wrapText="1"/>
    </xf>
    <xf numFmtId="0" fontId="6" fillId="29" borderId="36" xfId="0" applyFont="1" applyFill="1" applyBorder="1" applyAlignment="1">
      <alignment horizontal="center" vertical="center"/>
    </xf>
    <xf numFmtId="0" fontId="6" fillId="32" borderId="36" xfId="0" applyFont="1" applyFill="1" applyBorder="1" applyAlignment="1">
      <alignment horizontal="left" vertical="center" wrapText="1"/>
    </xf>
    <xf numFmtId="167" fontId="6" fillId="29" borderId="36" xfId="0" applyNumberFormat="1" applyFont="1" applyFill="1" applyBorder="1" applyAlignment="1">
      <alignment horizontal="center" vertical="center" wrapText="1"/>
    </xf>
    <xf numFmtId="167" fontId="56" fillId="30" borderId="36" xfId="0" applyNumberFormat="1" applyFont="1" applyFill="1" applyBorder="1" applyAlignment="1">
      <alignment horizontal="center" vertical="center" wrapText="1"/>
    </xf>
    <xf numFmtId="0" fontId="56" fillId="29" borderId="36" xfId="0" applyFont="1" applyFill="1" applyBorder="1" applyAlignment="1">
      <alignment vertical="center" wrapText="1"/>
    </xf>
    <xf numFmtId="0" fontId="6" fillId="29" borderId="36" xfId="0" applyFont="1" applyFill="1" applyBorder="1" applyAlignment="1">
      <alignment horizontal="center" vertical="center" wrapText="1"/>
    </xf>
    <xf numFmtId="167" fontId="56" fillId="29" borderId="36" xfId="0" applyNumberFormat="1" applyFont="1" applyFill="1" applyBorder="1" applyAlignment="1">
      <alignment horizontal="center" vertical="center" wrapText="1"/>
    </xf>
    <xf numFmtId="0" fontId="56" fillId="29" borderId="36" xfId="0" applyFont="1" applyFill="1" applyBorder="1" applyAlignment="1">
      <alignment horizontal="center" vertical="center" wrapText="1"/>
    </xf>
    <xf numFmtId="0" fontId="6" fillId="29" borderId="0" xfId="0" applyFont="1" applyFill="1" applyAlignment="1">
      <alignment horizontal="left" vertical="center" wrapText="1"/>
    </xf>
    <xf numFmtId="0" fontId="56" fillId="29" borderId="42" xfId="0" applyFont="1" applyFill="1" applyBorder="1" applyAlignment="1">
      <alignment horizontal="left" vertical="center" wrapText="1"/>
    </xf>
    <xf numFmtId="167" fontId="6" fillId="29" borderId="38" xfId="0" applyNumberFormat="1" applyFont="1" applyFill="1" applyBorder="1" applyAlignment="1">
      <alignment horizontal="center" vertical="center" wrapText="1"/>
    </xf>
    <xf numFmtId="167" fontId="5" fillId="31" borderId="34" xfId="0" applyNumberFormat="1" applyFont="1" applyFill="1" applyBorder="1" applyAlignment="1">
      <alignment horizontal="center" vertical="center" wrapText="1"/>
    </xf>
    <xf numFmtId="167" fontId="5" fillId="31" borderId="37" xfId="0" applyNumberFormat="1" applyFont="1" applyFill="1" applyBorder="1" applyAlignment="1">
      <alignment horizontal="center" vertical="center" wrapText="1"/>
    </xf>
    <xf numFmtId="0" fontId="56" fillId="29" borderId="34" xfId="0" applyFont="1" applyFill="1" applyBorder="1" applyAlignment="1">
      <alignment horizontal="left" vertical="center" wrapText="1"/>
    </xf>
    <xf numFmtId="0" fontId="56" fillId="29" borderId="34" xfId="0" applyFont="1" applyFill="1" applyBorder="1" applyAlignment="1">
      <alignment horizontal="center" vertical="center" wrapText="1"/>
    </xf>
    <xf numFmtId="167" fontId="56" fillId="29" borderId="34" xfId="0" applyNumberFormat="1" applyFont="1" applyFill="1" applyBorder="1" applyAlignment="1">
      <alignment horizontal="center" vertical="center" wrapText="1"/>
    </xf>
    <xf numFmtId="167" fontId="56" fillId="30" borderId="34" xfId="0" applyNumberFormat="1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167" fontId="56" fillId="29" borderId="35" xfId="0" applyNumberFormat="1" applyFont="1" applyFill="1" applyBorder="1" applyAlignment="1">
      <alignment horizontal="center" vertical="center" wrapText="1"/>
    </xf>
    <xf numFmtId="167" fontId="56" fillId="30" borderId="35" xfId="0" applyNumberFormat="1" applyFont="1" applyFill="1" applyBorder="1" applyAlignment="1">
      <alignment horizontal="center" vertical="center" wrapText="1"/>
    </xf>
    <xf numFmtId="0" fontId="6" fillId="29" borderId="35" xfId="0" applyFont="1" applyFill="1" applyBorder="1" applyAlignment="1">
      <alignment horizontal="left" vertical="center" wrapText="1"/>
    </xf>
    <xf numFmtId="0" fontId="6" fillId="29" borderId="34" xfId="0" applyFont="1" applyFill="1" applyBorder="1" applyAlignment="1">
      <alignment horizontal="center" vertical="center" wrapText="1"/>
    </xf>
    <xf numFmtId="0" fontId="6" fillId="29" borderId="34" xfId="0" applyFont="1" applyFill="1" applyBorder="1" applyAlignment="1">
      <alignment horizontal="left" vertical="center" wrapText="1"/>
    </xf>
    <xf numFmtId="167" fontId="56" fillId="29" borderId="39" xfId="0" applyNumberFormat="1" applyFont="1" applyFill="1" applyBorder="1" applyAlignment="1">
      <alignment horizontal="center" vertical="center" wrapText="1"/>
    </xf>
    <xf numFmtId="167" fontId="56" fillId="30" borderId="39" xfId="0" applyNumberFormat="1" applyFont="1" applyFill="1" applyBorder="1" applyAlignment="1">
      <alignment horizontal="center" vertical="center" wrapText="1"/>
    </xf>
    <xf numFmtId="0" fontId="6" fillId="29" borderId="36" xfId="0" applyFont="1" applyFill="1" applyBorder="1" applyAlignment="1">
      <alignment vertical="center" wrapText="1"/>
    </xf>
    <xf numFmtId="0" fontId="56" fillId="29" borderId="1" xfId="0" applyFont="1" applyFill="1" applyBorder="1" applyAlignment="1">
      <alignment horizontal="left" vertical="center" wrapText="1"/>
    </xf>
    <xf numFmtId="0" fontId="56" fillId="29" borderId="1" xfId="0" applyFont="1" applyFill="1" applyBorder="1" applyAlignment="1">
      <alignment horizontal="center" vertical="center" wrapText="1"/>
    </xf>
    <xf numFmtId="0" fontId="56" fillId="29" borderId="7" xfId="0" applyFont="1" applyFill="1" applyBorder="1" applyAlignment="1">
      <alignment horizontal="left" vertical="center" wrapText="1"/>
    </xf>
    <xf numFmtId="167" fontId="6" fillId="2" borderId="9" xfId="0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7" fontId="6" fillId="29" borderId="1" xfId="0" applyNumberFormat="1" applyFont="1" applyFill="1" applyBorder="1" applyAlignment="1">
      <alignment horizontal="center" vertical="center" wrapText="1"/>
    </xf>
    <xf numFmtId="167" fontId="6" fillId="30" borderId="1" xfId="0" applyNumberFormat="1" applyFont="1" applyFill="1" applyBorder="1" applyAlignment="1">
      <alignment horizontal="center" vertical="center" wrapText="1"/>
    </xf>
    <xf numFmtId="167" fontId="5" fillId="3" borderId="36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167" fontId="5" fillId="0" borderId="3" xfId="32" applyNumberFormat="1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67" fontId="6" fillId="0" borderId="3" xfId="32" applyNumberFormat="1" applyFont="1" applyFill="1" applyBorder="1" applyAlignment="1">
      <alignment horizontal="center" vertical="center" wrapText="1"/>
    </xf>
    <xf numFmtId="167" fontId="6" fillId="0" borderId="1" xfId="32" applyNumberFormat="1" applyFont="1" applyFill="1" applyBorder="1" applyAlignment="1">
      <alignment horizontal="center" vertical="center" wrapText="1"/>
    </xf>
    <xf numFmtId="168" fontId="6" fillId="0" borderId="24" xfId="0" applyNumberFormat="1" applyFont="1" applyBorder="1" applyAlignment="1">
      <alignment horizontal="center" vertical="center" wrapText="1"/>
    </xf>
    <xf numFmtId="167" fontId="5" fillId="0" borderId="1" xfId="32" applyNumberFormat="1" applyFont="1" applyFill="1" applyBorder="1" applyAlignment="1">
      <alignment horizontal="center" vertical="center" wrapText="1"/>
    </xf>
    <xf numFmtId="167" fontId="9" fillId="0" borderId="3" xfId="32" applyNumberFormat="1" applyFont="1" applyFill="1" applyBorder="1" applyAlignment="1">
      <alignment horizontal="center" vertical="center" wrapText="1"/>
    </xf>
    <xf numFmtId="167" fontId="9" fillId="2" borderId="1" xfId="32" applyNumberFormat="1" applyFont="1" applyFill="1" applyBorder="1" applyAlignment="1">
      <alignment horizontal="center" vertical="center" wrapText="1"/>
    </xf>
    <xf numFmtId="167" fontId="8" fillId="0" borderId="1" xfId="32" applyNumberFormat="1" applyFont="1" applyFill="1" applyBorder="1" applyAlignment="1">
      <alignment horizontal="center" vertical="center" wrapText="1"/>
    </xf>
    <xf numFmtId="167" fontId="9" fillId="0" borderId="1" xfId="32" applyNumberFormat="1" applyFont="1" applyFill="1" applyBorder="1" applyAlignment="1">
      <alignment horizontal="center" vertical="center" wrapText="1"/>
    </xf>
    <xf numFmtId="167" fontId="59" fillId="0" borderId="1" xfId="32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 wrapText="1"/>
    </xf>
    <xf numFmtId="9" fontId="9" fillId="2" borderId="1" xfId="363" applyFont="1" applyFill="1" applyBorder="1" applyAlignment="1">
      <alignment horizontal="center" vertical="center" wrapText="1"/>
    </xf>
    <xf numFmtId="9" fontId="9" fillId="2" borderId="1" xfId="363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 wrapText="1"/>
    </xf>
    <xf numFmtId="167" fontId="8" fillId="2" borderId="1" xfId="24" applyNumberFormat="1" applyFont="1" applyFill="1" applyBorder="1" applyAlignment="1">
      <alignment horizontal="center" vertical="center" wrapText="1"/>
    </xf>
    <xf numFmtId="167" fontId="9" fillId="2" borderId="1" xfId="0" applyNumberFormat="1" applyFont="1" applyFill="1" applyBorder="1" applyAlignment="1">
      <alignment horizontal="left" vertical="center" wrapText="1"/>
    </xf>
    <xf numFmtId="9" fontId="9" fillId="2" borderId="1" xfId="42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left" vertical="center" wrapText="1"/>
    </xf>
    <xf numFmtId="18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top" wrapText="1"/>
    </xf>
    <xf numFmtId="168" fontId="8" fillId="2" borderId="1" xfId="0" applyNumberFormat="1" applyFont="1" applyFill="1" applyBorder="1" applyAlignment="1">
      <alignment horizontal="center" vertical="center" wrapText="1"/>
    </xf>
    <xf numFmtId="168" fontId="8" fillId="2" borderId="1" xfId="0" applyNumberFormat="1" applyFont="1" applyFill="1" applyBorder="1" applyAlignment="1">
      <alignment horizontal="center" vertical="center"/>
    </xf>
    <xf numFmtId="0" fontId="8" fillId="2" borderId="1" xfId="176" applyFont="1" applyFill="1" applyBorder="1" applyAlignment="1">
      <alignment horizontal="left" vertical="center" wrapText="1"/>
    </xf>
    <xf numFmtId="0" fontId="8" fillId="2" borderId="1" xfId="176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176" applyFont="1" applyFill="1" applyBorder="1" applyAlignment="1">
      <alignment vertical="center" wrapText="1"/>
    </xf>
    <xf numFmtId="9" fontId="9" fillId="2" borderId="1" xfId="21" applyFont="1" applyFill="1" applyBorder="1" applyAlignment="1">
      <alignment horizontal="center" vertical="center" wrapText="1"/>
    </xf>
    <xf numFmtId="0" fontId="9" fillId="2" borderId="1" xfId="176" applyFont="1" applyFill="1" applyBorder="1" applyAlignment="1">
      <alignment wrapText="1"/>
    </xf>
    <xf numFmtId="0" fontId="9" fillId="2" borderId="1" xfId="176" applyFont="1" applyFill="1" applyBorder="1" applyAlignment="1">
      <alignment vertical="center" wrapText="1"/>
    </xf>
    <xf numFmtId="0" fontId="9" fillId="2" borderId="1" xfId="31" applyFont="1" applyFill="1" applyBorder="1" applyAlignment="1">
      <alignment vertical="center" wrapText="1"/>
    </xf>
    <xf numFmtId="0" fontId="9" fillId="2" borderId="1" xfId="31" applyFont="1" applyFill="1" applyBorder="1" applyAlignment="1">
      <alignment horizontal="center" vertical="center" wrapText="1"/>
    </xf>
    <xf numFmtId="49" fontId="9" fillId="2" borderId="1" xfId="31" applyNumberFormat="1" applyFont="1" applyFill="1" applyBorder="1" applyAlignment="1">
      <alignment horizontal="center" vertical="center" wrapText="1"/>
    </xf>
    <xf numFmtId="0" fontId="9" fillId="2" borderId="1" xfId="31" applyFont="1" applyFill="1" applyBorder="1" applyAlignment="1">
      <alignment wrapText="1"/>
    </xf>
    <xf numFmtId="16" fontId="9" fillId="2" borderId="1" xfId="0" applyNumberFormat="1" applyFont="1" applyFill="1" applyBorder="1" applyAlignment="1">
      <alignment horizontal="left" vertical="center" wrapText="1"/>
    </xf>
    <xf numFmtId="172" fontId="9" fillId="2" borderId="1" xfId="282" applyNumberFormat="1" applyFont="1" applyFill="1" applyBorder="1" applyAlignment="1">
      <alignment horizontal="center" vertical="center" wrapText="1"/>
    </xf>
    <xf numFmtId="172" fontId="9" fillId="2" borderId="1" xfId="183" applyNumberFormat="1" applyFont="1" applyFill="1" applyBorder="1" applyAlignment="1">
      <alignment horizontal="left" vertical="center" wrapText="1"/>
    </xf>
    <xf numFmtId="172" fontId="9" fillId="2" borderId="1" xfId="183" applyNumberFormat="1" applyFont="1" applyFill="1" applyBorder="1" applyAlignment="1">
      <alignment horizontal="center" vertical="center" wrapText="1"/>
    </xf>
    <xf numFmtId="0" fontId="9" fillId="2" borderId="1" xfId="283" applyFont="1" applyFill="1" applyBorder="1" applyAlignment="1">
      <alignment horizontal="center" vertical="center" wrapText="1"/>
    </xf>
    <xf numFmtId="172" fontId="9" fillId="2" borderId="1" xfId="282" applyNumberFormat="1" applyFont="1" applyFill="1" applyBorder="1" applyAlignment="1">
      <alignment horizontal="left" vertical="center" wrapText="1"/>
    </xf>
    <xf numFmtId="0" fontId="9" fillId="2" borderId="1" xfId="176" applyFont="1" applyFill="1" applyBorder="1" applyAlignment="1">
      <alignment horizontal="center"/>
    </xf>
    <xf numFmtId="168" fontId="9" fillId="2" borderId="1" xfId="283" applyNumberFormat="1" applyFont="1" applyFill="1" applyBorder="1" applyAlignment="1">
      <alignment horizontal="center" vertical="center" wrapText="1"/>
    </xf>
    <xf numFmtId="0" fontId="9" fillId="2" borderId="1" xfId="31" applyFont="1" applyFill="1" applyBorder="1" applyAlignment="1">
      <alignment horizontal="left" wrapText="1"/>
    </xf>
    <xf numFmtId="0" fontId="9" fillId="2" borderId="1" xfId="184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top" wrapText="1"/>
    </xf>
    <xf numFmtId="2" fontId="5" fillId="2" borderId="3" xfId="2" applyNumberFormat="1" applyFont="1" applyFill="1" applyBorder="1" applyAlignment="1">
      <alignment vertical="center" wrapText="1"/>
    </xf>
    <xf numFmtId="0" fontId="41" fillId="2" borderId="2" xfId="0" applyFont="1" applyFill="1" applyBorder="1" applyAlignment="1">
      <alignment horizontal="left" vertical="top" wrapText="1"/>
    </xf>
    <xf numFmtId="2" fontId="5" fillId="2" borderId="9" xfId="2" applyNumberFormat="1" applyFont="1" applyFill="1" applyBorder="1" applyAlignment="1">
      <alignment vertical="center" wrapText="1"/>
    </xf>
    <xf numFmtId="2" fontId="5" fillId="2" borderId="1" xfId="2" applyNumberFormat="1" applyFont="1" applyFill="1" applyBorder="1" applyAlignment="1">
      <alignment horizontal="center" vertical="center" wrapText="1"/>
    </xf>
    <xf numFmtId="2" fontId="5" fillId="2" borderId="2" xfId="2" applyNumberFormat="1" applyFont="1" applyFill="1" applyBorder="1" applyAlignment="1">
      <alignment vertical="center" wrapText="1"/>
    </xf>
    <xf numFmtId="0" fontId="5" fillId="2" borderId="3" xfId="5" applyFont="1" applyFill="1" applyBorder="1" applyAlignment="1">
      <alignment horizontal="left" vertical="center" wrapText="1"/>
    </xf>
    <xf numFmtId="0" fontId="45" fillId="2" borderId="2" xfId="5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vertical="center" wrapText="1"/>
    </xf>
    <xf numFmtId="3" fontId="6" fillId="2" borderId="1" xfId="0" applyNumberFormat="1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left" vertical="top" wrapText="1"/>
    </xf>
    <xf numFmtId="182" fontId="8" fillId="2" borderId="1" xfId="0" applyNumberFormat="1" applyFont="1" applyFill="1" applyBorder="1" applyAlignment="1">
      <alignment horizontal="center" vertical="center" wrapText="1"/>
    </xf>
    <xf numFmtId="182" fontId="9" fillId="2" borderId="1" xfId="2" applyNumberFormat="1" applyFont="1" applyFill="1" applyBorder="1" applyAlignment="1">
      <alignment horizontal="center" vertical="center" wrapText="1"/>
    </xf>
    <xf numFmtId="9" fontId="9" fillId="2" borderId="1" xfId="0" applyNumberFormat="1" applyFont="1" applyFill="1" applyBorder="1" applyAlignment="1">
      <alignment horizontal="center" vertical="center"/>
    </xf>
    <xf numFmtId="9" fontId="9" fillId="2" borderId="1" xfId="2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 wrapText="1"/>
    </xf>
    <xf numFmtId="10" fontId="62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" fontId="46" fillId="2" borderId="1" xfId="0" applyNumberFormat="1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vertical="center" wrapText="1"/>
    </xf>
    <xf numFmtId="4" fontId="6" fillId="2" borderId="3" xfId="0" applyNumberFormat="1" applyFont="1" applyFill="1" applyBorder="1" applyAlignment="1">
      <alignment vertical="center" wrapText="1"/>
    </xf>
    <xf numFmtId="172" fontId="6" fillId="2" borderId="3" xfId="0" applyNumberFormat="1" applyFont="1" applyFill="1" applyBorder="1" applyAlignment="1">
      <alignment vertical="center" wrapText="1"/>
    </xf>
    <xf numFmtId="172" fontId="5" fillId="2" borderId="3" xfId="66" applyNumberFormat="1" applyFont="1" applyFill="1" applyBorder="1" applyAlignment="1">
      <alignment horizontal="center" vertical="center"/>
    </xf>
    <xf numFmtId="172" fontId="8" fillId="2" borderId="3" xfId="66" applyNumberFormat="1" applyFont="1" applyFill="1" applyBorder="1" applyAlignment="1">
      <alignment horizontal="center" vertical="center"/>
    </xf>
    <xf numFmtId="172" fontId="6" fillId="2" borderId="1" xfId="0" applyNumberFormat="1" applyFont="1" applyFill="1" applyBorder="1" applyAlignment="1">
      <alignment horizontal="left" vertical="top" wrapText="1"/>
    </xf>
    <xf numFmtId="172" fontId="5" fillId="2" borderId="1" xfId="0" applyNumberFormat="1" applyFont="1" applyFill="1" applyBorder="1" applyAlignment="1">
      <alignment horizontal="left" vertical="top" wrapText="1"/>
    </xf>
    <xf numFmtId="172" fontId="6" fillId="2" borderId="3" xfId="0" applyNumberFormat="1" applyFont="1" applyFill="1" applyBorder="1" applyAlignment="1">
      <alignment horizontal="left" vertical="top" wrapText="1"/>
    </xf>
    <xf numFmtId="172" fontId="9" fillId="2" borderId="1" xfId="66" applyNumberFormat="1" applyFont="1" applyFill="1" applyBorder="1" applyAlignment="1">
      <alignment horizontal="center" vertical="center"/>
    </xf>
    <xf numFmtId="172" fontId="6" fillId="2" borderId="1" xfId="0" applyNumberFormat="1" applyFont="1" applyFill="1" applyBorder="1" applyAlignment="1">
      <alignment vertical="top" wrapText="1"/>
    </xf>
    <xf numFmtId="172" fontId="8" fillId="2" borderId="1" xfId="66" applyNumberFormat="1" applyFont="1" applyFill="1" applyBorder="1" applyAlignment="1">
      <alignment horizontal="center" vertical="center" wrapText="1"/>
    </xf>
    <xf numFmtId="172" fontId="6" fillId="2" borderId="7" xfId="0" applyNumberFormat="1" applyFont="1" applyFill="1" applyBorder="1" applyAlignment="1">
      <alignment horizontal="center" wrapText="1"/>
    </xf>
    <xf numFmtId="172" fontId="6" fillId="2" borderId="7" xfId="0" applyNumberFormat="1" applyFont="1" applyFill="1" applyBorder="1" applyAlignment="1">
      <alignment vertical="center" wrapText="1"/>
    </xf>
    <xf numFmtId="172" fontId="6" fillId="2" borderId="2" xfId="0" applyNumberFormat="1" applyFont="1" applyFill="1" applyBorder="1" applyAlignment="1">
      <alignment vertical="center" wrapText="1"/>
    </xf>
    <xf numFmtId="172" fontId="6" fillId="2" borderId="1" xfId="0" applyNumberFormat="1" applyFont="1" applyFill="1" applyBorder="1" applyAlignment="1">
      <alignment horizontal="left" vertical="center"/>
    </xf>
    <xf numFmtId="172" fontId="6" fillId="2" borderId="5" xfId="0" applyNumberFormat="1" applyFont="1" applyFill="1" applyBorder="1" applyAlignment="1">
      <alignment horizontal="center" vertical="center"/>
    </xf>
    <xf numFmtId="172" fontId="5" fillId="2" borderId="7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0" fontId="44" fillId="0" borderId="1" xfId="186" applyNumberFormat="1" applyFont="1" applyBorder="1" applyAlignment="1">
      <alignment vertical="center"/>
    </xf>
    <xf numFmtId="49" fontId="44" fillId="5" borderId="1" xfId="186" applyNumberFormat="1" applyFont="1" applyFill="1" applyBorder="1" applyAlignment="1">
      <alignment vertical="center"/>
    </xf>
    <xf numFmtId="170" fontId="5" fillId="0" borderId="1" xfId="0" applyNumberFormat="1" applyFont="1" applyBorder="1" applyAlignment="1">
      <alignment vertical="center"/>
    </xf>
    <xf numFmtId="170" fontId="9" fillId="0" borderId="1" xfId="0" applyNumberFormat="1" applyFont="1" applyBorder="1" applyAlignment="1">
      <alignment vertical="center"/>
    </xf>
    <xf numFmtId="2" fontId="5" fillId="2" borderId="1" xfId="0" applyNumberFormat="1" applyFont="1" applyFill="1" applyBorder="1" applyAlignment="1">
      <alignment horizontal="left" vertical="center" wrapText="1"/>
    </xf>
    <xf numFmtId="0" fontId="43" fillId="5" borderId="2" xfId="0" applyFont="1" applyFill="1" applyBorder="1" applyAlignment="1">
      <alignment horizontal="left" vertical="center" wrapText="1"/>
    </xf>
    <xf numFmtId="182" fontId="9" fillId="0" borderId="3" xfId="247" applyNumberFormat="1" applyFont="1" applyFill="1" applyBorder="1" applyAlignment="1">
      <alignment horizontal="center" vertical="center" wrapText="1"/>
    </xf>
    <xf numFmtId="178" fontId="9" fillId="0" borderId="3" xfId="193" applyNumberFormat="1" applyFont="1" applyFill="1" applyBorder="1" applyAlignment="1">
      <alignment horizontal="center" vertical="center" wrapText="1"/>
    </xf>
    <xf numFmtId="0" fontId="9" fillId="0" borderId="3" xfId="5" applyFont="1" applyBorder="1" applyAlignment="1">
      <alignment horizontal="left" vertical="center" wrapText="1"/>
    </xf>
    <xf numFmtId="49" fontId="9" fillId="0" borderId="3" xfId="0" applyNumberFormat="1" applyFont="1" applyBorder="1" applyAlignment="1">
      <alignment horizontal="center" vertical="center"/>
    </xf>
    <xf numFmtId="185" fontId="9" fillId="0" borderId="3" xfId="193" applyNumberFormat="1" applyFont="1" applyFill="1" applyBorder="1" applyAlignment="1">
      <alignment horizontal="center" vertical="center" wrapText="1"/>
    </xf>
    <xf numFmtId="10" fontId="9" fillId="0" borderId="3" xfId="5" applyNumberFormat="1" applyFont="1" applyBorder="1" applyAlignment="1">
      <alignment horizontal="center" vertical="center" wrapText="1"/>
    </xf>
    <xf numFmtId="172" fontId="6" fillId="2" borderId="2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9" fillId="2" borderId="30" xfId="5" applyFont="1" applyFill="1" applyBorder="1" applyAlignment="1">
      <alignment horizontal="left" vertical="center" wrapText="1"/>
    </xf>
    <xf numFmtId="171" fontId="8" fillId="0" borderId="1" xfId="28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170" fontId="5" fillId="2" borderId="1" xfId="0" applyNumberFormat="1" applyFont="1" applyFill="1" applyBorder="1" applyAlignment="1">
      <alignment horizontal="right" vertical="center"/>
    </xf>
    <xf numFmtId="170" fontId="5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vertical="center"/>
    </xf>
    <xf numFmtId="167" fontId="8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172" fontId="5" fillId="3" borderId="1" xfId="0" applyNumberFormat="1" applyFont="1" applyFill="1" applyBorder="1"/>
    <xf numFmtId="49" fontId="6" fillId="2" borderId="9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67" fontId="6" fillId="2" borderId="3" xfId="0" applyNumberFormat="1" applyFont="1" applyFill="1" applyBorder="1" applyAlignment="1">
      <alignment horizontal="center" vertical="center" wrapText="1"/>
    </xf>
    <xf numFmtId="167" fontId="6" fillId="2" borderId="3" xfId="0" applyNumberFormat="1" applyFont="1" applyFill="1" applyBorder="1" applyAlignment="1">
      <alignment horizontal="center" vertical="center"/>
    </xf>
    <xf numFmtId="167" fontId="9" fillId="2" borderId="3" xfId="0" applyNumberFormat="1" applyFont="1" applyFill="1" applyBorder="1" applyAlignment="1">
      <alignment horizontal="center" vertical="center"/>
    </xf>
    <xf numFmtId="172" fontId="6" fillId="2" borderId="1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172" fontId="6" fillId="2" borderId="3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/>
    </xf>
    <xf numFmtId="167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/>
    </xf>
    <xf numFmtId="170" fontId="6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172" fontId="6" fillId="2" borderId="3" xfId="0" applyNumberFormat="1" applyFont="1" applyFill="1" applyBorder="1" applyAlignment="1">
      <alignment horizontal="left" vertical="center" wrapText="1"/>
    </xf>
    <xf numFmtId="172" fontId="6" fillId="2" borderId="1" xfId="66" applyNumberFormat="1" applyFont="1" applyFill="1" applyBorder="1" applyAlignment="1">
      <alignment horizontal="center" vertical="center"/>
    </xf>
    <xf numFmtId="172" fontId="6" fillId="2" borderId="3" xfId="66" applyNumberFormat="1" applyFont="1" applyFill="1" applyBorder="1" applyAlignment="1">
      <alignment horizontal="center" vertical="center"/>
    </xf>
    <xf numFmtId="172" fontId="9" fillId="2" borderId="3" xfId="66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/>
    </xf>
    <xf numFmtId="172" fontId="8" fillId="0" borderId="1" xfId="0" applyNumberFormat="1" applyFont="1" applyBorder="1" applyAlignment="1">
      <alignment vertical="center" wrapText="1"/>
    </xf>
    <xf numFmtId="172" fontId="8" fillId="2" borderId="3" xfId="0" applyNumberFormat="1" applyFont="1" applyFill="1" applyBorder="1" applyAlignment="1">
      <alignment horizontal="center" vertical="center" wrapText="1"/>
    </xf>
    <xf numFmtId="172" fontId="9" fillId="0" borderId="3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6" fillId="0" borderId="0" xfId="0" applyNumberFormat="1" applyFont="1"/>
    <xf numFmtId="172" fontId="9" fillId="0" borderId="1" xfId="0" applyNumberFormat="1" applyFont="1" applyBorder="1" applyAlignment="1">
      <alignment vertical="center" wrapText="1"/>
    </xf>
    <xf numFmtId="172" fontId="6" fillId="0" borderId="1" xfId="0" applyNumberFormat="1" applyFont="1" applyBorder="1" applyAlignment="1">
      <alignment horizontal="center" vertical="center"/>
    </xf>
    <xf numFmtId="172" fontId="9" fillId="0" borderId="1" xfId="0" applyNumberFormat="1" applyFont="1" applyBorder="1" applyAlignment="1">
      <alignment horizontal="center" vertical="center" wrapText="1"/>
    </xf>
    <xf numFmtId="172" fontId="8" fillId="3" borderId="1" xfId="0" applyNumberFormat="1" applyFont="1" applyFill="1" applyBorder="1" applyAlignment="1">
      <alignment horizontal="center" vertical="center" wrapText="1"/>
    </xf>
    <xf numFmtId="172" fontId="9" fillId="4" borderId="3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vertical="center" wrapText="1"/>
    </xf>
    <xf numFmtId="167" fontId="6" fillId="2" borderId="1" xfId="0" applyNumberFormat="1" applyFont="1" applyFill="1" applyBorder="1" applyAlignment="1">
      <alignment vertical="center" wrapText="1"/>
    </xf>
    <xf numFmtId="16" fontId="9" fillId="2" borderId="3" xfId="0" applyNumberFormat="1" applyFont="1" applyFill="1" applyBorder="1" applyAlignment="1">
      <alignment horizontal="left" vertical="center" wrapText="1"/>
    </xf>
    <xf numFmtId="172" fontId="6" fillId="2" borderId="1" xfId="0" applyNumberFormat="1" applyFont="1" applyFill="1" applyBorder="1" applyAlignment="1">
      <alignment horizontal="center"/>
    </xf>
    <xf numFmtId="172" fontId="6" fillId="2" borderId="1" xfId="0" applyNumberFormat="1" applyFont="1" applyFill="1" applyBorder="1"/>
    <xf numFmtId="172" fontId="5" fillId="0" borderId="1" xfId="0" applyNumberFormat="1" applyFont="1" applyBorder="1" applyAlignment="1">
      <alignment vertical="center" wrapText="1"/>
    </xf>
    <xf numFmtId="172" fontId="6" fillId="2" borderId="3" xfId="0" applyNumberFormat="1" applyFont="1" applyFill="1" applyBorder="1" applyAlignment="1">
      <alignment horizontal="center" vertical="center"/>
    </xf>
    <xf numFmtId="172" fontId="6" fillId="3" borderId="1" xfId="0" applyNumberFormat="1" applyFont="1" applyFill="1" applyBorder="1" applyAlignment="1">
      <alignment horizontal="center" vertical="center"/>
    </xf>
    <xf numFmtId="172" fontId="9" fillId="4" borderId="1" xfId="0" applyNumberFormat="1" applyFont="1" applyFill="1" applyBorder="1" applyAlignment="1">
      <alignment horizontal="center" vertical="center"/>
    </xf>
    <xf numFmtId="49" fontId="44" fillId="2" borderId="1" xfId="0" applyNumberFormat="1" applyFont="1" applyFill="1" applyBorder="1" applyAlignment="1">
      <alignment horizontal="center" vertical="center"/>
    </xf>
    <xf numFmtId="172" fontId="44" fillId="2" borderId="1" xfId="0" applyNumberFormat="1" applyFont="1" applyFill="1" applyBorder="1" applyAlignment="1">
      <alignment horizontal="left" vertical="center" wrapText="1"/>
    </xf>
    <xf numFmtId="172" fontId="44" fillId="2" borderId="1" xfId="0" applyNumberFormat="1" applyFont="1" applyFill="1" applyBorder="1" applyAlignment="1">
      <alignment horizontal="center" vertical="center" wrapText="1"/>
    </xf>
    <xf numFmtId="49" fontId="43" fillId="2" borderId="1" xfId="0" applyNumberFormat="1" applyFont="1" applyFill="1" applyBorder="1" applyAlignment="1">
      <alignment horizontal="center" vertical="center"/>
    </xf>
    <xf numFmtId="172" fontId="43" fillId="2" borderId="1" xfId="0" applyNumberFormat="1" applyFont="1" applyFill="1" applyBorder="1" applyAlignment="1">
      <alignment horizontal="left" vertical="center" wrapText="1"/>
    </xf>
    <xf numFmtId="172" fontId="43" fillId="2" borderId="1" xfId="0" applyNumberFormat="1" applyFont="1" applyFill="1" applyBorder="1" applyAlignment="1">
      <alignment horizontal="center" vertical="center" wrapText="1"/>
    </xf>
    <xf numFmtId="172" fontId="43" fillId="2" borderId="1" xfId="66" applyNumberFormat="1" applyFont="1" applyFill="1" applyBorder="1" applyAlignment="1">
      <alignment horizontal="center" vertical="center" wrapText="1"/>
    </xf>
    <xf numFmtId="172" fontId="9" fillId="2" borderId="1" xfId="66" applyNumberFormat="1" applyFont="1" applyFill="1" applyBorder="1" applyAlignment="1">
      <alignment horizontal="center" vertical="center" wrapText="1"/>
    </xf>
    <xf numFmtId="172" fontId="6" fillId="0" borderId="1" xfId="66" applyNumberFormat="1" applyFont="1" applyBorder="1" applyAlignment="1">
      <alignment horizontal="center" vertical="center"/>
    </xf>
    <xf numFmtId="172" fontId="43" fillId="2" borderId="1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vertical="center"/>
    </xf>
    <xf numFmtId="172" fontId="43" fillId="2" borderId="3" xfId="0" applyNumberFormat="1" applyFont="1" applyFill="1" applyBorder="1" applyAlignment="1">
      <alignment horizontal="left" vertical="center" wrapText="1"/>
    </xf>
    <xf numFmtId="172" fontId="5" fillId="3" borderId="1" xfId="66" applyNumberFormat="1" applyFont="1" applyFill="1" applyBorder="1"/>
    <xf numFmtId="172" fontId="6" fillId="3" borderId="1" xfId="0" applyNumberFormat="1" applyFont="1" applyFill="1" applyBorder="1"/>
    <xf numFmtId="172" fontId="8" fillId="2" borderId="1" xfId="0" applyNumberFormat="1" applyFont="1" applyFill="1" applyBorder="1" applyAlignment="1">
      <alignment horizontal="justify" vertical="center" wrapText="1"/>
    </xf>
    <xf numFmtId="172" fontId="8" fillId="2" borderId="1" xfId="0" applyNumberFormat="1" applyFont="1" applyFill="1" applyBorder="1" applyAlignment="1">
      <alignment horizontal="center" vertical="center" wrapText="1"/>
    </xf>
    <xf numFmtId="172" fontId="9" fillId="2" borderId="1" xfId="0" applyNumberFormat="1" applyFont="1" applyFill="1" applyBorder="1" applyAlignment="1">
      <alignment horizontal="justify" vertical="center" wrapText="1"/>
    </xf>
    <xf numFmtId="172" fontId="9" fillId="2" borderId="1" xfId="0" applyNumberFormat="1" applyFont="1" applyFill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49" fontId="8" fillId="2" borderId="1" xfId="0" applyNumberFormat="1" applyFont="1" applyFill="1" applyBorder="1" applyAlignment="1">
      <alignment vertical="top" wrapText="1"/>
    </xf>
    <xf numFmtId="172" fontId="5" fillId="3" borderId="1" xfId="66" applyNumberFormat="1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167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2" fontId="8" fillId="2" borderId="1" xfId="364" applyNumberFormat="1" applyFont="1" applyFill="1" applyBorder="1" applyAlignment="1">
      <alignment horizontal="center" vertical="center" wrapText="1"/>
    </xf>
    <xf numFmtId="172" fontId="8" fillId="0" borderId="1" xfId="364" applyNumberFormat="1" applyFont="1" applyFill="1" applyBorder="1" applyAlignment="1">
      <alignment horizontal="center" vertical="center" wrapText="1"/>
    </xf>
    <xf numFmtId="172" fontId="43" fillId="0" borderId="1" xfId="0" applyNumberFormat="1" applyFont="1" applyBorder="1" applyAlignment="1">
      <alignment horizontal="center" vertical="center" wrapText="1"/>
    </xf>
    <xf numFmtId="172" fontId="9" fillId="0" borderId="1" xfId="0" applyNumberFormat="1" applyFont="1" applyBorder="1" applyAlignment="1">
      <alignment horizontal="left" vertical="center" wrapText="1"/>
    </xf>
    <xf numFmtId="172" fontId="56" fillId="2" borderId="1" xfId="0" applyNumberFormat="1" applyFont="1" applyFill="1" applyBorder="1" applyAlignment="1">
      <alignment horizontal="center" vertical="center" wrapText="1"/>
    </xf>
    <xf numFmtId="172" fontId="56" fillId="0" borderId="1" xfId="0" applyNumberFormat="1" applyFont="1" applyBorder="1" applyAlignment="1">
      <alignment horizontal="center" vertical="center" wrapText="1"/>
    </xf>
    <xf numFmtId="49" fontId="8" fillId="2" borderId="1" xfId="5" applyNumberFormat="1" applyFont="1" applyFill="1" applyBorder="1" applyAlignment="1">
      <alignment horizontal="center" vertical="center"/>
    </xf>
    <xf numFmtId="49" fontId="9" fillId="2" borderId="1" xfId="5" applyNumberFormat="1" applyFont="1" applyFill="1" applyBorder="1" applyAlignment="1">
      <alignment horizontal="right" vertical="center"/>
    </xf>
    <xf numFmtId="172" fontId="8" fillId="2" borderId="1" xfId="5" applyNumberFormat="1" applyFont="1" applyFill="1" applyBorder="1" applyAlignment="1">
      <alignment vertical="center" wrapText="1"/>
    </xf>
    <xf numFmtId="172" fontId="8" fillId="2" borderId="1" xfId="5" applyNumberFormat="1" applyFont="1" applyFill="1" applyBorder="1" applyAlignment="1">
      <alignment horizontal="center" vertical="center" wrapText="1"/>
    </xf>
    <xf numFmtId="172" fontId="8" fillId="2" borderId="1" xfId="5" applyNumberFormat="1" applyFont="1" applyFill="1" applyBorder="1" applyAlignment="1">
      <alignment horizontal="left" vertical="center" wrapText="1"/>
    </xf>
    <xf numFmtId="49" fontId="8" fillId="2" borderId="1" xfId="5" applyNumberFormat="1" applyFont="1" applyFill="1" applyBorder="1" applyAlignment="1">
      <alignment horizontal="right" vertical="center"/>
    </xf>
    <xf numFmtId="49" fontId="9" fillId="2" borderId="1" xfId="5" applyNumberFormat="1" applyFont="1" applyFill="1" applyBorder="1" applyAlignment="1">
      <alignment horizontal="center" vertical="center"/>
    </xf>
    <xf numFmtId="172" fontId="9" fillId="2" borderId="1" xfId="5" applyNumberFormat="1" applyFont="1" applyFill="1" applyBorder="1" applyAlignment="1">
      <alignment vertical="center" wrapText="1"/>
    </xf>
    <xf numFmtId="172" fontId="9" fillId="2" borderId="1" xfId="5" applyNumberFormat="1" applyFont="1" applyFill="1" applyBorder="1" applyAlignment="1">
      <alignment horizontal="center" vertical="center" wrapText="1"/>
    </xf>
    <xf numFmtId="172" fontId="9" fillId="2" borderId="7" xfId="5" applyNumberFormat="1" applyFont="1" applyFill="1" applyBorder="1" applyAlignment="1">
      <alignment horizontal="left" vertical="center" wrapText="1"/>
    </xf>
    <xf numFmtId="172" fontId="9" fillId="2" borderId="3" xfId="5" applyNumberFormat="1" applyFont="1" applyFill="1" applyBorder="1" applyAlignment="1">
      <alignment horizontal="center" vertical="center" wrapText="1"/>
    </xf>
    <xf numFmtId="49" fontId="9" fillId="2" borderId="1" xfId="5" applyNumberFormat="1" applyFont="1" applyFill="1" applyBorder="1" applyAlignment="1">
      <alignment vertical="center"/>
    </xf>
    <xf numFmtId="49" fontId="8" fillId="2" borderId="3" xfId="5" applyNumberFormat="1" applyFont="1" applyFill="1" applyBorder="1" applyAlignment="1">
      <alignment vertical="center"/>
    </xf>
    <xf numFmtId="0" fontId="65" fillId="34" borderId="42" xfId="0" applyFont="1" applyFill="1" applyBorder="1" applyAlignment="1">
      <alignment horizontal="left" vertical="center" wrapText="1"/>
    </xf>
    <xf numFmtId="172" fontId="9" fillId="2" borderId="1" xfId="5" applyNumberFormat="1" applyFont="1" applyFill="1" applyBorder="1" applyAlignment="1">
      <alignment horizontal="left" vertical="center" wrapText="1"/>
    </xf>
    <xf numFmtId="172" fontId="9" fillId="2" borderId="1" xfId="5" applyNumberFormat="1" applyFont="1" applyFill="1" applyBorder="1" applyAlignment="1">
      <alignment horizontal="center" vertical="center"/>
    </xf>
    <xf numFmtId="49" fontId="8" fillId="2" borderId="1" xfId="5" applyNumberFormat="1" applyFont="1" applyFill="1" applyBorder="1" applyAlignment="1">
      <alignment vertical="center"/>
    </xf>
    <xf numFmtId="172" fontId="9" fillId="2" borderId="3" xfId="5" applyNumberFormat="1" applyFont="1" applyFill="1" applyBorder="1" applyAlignment="1">
      <alignment horizontal="left" vertical="center" wrapText="1"/>
    </xf>
    <xf numFmtId="172" fontId="9" fillId="2" borderId="9" xfId="5" applyNumberFormat="1" applyFont="1" applyFill="1" applyBorder="1" applyAlignment="1">
      <alignment horizontal="center" vertical="center" wrapText="1"/>
    </xf>
    <xf numFmtId="172" fontId="9" fillId="2" borderId="2" xfId="5" applyNumberFormat="1" applyFont="1" applyFill="1" applyBorder="1" applyAlignment="1">
      <alignment horizontal="center" vertical="center" wrapText="1"/>
    </xf>
    <xf numFmtId="172" fontId="9" fillId="2" borderId="2" xfId="5" applyNumberFormat="1" applyFont="1" applyFill="1" applyBorder="1" applyAlignment="1">
      <alignment horizontal="left" vertical="center" wrapText="1"/>
    </xf>
    <xf numFmtId="172" fontId="8" fillId="3" borderId="1" xfId="5" applyNumberFormat="1" applyFont="1" applyFill="1" applyBorder="1" applyAlignment="1">
      <alignment horizontal="center" vertical="center"/>
    </xf>
    <xf numFmtId="172" fontId="9" fillId="3" borderId="1" xfId="5" applyNumberFormat="1" applyFont="1" applyFill="1" applyBorder="1" applyAlignment="1">
      <alignment vertical="center"/>
    </xf>
    <xf numFmtId="172" fontId="8" fillId="3" borderId="1" xfId="5" applyNumberFormat="1" applyFont="1" applyFill="1" applyBorder="1" applyAlignment="1">
      <alignment vertical="center"/>
    </xf>
    <xf numFmtId="168" fontId="5" fillId="0" borderId="1" xfId="0" applyNumberFormat="1" applyFont="1" applyBorder="1" applyAlignment="1">
      <alignment horizontal="center" vertical="center" wrapText="1"/>
    </xf>
    <xf numFmtId="0" fontId="8" fillId="2" borderId="1" xfId="29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top"/>
    </xf>
    <xf numFmtId="172" fontId="6" fillId="0" borderId="0" xfId="0" applyNumberFormat="1" applyFont="1" applyAlignment="1">
      <alignment vertical="center" wrapText="1"/>
    </xf>
    <xf numFmtId="172" fontId="63" fillId="2" borderId="1" xfId="0" applyNumberFormat="1" applyFont="1" applyFill="1" applyBorder="1" applyAlignment="1">
      <alignment horizontal="center" vertical="center" wrapText="1"/>
    </xf>
    <xf numFmtId="172" fontId="6" fillId="0" borderId="1" xfId="0" applyNumberFormat="1" applyFont="1" applyBorder="1" applyAlignment="1">
      <alignment horizontal="left" vertical="top" wrapText="1"/>
    </xf>
    <xf numFmtId="172" fontId="63" fillId="28" borderId="1" xfId="0" applyNumberFormat="1" applyFont="1" applyFill="1" applyBorder="1" applyAlignment="1">
      <alignment horizontal="center" vertical="center" wrapText="1"/>
    </xf>
    <xf numFmtId="172" fontId="6" fillId="0" borderId="5" xfId="0" applyNumberFormat="1" applyFont="1" applyBorder="1" applyAlignment="1">
      <alignment horizontal="left" vertical="center" wrapText="1"/>
    </xf>
    <xf numFmtId="172" fontId="8" fillId="2" borderId="3" xfId="0" applyNumberFormat="1" applyFont="1" applyFill="1" applyBorder="1" applyAlignment="1">
      <alignment horizontal="left" vertical="center" wrapText="1"/>
    </xf>
    <xf numFmtId="172" fontId="45" fillId="2" borderId="2" xfId="0" applyNumberFormat="1" applyFont="1" applyFill="1" applyBorder="1" applyAlignment="1">
      <alignment horizontal="left" vertical="center" wrapText="1"/>
    </xf>
    <xf numFmtId="172" fontId="9" fillId="0" borderId="1" xfId="0" applyNumberFormat="1" applyFont="1" applyBorder="1"/>
    <xf numFmtId="172" fontId="8" fillId="2" borderId="3" xfId="5" applyNumberFormat="1" applyFont="1" applyFill="1" applyBorder="1" applyAlignment="1">
      <alignment horizontal="left" vertical="center" wrapText="1"/>
    </xf>
    <xf numFmtId="49" fontId="8" fillId="0" borderId="7" xfId="0" applyNumberFormat="1" applyFont="1" applyBorder="1"/>
    <xf numFmtId="49" fontId="8" fillId="0" borderId="1" xfId="0" applyNumberFormat="1" applyFont="1" applyBorder="1"/>
    <xf numFmtId="172" fontId="8" fillId="0" borderId="1" xfId="0" applyNumberFormat="1" applyFont="1" applyBorder="1" applyAlignment="1">
      <alignment horizontal="center" vertical="center"/>
    </xf>
    <xf numFmtId="172" fontId="8" fillId="0" borderId="1" xfId="0" applyNumberFormat="1" applyFont="1" applyBorder="1" applyAlignment="1">
      <alignment horizontal="left" vertical="center" wrapText="1"/>
    </xf>
    <xf numFmtId="172" fontId="8" fillId="0" borderId="1" xfId="0" applyNumberFormat="1" applyFont="1" applyBorder="1" applyAlignment="1">
      <alignment horizontal="center" vertical="center" wrapText="1"/>
    </xf>
    <xf numFmtId="172" fontId="9" fillId="0" borderId="1" xfId="0" applyNumberFormat="1" applyFont="1" applyBorder="1" applyAlignment="1">
      <alignment horizontal="left" wrapText="1"/>
    </xf>
    <xf numFmtId="172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/>
    <xf numFmtId="172" fontId="9" fillId="0" borderId="1" xfId="0" applyNumberFormat="1" applyFont="1" applyBorder="1" applyAlignment="1">
      <alignment wrapText="1"/>
    </xf>
    <xf numFmtId="172" fontId="8" fillId="3" borderId="1" xfId="0" applyNumberFormat="1" applyFont="1" applyFill="1" applyBorder="1" applyAlignment="1">
      <alignment horizontal="center" vertical="center"/>
    </xf>
    <xf numFmtId="170" fontId="5" fillId="0" borderId="9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170" fontId="5" fillId="0" borderId="3" xfId="0" applyNumberFormat="1" applyFont="1" applyBorder="1" applyAlignment="1">
      <alignment horizontal="right" vertical="center"/>
    </xf>
    <xf numFmtId="171" fontId="6" fillId="0" borderId="3" xfId="0" applyNumberFormat="1" applyFont="1" applyBorder="1" applyAlignment="1">
      <alignment horizontal="center" vertical="center"/>
    </xf>
    <xf numFmtId="0" fontId="6" fillId="2" borderId="3" xfId="5" applyFont="1" applyFill="1" applyBorder="1" applyAlignment="1">
      <alignment vertical="center" wrapText="1"/>
    </xf>
    <xf numFmtId="171" fontId="6" fillId="0" borderId="5" xfId="0" applyNumberFormat="1" applyFont="1" applyBorder="1" applyAlignment="1">
      <alignment horizontal="center" vertical="center"/>
    </xf>
    <xf numFmtId="0" fontId="6" fillId="2" borderId="5" xfId="5" applyFont="1" applyFill="1" applyBorder="1" applyAlignment="1">
      <alignment horizontal="left" vertical="center" wrapText="1"/>
    </xf>
    <xf numFmtId="167" fontId="8" fillId="2" borderId="1" xfId="364" applyNumberFormat="1" applyFont="1" applyFill="1" applyBorder="1" applyAlignment="1">
      <alignment horizontal="center" vertical="center" wrapText="1"/>
    </xf>
    <xf numFmtId="167" fontId="8" fillId="0" borderId="1" xfId="364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167" fontId="6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167" fontId="56" fillId="2" borderId="1" xfId="0" applyNumberFormat="1" applyFont="1" applyFill="1" applyBorder="1" applyAlignment="1">
      <alignment horizontal="center" vertical="center" wrapText="1"/>
    </xf>
    <xf numFmtId="167" fontId="56" fillId="0" borderId="1" xfId="0" applyNumberFormat="1" applyFont="1" applyBorder="1" applyAlignment="1">
      <alignment horizontal="center" vertical="center" wrapText="1"/>
    </xf>
    <xf numFmtId="167" fontId="43" fillId="0" borderId="1" xfId="0" applyNumberFormat="1" applyFont="1" applyBorder="1" applyAlignment="1">
      <alignment horizontal="center" vertical="center" wrapText="1"/>
    </xf>
    <xf numFmtId="168" fontId="43" fillId="0" borderId="1" xfId="0" applyNumberFormat="1" applyFont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left" vertical="center" wrapText="1"/>
    </xf>
    <xf numFmtId="9" fontId="6" fillId="2" borderId="1" xfId="42" applyFont="1" applyFill="1" applyBorder="1" applyAlignment="1">
      <alignment horizontal="center" vertical="center" wrapText="1"/>
    </xf>
    <xf numFmtId="9" fontId="5" fillId="0" borderId="1" xfId="42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left" vertical="center" wrapText="1"/>
    </xf>
    <xf numFmtId="167" fontId="43" fillId="2" borderId="1" xfId="0" applyNumberFormat="1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3" fontId="4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167" fontId="44" fillId="2" borderId="1" xfId="0" applyNumberFormat="1" applyFont="1" applyFill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44" fillId="0" borderId="1" xfId="0" applyFont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43" fillId="2" borderId="1" xfId="0" applyFont="1" applyFill="1" applyBorder="1" applyAlignment="1">
      <alignment horizontal="center" vertical="center" wrapText="1"/>
    </xf>
    <xf numFmtId="0" fontId="6" fillId="2" borderId="1" xfId="6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167" fontId="5" fillId="2" borderId="1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167" fontId="65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left" vertical="center" wrapText="1"/>
    </xf>
    <xf numFmtId="167" fontId="5" fillId="3" borderId="1" xfId="364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170" fontId="44" fillId="2" borderId="54" xfId="0" applyNumberFormat="1" applyFont="1" applyFill="1" applyBorder="1" applyAlignment="1">
      <alignment horizontal="center" vertical="center"/>
    </xf>
    <xf numFmtId="171" fontId="43" fillId="2" borderId="2" xfId="0" applyNumberFormat="1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vertical="center" wrapText="1"/>
    </xf>
    <xf numFmtId="167" fontId="44" fillId="2" borderId="9" xfId="0" applyNumberFormat="1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168" fontId="43" fillId="2" borderId="28" xfId="0" applyNumberFormat="1" applyFont="1" applyFill="1" applyBorder="1" applyAlignment="1">
      <alignment horizontal="center" vertical="center" wrapText="1"/>
    </xf>
    <xf numFmtId="170" fontId="43" fillId="2" borderId="1" xfId="0" applyNumberFormat="1" applyFont="1" applyFill="1" applyBorder="1" applyAlignment="1">
      <alignment horizontal="center" vertical="center"/>
    </xf>
    <xf numFmtId="171" fontId="43" fillId="2" borderId="1" xfId="0" applyNumberFormat="1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3" fillId="2" borderId="3" xfId="365" applyFont="1" applyFill="1" applyBorder="1" applyAlignment="1">
      <alignment vertical="center" wrapText="1"/>
    </xf>
    <xf numFmtId="0" fontId="43" fillId="2" borderId="1" xfId="0" applyFont="1" applyFill="1" applyBorder="1" applyAlignment="1">
      <alignment vertical="center" wrapText="1"/>
    </xf>
    <xf numFmtId="170" fontId="43" fillId="2" borderId="2" xfId="0" applyNumberFormat="1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177" fontId="44" fillId="2" borderId="1" xfId="0" applyNumberFormat="1" applyFont="1" applyFill="1" applyBorder="1" applyAlignment="1">
      <alignment horizontal="center" vertical="center"/>
    </xf>
    <xf numFmtId="186" fontId="8" fillId="2" borderId="1" xfId="0" applyNumberFormat="1" applyFont="1" applyFill="1" applyBorder="1" applyAlignment="1">
      <alignment horizontal="center" vertical="center"/>
    </xf>
    <xf numFmtId="177" fontId="44" fillId="2" borderId="1" xfId="0" applyNumberFormat="1" applyFont="1" applyFill="1" applyBorder="1" applyAlignment="1">
      <alignment vertical="center" wrapText="1"/>
    </xf>
    <xf numFmtId="168" fontId="43" fillId="2" borderId="5" xfId="0" applyNumberFormat="1" applyFont="1" applyFill="1" applyBorder="1" applyAlignment="1">
      <alignment horizontal="center" vertical="center"/>
    </xf>
    <xf numFmtId="168" fontId="43" fillId="2" borderId="1" xfId="0" applyNumberFormat="1" applyFont="1" applyFill="1" applyBorder="1" applyAlignment="1">
      <alignment horizontal="center" vertical="center"/>
    </xf>
    <xf numFmtId="0" fontId="43" fillId="2" borderId="9" xfId="0" applyFont="1" applyFill="1" applyBorder="1" applyAlignment="1">
      <alignment horizontal="center" vertical="center"/>
    </xf>
    <xf numFmtId="168" fontId="9" fillId="2" borderId="5" xfId="0" applyNumberFormat="1" applyFont="1" applyFill="1" applyBorder="1" applyAlignment="1">
      <alignment horizontal="center" vertical="center" wrapText="1"/>
    </xf>
    <xf numFmtId="177" fontId="43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186" fontId="43" fillId="2" borderId="1" xfId="0" applyNumberFormat="1" applyFont="1" applyFill="1" applyBorder="1" applyAlignment="1">
      <alignment horizontal="center" vertical="center"/>
    </xf>
    <xf numFmtId="186" fontId="8" fillId="2" borderId="3" xfId="0" applyNumberFormat="1" applyFont="1" applyFill="1" applyBorder="1" applyAlignment="1">
      <alignment horizontal="center" vertical="center"/>
    </xf>
    <xf numFmtId="0" fontId="8" fillId="2" borderId="1" xfId="365" applyFont="1" applyFill="1" applyBorder="1" applyAlignment="1">
      <alignment vertical="center" wrapText="1"/>
    </xf>
    <xf numFmtId="0" fontId="9" fillId="2" borderId="2" xfId="365" applyFont="1" applyFill="1" applyBorder="1" applyAlignment="1">
      <alignment vertical="center" wrapText="1"/>
    </xf>
    <xf numFmtId="171" fontId="43" fillId="2" borderId="3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0" fontId="44" fillId="2" borderId="3" xfId="0" applyNumberFormat="1" applyFont="1" applyFill="1" applyBorder="1" applyAlignment="1">
      <alignment horizontal="center" vertical="center"/>
    </xf>
    <xf numFmtId="167" fontId="8" fillId="2" borderId="3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170" fontId="44" fillId="0" borderId="1" xfId="0" applyNumberFormat="1" applyFont="1" applyBorder="1" applyAlignment="1">
      <alignment horizontal="center" vertical="center"/>
    </xf>
    <xf numFmtId="0" fontId="43" fillId="5" borderId="2" xfId="0" applyFont="1" applyFill="1" applyBorder="1" applyAlignment="1">
      <alignment horizontal="center" vertical="center"/>
    </xf>
    <xf numFmtId="0" fontId="44" fillId="5" borderId="2" xfId="0" applyFont="1" applyFill="1" applyBorder="1" applyAlignment="1">
      <alignment horizontal="center" vertical="center"/>
    </xf>
    <xf numFmtId="0" fontId="43" fillId="5" borderId="28" xfId="0" applyFont="1" applyFill="1" applyBorder="1" applyAlignment="1">
      <alignment vertical="center" wrapText="1"/>
    </xf>
    <xf numFmtId="167" fontId="43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16" fontId="43" fillId="5" borderId="1" xfId="0" applyNumberFormat="1" applyFont="1" applyFill="1" applyBorder="1" applyAlignment="1">
      <alignment horizontal="center" vertical="center" wrapText="1"/>
    </xf>
    <xf numFmtId="49" fontId="44" fillId="5" borderId="3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167" fontId="44" fillId="5" borderId="3" xfId="0" applyNumberFormat="1" applyFont="1" applyFill="1" applyBorder="1" applyAlignment="1">
      <alignment horizontal="center" vertical="center" wrapText="1"/>
    </xf>
    <xf numFmtId="0" fontId="43" fillId="5" borderId="3" xfId="0" applyFont="1" applyFill="1" applyBorder="1" applyAlignment="1">
      <alignment horizontal="center" vertical="center"/>
    </xf>
    <xf numFmtId="167" fontId="6" fillId="5" borderId="3" xfId="0" applyNumberFormat="1" applyFont="1" applyFill="1" applyBorder="1" applyAlignment="1">
      <alignment horizontal="center" vertical="center" wrapText="1"/>
    </xf>
    <xf numFmtId="1" fontId="43" fillId="5" borderId="3" xfId="0" applyNumberFormat="1" applyFont="1" applyFill="1" applyBorder="1" applyAlignment="1">
      <alignment horizontal="center" vertical="center" wrapText="1"/>
    </xf>
    <xf numFmtId="167" fontId="44" fillId="3" borderId="1" xfId="0" applyNumberFormat="1" applyFont="1" applyFill="1" applyBorder="1" applyAlignment="1">
      <alignment horizontal="center"/>
    </xf>
    <xf numFmtId="170" fontId="5" fillId="0" borderId="1" xfId="0" applyNumberFormat="1" applyFont="1" applyBorder="1" applyAlignment="1">
      <alignment horizontal="center" vertical="center" wrapText="1"/>
    </xf>
    <xf numFmtId="171" fontId="5" fillId="0" borderId="1" xfId="0" applyNumberFormat="1" applyFont="1" applyBorder="1" applyAlignment="1">
      <alignment horizontal="center" vertical="center" wrapText="1"/>
    </xf>
    <xf numFmtId="167" fontId="44" fillId="3" borderId="1" xfId="0" applyNumberFormat="1" applyFont="1" applyFill="1" applyBorder="1"/>
    <xf numFmtId="49" fontId="67" fillId="0" borderId="1" xfId="0" applyNumberFormat="1" applyFont="1" applyBorder="1" applyAlignment="1">
      <alignment horizontal="center" vertical="center"/>
    </xf>
    <xf numFmtId="49" fontId="56" fillId="0" borderId="1" xfId="0" applyNumberFormat="1" applyFont="1" applyBorder="1" applyAlignment="1">
      <alignment horizontal="center" vertical="center"/>
    </xf>
    <xf numFmtId="49" fontId="56" fillId="0" borderId="1" xfId="0" applyNumberFormat="1" applyFont="1" applyBorder="1" applyAlignment="1">
      <alignment horizontal="right" vertical="center"/>
    </xf>
    <xf numFmtId="0" fontId="67" fillId="0" borderId="1" xfId="0" applyFont="1" applyBorder="1" applyAlignment="1">
      <alignment horizontal="left" vertical="center" wrapText="1"/>
    </xf>
    <xf numFmtId="167" fontId="67" fillId="0" borderId="3" xfId="0" applyNumberFormat="1" applyFont="1" applyBorder="1" applyAlignment="1">
      <alignment horizontal="center" vertical="center" wrapText="1"/>
    </xf>
    <xf numFmtId="0" fontId="56" fillId="0" borderId="1" xfId="0" applyFont="1" applyBorder="1" applyAlignment="1">
      <alignment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1" xfId="0" applyFont="1" applyBorder="1"/>
    <xf numFmtId="0" fontId="63" fillId="28" borderId="1" xfId="0" applyFont="1" applyFill="1" applyBorder="1" applyAlignment="1">
      <alignment horizontal="left" vertical="center" wrapText="1"/>
    </xf>
    <xf numFmtId="167" fontId="9" fillId="5" borderId="1" xfId="0" applyNumberFormat="1" applyFont="1" applyFill="1" applyBorder="1" applyAlignment="1">
      <alignment horizontal="center" vertical="center" wrapText="1"/>
    </xf>
    <xf numFmtId="49" fontId="56" fillId="0" borderId="3" xfId="0" applyNumberFormat="1" applyFont="1" applyBorder="1" applyAlignment="1">
      <alignment horizontal="center" vertical="center"/>
    </xf>
    <xf numFmtId="167" fontId="67" fillId="0" borderId="1" xfId="0" applyNumberFormat="1" applyFont="1" applyBorder="1" applyAlignment="1">
      <alignment horizontal="center" vertical="center" wrapText="1"/>
    </xf>
    <xf numFmtId="0" fontId="8" fillId="5" borderId="3" xfId="0" applyFont="1" applyFill="1" applyBorder="1" applyAlignment="1">
      <alignment vertical="center" wrapText="1"/>
    </xf>
    <xf numFmtId="0" fontId="56" fillId="0" borderId="3" xfId="0" applyFont="1" applyBorder="1" applyAlignment="1">
      <alignment vertical="center" wrapText="1"/>
    </xf>
    <xf numFmtId="0" fontId="56" fillId="0" borderId="3" xfId="0" applyFont="1" applyBorder="1" applyAlignment="1">
      <alignment wrapText="1"/>
    </xf>
    <xf numFmtId="0" fontId="56" fillId="0" borderId="27" xfId="0" applyFont="1" applyBorder="1" applyAlignment="1">
      <alignment wrapText="1"/>
    </xf>
    <xf numFmtId="49" fontId="56" fillId="0" borderId="3" xfId="0" applyNumberFormat="1" applyFont="1" applyBorder="1" applyAlignment="1">
      <alignment horizontal="right" vertical="center"/>
    </xf>
    <xf numFmtId="0" fontId="56" fillId="0" borderId="3" xfId="0" applyFont="1" applyBorder="1" applyAlignment="1">
      <alignment horizontal="left" vertical="center" wrapText="1"/>
    </xf>
    <xf numFmtId="167" fontId="56" fillId="0" borderId="3" xfId="0" applyNumberFormat="1" applyFont="1" applyBorder="1" applyAlignment="1">
      <alignment horizontal="center" vertical="center" wrapText="1"/>
    </xf>
    <xf numFmtId="167" fontId="56" fillId="0" borderId="1" xfId="0" applyNumberFormat="1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56" fillId="0" borderId="1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56" fillId="0" borderId="3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 wrapText="1"/>
    </xf>
    <xf numFmtId="167" fontId="56" fillId="0" borderId="3" xfId="0" applyNumberFormat="1" applyFont="1" applyBorder="1" applyAlignment="1">
      <alignment horizontal="center" vertical="center"/>
    </xf>
    <xf numFmtId="0" fontId="56" fillId="0" borderId="3" xfId="0" applyFont="1" applyBorder="1" applyAlignment="1">
      <alignment horizontal="center" vertical="center"/>
    </xf>
    <xf numFmtId="167" fontId="67" fillId="3" borderId="1" xfId="0" applyNumberFormat="1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/>
    </xf>
    <xf numFmtId="0" fontId="68" fillId="0" borderId="1" xfId="0" applyFont="1" applyBorder="1" applyAlignment="1">
      <alignment horizontal="left" vertical="center" wrapText="1"/>
    </xf>
    <xf numFmtId="0" fontId="43" fillId="5" borderId="1" xfId="0" applyFont="1" applyFill="1" applyBorder="1" applyAlignment="1">
      <alignment horizontal="center" vertical="center"/>
    </xf>
    <xf numFmtId="0" fontId="67" fillId="35" borderId="1" xfId="5" applyFont="1" applyFill="1" applyBorder="1" applyAlignment="1">
      <alignment horizontal="left" vertical="center" wrapText="1"/>
    </xf>
    <xf numFmtId="0" fontId="56" fillId="35" borderId="1" xfId="5" applyFont="1" applyFill="1" applyBorder="1" applyAlignment="1">
      <alignment horizontal="center" vertical="center" wrapText="1"/>
    </xf>
    <xf numFmtId="9" fontId="9" fillId="2" borderId="1" xfId="5" applyNumberFormat="1" applyFont="1" applyFill="1" applyBorder="1" applyAlignment="1">
      <alignment horizontal="center" vertical="center" wrapText="1"/>
    </xf>
    <xf numFmtId="167" fontId="56" fillId="0" borderId="1" xfId="5" applyNumberFormat="1" applyFont="1" applyBorder="1" applyAlignment="1">
      <alignment horizontal="center" vertical="center"/>
    </xf>
    <xf numFmtId="0" fontId="56" fillId="35" borderId="1" xfId="5" applyFont="1" applyFill="1" applyBorder="1" applyAlignment="1">
      <alignment horizontal="left" vertical="center" wrapText="1"/>
    </xf>
    <xf numFmtId="9" fontId="9" fillId="35" borderId="1" xfId="5" applyNumberFormat="1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left" vertical="center" wrapText="1"/>
    </xf>
    <xf numFmtId="177" fontId="9" fillId="35" borderId="1" xfId="5" applyNumberFormat="1" applyFont="1" applyFill="1" applyBorder="1" applyAlignment="1">
      <alignment horizontal="center" vertical="center" wrapText="1"/>
    </xf>
    <xf numFmtId="0" fontId="9" fillId="35" borderId="1" xfId="5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9" fontId="9" fillId="35" borderId="1" xfId="0" applyNumberFormat="1" applyFont="1" applyFill="1" applyBorder="1" applyAlignment="1">
      <alignment horizontal="center" vertical="center" wrapText="1"/>
    </xf>
    <xf numFmtId="10" fontId="9" fillId="35" borderId="1" xfId="0" applyNumberFormat="1" applyFont="1" applyFill="1" applyBorder="1" applyAlignment="1">
      <alignment horizontal="center" vertical="center" wrapText="1"/>
    </xf>
    <xf numFmtId="170" fontId="44" fillId="2" borderId="1" xfId="0" applyNumberFormat="1" applyFont="1" applyFill="1" applyBorder="1" applyAlignment="1">
      <alignment horizontal="center" vertical="center"/>
    </xf>
    <xf numFmtId="49" fontId="56" fillId="35" borderId="1" xfId="5" applyNumberFormat="1" applyFont="1" applyFill="1" applyBorder="1" applyAlignment="1">
      <alignment horizontal="center" vertical="center"/>
    </xf>
    <xf numFmtId="0" fontId="67" fillId="35" borderId="1" xfId="5" applyFont="1" applyFill="1" applyBorder="1" applyAlignment="1">
      <alignment vertical="center" wrapText="1"/>
    </xf>
    <xf numFmtId="177" fontId="9" fillId="35" borderId="1" xfId="5" applyNumberFormat="1" applyFont="1" applyFill="1" applyBorder="1" applyAlignment="1">
      <alignment vertical="center" wrapText="1"/>
    </xf>
    <xf numFmtId="0" fontId="56" fillId="35" borderId="1" xfId="5" applyFont="1" applyFill="1" applyBorder="1" applyAlignment="1">
      <alignment horizontal="center" vertical="center"/>
    </xf>
    <xf numFmtId="0" fontId="56" fillId="35" borderId="1" xfId="5" applyFont="1" applyFill="1" applyBorder="1" applyAlignment="1">
      <alignment vertical="center" wrapText="1"/>
    </xf>
    <xf numFmtId="167" fontId="56" fillId="35" borderId="1" xfId="5" applyNumberFormat="1" applyFont="1" applyFill="1" applyBorder="1" applyAlignment="1">
      <alignment horizontal="center" vertical="center"/>
    </xf>
    <xf numFmtId="177" fontId="56" fillId="35" borderId="1" xfId="5" applyNumberFormat="1" applyFont="1" applyFill="1" applyBorder="1" applyAlignment="1">
      <alignment horizontal="center" vertical="center" wrapText="1"/>
    </xf>
    <xf numFmtId="49" fontId="43" fillId="5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/>
    <xf numFmtId="49" fontId="5" fillId="0" borderId="3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5" fillId="0" borderId="1" xfId="6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167" fontId="5" fillId="0" borderId="5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167" fontId="6" fillId="0" borderId="3" xfId="0" applyNumberFormat="1" applyFont="1" applyBorder="1" applyAlignment="1">
      <alignment horizontal="center"/>
    </xf>
    <xf numFmtId="167" fontId="5" fillId="0" borderId="3" xfId="0" applyNumberFormat="1" applyFont="1" applyBorder="1" applyAlignment="1">
      <alignment horizontal="right" vertical="center" wrapText="1"/>
    </xf>
    <xf numFmtId="167" fontId="5" fillId="0" borderId="25" xfId="0" applyNumberFormat="1" applyFont="1" applyBorder="1" applyAlignment="1">
      <alignment horizontal="right" vertical="center" wrapText="1"/>
    </xf>
    <xf numFmtId="179" fontId="6" fillId="0" borderId="1" xfId="0" applyNumberFormat="1" applyFont="1" applyBorder="1" applyAlignment="1">
      <alignment horizontal="left" vertical="center"/>
    </xf>
    <xf numFmtId="167" fontId="6" fillId="0" borderId="3" xfId="0" applyNumberFormat="1" applyFont="1" applyBorder="1" applyAlignment="1">
      <alignment vertical="center" wrapText="1"/>
    </xf>
    <xf numFmtId="167" fontId="6" fillId="0" borderId="3" xfId="0" applyNumberFormat="1" applyFont="1" applyBorder="1" applyAlignment="1">
      <alignment vertical="center"/>
    </xf>
    <xf numFmtId="179" fontId="6" fillId="0" borderId="1" xfId="0" applyNumberFormat="1" applyFont="1" applyBorder="1"/>
    <xf numFmtId="179" fontId="6" fillId="0" borderId="2" xfId="0" applyNumberFormat="1" applyFont="1" applyBorder="1" applyAlignment="1">
      <alignment horizontal="left" vertical="center"/>
    </xf>
    <xf numFmtId="179" fontId="6" fillId="0" borderId="1" xfId="0" applyNumberFormat="1" applyFont="1" applyBorder="1" applyAlignment="1">
      <alignment wrapText="1"/>
    </xf>
    <xf numFmtId="179" fontId="6" fillId="0" borderId="1" xfId="0" applyNumberFormat="1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vertical="center" wrapText="1"/>
    </xf>
    <xf numFmtId="179" fontId="6" fillId="0" borderId="3" xfId="0" applyNumberFormat="1" applyFont="1" applyBorder="1" applyAlignment="1">
      <alignment horizontal="center" vertical="center"/>
    </xf>
    <xf numFmtId="179" fontId="5" fillId="3" borderId="1" xfId="0" applyNumberFormat="1" applyFont="1" applyFill="1" applyBorder="1"/>
    <xf numFmtId="171" fontId="6" fillId="0" borderId="1" xfId="0" applyNumberFormat="1" applyFont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right" vertical="center" wrapText="1"/>
    </xf>
    <xf numFmtId="167" fontId="6" fillId="0" borderId="1" xfId="0" applyNumberFormat="1" applyFont="1" applyBorder="1" applyAlignment="1">
      <alignment horizontal="right" vertical="center" wrapText="1"/>
    </xf>
    <xf numFmtId="167" fontId="6" fillId="0" borderId="3" xfId="0" applyNumberFormat="1" applyFont="1" applyBorder="1" applyAlignment="1">
      <alignment horizontal="right" vertical="center" wrapText="1"/>
    </xf>
    <xf numFmtId="0" fontId="44" fillId="3" borderId="6" xfId="0" applyFont="1" applyFill="1" applyBorder="1" applyAlignment="1">
      <alignment vertical="center"/>
    </xf>
    <xf numFmtId="0" fontId="44" fillId="3" borderId="7" xfId="0" applyFont="1" applyFill="1" applyBorder="1" applyAlignment="1">
      <alignment vertical="center"/>
    </xf>
    <xf numFmtId="0" fontId="6" fillId="3" borderId="0" xfId="0" applyFont="1" applyFill="1"/>
    <xf numFmtId="167" fontId="5" fillId="3" borderId="3" xfId="0" applyNumberFormat="1" applyFont="1" applyFill="1" applyBorder="1" applyAlignment="1">
      <alignment horizontal="center"/>
    </xf>
    <xf numFmtId="0" fontId="6" fillId="3" borderId="3" xfId="0" applyFont="1" applyFill="1" applyBorder="1"/>
    <xf numFmtId="167" fontId="5" fillId="3" borderId="3" xfId="0" applyNumberFormat="1" applyFont="1" applyFill="1" applyBorder="1"/>
    <xf numFmtId="167" fontId="5" fillId="3" borderId="25" xfId="0" applyNumberFormat="1" applyFont="1" applyFill="1" applyBorder="1"/>
    <xf numFmtId="187" fontId="43" fillId="5" borderId="1" xfId="0" applyNumberFormat="1" applyFont="1" applyFill="1" applyBorder="1" applyAlignment="1">
      <alignment horizontal="center" vertical="center"/>
    </xf>
    <xf numFmtId="0" fontId="44" fillId="5" borderId="1" xfId="0" applyFont="1" applyFill="1" applyBorder="1" applyAlignment="1">
      <alignment horizontal="right" vertical="center"/>
    </xf>
    <xf numFmtId="0" fontId="44" fillId="5" borderId="1" xfId="0" applyFont="1" applyFill="1" applyBorder="1" applyAlignment="1">
      <alignment vertical="center" wrapText="1"/>
    </xf>
    <xf numFmtId="0" fontId="44" fillId="5" borderId="1" xfId="0" applyFont="1" applyFill="1" applyBorder="1" applyAlignment="1">
      <alignment horizontal="center" vertical="center" wrapText="1"/>
    </xf>
    <xf numFmtId="49" fontId="44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vertical="center"/>
    </xf>
    <xf numFmtId="0" fontId="43" fillId="5" borderId="1" xfId="0" applyFont="1" applyFill="1" applyBorder="1" applyAlignment="1">
      <alignment vertical="center" wrapText="1"/>
    </xf>
    <xf numFmtId="167" fontId="43" fillId="5" borderId="1" xfId="0" applyNumberFormat="1" applyFont="1" applyFill="1" applyBorder="1" applyAlignment="1">
      <alignment horizontal="right" vertical="center" wrapText="1"/>
    </xf>
    <xf numFmtId="170" fontId="5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vertical="center"/>
    </xf>
    <xf numFmtId="49" fontId="8" fillId="2" borderId="9" xfId="0" applyNumberFormat="1" applyFont="1" applyFill="1" applyBorder="1" applyAlignment="1">
      <alignment vertical="center"/>
    </xf>
    <xf numFmtId="49" fontId="5" fillId="2" borderId="25" xfId="0" applyNumberFormat="1" applyFont="1" applyFill="1" applyBorder="1" applyAlignment="1">
      <alignment horizontal="center" vertical="center"/>
    </xf>
    <xf numFmtId="49" fontId="6" fillId="2" borderId="27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9" fillId="2" borderId="3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172" fontId="6" fillId="2" borderId="3" xfId="0" applyNumberFormat="1" applyFont="1" applyFill="1" applyBorder="1" applyAlignment="1">
      <alignment horizontal="left" wrapText="1"/>
    </xf>
    <xf numFmtId="172" fontId="56" fillId="2" borderId="1" xfId="0" applyNumberFormat="1" applyFont="1" applyFill="1" applyBorder="1" applyAlignment="1">
      <alignment wrapText="1"/>
    </xf>
    <xf numFmtId="0" fontId="9" fillId="2" borderId="1" xfId="192" applyFont="1" applyFill="1" applyBorder="1" applyAlignment="1">
      <alignment vertical="center" wrapText="1"/>
    </xf>
    <xf numFmtId="0" fontId="9" fillId="2" borderId="3" xfId="176" applyFont="1" applyFill="1" applyBorder="1" applyAlignment="1">
      <alignment vertical="center" wrapText="1"/>
    </xf>
    <xf numFmtId="177" fontId="44" fillId="2" borderId="1" xfId="0" applyNumberFormat="1" applyFont="1" applyFill="1" applyBorder="1" applyAlignment="1">
      <alignment horizontal="left" vertical="center" wrapText="1"/>
    </xf>
    <xf numFmtId="0" fontId="9" fillId="28" borderId="1" xfId="0" applyFont="1" applyFill="1" applyBorder="1" applyAlignment="1">
      <alignment horizontal="left" vertical="center" wrapText="1"/>
    </xf>
    <xf numFmtId="0" fontId="9" fillId="2" borderId="1" xfId="5" applyFont="1" applyFill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3" xfId="6" applyFont="1" applyFill="1" applyBorder="1" applyAlignment="1">
      <alignment horizontal="center" vertical="center" wrapText="1"/>
    </xf>
    <xf numFmtId="0" fontId="6" fillId="2" borderId="9" xfId="6" applyFont="1" applyFill="1" applyBorder="1" applyAlignment="1">
      <alignment horizontal="center" vertical="center" wrapText="1"/>
    </xf>
    <xf numFmtId="0" fontId="6" fillId="2" borderId="2" xfId="6" applyFont="1" applyFill="1" applyBorder="1" applyAlignment="1">
      <alignment horizontal="center" vertical="center" wrapText="1"/>
    </xf>
    <xf numFmtId="172" fontId="6" fillId="2" borderId="1" xfId="0" applyNumberFormat="1" applyFont="1" applyFill="1" applyBorder="1" applyAlignment="1">
      <alignment horizontal="center" vertical="center" wrapText="1"/>
    </xf>
    <xf numFmtId="172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7" fontId="5" fillId="3" borderId="0" xfId="0" applyNumberFormat="1" applyFont="1" applyFill="1"/>
    <xf numFmtId="172" fontId="39" fillId="4" borderId="52" xfId="0" applyNumberFormat="1" applyFont="1" applyFill="1" applyBorder="1" applyAlignment="1">
      <alignment horizontal="left" vertical="center" wrapText="1"/>
    </xf>
    <xf numFmtId="172" fontId="39" fillId="4" borderId="3" xfId="0" applyNumberFormat="1" applyFont="1" applyFill="1" applyBorder="1" applyAlignment="1">
      <alignment horizontal="left" vertical="center" wrapText="1"/>
    </xf>
    <xf numFmtId="172" fontId="39" fillId="4" borderId="55" xfId="0" applyNumberFormat="1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4" fillId="3" borderId="1" xfId="0" applyFont="1" applyFill="1" applyBorder="1" applyAlignment="1">
      <alignment horizontal="left" vertical="center"/>
    </xf>
    <xf numFmtId="167" fontId="44" fillId="3" borderId="1" xfId="0" applyNumberFormat="1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7" fontId="5" fillId="3" borderId="1" xfId="0" applyNumberFormat="1" applyFont="1" applyFill="1" applyBorder="1"/>
    <xf numFmtId="172" fontId="8" fillId="4" borderId="52" xfId="0" applyNumberFormat="1" applyFont="1" applyFill="1" applyBorder="1" applyAlignment="1">
      <alignment horizontal="left" vertical="center" wrapText="1"/>
    </xf>
    <xf numFmtId="172" fontId="8" fillId="4" borderId="3" xfId="0" applyNumberFormat="1" applyFont="1" applyFill="1" applyBorder="1" applyAlignment="1">
      <alignment horizontal="left" vertical="center" wrapText="1"/>
    </xf>
    <xf numFmtId="172" fontId="8" fillId="4" borderId="55" xfId="0" applyNumberFormat="1" applyFont="1" applyFill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right" vertical="center" wrapText="1"/>
    </xf>
    <xf numFmtId="167" fontId="6" fillId="0" borderId="2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72" fontId="8" fillId="4" borderId="33" xfId="0" applyNumberFormat="1" applyFont="1" applyFill="1" applyBorder="1" applyAlignment="1">
      <alignment horizontal="left" vertical="center" wrapText="1"/>
    </xf>
    <xf numFmtId="172" fontId="8" fillId="4" borderId="1" xfId="0" applyNumberFormat="1" applyFont="1" applyFill="1" applyBorder="1" applyAlignment="1">
      <alignment horizontal="left" vertical="center" wrapText="1"/>
    </xf>
    <xf numFmtId="172" fontId="8" fillId="4" borderId="24" xfId="0" applyNumberFormat="1" applyFont="1" applyFill="1" applyBorder="1" applyAlignment="1">
      <alignment horizontal="left" vertical="center" wrapText="1"/>
    </xf>
    <xf numFmtId="49" fontId="5" fillId="3" borderId="5" xfId="0" applyNumberFormat="1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left" vertical="center"/>
    </xf>
    <xf numFmtId="49" fontId="5" fillId="3" borderId="7" xfId="0" applyNumberFormat="1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170" fontId="44" fillId="2" borderId="1" xfId="0" applyNumberFormat="1" applyFont="1" applyFill="1" applyBorder="1" applyAlignment="1">
      <alignment horizontal="center" vertical="center"/>
    </xf>
    <xf numFmtId="171" fontId="43" fillId="0" borderId="1" xfId="0" applyNumberFormat="1" applyFont="1" applyBorder="1" applyAlignment="1">
      <alignment horizontal="center" vertical="center"/>
    </xf>
    <xf numFmtId="49" fontId="56" fillId="35" borderId="1" xfId="5" applyNumberFormat="1" applyFont="1" applyFill="1" applyBorder="1" applyAlignment="1">
      <alignment horizontal="center" vertical="center"/>
    </xf>
    <xf numFmtId="0" fontId="56" fillId="35" borderId="1" xfId="5" applyFont="1" applyFill="1" applyBorder="1" applyAlignment="1">
      <alignment vertical="center" wrapText="1"/>
    </xf>
    <xf numFmtId="167" fontId="56" fillId="35" borderId="1" xfId="5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49" fontId="67" fillId="0" borderId="3" xfId="0" applyNumberFormat="1" applyFont="1" applyBorder="1" applyAlignment="1">
      <alignment horizontal="center" vertical="center"/>
    </xf>
    <xf numFmtId="49" fontId="67" fillId="0" borderId="9" xfId="0" applyNumberFormat="1" applyFont="1" applyBorder="1" applyAlignment="1">
      <alignment horizontal="center" vertical="center"/>
    </xf>
    <xf numFmtId="49" fontId="67" fillId="0" borderId="2" xfId="0" applyNumberFormat="1" applyFont="1" applyBorder="1" applyAlignment="1">
      <alignment horizontal="center" vertical="center"/>
    </xf>
    <xf numFmtId="0" fontId="56" fillId="2" borderId="5" xfId="0" applyFont="1" applyFill="1" applyBorder="1" applyAlignment="1">
      <alignment vertical="center" wrapText="1"/>
    </xf>
    <xf numFmtId="0" fontId="56" fillId="2" borderId="6" xfId="0" applyFont="1" applyFill="1" applyBorder="1" applyAlignment="1">
      <alignment vertical="center" wrapText="1"/>
    </xf>
    <xf numFmtId="0" fontId="56" fillId="2" borderId="7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26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5" fillId="0" borderId="27" xfId="0" applyFont="1" applyBorder="1" applyAlignment="1">
      <alignment horizontal="center" vertical="center"/>
    </xf>
    <xf numFmtId="167" fontId="44" fillId="3" borderId="1" xfId="0" applyNumberFormat="1" applyFont="1" applyFill="1" applyBorder="1"/>
    <xf numFmtId="170" fontId="5" fillId="0" borderId="1" xfId="0" applyNumberFormat="1" applyFont="1" applyBorder="1" applyAlignment="1">
      <alignment horizontal="center" vertical="center"/>
    </xf>
    <xf numFmtId="171" fontId="6" fillId="0" borderId="3" xfId="0" applyNumberFormat="1" applyFont="1" applyBorder="1" applyAlignment="1">
      <alignment horizontal="center" vertical="center"/>
    </xf>
    <xf numFmtId="171" fontId="6" fillId="0" borderId="2" xfId="0" applyNumberFormat="1" applyFont="1" applyBorder="1" applyAlignment="1">
      <alignment horizontal="center" vertical="center"/>
    </xf>
    <xf numFmtId="167" fontId="6" fillId="2" borderId="3" xfId="0" applyNumberFormat="1" applyFont="1" applyFill="1" applyBorder="1" applyAlignment="1">
      <alignment horizontal="center" vertical="center" wrapText="1"/>
    </xf>
    <xf numFmtId="167" fontId="6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0" fontId="43" fillId="2" borderId="3" xfId="0" applyNumberFormat="1" applyFont="1" applyFill="1" applyBorder="1" applyAlignment="1">
      <alignment horizontal="center" vertical="center"/>
    </xf>
    <xf numFmtId="170" fontId="43" fillId="2" borderId="2" xfId="0" applyNumberFormat="1" applyFont="1" applyFill="1" applyBorder="1" applyAlignment="1">
      <alignment horizontal="center" vertical="center"/>
    </xf>
    <xf numFmtId="171" fontId="43" fillId="2" borderId="3" xfId="0" applyNumberFormat="1" applyFont="1" applyFill="1" applyBorder="1" applyAlignment="1">
      <alignment horizontal="center" vertical="center"/>
    </xf>
    <xf numFmtId="171" fontId="43" fillId="2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7" fontId="43" fillId="2" borderId="3" xfId="0" applyNumberFormat="1" applyFont="1" applyFill="1" applyBorder="1" applyAlignment="1">
      <alignment horizontal="center" vertical="center" wrapText="1"/>
    </xf>
    <xf numFmtId="167" fontId="43" fillId="2" borderId="2" xfId="0" applyNumberFormat="1" applyFont="1" applyFill="1" applyBorder="1" applyAlignment="1">
      <alignment horizontal="center" vertical="center" wrapText="1"/>
    </xf>
    <xf numFmtId="172" fontId="5" fillId="3" borderId="5" xfId="0" applyNumberFormat="1" applyFont="1" applyFill="1" applyBorder="1" applyAlignment="1">
      <alignment horizontal="left" vertical="center"/>
    </xf>
    <xf numFmtId="172" fontId="5" fillId="3" borderId="6" xfId="0" applyNumberFormat="1" applyFont="1" applyFill="1" applyBorder="1" applyAlignment="1">
      <alignment horizontal="left" vertical="center"/>
    </xf>
    <xf numFmtId="172" fontId="5" fillId="3" borderId="7" xfId="0" applyNumberFormat="1" applyFont="1" applyFill="1" applyBorder="1" applyAlignment="1">
      <alignment horizontal="left" vertical="center"/>
    </xf>
    <xf numFmtId="172" fontId="8" fillId="3" borderId="1" xfId="5" applyNumberFormat="1" applyFont="1" applyFill="1" applyBorder="1" applyAlignment="1">
      <alignment vertical="center"/>
    </xf>
    <xf numFmtId="0" fontId="8" fillId="4" borderId="29" xfId="0" applyFont="1" applyFill="1" applyBorder="1" applyAlignment="1">
      <alignment horizontal="left" vertical="center" wrapText="1"/>
    </xf>
    <xf numFmtId="0" fontId="8" fillId="4" borderId="30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172" fontId="9" fillId="2" borderId="3" xfId="5" applyNumberFormat="1" applyFont="1" applyFill="1" applyBorder="1" applyAlignment="1">
      <alignment horizontal="left" vertical="center" wrapText="1"/>
    </xf>
    <xf numFmtId="172" fontId="9" fillId="2" borderId="2" xfId="5" applyNumberFormat="1" applyFont="1" applyFill="1" applyBorder="1" applyAlignment="1">
      <alignment horizontal="left" vertical="center" wrapText="1"/>
    </xf>
    <xf numFmtId="172" fontId="9" fillId="0" borderId="3" xfId="0" applyNumberFormat="1" applyFont="1" applyBorder="1" applyAlignment="1">
      <alignment horizontal="center" vertical="center"/>
    </xf>
    <xf numFmtId="172" fontId="9" fillId="0" borderId="2" xfId="0" applyNumberFormat="1" applyFont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172" fontId="9" fillId="0" borderId="3" xfId="0" applyNumberFormat="1" applyFont="1" applyBorder="1" applyAlignment="1">
      <alignment horizontal="left" vertical="center" wrapText="1"/>
    </xf>
    <xf numFmtId="172" fontId="9" fillId="0" borderId="9" xfId="0" applyNumberFormat="1" applyFont="1" applyBorder="1" applyAlignment="1">
      <alignment horizontal="left" vertical="center" wrapText="1"/>
    </xf>
    <xf numFmtId="172" fontId="9" fillId="0" borderId="2" xfId="0" applyNumberFormat="1" applyFont="1" applyBorder="1" applyAlignment="1">
      <alignment horizontal="left" vertical="center" wrapText="1"/>
    </xf>
    <xf numFmtId="172" fontId="9" fillId="0" borderId="9" xfId="0" applyNumberFormat="1" applyFont="1" applyBorder="1" applyAlignment="1">
      <alignment horizontal="center" vertical="center"/>
    </xf>
    <xf numFmtId="172" fontId="8" fillId="2" borderId="3" xfId="0" applyNumberFormat="1" applyFont="1" applyFill="1" applyBorder="1" applyAlignment="1">
      <alignment horizontal="center" vertical="center" wrapText="1"/>
    </xf>
    <xf numFmtId="172" fontId="8" fillId="2" borderId="2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172" fontId="9" fillId="2" borderId="9" xfId="0" applyNumberFormat="1" applyFont="1" applyFill="1" applyBorder="1" applyAlignment="1">
      <alignment horizontal="left" vertical="center" wrapText="1"/>
    </xf>
    <xf numFmtId="172" fontId="9" fillId="2" borderId="2" xfId="0" applyNumberFormat="1" applyFont="1" applyFill="1" applyBorder="1" applyAlignment="1">
      <alignment horizontal="left" vertical="center" wrapText="1"/>
    </xf>
    <xf numFmtId="172" fontId="8" fillId="2" borderId="9" xfId="0" applyNumberFormat="1" applyFont="1" applyFill="1" applyBorder="1" applyAlignment="1">
      <alignment horizontal="center" vertical="center" wrapText="1"/>
    </xf>
    <xf numFmtId="172" fontId="9" fillId="2" borderId="3" xfId="0" applyNumberFormat="1" applyFont="1" applyFill="1" applyBorder="1" applyAlignment="1">
      <alignment horizontal="center" vertical="center" wrapText="1"/>
    </xf>
    <xf numFmtId="172" fontId="9" fillId="2" borderId="9" xfId="0" applyNumberFormat="1" applyFont="1" applyFill="1" applyBorder="1" applyAlignment="1">
      <alignment horizontal="center" vertical="center" wrapText="1"/>
    </xf>
    <xf numFmtId="172" fontId="9" fillId="2" borderId="2" xfId="0" applyNumberFormat="1" applyFont="1" applyFill="1" applyBorder="1" applyAlignment="1">
      <alignment horizontal="center" vertical="center" wrapText="1"/>
    </xf>
    <xf numFmtId="49" fontId="9" fillId="2" borderId="25" xfId="0" applyNumberFormat="1" applyFont="1" applyFill="1" applyBorder="1" applyAlignment="1">
      <alignment horizontal="center" vertical="center" wrapText="1"/>
    </xf>
    <xf numFmtId="49" fontId="9" fillId="2" borderId="28" xfId="0" applyNumberFormat="1" applyFont="1" applyFill="1" applyBorder="1" applyAlignment="1">
      <alignment horizontal="center" vertical="center" wrapText="1"/>
    </xf>
    <xf numFmtId="172" fontId="8" fillId="2" borderId="27" xfId="0" applyNumberFormat="1" applyFont="1" applyFill="1" applyBorder="1" applyAlignment="1">
      <alignment horizontal="center" vertical="center" wrapText="1"/>
    </xf>
    <xf numFmtId="172" fontId="8" fillId="2" borderId="30" xfId="0" applyNumberFormat="1" applyFont="1" applyFill="1" applyBorder="1" applyAlignment="1">
      <alignment horizontal="center" vertical="center" wrapText="1"/>
    </xf>
    <xf numFmtId="172" fontId="8" fillId="2" borderId="3" xfId="0" applyNumberFormat="1" applyFont="1" applyFill="1" applyBorder="1" applyAlignment="1">
      <alignment horizontal="left" vertical="center" wrapText="1"/>
    </xf>
    <xf numFmtId="172" fontId="8" fillId="2" borderId="2" xfId="0" applyNumberFormat="1" applyFont="1" applyFill="1" applyBorder="1" applyAlignment="1">
      <alignment horizontal="left" vertical="center" wrapText="1"/>
    </xf>
    <xf numFmtId="172" fontId="9" fillId="2" borderId="3" xfId="0" applyNumberFormat="1" applyFont="1" applyFill="1" applyBorder="1" applyAlignment="1">
      <alignment vertical="center" wrapText="1"/>
    </xf>
    <xf numFmtId="172" fontId="9" fillId="2" borderId="2" xfId="0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72" fontId="9" fillId="2" borderId="1" xfId="0" applyNumberFormat="1" applyFont="1" applyFill="1" applyBorder="1" applyAlignment="1">
      <alignment horizontal="left" vertical="center" wrapText="1"/>
    </xf>
    <xf numFmtId="172" fontId="9" fillId="2" borderId="3" xfId="0" applyNumberFormat="1" applyFont="1" applyFill="1" applyBorder="1" applyAlignment="1">
      <alignment horizontal="left" vertical="center" wrapText="1"/>
    </xf>
    <xf numFmtId="172" fontId="9" fillId="0" borderId="3" xfId="0" applyNumberFormat="1" applyFont="1" applyBorder="1" applyAlignment="1">
      <alignment horizontal="center" vertical="center" wrapText="1"/>
    </xf>
    <xf numFmtId="172" fontId="9" fillId="0" borderId="9" xfId="0" applyNumberFormat="1" applyFont="1" applyBorder="1" applyAlignment="1">
      <alignment horizontal="center" vertical="center" wrapText="1"/>
    </xf>
    <xf numFmtId="172" fontId="9" fillId="0" borderId="2" xfId="0" applyNumberFormat="1" applyFont="1" applyBorder="1" applyAlignment="1">
      <alignment horizontal="center" vertical="center" wrapText="1"/>
    </xf>
    <xf numFmtId="172" fontId="5" fillId="4" borderId="5" xfId="0" applyNumberFormat="1" applyFont="1" applyFill="1" applyBorder="1" applyAlignment="1">
      <alignment horizontal="left"/>
    </xf>
    <xf numFmtId="172" fontId="5" fillId="4" borderId="6" xfId="0" applyNumberFormat="1" applyFont="1" applyFill="1" applyBorder="1" applyAlignment="1">
      <alignment horizontal="left"/>
    </xf>
    <xf numFmtId="172" fontId="5" fillId="4" borderId="7" xfId="0" applyNumberFormat="1" applyFont="1" applyFill="1" applyBorder="1" applyAlignment="1">
      <alignment horizontal="left"/>
    </xf>
    <xf numFmtId="49" fontId="8" fillId="2" borderId="25" xfId="0" applyNumberFormat="1" applyFont="1" applyFill="1" applyBorder="1" applyAlignment="1">
      <alignment horizontal="center" vertical="center" wrapText="1"/>
    </xf>
    <xf numFmtId="49" fontId="8" fillId="2" borderId="28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2" fontId="5" fillId="0" borderId="1" xfId="0" applyNumberFormat="1" applyFont="1" applyBorder="1" applyAlignment="1">
      <alignment horizontal="left" vertical="center" wrapText="1"/>
    </xf>
    <xf numFmtId="172" fontId="5" fillId="2" borderId="3" xfId="0" applyNumberFormat="1" applyFont="1" applyFill="1" applyBorder="1" applyAlignment="1">
      <alignment horizontal="center" vertical="center" wrapText="1"/>
    </xf>
    <xf numFmtId="172" fontId="5" fillId="2" borderId="2" xfId="0" applyNumberFormat="1" applyFont="1" applyFill="1" applyBorder="1" applyAlignment="1">
      <alignment horizontal="center" vertical="center" wrapText="1"/>
    </xf>
    <xf numFmtId="172" fontId="6" fillId="2" borderId="1" xfId="0" applyNumberFormat="1" applyFont="1" applyFill="1" applyBorder="1" applyAlignment="1">
      <alignment vertical="center" wrapText="1"/>
    </xf>
    <xf numFmtId="172" fontId="6" fillId="0" borderId="1" xfId="0" applyNumberFormat="1" applyFont="1" applyBorder="1" applyAlignment="1">
      <alignment horizontal="center" vertical="center" wrapText="1"/>
    </xf>
    <xf numFmtId="172" fontId="5" fillId="0" borderId="1" xfId="0" applyNumberFormat="1" applyFont="1" applyBorder="1" applyAlignment="1">
      <alignment horizontal="center" vertical="center"/>
    </xf>
    <xf numFmtId="172" fontId="5" fillId="4" borderId="25" xfId="0" applyNumberFormat="1" applyFont="1" applyFill="1" applyBorder="1" applyAlignment="1">
      <alignment horizontal="left"/>
    </xf>
    <xf numFmtId="172" fontId="5" fillId="4" borderId="26" xfId="0" applyNumberFormat="1" applyFont="1" applyFill="1" applyBorder="1" applyAlignment="1">
      <alignment horizontal="left"/>
    </xf>
    <xf numFmtId="172" fontId="5" fillId="4" borderId="27" xfId="0" applyNumberFormat="1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8" fontId="6" fillId="0" borderId="3" xfId="0" applyNumberFormat="1" applyFont="1" applyBorder="1" applyAlignment="1">
      <alignment horizontal="center" vertical="center" wrapText="1"/>
    </xf>
    <xf numFmtId="168" fontId="6" fillId="0" borderId="2" xfId="0" applyNumberFormat="1" applyFont="1" applyBorder="1" applyAlignment="1">
      <alignment horizontal="center" vertical="center" wrapText="1"/>
    </xf>
    <xf numFmtId="172" fontId="9" fillId="2" borderId="3" xfId="5" applyNumberFormat="1" applyFont="1" applyFill="1" applyBorder="1" applyAlignment="1">
      <alignment horizontal="center" vertical="center" wrapText="1"/>
    </xf>
    <xf numFmtId="172" fontId="9" fillId="2" borderId="2" xfId="5" applyNumberFormat="1" applyFont="1" applyFill="1" applyBorder="1" applyAlignment="1">
      <alignment horizontal="center" vertical="center" wrapText="1"/>
    </xf>
    <xf numFmtId="49" fontId="8" fillId="2" borderId="3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8" fillId="2" borderId="2" xfId="5" applyNumberFormat="1" applyFont="1" applyFill="1" applyBorder="1" applyAlignment="1">
      <alignment horizontal="center" vertical="center"/>
    </xf>
    <xf numFmtId="49" fontId="9" fillId="2" borderId="3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9" fillId="2" borderId="2" xfId="5" applyNumberFormat="1" applyFont="1" applyFill="1" applyBorder="1" applyAlignment="1">
      <alignment horizontal="center" vertical="center"/>
    </xf>
    <xf numFmtId="172" fontId="9" fillId="2" borderId="3" xfId="5" applyNumberFormat="1" applyFont="1" applyFill="1" applyBorder="1" applyAlignment="1">
      <alignment vertical="center" wrapText="1"/>
    </xf>
    <xf numFmtId="172" fontId="9" fillId="2" borderId="9" xfId="5" applyNumberFormat="1" applyFont="1" applyFill="1" applyBorder="1" applyAlignment="1">
      <alignment vertical="center" wrapText="1"/>
    </xf>
    <xf numFmtId="172" fontId="9" fillId="2" borderId="9" xfId="5" applyNumberFormat="1" applyFont="1" applyFill="1" applyBorder="1" applyAlignment="1">
      <alignment horizontal="center" vertical="center" wrapText="1"/>
    </xf>
    <xf numFmtId="172" fontId="5" fillId="3" borderId="5" xfId="0" applyNumberFormat="1" applyFont="1" applyFill="1" applyBorder="1" applyAlignment="1">
      <alignment vertical="center"/>
    </xf>
    <xf numFmtId="172" fontId="5" fillId="3" borderId="6" xfId="0" applyNumberFormat="1" applyFont="1" applyFill="1" applyBorder="1" applyAlignment="1">
      <alignment vertical="center"/>
    </xf>
    <xf numFmtId="172" fontId="5" fillId="3" borderId="7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30" xfId="0" applyNumberFormat="1" applyFont="1" applyFill="1" applyBorder="1" applyAlignment="1">
      <alignment horizontal="center" vertical="center"/>
    </xf>
    <xf numFmtId="49" fontId="9" fillId="2" borderId="1" xfId="5" applyNumberFormat="1" applyFont="1" applyFill="1" applyBorder="1" applyAlignment="1">
      <alignment horizontal="center" vertical="center"/>
    </xf>
    <xf numFmtId="49" fontId="8" fillId="2" borderId="1" xfId="5" applyNumberFormat="1" applyFont="1" applyFill="1" applyBorder="1" applyAlignment="1">
      <alignment horizontal="center" vertical="center" wrapText="1"/>
    </xf>
    <xf numFmtId="172" fontId="9" fillId="2" borderId="2" xfId="5" applyNumberFormat="1" applyFont="1" applyFill="1" applyBorder="1" applyAlignment="1">
      <alignment vertical="center" wrapText="1"/>
    </xf>
    <xf numFmtId="172" fontId="5" fillId="3" borderId="1" xfId="1" applyNumberFormat="1" applyFont="1" applyFill="1" applyBorder="1" applyAlignment="1">
      <alignment horizontal="left" vertical="center"/>
    </xf>
    <xf numFmtId="172" fontId="44" fillId="3" borderId="1" xfId="0" applyNumberFormat="1" applyFont="1" applyFill="1" applyBorder="1"/>
    <xf numFmtId="172" fontId="5" fillId="4" borderId="1" xfId="0" applyNumberFormat="1" applyFont="1" applyFill="1" applyBorder="1" applyAlignment="1">
      <alignment horizontal="left"/>
    </xf>
    <xf numFmtId="49" fontId="6" fillId="0" borderId="3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9" fillId="2" borderId="3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167" fontId="63" fillId="28" borderId="3" xfId="0" applyNumberFormat="1" applyFont="1" applyFill="1" applyBorder="1" applyAlignment="1">
      <alignment horizontal="center" vertical="center" wrapText="1"/>
    </xf>
    <xf numFmtId="167" fontId="63" fillId="28" borderId="2" xfId="0" applyNumberFormat="1" applyFont="1" applyFill="1" applyBorder="1" applyAlignment="1">
      <alignment horizontal="center" vertical="center" wrapText="1"/>
    </xf>
    <xf numFmtId="167" fontId="9" fillId="2" borderId="3" xfId="0" applyNumberFormat="1" applyFont="1" applyFill="1" applyBorder="1" applyAlignment="1">
      <alignment horizontal="center" vertical="center" wrapText="1"/>
    </xf>
    <xf numFmtId="167" fontId="9" fillId="2" borderId="2" xfId="0" applyNumberFormat="1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72" fontId="6" fillId="2" borderId="3" xfId="0" applyNumberFormat="1" applyFont="1" applyFill="1" applyBorder="1" applyAlignment="1">
      <alignment horizontal="left" vertical="center" wrapText="1"/>
    </xf>
    <xf numFmtId="172" fontId="6" fillId="2" borderId="2" xfId="0" applyNumberFormat="1" applyFont="1" applyFill="1" applyBorder="1" applyAlignment="1">
      <alignment horizontal="left" vertical="center" wrapText="1"/>
    </xf>
    <xf numFmtId="172" fontId="6" fillId="2" borderId="3" xfId="0" applyNumberFormat="1" applyFont="1" applyFill="1" applyBorder="1" applyAlignment="1">
      <alignment horizontal="center" vertical="center" wrapText="1"/>
    </xf>
    <xf numFmtId="172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2" fontId="6" fillId="0" borderId="1" xfId="0" applyNumberFormat="1" applyFont="1" applyBorder="1" applyAlignment="1">
      <alignment vertical="center" wrapText="1"/>
    </xf>
    <xf numFmtId="172" fontId="5" fillId="2" borderId="1" xfId="0" applyNumberFormat="1" applyFont="1" applyFill="1" applyBorder="1" applyAlignment="1">
      <alignment horizontal="center" vertical="center" wrapText="1"/>
    </xf>
    <xf numFmtId="172" fontId="9" fillId="2" borderId="1" xfId="0" applyNumberFormat="1" applyFont="1" applyFill="1" applyBorder="1" applyAlignment="1">
      <alignment horizontal="center" vertical="center" wrapText="1"/>
    </xf>
    <xf numFmtId="172" fontId="43" fillId="2" borderId="1" xfId="0" applyNumberFormat="1" applyFont="1" applyFill="1" applyBorder="1" applyAlignment="1">
      <alignment horizontal="left" vertical="center" wrapText="1"/>
    </xf>
    <xf numFmtId="172" fontId="43" fillId="2" borderId="1" xfId="66" applyNumberFormat="1" applyFont="1" applyFill="1" applyBorder="1" applyAlignment="1">
      <alignment horizontal="center" vertical="center" wrapText="1"/>
    </xf>
    <xf numFmtId="172" fontId="5" fillId="3" borderId="5" xfId="0" applyNumberFormat="1" applyFont="1" applyFill="1" applyBorder="1" applyAlignment="1">
      <alignment horizontal="left" vertical="center" wrapText="1"/>
    </xf>
    <xf numFmtId="172" fontId="5" fillId="3" borderId="6" xfId="0" applyNumberFormat="1" applyFont="1" applyFill="1" applyBorder="1" applyAlignment="1">
      <alignment horizontal="left" vertical="center" wrapText="1"/>
    </xf>
    <xf numFmtId="172" fontId="5" fillId="3" borderId="7" xfId="0" applyNumberFormat="1" applyFont="1" applyFill="1" applyBorder="1" applyAlignment="1">
      <alignment horizontal="left" vertical="center" wrapText="1"/>
    </xf>
    <xf numFmtId="49" fontId="44" fillId="2" borderId="3" xfId="0" applyNumberFormat="1" applyFont="1" applyFill="1" applyBorder="1" applyAlignment="1">
      <alignment horizontal="center" vertical="center"/>
    </xf>
    <xf numFmtId="49" fontId="44" fillId="2" borderId="9" xfId="0" applyNumberFormat="1" applyFont="1" applyFill="1" applyBorder="1" applyAlignment="1">
      <alignment horizontal="center" vertical="center"/>
    </xf>
    <xf numFmtId="49" fontId="43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172" fontId="9" fillId="2" borderId="1" xfId="66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72" fontId="6" fillId="28" borderId="1" xfId="0" applyNumberFormat="1" applyFont="1" applyFill="1" applyBorder="1" applyAlignment="1">
      <alignment horizontal="left" vertical="center" wrapText="1"/>
    </xf>
    <xf numFmtId="172" fontId="6" fillId="2" borderId="3" xfId="0" applyNumberFormat="1" applyFont="1" applyFill="1" applyBorder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 vertical="center"/>
    </xf>
    <xf numFmtId="172" fontId="6" fillId="2" borderId="2" xfId="0" applyNumberFormat="1" applyFont="1" applyFill="1" applyBorder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 vertical="center" wrapText="1"/>
    </xf>
    <xf numFmtId="172" fontId="63" fillId="28" borderId="1" xfId="0" applyNumberFormat="1" applyFont="1" applyFill="1" applyBorder="1" applyAlignment="1">
      <alignment horizontal="left" vertical="center" wrapText="1"/>
    </xf>
    <xf numFmtId="172" fontId="43" fillId="2" borderId="1" xfId="0" applyNumberFormat="1" applyFont="1" applyFill="1" applyBorder="1" applyAlignment="1">
      <alignment horizontal="center" vertical="center" wrapText="1"/>
    </xf>
    <xf numFmtId="172" fontId="5" fillId="2" borderId="1" xfId="0" applyNumberFormat="1" applyFont="1" applyFill="1" applyBorder="1" applyAlignment="1">
      <alignment horizontal="left" vertical="center" wrapText="1"/>
    </xf>
    <xf numFmtId="172" fontId="6" fillId="2" borderId="1" xfId="0" applyNumberFormat="1" applyFont="1" applyFill="1" applyBorder="1" applyAlignment="1">
      <alignment horizontal="left" vertical="center" wrapText="1"/>
    </xf>
    <xf numFmtId="49" fontId="9" fillId="2" borderId="3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172" fontId="8" fillId="4" borderId="5" xfId="0" applyNumberFormat="1" applyFont="1" applyFill="1" applyBorder="1" applyAlignment="1">
      <alignment horizontal="left" vertical="center" wrapText="1"/>
    </xf>
    <xf numFmtId="172" fontId="8" fillId="4" borderId="6" xfId="0" applyNumberFormat="1" applyFont="1" applyFill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72" fontId="5" fillId="3" borderId="5" xfId="1" applyNumberFormat="1" applyFont="1" applyFill="1" applyBorder="1" applyAlignment="1">
      <alignment horizontal="left" vertical="center"/>
    </xf>
    <xf numFmtId="172" fontId="5" fillId="3" borderId="6" xfId="1" applyNumberFormat="1" applyFont="1" applyFill="1" applyBorder="1" applyAlignment="1">
      <alignment horizontal="left" vertical="center"/>
    </xf>
    <xf numFmtId="172" fontId="5" fillId="3" borderId="7" xfId="1" applyNumberFormat="1" applyFont="1" applyFill="1" applyBorder="1" applyAlignment="1">
      <alignment horizontal="left" vertical="center"/>
    </xf>
    <xf numFmtId="172" fontId="5" fillId="3" borderId="1" xfId="0" applyNumberFormat="1" applyFont="1" applyFill="1" applyBorder="1"/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167" fontId="6" fillId="2" borderId="1" xfId="0" applyNumberFormat="1" applyFont="1" applyFill="1" applyBorder="1" applyAlignment="1">
      <alignment horizontal="center" vertical="center" wrapText="1"/>
    </xf>
    <xf numFmtId="172" fontId="9" fillId="2" borderId="1" xfId="173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172" fontId="9" fillId="2" borderId="3" xfId="173" applyNumberFormat="1" applyFont="1" applyFill="1" applyBorder="1" applyAlignment="1">
      <alignment horizontal="right" vertical="center"/>
    </xf>
    <xf numFmtId="172" fontId="9" fillId="2" borderId="9" xfId="173" applyNumberFormat="1" applyFont="1" applyFill="1" applyBorder="1" applyAlignment="1">
      <alignment horizontal="right" vertical="center"/>
    </xf>
    <xf numFmtId="172" fontId="9" fillId="2" borderId="2" xfId="173" applyNumberFormat="1" applyFont="1" applyFill="1" applyBorder="1" applyAlignment="1">
      <alignment horizontal="right" vertical="center"/>
    </xf>
    <xf numFmtId="172" fontId="8" fillId="4" borderId="10" xfId="0" applyNumberFormat="1" applyFont="1" applyFill="1" applyBorder="1" applyAlignment="1">
      <alignment horizontal="left" vertical="center" wrapText="1"/>
    </xf>
    <xf numFmtId="172" fontId="8" fillId="4" borderId="0" xfId="0" applyNumberFormat="1" applyFont="1" applyFill="1" applyAlignment="1">
      <alignment horizontal="left" vertical="center" wrapText="1"/>
    </xf>
    <xf numFmtId="172" fontId="8" fillId="4" borderId="8" xfId="0" applyNumberFormat="1" applyFont="1" applyFill="1" applyBorder="1" applyAlignment="1">
      <alignment horizontal="left" vertical="center" wrapText="1"/>
    </xf>
    <xf numFmtId="49" fontId="9" fillId="2" borderId="9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167" fontId="9" fillId="2" borderId="9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top"/>
    </xf>
    <xf numFmtId="49" fontId="8" fillId="2" borderId="9" xfId="0" applyNumberFormat="1" applyFont="1" applyFill="1" applyBorder="1" applyAlignment="1">
      <alignment horizontal="center" vertical="top"/>
    </xf>
    <xf numFmtId="49" fontId="8" fillId="2" borderId="2" xfId="0" applyNumberFormat="1" applyFont="1" applyFill="1" applyBorder="1" applyAlignment="1">
      <alignment horizontal="center" vertical="top"/>
    </xf>
    <xf numFmtId="49" fontId="9" fillId="2" borderId="3" xfId="192" applyNumberFormat="1" applyFont="1" applyFill="1" applyBorder="1" applyAlignment="1">
      <alignment horizontal="center" vertical="top"/>
    </xf>
    <xf numFmtId="49" fontId="9" fillId="2" borderId="9" xfId="192" applyNumberFormat="1" applyFont="1" applyFill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2" borderId="3" xfId="192" applyFont="1" applyFill="1" applyBorder="1" applyAlignment="1">
      <alignment horizontal="left" vertical="center" wrapText="1"/>
    </xf>
    <xf numFmtId="0" fontId="6" fillId="2" borderId="9" xfId="192" applyFont="1" applyFill="1" applyBorder="1" applyAlignment="1">
      <alignment horizontal="left" vertical="center" wrapText="1"/>
    </xf>
    <xf numFmtId="170" fontId="8" fillId="2" borderId="3" xfId="176" applyNumberFormat="1" applyFont="1" applyFill="1" applyBorder="1" applyAlignment="1">
      <alignment horizontal="center" vertical="center"/>
    </xf>
    <xf numFmtId="170" fontId="8" fillId="2" borderId="9" xfId="176" applyNumberFormat="1" applyFont="1" applyFill="1" applyBorder="1" applyAlignment="1">
      <alignment horizontal="center" vertical="center"/>
    </xf>
    <xf numFmtId="170" fontId="8" fillId="2" borderId="2" xfId="176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5" fillId="4" borderId="25" xfId="0" applyFont="1" applyFill="1" applyBorder="1" applyAlignment="1">
      <alignment horizontal="left"/>
    </xf>
    <xf numFmtId="0" fontId="6" fillId="4" borderId="26" xfId="0" applyFont="1" applyFill="1" applyBorder="1" applyAlignment="1">
      <alignment horizontal="left"/>
    </xf>
    <xf numFmtId="0" fontId="6" fillId="4" borderId="2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167" fontId="9" fillId="2" borderId="1" xfId="285" applyNumberFormat="1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9" fillId="2" borderId="3" xfId="285" applyNumberFormat="1" applyFont="1" applyFill="1" applyBorder="1" applyAlignment="1">
      <alignment horizontal="center" vertical="center" wrapText="1"/>
    </xf>
    <xf numFmtId="167" fontId="9" fillId="2" borderId="9" xfId="285" applyNumberFormat="1" applyFont="1" applyFill="1" applyBorder="1" applyAlignment="1">
      <alignment horizontal="center" vertical="center" wrapText="1"/>
    </xf>
    <xf numFmtId="167" fontId="9" fillId="2" borderId="2" xfId="285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top" wrapText="1"/>
    </xf>
    <xf numFmtId="0" fontId="5" fillId="4" borderId="5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9" fillId="2" borderId="3" xfId="192" applyNumberFormat="1" applyFont="1" applyFill="1" applyBorder="1" applyAlignment="1">
      <alignment horizontal="center" vertical="center"/>
    </xf>
    <xf numFmtId="49" fontId="9" fillId="2" borderId="9" xfId="192" applyNumberFormat="1" applyFont="1" applyFill="1" applyBorder="1" applyAlignment="1">
      <alignment horizontal="center" vertical="center"/>
    </xf>
    <xf numFmtId="170" fontId="8" fillId="2" borderId="1" xfId="176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171" fontId="8" fillId="0" borderId="52" xfId="0" applyNumberFormat="1" applyFont="1" applyBorder="1" applyAlignment="1">
      <alignment horizontal="center" vertical="center"/>
    </xf>
    <xf numFmtId="171" fontId="8" fillId="0" borderId="32" xfId="0" applyNumberFormat="1" applyFont="1" applyBorder="1" applyAlignment="1">
      <alignment horizontal="center" vertical="center"/>
    </xf>
    <xf numFmtId="171" fontId="8" fillId="0" borderId="53" xfId="0" applyNumberFormat="1" applyFont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top"/>
    </xf>
    <xf numFmtId="49" fontId="9" fillId="2" borderId="9" xfId="0" applyNumberFormat="1" applyFont="1" applyFill="1" applyBorder="1" applyAlignment="1">
      <alignment horizontal="center" vertical="top"/>
    </xf>
    <xf numFmtId="49" fontId="9" fillId="2" borderId="2" xfId="0" applyNumberFormat="1" applyFont="1" applyFill="1" applyBorder="1" applyAlignment="1">
      <alignment horizontal="center" vertical="top"/>
    </xf>
    <xf numFmtId="167" fontId="9" fillId="2" borderId="3" xfId="192" applyNumberFormat="1" applyFont="1" applyFill="1" applyBorder="1" applyAlignment="1">
      <alignment horizontal="center" vertical="center" wrapText="1"/>
    </xf>
    <xf numFmtId="167" fontId="9" fillId="2" borderId="3" xfId="193" applyNumberFormat="1" applyFont="1" applyFill="1" applyBorder="1" applyAlignment="1">
      <alignment horizontal="center" vertical="center" wrapText="1"/>
    </xf>
    <xf numFmtId="167" fontId="9" fillId="2" borderId="9" xfId="193" applyNumberFormat="1" applyFont="1" applyFill="1" applyBorder="1" applyAlignment="1">
      <alignment horizontal="center" vertical="center" wrapText="1"/>
    </xf>
    <xf numFmtId="0" fontId="6" fillId="2" borderId="3" xfId="30" applyFont="1" applyFill="1" applyBorder="1" applyAlignment="1">
      <alignment horizontal="center" vertical="center" wrapText="1"/>
    </xf>
    <xf numFmtId="0" fontId="6" fillId="2" borderId="2" xfId="3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171" fontId="8" fillId="3" borderId="33" xfId="0" applyNumberFormat="1" applyFont="1" applyFill="1" applyBorder="1" applyAlignment="1">
      <alignment horizontal="left"/>
    </xf>
    <xf numFmtId="171" fontId="8" fillId="3" borderId="1" xfId="0" applyNumberFormat="1" applyFont="1" applyFill="1" applyBorder="1" applyAlignment="1">
      <alignment horizontal="left"/>
    </xf>
    <xf numFmtId="49" fontId="8" fillId="2" borderId="3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9" fillId="2" borderId="3" xfId="176" applyFont="1" applyFill="1" applyBorder="1" applyAlignment="1">
      <alignment horizontal="left" vertical="center" wrapText="1"/>
    </xf>
    <xf numFmtId="0" fontId="9" fillId="2" borderId="2" xfId="176" applyFont="1" applyFill="1" applyBorder="1" applyAlignment="1">
      <alignment horizontal="left" vertical="center" wrapText="1"/>
    </xf>
    <xf numFmtId="0" fontId="9" fillId="2" borderId="3" xfId="176" applyFont="1" applyFill="1" applyBorder="1" applyAlignment="1">
      <alignment horizontal="center" vertical="center" wrapText="1"/>
    </xf>
    <xf numFmtId="0" fontId="9" fillId="2" borderId="2" xfId="176" applyFont="1" applyFill="1" applyBorder="1" applyAlignment="1">
      <alignment horizontal="center" vertical="center" wrapText="1"/>
    </xf>
    <xf numFmtId="171" fontId="8" fillId="0" borderId="1" xfId="0" applyNumberFormat="1" applyFont="1" applyBorder="1" applyAlignment="1">
      <alignment horizontal="center" vertical="center"/>
    </xf>
    <xf numFmtId="167" fontId="9" fillId="2" borderId="3" xfId="5" applyNumberFormat="1" applyFont="1" applyFill="1" applyBorder="1" applyAlignment="1">
      <alignment horizontal="center" vertical="center" wrapText="1"/>
    </xf>
    <xf numFmtId="172" fontId="58" fillId="0" borderId="0" xfId="0" applyNumberFormat="1" applyFont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164" fontId="5" fillId="3" borderId="5" xfId="8" applyFont="1" applyFill="1" applyBorder="1" applyAlignment="1">
      <alignment horizontal="center" vertical="center" wrapText="1"/>
    </xf>
    <xf numFmtId="164" fontId="5" fillId="3" borderId="6" xfId="8" applyFont="1" applyFill="1" applyBorder="1" applyAlignment="1">
      <alignment horizontal="center" vertical="center" wrapText="1"/>
    </xf>
    <xf numFmtId="164" fontId="5" fillId="3" borderId="7" xfId="8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167" fontId="44" fillId="3" borderId="1" xfId="186" applyNumberFormat="1" applyFont="1" applyFill="1" applyBorder="1"/>
    <xf numFmtId="0" fontId="44" fillId="3" borderId="5" xfId="14" applyFont="1" applyFill="1" applyBorder="1" applyAlignment="1">
      <alignment horizontal="left" vertical="center"/>
    </xf>
    <xf numFmtId="0" fontId="44" fillId="3" borderId="6" xfId="14" applyFont="1" applyFill="1" applyBorder="1" applyAlignment="1">
      <alignment horizontal="left" vertical="center"/>
    </xf>
    <xf numFmtId="0" fontId="44" fillId="3" borderId="7" xfId="14" applyFont="1" applyFill="1" applyBorder="1" applyAlignment="1">
      <alignment horizontal="left" vertical="center"/>
    </xf>
    <xf numFmtId="49" fontId="6" fillId="0" borderId="3" xfId="183" applyNumberFormat="1" applyFont="1" applyBorder="1" applyAlignment="1">
      <alignment horizontal="center"/>
    </xf>
    <xf numFmtId="49" fontId="6" fillId="0" borderId="9" xfId="183" applyNumberFormat="1" applyFont="1" applyBorder="1" applyAlignment="1">
      <alignment horizontal="center"/>
    </xf>
    <xf numFmtId="49" fontId="6" fillId="0" borderId="2" xfId="183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183" applyFont="1" applyBorder="1" applyAlignment="1">
      <alignment horizontal="center" vertical="center"/>
    </xf>
    <xf numFmtId="0" fontId="5" fillId="0" borderId="9" xfId="183" applyFont="1" applyBorder="1" applyAlignment="1">
      <alignment horizontal="center" vertical="center"/>
    </xf>
    <xf numFmtId="0" fontId="5" fillId="0" borderId="2" xfId="183" applyFont="1" applyBorder="1" applyAlignment="1">
      <alignment horizontal="center" vertical="center"/>
    </xf>
    <xf numFmtId="171" fontId="9" fillId="0" borderId="1" xfId="28" applyNumberFormat="1" applyFont="1" applyBorder="1" applyAlignment="1">
      <alignment horizontal="center" vertical="center"/>
    </xf>
    <xf numFmtId="0" fontId="9" fillId="2" borderId="27" xfId="5" applyFont="1" applyFill="1" applyBorder="1" applyAlignment="1">
      <alignment horizontal="left" vertical="center" wrapText="1"/>
    </xf>
    <xf numFmtId="0" fontId="9" fillId="2" borderId="8" xfId="5" applyFont="1" applyFill="1" applyBorder="1" applyAlignment="1">
      <alignment horizontal="left" vertical="center" wrapText="1"/>
    </xf>
    <xf numFmtId="0" fontId="9" fillId="2" borderId="30" xfId="5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/>
    </xf>
    <xf numFmtId="49" fontId="5" fillId="0" borderId="9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49" fontId="6" fillId="0" borderId="3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49" fontId="6" fillId="0" borderId="2" xfId="1" applyNumberFormat="1" applyFont="1" applyBorder="1" applyAlignment="1">
      <alignment horizontal="center" vertical="center"/>
    </xf>
    <xf numFmtId="171" fontId="6" fillId="0" borderId="1" xfId="0" applyNumberFormat="1" applyFont="1" applyBorder="1" applyAlignment="1">
      <alignment horizontal="center" vertical="center"/>
    </xf>
    <xf numFmtId="171" fontId="6" fillId="2" borderId="3" xfId="0" applyNumberFormat="1" applyFont="1" applyFill="1" applyBorder="1" applyAlignment="1">
      <alignment horizontal="center" vertical="center"/>
    </xf>
    <xf numFmtId="171" fontId="6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71" fontId="8" fillId="3" borderId="1" xfId="0" applyNumberFormat="1" applyFont="1" applyFill="1" applyBorder="1"/>
    <xf numFmtId="171" fontId="8" fillId="3" borderId="5" xfId="0" applyNumberFormat="1" applyFont="1" applyFill="1" applyBorder="1"/>
    <xf numFmtId="0" fontId="6" fillId="0" borderId="1" xfId="0" applyFont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171" fontId="8" fillId="4" borderId="5" xfId="0" applyNumberFormat="1" applyFont="1" applyFill="1" applyBorder="1" applyAlignment="1">
      <alignment horizontal="left"/>
    </xf>
    <xf numFmtId="171" fontId="8" fillId="4" borderId="6" xfId="0" applyNumberFormat="1" applyFont="1" applyFill="1" applyBorder="1" applyAlignment="1">
      <alignment horizontal="left"/>
    </xf>
    <xf numFmtId="171" fontId="8" fillId="4" borderId="7" xfId="0" applyNumberFormat="1" applyFont="1" applyFill="1" applyBorder="1" applyAlignment="1">
      <alignment horizontal="left"/>
    </xf>
    <xf numFmtId="171" fontId="8" fillId="0" borderId="3" xfId="0" applyNumberFormat="1" applyFont="1" applyBorder="1" applyAlignment="1">
      <alignment horizontal="center" vertical="center"/>
    </xf>
    <xf numFmtId="171" fontId="8" fillId="0" borderId="9" xfId="0" applyNumberFormat="1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186" fontId="8" fillId="0" borderId="1" xfId="5" applyNumberFormat="1" applyFont="1" applyBorder="1" applyAlignment="1">
      <alignment horizontal="center" vertical="center" wrapText="1"/>
    </xf>
    <xf numFmtId="0" fontId="8" fillId="0" borderId="1" xfId="5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67" fontId="9" fillId="0" borderId="3" xfId="0" applyNumberFormat="1" applyFont="1" applyBorder="1" applyAlignment="1">
      <alignment horizontal="center" vertical="center" wrapText="1"/>
    </xf>
    <xf numFmtId="167" fontId="9" fillId="0" borderId="2" xfId="0" applyNumberFormat="1" applyFont="1" applyBorder="1" applyAlignment="1">
      <alignment horizontal="center" vertical="center" wrapText="1"/>
    </xf>
    <xf numFmtId="0" fontId="9" fillId="0" borderId="3" xfId="5" applyFont="1" applyBorder="1" applyAlignment="1">
      <alignment horizontal="left" vertical="center" wrapText="1"/>
    </xf>
    <xf numFmtId="0" fontId="9" fillId="0" borderId="2" xfId="5" applyFont="1" applyBorder="1" applyAlignment="1">
      <alignment horizontal="left" vertical="center" wrapText="1"/>
    </xf>
    <xf numFmtId="0" fontId="9" fillId="0" borderId="3" xfId="247" applyNumberFormat="1" applyFont="1" applyFill="1" applyBorder="1" applyAlignment="1">
      <alignment horizontal="center" vertical="center" wrapText="1"/>
    </xf>
    <xf numFmtId="0" fontId="9" fillId="0" borderId="2" xfId="247" applyNumberFormat="1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9" fillId="0" borderId="3" xfId="5" applyFont="1" applyBorder="1" applyAlignment="1">
      <alignment horizontal="center" vertical="center" wrapText="1"/>
    </xf>
    <xf numFmtId="0" fontId="9" fillId="0" borderId="2" xfId="5" applyFont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71" fontId="8" fillId="2" borderId="1" xfId="0" applyNumberFormat="1" applyFont="1" applyFill="1" applyBorder="1" applyAlignment="1">
      <alignment horizontal="center" vertical="center"/>
    </xf>
    <xf numFmtId="167" fontId="9" fillId="0" borderId="9" xfId="0" applyNumberFormat="1" applyFont="1" applyBorder="1" applyAlignment="1">
      <alignment horizontal="center" vertical="center" wrapText="1"/>
    </xf>
    <xf numFmtId="171" fontId="8" fillId="2" borderId="3" xfId="0" applyNumberFormat="1" applyFont="1" applyFill="1" applyBorder="1" applyAlignment="1">
      <alignment horizontal="center" vertical="center"/>
    </xf>
    <xf numFmtId="171" fontId="8" fillId="2" borderId="9" xfId="0" applyNumberFormat="1" applyFont="1" applyFill="1" applyBorder="1" applyAlignment="1">
      <alignment horizontal="center" vertical="center"/>
    </xf>
    <xf numFmtId="171" fontId="8" fillId="2" borderId="2" xfId="0" applyNumberFormat="1" applyFont="1" applyFill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 wrapText="1"/>
    </xf>
    <xf numFmtId="167" fontId="8" fillId="0" borderId="2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6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0" fontId="47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67" fontId="5" fillId="0" borderId="1" xfId="0" applyNumberFormat="1" applyFont="1" applyBorder="1" applyAlignment="1">
      <alignment horizontal="center" vertical="center" wrapText="1"/>
    </xf>
    <xf numFmtId="0" fontId="6" fillId="4" borderId="0" xfId="0" applyFont="1" applyFill="1" applyAlignment="1">
      <alignment horizontal="left"/>
    </xf>
    <xf numFmtId="0" fontId="6" fillId="4" borderId="8" xfId="0" applyFont="1" applyFill="1" applyBorder="1" applyAlignment="1">
      <alignment horizontal="left"/>
    </xf>
    <xf numFmtId="0" fontId="8" fillId="0" borderId="25" xfId="5" applyFont="1" applyBorder="1" applyAlignment="1">
      <alignment horizontal="left" vertical="top" wrapText="1"/>
    </xf>
    <xf numFmtId="0" fontId="8" fillId="0" borderId="10" xfId="5" applyFont="1" applyBorder="1" applyAlignment="1">
      <alignment horizontal="left" vertical="top" wrapText="1"/>
    </xf>
    <xf numFmtId="0" fontId="8" fillId="0" borderId="28" xfId="5" applyFont="1" applyBorder="1" applyAlignment="1">
      <alignment horizontal="left" vertical="top" wrapText="1"/>
    </xf>
    <xf numFmtId="167" fontId="9" fillId="2" borderId="3" xfId="0" applyNumberFormat="1" applyFont="1" applyFill="1" applyBorder="1" applyAlignment="1">
      <alignment horizontal="center" vertical="top" wrapText="1"/>
    </xf>
    <xf numFmtId="167" fontId="6" fillId="0" borderId="9" xfId="0" applyNumberFormat="1" applyFont="1" applyBorder="1" applyAlignment="1">
      <alignment horizontal="center" vertical="top" wrapText="1"/>
    </xf>
    <xf numFmtId="167" fontId="6" fillId="0" borderId="2" xfId="0" applyNumberFormat="1" applyFont="1" applyBorder="1" applyAlignment="1">
      <alignment horizontal="center" vertical="top" wrapText="1"/>
    </xf>
    <xf numFmtId="0" fontId="9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justify" vertical="center"/>
    </xf>
    <xf numFmtId="0" fontId="6" fillId="0" borderId="2" xfId="0" applyFont="1" applyBorder="1"/>
    <xf numFmtId="0" fontId="5" fillId="4" borderId="6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8" fillId="3" borderId="1" xfId="5" applyFont="1" applyFill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wrapText="1"/>
    </xf>
    <xf numFmtId="167" fontId="9" fillId="2" borderId="25" xfId="285" applyNumberFormat="1" applyFont="1" applyFill="1" applyBorder="1" applyAlignment="1">
      <alignment horizontal="center" vertical="center" wrapText="1"/>
    </xf>
    <xf numFmtId="167" fontId="9" fillId="2" borderId="28" xfId="285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17" fontId="6" fillId="2" borderId="3" xfId="0" applyNumberFormat="1" applyFont="1" applyFill="1" applyBorder="1" applyAlignment="1">
      <alignment horizontal="left" vertical="center" wrapText="1"/>
    </xf>
    <xf numFmtId="17" fontId="6" fillId="2" borderId="2" xfId="0" applyNumberFormat="1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49" fontId="9" fillId="2" borderId="25" xfId="0" applyNumberFormat="1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center" vertical="center"/>
    </xf>
    <xf numFmtId="49" fontId="9" fillId="2" borderId="28" xfId="0" applyNumberFormat="1" applyFont="1" applyFill="1" applyBorder="1" applyAlignment="1">
      <alignment horizontal="center" vertical="center"/>
    </xf>
    <xf numFmtId="172" fontId="9" fillId="2" borderId="3" xfId="0" applyNumberFormat="1" applyFont="1" applyFill="1" applyBorder="1" applyAlignment="1">
      <alignment horizontal="center" vertical="center"/>
    </xf>
    <xf numFmtId="172" fontId="9" fillId="2" borderId="2" xfId="0" applyNumberFormat="1" applyFont="1" applyFill="1" applyBorder="1" applyAlignment="1">
      <alignment horizontal="center" vertical="center"/>
    </xf>
    <xf numFmtId="172" fontId="9" fillId="2" borderId="1" xfId="173" applyNumberFormat="1" applyFont="1" applyFill="1" applyBorder="1" applyAlignment="1">
      <alignment horizontal="center" vertical="center" wrapText="1"/>
    </xf>
    <xf numFmtId="172" fontId="9" fillId="2" borderId="1" xfId="173" applyNumberFormat="1" applyFont="1" applyFill="1" applyBorder="1" applyAlignment="1">
      <alignment horizontal="center" vertical="center"/>
    </xf>
    <xf numFmtId="172" fontId="9" fillId="2" borderId="3" xfId="173" applyNumberFormat="1" applyFont="1" applyFill="1" applyBorder="1" applyAlignment="1">
      <alignment horizontal="center" vertical="center"/>
    </xf>
    <xf numFmtId="172" fontId="9" fillId="2" borderId="9" xfId="173" applyNumberFormat="1" applyFont="1" applyFill="1" applyBorder="1" applyAlignment="1">
      <alignment horizontal="center" vertical="center"/>
    </xf>
    <xf numFmtId="172" fontId="9" fillId="2" borderId="2" xfId="173" applyNumberFormat="1" applyFont="1" applyFill="1" applyBorder="1" applyAlignment="1">
      <alignment horizontal="center" vertical="center"/>
    </xf>
    <xf numFmtId="172" fontId="57" fillId="0" borderId="0" xfId="0" applyNumberFormat="1" applyFont="1" applyAlignment="1">
      <alignment horizontal="right" vertical="center" wrapText="1"/>
    </xf>
    <xf numFmtId="172" fontId="57" fillId="0" borderId="0" xfId="0" applyNumberFormat="1" applyFont="1" applyAlignment="1">
      <alignment horizontal="right" vertical="center"/>
    </xf>
    <xf numFmtId="172" fontId="9" fillId="2" borderId="3" xfId="173" applyNumberFormat="1" applyFont="1" applyFill="1" applyBorder="1" applyAlignment="1">
      <alignment horizontal="center" vertical="center" wrapText="1"/>
    </xf>
    <xf numFmtId="172" fontId="9" fillId="2" borderId="2" xfId="173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172" fontId="6" fillId="2" borderId="9" xfId="0" applyNumberFormat="1" applyFont="1" applyFill="1" applyBorder="1" applyAlignment="1">
      <alignment horizontal="left" vertical="center" wrapText="1"/>
    </xf>
    <xf numFmtId="170" fontId="5" fillId="2" borderId="3" xfId="0" applyNumberFormat="1" applyFont="1" applyFill="1" applyBorder="1" applyAlignment="1">
      <alignment horizontal="center" vertical="center"/>
    </xf>
    <xf numFmtId="170" fontId="5" fillId="2" borderId="2" xfId="0" applyNumberFormat="1" applyFont="1" applyFill="1" applyBorder="1" applyAlignment="1">
      <alignment horizontal="center" vertical="center"/>
    </xf>
    <xf numFmtId="172" fontId="5" fillId="4" borderId="5" xfId="0" applyNumberFormat="1" applyFont="1" applyFill="1" applyBorder="1" applyAlignment="1">
      <alignment horizontal="left" vertical="center"/>
    </xf>
    <xf numFmtId="172" fontId="5" fillId="4" borderId="6" xfId="0" applyNumberFormat="1" applyFont="1" applyFill="1" applyBorder="1" applyAlignment="1">
      <alignment horizontal="left" vertical="center"/>
    </xf>
    <xf numFmtId="172" fontId="5" fillId="4" borderId="7" xfId="0" applyNumberFormat="1" applyFont="1" applyFill="1" applyBorder="1" applyAlignment="1">
      <alignment horizontal="left" vertical="center"/>
    </xf>
    <xf numFmtId="167" fontId="6" fillId="2" borderId="3" xfId="0" applyNumberFormat="1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 vertical="center"/>
    </xf>
    <xf numFmtId="167" fontId="6" fillId="2" borderId="2" xfId="0" applyNumberFormat="1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 vertical="center" wrapText="1"/>
    </xf>
    <xf numFmtId="172" fontId="6" fillId="2" borderId="3" xfId="66" applyNumberFormat="1" applyFont="1" applyFill="1" applyBorder="1" applyAlignment="1">
      <alignment horizontal="center" vertical="center"/>
    </xf>
    <xf numFmtId="172" fontId="6" fillId="2" borderId="9" xfId="66" applyNumberFormat="1" applyFont="1" applyFill="1" applyBorder="1" applyAlignment="1">
      <alignment horizontal="center" vertical="center"/>
    </xf>
    <xf numFmtId="172" fontId="6" fillId="2" borderId="2" xfId="66" applyNumberFormat="1" applyFont="1" applyFill="1" applyBorder="1" applyAlignment="1">
      <alignment horizontal="center" vertical="center"/>
    </xf>
    <xf numFmtId="172" fontId="9" fillId="2" borderId="3" xfId="66" applyNumberFormat="1" applyFont="1" applyFill="1" applyBorder="1" applyAlignment="1">
      <alignment horizontal="center" vertical="center"/>
    </xf>
    <xf numFmtId="172" fontId="9" fillId="2" borderId="9" xfId="66" applyNumberFormat="1" applyFont="1" applyFill="1" applyBorder="1" applyAlignment="1">
      <alignment horizontal="center" vertical="center"/>
    </xf>
    <xf numFmtId="172" fontId="9" fillId="2" borderId="2" xfId="66" applyNumberFormat="1" applyFont="1" applyFill="1" applyBorder="1" applyAlignment="1">
      <alignment horizontal="center" vertical="center"/>
    </xf>
    <xf numFmtId="0" fontId="41" fillId="2" borderId="9" xfId="0" applyFont="1" applyFill="1" applyBorder="1" applyAlignment="1">
      <alignment horizontal="left" vertical="center" wrapText="1"/>
    </xf>
    <xf numFmtId="0" fontId="41" fillId="2" borderId="2" xfId="0" applyFont="1" applyFill="1" applyBorder="1" applyAlignment="1">
      <alignment horizontal="left" vertical="center" wrapText="1"/>
    </xf>
    <xf numFmtId="167" fontId="9" fillId="2" borderId="3" xfId="0" applyNumberFormat="1" applyFont="1" applyFill="1" applyBorder="1" applyAlignment="1">
      <alignment horizontal="center" vertical="center"/>
    </xf>
    <xf numFmtId="167" fontId="9" fillId="2" borderId="9" xfId="0" applyNumberFormat="1" applyFont="1" applyFill="1" applyBorder="1" applyAlignment="1">
      <alignment horizontal="center" vertical="center"/>
    </xf>
    <xf numFmtId="167" fontId="9" fillId="2" borderId="2" xfId="0" applyNumberFormat="1" applyFont="1" applyFill="1" applyBorder="1" applyAlignment="1">
      <alignment horizontal="center" vertical="center"/>
    </xf>
    <xf numFmtId="167" fontId="5" fillId="2" borderId="3" xfId="0" applyNumberFormat="1" applyFont="1" applyFill="1" applyBorder="1" applyAlignment="1">
      <alignment horizontal="center" vertical="center" wrapText="1"/>
    </xf>
    <xf numFmtId="167" fontId="5" fillId="2" borderId="9" xfId="0" applyNumberFormat="1" applyFont="1" applyFill="1" applyBorder="1" applyAlignment="1">
      <alignment horizontal="center" vertical="center" wrapText="1"/>
    </xf>
    <xf numFmtId="167" fontId="5" fillId="2" borderId="2" xfId="0" applyNumberFormat="1" applyFont="1" applyFill="1" applyBorder="1" applyAlignment="1">
      <alignment horizontal="center" vertical="center" wrapText="1"/>
    </xf>
    <xf numFmtId="167" fontId="9" fillId="2" borderId="1" xfId="0" applyNumberFormat="1" applyFont="1" applyFill="1" applyBorder="1" applyAlignment="1">
      <alignment horizontal="center" vertical="center" wrapText="1"/>
    </xf>
    <xf numFmtId="167" fontId="9" fillId="2" borderId="1" xfId="0" applyNumberFormat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49" fontId="9" fillId="2" borderId="3" xfId="0" applyNumberFormat="1" applyFont="1" applyFill="1" applyBorder="1" applyAlignment="1">
      <alignment horizontal="left" vertical="center" wrapText="1"/>
    </xf>
    <xf numFmtId="49" fontId="9" fillId="2" borderId="9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5" fillId="3" borderId="45" xfId="0" applyFont="1" applyFill="1" applyBorder="1" applyAlignment="1">
      <alignment horizontal="left" vertical="center" wrapText="1"/>
    </xf>
    <xf numFmtId="172" fontId="5" fillId="3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left" vertical="center" wrapText="1"/>
    </xf>
    <xf numFmtId="0" fontId="9" fillId="2" borderId="9" xfId="5" applyFont="1" applyFill="1" applyBorder="1" applyAlignment="1">
      <alignment horizontal="left" vertical="center" wrapText="1"/>
    </xf>
    <xf numFmtId="0" fontId="9" fillId="2" borderId="2" xfId="5" applyFont="1" applyFill="1" applyBorder="1" applyAlignment="1">
      <alignment horizontal="left" vertical="center" wrapText="1"/>
    </xf>
    <xf numFmtId="16" fontId="9" fillId="2" borderId="3" xfId="5" applyNumberFormat="1" applyFont="1" applyFill="1" applyBorder="1" applyAlignment="1">
      <alignment horizontal="left" vertical="center" wrapText="1"/>
    </xf>
    <xf numFmtId="16" fontId="9" fillId="2" borderId="2" xfId="5" applyNumberFormat="1" applyFont="1" applyFill="1" applyBorder="1" applyAlignment="1">
      <alignment horizontal="left" vertical="center" wrapText="1"/>
    </xf>
    <xf numFmtId="49" fontId="8" fillId="2" borderId="5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2" fontId="5" fillId="2" borderId="3" xfId="2" applyNumberFormat="1" applyFont="1" applyFill="1" applyBorder="1" applyAlignment="1">
      <alignment horizontal="center" vertical="center" wrapText="1"/>
    </xf>
    <xf numFmtId="2" fontId="5" fillId="2" borderId="2" xfId="2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171" fontId="5" fillId="2" borderId="5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167" fontId="8" fillId="2" borderId="1" xfId="0" applyNumberFormat="1" applyFont="1" applyFill="1" applyBorder="1" applyAlignment="1">
      <alignment horizontal="center" vertical="center" wrapText="1"/>
    </xf>
    <xf numFmtId="167" fontId="8" fillId="2" borderId="1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167" fontId="9" fillId="2" borderId="1" xfId="0" applyNumberFormat="1" applyFont="1" applyFill="1" applyBorder="1" applyAlignment="1">
      <alignment vertical="center" wrapText="1"/>
    </xf>
    <xf numFmtId="167" fontId="9" fillId="2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167" fontId="9" fillId="2" borderId="7" xfId="0" applyNumberFormat="1" applyFont="1" applyFill="1" applyBorder="1" applyAlignment="1">
      <alignment horizontal="center" vertical="center" wrapText="1"/>
    </xf>
    <xf numFmtId="167" fontId="9" fillId="2" borderId="5" xfId="0" applyNumberFormat="1" applyFont="1" applyFill="1" applyBorder="1" applyAlignment="1">
      <alignment horizontal="center" vertical="center" wrapText="1"/>
    </xf>
    <xf numFmtId="167" fontId="9" fillId="2" borderId="1" xfId="4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170" fontId="8" fillId="2" borderId="1" xfId="0" applyNumberFormat="1" applyFont="1" applyFill="1" applyBorder="1" applyAlignment="1">
      <alignment horizontal="center" vertical="center"/>
    </xf>
    <xf numFmtId="171" fontId="9" fillId="2" borderId="1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8" fontId="9" fillId="2" borderId="1" xfId="0" applyNumberFormat="1" applyFont="1" applyFill="1" applyBorder="1" applyAlignment="1">
      <alignment horizontal="center" vertical="center" wrapText="1"/>
    </xf>
    <xf numFmtId="167" fontId="9" fillId="2" borderId="1" xfId="24" applyNumberFormat="1" applyFont="1" applyFill="1" applyBorder="1" applyAlignment="1">
      <alignment horizontal="center" vertical="center"/>
    </xf>
    <xf numFmtId="0" fontId="9" fillId="2" borderId="1" xfId="5" applyFont="1" applyFill="1" applyBorder="1" applyAlignment="1">
      <alignment horizontal="left" vertical="center" wrapText="1"/>
    </xf>
    <xf numFmtId="167" fontId="6" fillId="0" borderId="3" xfId="32" applyNumberFormat="1" applyFont="1" applyFill="1" applyBorder="1" applyAlignment="1">
      <alignment horizontal="center" vertical="center" wrapText="1"/>
    </xf>
    <xf numFmtId="167" fontId="6" fillId="0" borderId="9" xfId="32" applyNumberFormat="1" applyFont="1" applyFill="1" applyBorder="1" applyAlignment="1">
      <alignment horizontal="center" vertical="center" wrapText="1"/>
    </xf>
    <xf numFmtId="167" fontId="6" fillId="0" borderId="2" xfId="32" applyNumberFormat="1" applyFont="1" applyFill="1" applyBorder="1" applyAlignment="1">
      <alignment horizontal="center" vertical="center" wrapText="1"/>
    </xf>
    <xf numFmtId="167" fontId="5" fillId="0" borderId="3" xfId="32" applyNumberFormat="1" applyFont="1" applyFill="1" applyBorder="1" applyAlignment="1">
      <alignment horizontal="center" vertical="center" wrapText="1"/>
    </xf>
    <xf numFmtId="167" fontId="5" fillId="0" borderId="2" xfId="32" applyNumberFormat="1" applyFont="1" applyFill="1" applyBorder="1" applyAlignment="1">
      <alignment horizontal="center" vertical="center" wrapText="1"/>
    </xf>
    <xf numFmtId="167" fontId="8" fillId="0" borderId="3" xfId="32" applyNumberFormat="1" applyFont="1" applyFill="1" applyBorder="1" applyAlignment="1">
      <alignment horizontal="center" vertical="center" wrapText="1"/>
    </xf>
    <xf numFmtId="167" fontId="8" fillId="0" borderId="2" xfId="32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center" wrapText="1"/>
    </xf>
    <xf numFmtId="167" fontId="6" fillId="29" borderId="34" xfId="0" applyNumberFormat="1" applyFont="1" applyFill="1" applyBorder="1" applyAlignment="1">
      <alignment horizontal="center" vertical="center" wrapText="1"/>
    </xf>
    <xf numFmtId="167" fontId="9" fillId="2" borderId="37" xfId="0" applyNumberFormat="1" applyFont="1" applyFill="1" applyBorder="1"/>
    <xf numFmtId="167" fontId="9" fillId="2" borderId="35" xfId="0" applyNumberFormat="1" applyFont="1" applyFill="1" applyBorder="1"/>
    <xf numFmtId="167" fontId="6" fillId="30" borderId="34" xfId="0" applyNumberFormat="1" applyFont="1" applyFill="1" applyBorder="1" applyAlignment="1">
      <alignment horizontal="center" vertical="center" wrapText="1"/>
    </xf>
    <xf numFmtId="167" fontId="6" fillId="2" borderId="3" xfId="32" applyNumberFormat="1" applyFont="1" applyFill="1" applyBorder="1" applyAlignment="1">
      <alignment horizontal="center" vertical="center" wrapText="1"/>
    </xf>
    <xf numFmtId="167" fontId="6" fillId="2" borderId="2" xfId="32" applyNumberFormat="1" applyFont="1" applyFill="1" applyBorder="1" applyAlignment="1">
      <alignment horizontal="center" vertical="center" wrapText="1"/>
    </xf>
    <xf numFmtId="167" fontId="9" fillId="0" borderId="3" xfId="32" applyNumberFormat="1" applyFont="1" applyFill="1" applyBorder="1" applyAlignment="1">
      <alignment horizontal="center" vertical="center" wrapText="1"/>
    </xf>
    <xf numFmtId="167" fontId="9" fillId="0" borderId="9" xfId="32" applyNumberFormat="1" applyFont="1" applyFill="1" applyBorder="1" applyAlignment="1">
      <alignment horizontal="center" vertical="center" wrapText="1"/>
    </xf>
    <xf numFmtId="167" fontId="9" fillId="0" borderId="2" xfId="32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left" vertical="center" wrapText="1"/>
    </xf>
    <xf numFmtId="0" fontId="8" fillId="4" borderId="27" xfId="0" applyFont="1" applyFill="1" applyBorder="1" applyAlignment="1">
      <alignment horizontal="left" vertical="center" wrapText="1"/>
    </xf>
    <xf numFmtId="49" fontId="6" fillId="2" borderId="9" xfId="1" applyNumberFormat="1" applyFont="1" applyFill="1" applyBorder="1" applyAlignment="1">
      <alignment horizontal="center" vertical="center" wrapText="1"/>
    </xf>
    <xf numFmtId="49" fontId="5" fillId="2" borderId="9" xfId="1" applyNumberFormat="1" applyFont="1" applyFill="1" applyBorder="1" applyAlignment="1">
      <alignment horizontal="center" vertical="center" wrapText="1"/>
    </xf>
    <xf numFmtId="0" fontId="6" fillId="2" borderId="47" xfId="1" applyFont="1" applyFill="1" applyBorder="1" applyAlignment="1">
      <alignment horizontal="left" vertical="center" wrapText="1"/>
    </xf>
    <xf numFmtId="0" fontId="6" fillId="2" borderId="49" xfId="1" applyFont="1" applyFill="1" applyBorder="1" applyAlignment="1">
      <alignment horizontal="left" vertical="center" wrapText="1"/>
    </xf>
    <xf numFmtId="0" fontId="6" fillId="2" borderId="48" xfId="1" applyFont="1" applyFill="1" applyBorder="1" applyAlignment="1">
      <alignment horizontal="left" vertical="center" wrapText="1"/>
    </xf>
    <xf numFmtId="167" fontId="6" fillId="2" borderId="34" xfId="0" applyNumberFormat="1" applyFont="1" applyFill="1" applyBorder="1" applyAlignment="1">
      <alignment horizontal="center" vertical="center"/>
    </xf>
    <xf numFmtId="167" fontId="6" fillId="2" borderId="34" xfId="0" applyNumberFormat="1" applyFont="1" applyFill="1" applyBorder="1" applyAlignment="1">
      <alignment horizontal="center" vertical="center" wrapText="1"/>
    </xf>
    <xf numFmtId="167" fontId="9" fillId="2" borderId="35" xfId="0" applyNumberFormat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51" xfId="1" applyFont="1" applyFill="1" applyBorder="1" applyAlignment="1">
      <alignment horizontal="center" vertical="center" wrapText="1"/>
    </xf>
    <xf numFmtId="0" fontId="6" fillId="2" borderId="44" xfId="1" applyFont="1" applyFill="1" applyBorder="1" applyAlignment="1">
      <alignment horizontal="center" vertical="center" wrapText="1"/>
    </xf>
    <xf numFmtId="0" fontId="56" fillId="29" borderId="34" xfId="0" applyFont="1" applyFill="1" applyBorder="1" applyAlignment="1">
      <alignment horizontal="left" vertical="center" wrapText="1"/>
    </xf>
    <xf numFmtId="0" fontId="9" fillId="2" borderId="37" xfId="0" applyFont="1" applyFill="1" applyBorder="1"/>
    <xf numFmtId="0" fontId="56" fillId="29" borderId="34" xfId="0" applyFont="1" applyFill="1" applyBorder="1" applyAlignment="1">
      <alignment horizontal="center" vertical="center" wrapText="1"/>
    </xf>
    <xf numFmtId="0" fontId="9" fillId="2" borderId="35" xfId="0" applyFont="1" applyFill="1" applyBorder="1"/>
    <xf numFmtId="167" fontId="6" fillId="0" borderId="3" xfId="0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56" fillId="29" borderId="1" xfId="0" applyNumberFormat="1" applyFont="1" applyFill="1" applyBorder="1" applyAlignment="1">
      <alignment horizontal="center" vertical="center" wrapText="1"/>
    </xf>
    <xf numFmtId="167" fontId="5" fillId="31" borderId="37" xfId="0" applyNumberFormat="1" applyFont="1" applyFill="1" applyBorder="1" applyAlignment="1">
      <alignment horizontal="center" vertical="center" wrapText="1"/>
    </xf>
    <xf numFmtId="167" fontId="56" fillId="30" borderId="1" xfId="0" applyNumberFormat="1" applyFont="1" applyFill="1" applyBorder="1" applyAlignment="1">
      <alignment horizontal="center" vertical="center" wrapText="1"/>
    </xf>
    <xf numFmtId="0" fontId="5" fillId="2" borderId="47" xfId="1" applyFont="1" applyFill="1" applyBorder="1" applyAlignment="1">
      <alignment horizontal="left" vertical="center" wrapText="1"/>
    </xf>
    <xf numFmtId="0" fontId="5" fillId="2" borderId="48" xfId="1" applyFont="1" applyFill="1" applyBorder="1" applyAlignment="1">
      <alignment horizontal="left" vertical="center" wrapText="1"/>
    </xf>
    <xf numFmtId="167" fontId="56" fillId="29" borderId="39" xfId="0" applyNumberFormat="1" applyFont="1" applyFill="1" applyBorder="1" applyAlignment="1">
      <alignment horizontal="center" vertical="center" wrapText="1"/>
    </xf>
    <xf numFmtId="167" fontId="9" fillId="2" borderId="31" xfId="0" applyNumberFormat="1" applyFont="1" applyFill="1" applyBorder="1"/>
    <xf numFmtId="167" fontId="9" fillId="2" borderId="40" xfId="0" applyNumberFormat="1" applyFont="1" applyFill="1" applyBorder="1"/>
    <xf numFmtId="167" fontId="56" fillId="30" borderId="39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/>
    <xf numFmtId="167" fontId="9" fillId="2" borderId="1" xfId="0" applyNumberFormat="1" applyFont="1" applyFill="1" applyBorder="1"/>
    <xf numFmtId="0" fontId="9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8" fillId="4" borderId="33" xfId="0" applyFont="1" applyFill="1" applyBorder="1" applyAlignment="1">
      <alignment horizontal="left" vertical="center" wrapText="1"/>
    </xf>
    <xf numFmtId="167" fontId="56" fillId="29" borderId="34" xfId="0" applyNumberFormat="1" applyFont="1" applyFill="1" applyBorder="1" applyAlignment="1">
      <alignment horizontal="center" vertical="center" wrapText="1"/>
    </xf>
    <xf numFmtId="167" fontId="56" fillId="29" borderId="37" xfId="0" applyNumberFormat="1" applyFont="1" applyFill="1" applyBorder="1" applyAlignment="1">
      <alignment horizontal="center" vertical="center" wrapText="1"/>
    </xf>
    <xf numFmtId="167" fontId="6" fillId="2" borderId="37" xfId="0" applyNumberFormat="1" applyFont="1" applyFill="1" applyBorder="1" applyAlignment="1">
      <alignment horizontal="center" vertical="center" wrapText="1"/>
    </xf>
    <xf numFmtId="167" fontId="9" fillId="2" borderId="37" xfId="0" applyNumberFormat="1" applyFont="1" applyFill="1" applyBorder="1" applyAlignment="1">
      <alignment horizontal="center"/>
    </xf>
    <xf numFmtId="167" fontId="6" fillId="30" borderId="34" xfId="0" applyNumberFormat="1" applyFont="1" applyFill="1" applyBorder="1" applyAlignment="1">
      <alignment horizontal="center" vertical="center"/>
    </xf>
    <xf numFmtId="167" fontId="6" fillId="30" borderId="37" xfId="0" applyNumberFormat="1" applyFont="1" applyFill="1" applyBorder="1" applyAlignment="1">
      <alignment horizontal="center" vertical="center" wrapText="1"/>
    </xf>
    <xf numFmtId="172" fontId="58" fillId="0" borderId="0" xfId="0" applyNumberFormat="1" applyFont="1" applyAlignment="1">
      <alignment horizont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167" fontId="8" fillId="2" borderId="3" xfId="0" applyNumberFormat="1" applyFont="1" applyFill="1" applyBorder="1" applyAlignment="1">
      <alignment horizontal="center" vertical="center" wrapText="1"/>
    </xf>
    <xf numFmtId="167" fontId="8" fillId="2" borderId="9" xfId="0" applyNumberFormat="1" applyFont="1" applyFill="1" applyBorder="1" applyAlignment="1">
      <alignment horizontal="center" vertical="center" wrapText="1"/>
    </xf>
    <xf numFmtId="167" fontId="8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172" fontId="6" fillId="2" borderId="3" xfId="5" applyNumberFormat="1" applyFont="1" applyFill="1" applyBorder="1" applyAlignment="1">
      <alignment horizontal="left" vertical="center" wrapText="1"/>
    </xf>
    <xf numFmtId="172" fontId="6" fillId="2" borderId="9" xfId="5" applyNumberFormat="1" applyFont="1" applyFill="1" applyBorder="1" applyAlignment="1">
      <alignment horizontal="left" vertical="center" wrapText="1"/>
    </xf>
    <xf numFmtId="172" fontId="6" fillId="2" borderId="2" xfId="5" applyNumberFormat="1" applyFont="1" applyFill="1" applyBorder="1" applyAlignment="1">
      <alignment horizontal="left" vertical="center" wrapText="1"/>
    </xf>
    <xf numFmtId="172" fontId="6" fillId="2" borderId="1" xfId="0" applyNumberFormat="1" applyFont="1" applyFill="1" applyBorder="1" applyAlignment="1">
      <alignment horizontal="center" vertical="center"/>
    </xf>
    <xf numFmtId="172" fontId="6" fillId="2" borderId="1" xfId="66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172" fontId="6" fillId="2" borderId="5" xfId="0" applyNumberFormat="1" applyFont="1" applyFill="1" applyBorder="1" applyAlignment="1">
      <alignment horizontal="center" vertical="center" wrapText="1"/>
    </xf>
    <xf numFmtId="172" fontId="6" fillId="2" borderId="6" xfId="0" applyNumberFormat="1" applyFont="1" applyFill="1" applyBorder="1" applyAlignment="1">
      <alignment horizontal="center" vertical="center" wrapText="1"/>
    </xf>
    <xf numFmtId="172" fontId="6" fillId="2" borderId="7" xfId="0" applyNumberFormat="1" applyFont="1" applyFill="1" applyBorder="1" applyAlignment="1">
      <alignment horizontal="center" vertical="center" wrapText="1"/>
    </xf>
    <xf numFmtId="172" fontId="6" fillId="2" borderId="1" xfId="0" applyNumberFormat="1" applyFont="1" applyFill="1" applyBorder="1" applyAlignment="1">
      <alignment horizontal="center" wrapText="1"/>
    </xf>
    <xf numFmtId="172" fontId="9" fillId="2" borderId="3" xfId="66" applyNumberFormat="1" applyFont="1" applyFill="1" applyBorder="1" applyAlignment="1">
      <alignment horizontal="center" vertical="center" wrapText="1"/>
    </xf>
    <xf numFmtId="172" fontId="9" fillId="2" borderId="9" xfId="66" applyNumberFormat="1" applyFont="1" applyFill="1" applyBorder="1" applyAlignment="1">
      <alignment horizontal="center" vertical="center" wrapText="1"/>
    </xf>
    <xf numFmtId="172" fontId="9" fillId="2" borderId="2" xfId="66" applyNumberFormat="1" applyFont="1" applyFill="1" applyBorder="1" applyAlignment="1">
      <alignment horizontal="center" vertical="center" wrapText="1"/>
    </xf>
  </cellXfs>
  <cellStyles count="366">
    <cellStyle name="20% - Accent1" xfId="88"/>
    <cellStyle name="20% - Accent2" xfId="89"/>
    <cellStyle name="20% - Accent3" xfId="90"/>
    <cellStyle name="20% - Accent4" xfId="91"/>
    <cellStyle name="20% - Accent5" xfId="92"/>
    <cellStyle name="20% - Accent6" xfId="93"/>
    <cellStyle name="40% - Accent1" xfId="94"/>
    <cellStyle name="40% - Accent2" xfId="95"/>
    <cellStyle name="40% - Accent3" xfId="96"/>
    <cellStyle name="40% - Accent4" xfId="97"/>
    <cellStyle name="40% - Accent5" xfId="98"/>
    <cellStyle name="40% - Accent6" xfId="99"/>
    <cellStyle name="60% - Accent1" xfId="100"/>
    <cellStyle name="60% - Accent2" xfId="101"/>
    <cellStyle name="60% - Accent3" xfId="102"/>
    <cellStyle name="60% - Accent4" xfId="103"/>
    <cellStyle name="60% - Accent5" xfId="104"/>
    <cellStyle name="60% - Accent6" xfId="105"/>
    <cellStyle name="Accent1" xfId="106"/>
    <cellStyle name="Accent2" xfId="107"/>
    <cellStyle name="Accent3" xfId="108"/>
    <cellStyle name="Accent4" xfId="109"/>
    <cellStyle name="Accent5" xfId="110"/>
    <cellStyle name="Accent6" xfId="111"/>
    <cellStyle name="Bad" xfId="112"/>
    <cellStyle name="Calculation" xfId="113"/>
    <cellStyle name="Calculation 2" xfId="178"/>
    <cellStyle name="Calculation 2 2" xfId="347"/>
    <cellStyle name="Calculation 2 3" xfId="353"/>
    <cellStyle name="Calculation 2 4" xfId="342"/>
    <cellStyle name="Calculation 2 5" xfId="318"/>
    <cellStyle name="Calculation 3" xfId="327"/>
    <cellStyle name="Calculation 4" xfId="345"/>
    <cellStyle name="Calculation 5" xfId="334"/>
    <cellStyle name="Calculation 6" xfId="362"/>
    <cellStyle name="Check Cell" xfId="114"/>
    <cellStyle name="Excel Built-in Normal" xfId="27"/>
    <cellStyle name="Explanatory Text" xfId="115"/>
    <cellStyle name="Good" xfId="116"/>
    <cellStyle name="Heading 1" xfId="117"/>
    <cellStyle name="Heading 2" xfId="118"/>
    <cellStyle name="Heading 3" xfId="119"/>
    <cellStyle name="Heading 4" xfId="120"/>
    <cellStyle name="Input" xfId="121"/>
    <cellStyle name="Input 2" xfId="179"/>
    <cellStyle name="Input 2 2" xfId="348"/>
    <cellStyle name="Input 2 3" xfId="355"/>
    <cellStyle name="Input 2 4" xfId="340"/>
    <cellStyle name="Input 2 5" xfId="323"/>
    <cellStyle name="Input 3" xfId="329"/>
    <cellStyle name="Input 4" xfId="317"/>
    <cellStyle name="Input 5" xfId="325"/>
    <cellStyle name="Input 6" xfId="361"/>
    <cellStyle name="Linked Cell" xfId="122"/>
    <cellStyle name="Neutral" xfId="123"/>
    <cellStyle name="Normal 4" xfId="17"/>
    <cellStyle name="Normal_Sheet1" xfId="18"/>
    <cellStyle name="Note" xfId="124"/>
    <cellStyle name="Note 2" xfId="180"/>
    <cellStyle name="Note 2 2" xfId="349"/>
    <cellStyle name="Note 2 3" xfId="346"/>
    <cellStyle name="Note 2 4" xfId="356"/>
    <cellStyle name="Note 2 5" xfId="339"/>
    <cellStyle name="Note 3" xfId="330"/>
    <cellStyle name="Note 4" xfId="336"/>
    <cellStyle name="Note 5" xfId="320"/>
    <cellStyle name="Note 6" xfId="344"/>
    <cellStyle name="Output" xfId="125"/>
    <cellStyle name="Output 2" xfId="181"/>
    <cellStyle name="Output 2 2" xfId="350"/>
    <cellStyle name="Output 2 3" xfId="338"/>
    <cellStyle name="Output 2 4" xfId="322"/>
    <cellStyle name="Output 2 5" xfId="328"/>
    <cellStyle name="Output 3" xfId="331"/>
    <cellStyle name="Output 4" xfId="352"/>
    <cellStyle name="Output 5" xfId="319"/>
    <cellStyle name="Output 6" xfId="354"/>
    <cellStyle name="Title" xfId="126"/>
    <cellStyle name="Total" xfId="127"/>
    <cellStyle name="Total 2" xfId="182"/>
    <cellStyle name="Total 2 2" xfId="351"/>
    <cellStyle name="Total 2 3" xfId="332"/>
    <cellStyle name="Total 2 4" xfId="343"/>
    <cellStyle name="Total 2 5" xfId="321"/>
    <cellStyle name="Total 3" xfId="333"/>
    <cellStyle name="Total 4" xfId="337"/>
    <cellStyle name="Total 5" xfId="335"/>
    <cellStyle name="Total 6" xfId="326"/>
    <cellStyle name="Warning Text" xfId="128"/>
    <cellStyle name="Денежный 2" xfId="8"/>
    <cellStyle name="Денежный 2 2" xfId="41"/>
    <cellStyle name="Обычный" xfId="0" builtinId="0"/>
    <cellStyle name="Обычный 10" xfId="29"/>
    <cellStyle name="Обычный 10 2" xfId="176"/>
    <cellStyle name="Обычный 10 3" xfId="252"/>
    <cellStyle name="Обычный 11" xfId="28"/>
    <cellStyle name="Обычный 11 2" xfId="277"/>
    <cellStyle name="Обычный 11 3" xfId="262"/>
    <cellStyle name="Обычный 12" xfId="34"/>
    <cellStyle name="Обычный 12 2" xfId="283"/>
    <cellStyle name="Обычный 12 3" xfId="264"/>
    <cellStyle name="Обычный 13" xfId="184"/>
    <cellStyle name="Обычный 13 2" xfId="276"/>
    <cellStyle name="Обычный 14" xfId="186"/>
    <cellStyle name="Обычный 14 2" xfId="286"/>
    <cellStyle name="Обычный 15" xfId="33"/>
    <cellStyle name="Обычный 15 2" xfId="183"/>
    <cellStyle name="Обычный 15 2 2" xfId="282"/>
    <cellStyle name="Обычный 15 3" xfId="287"/>
    <cellStyle name="Обычный 15 4" xfId="263"/>
    <cellStyle name="Обычный 16" xfId="255"/>
    <cellStyle name="Обычный 18" xfId="288"/>
    <cellStyle name="Обычный 19" xfId="289"/>
    <cellStyle name="Обычный 2" xfId="3"/>
    <cellStyle name="Обычный 2 2" xfId="5"/>
    <cellStyle name="Обычный 2 2 2" xfId="25"/>
    <cellStyle name="Обычный 2 2 2 2" xfId="130"/>
    <cellStyle name="Обычный 2 2 2 2 2" xfId="194"/>
    <cellStyle name="Обычный 2 2 2 3" xfId="198"/>
    <cellStyle name="Обычный 2 2 2 4" xfId="190"/>
    <cellStyle name="Обычный 2 2 3" xfId="172"/>
    <cellStyle name="Обычный 2 2 3 2" xfId="191"/>
    <cellStyle name="Обычный 2 2 4" xfId="43"/>
    <cellStyle name="Обычный 2 2 4 2" xfId="195"/>
    <cellStyle name="Обычный 2 2 5" xfId="187"/>
    <cellStyle name="Обычный 2 3" xfId="44"/>
    <cellStyle name="Обычный 2 4" xfId="129"/>
    <cellStyle name="Обычный 2 5" xfId="251"/>
    <cellStyle name="Обычный 2 5 2" xfId="291"/>
    <cellStyle name="Обычный 2 5 3" xfId="290"/>
    <cellStyle name="Обычный 2 6" xfId="256"/>
    <cellStyle name="Обычный 2_09.04.2014_Programme budget 2014_Education_Modified" xfId="30"/>
    <cellStyle name="Обычный 2_Бюджетный циркуляр 2015г.Нацстат" xfId="365"/>
    <cellStyle name="Обычный 20" xfId="292"/>
    <cellStyle name="Обычный 3" xfId="6"/>
    <cellStyle name="Обычный 3 2" xfId="45"/>
    <cellStyle name="Обычный 3 3" xfId="46"/>
    <cellStyle name="Обычный 3 3 2" xfId="47"/>
    <cellStyle name="Обычный 3 3 2 2" xfId="37"/>
    <cellStyle name="Обычный 3 3 2 2 2" xfId="70"/>
    <cellStyle name="Обычный 3 3 2 2 2 2" xfId="225"/>
    <cellStyle name="Обычный 3 3 2 2 3" xfId="134"/>
    <cellStyle name="Обычный 3 3 2 2 4" xfId="203"/>
    <cellStyle name="Обычный 3 3 2 3" xfId="69"/>
    <cellStyle name="Обычный 3 3 2 3 2" xfId="224"/>
    <cellStyle name="Обычный 3 3 2 4" xfId="133"/>
    <cellStyle name="Обычный 3 3 2 5" xfId="205"/>
    <cellStyle name="Обычный 3 3 2_09.04.2014_Programme budget 2014_Education_Modified" xfId="135"/>
    <cellStyle name="Обычный 3 3 3" xfId="48"/>
    <cellStyle name="Обычный 3 3 3 2" xfId="71"/>
    <cellStyle name="Обычный 3 3 3 2 2" xfId="226"/>
    <cellStyle name="Обычный 3 3 3 3" xfId="136"/>
    <cellStyle name="Обычный 3 3 3 4" xfId="206"/>
    <cellStyle name="Обычный 3 3 4" xfId="68"/>
    <cellStyle name="Обычный 3 3 4 2" xfId="223"/>
    <cellStyle name="Обычный 3 3 5" xfId="132"/>
    <cellStyle name="Обычный 3 3 6" xfId="204"/>
    <cellStyle name="Обычный 3 3_09.04.2014_Programme budget 2014_Education_Modified" xfId="137"/>
    <cellStyle name="Обычный 3 4" xfId="49"/>
    <cellStyle name="Обычный 3 4 2" xfId="50"/>
    <cellStyle name="Обычный 3 4 2 2" xfId="73"/>
    <cellStyle name="Обычный 3 4 2 2 2" xfId="228"/>
    <cellStyle name="Обычный 3 4 2 3" xfId="139"/>
    <cellStyle name="Обычный 3 4 2 4" xfId="208"/>
    <cellStyle name="Обычный 3 4 3" xfId="72"/>
    <cellStyle name="Обычный 3 4 3 2" xfId="227"/>
    <cellStyle name="Обычный 3 4 4" xfId="138"/>
    <cellStyle name="Обычный 3 4 5" xfId="207"/>
    <cellStyle name="Обычный 3 4_09.04.2014_Programme budget 2014_Education_Modified" xfId="140"/>
    <cellStyle name="Обычный 3 5" xfId="51"/>
    <cellStyle name="Обычный 3 5 2" xfId="74"/>
    <cellStyle name="Обычный 3 5 2 2" xfId="229"/>
    <cellStyle name="Обычный 3 5 3" xfId="141"/>
    <cellStyle name="Обычный 3 5 4" xfId="209"/>
    <cellStyle name="Обычный 3 6" xfId="67"/>
    <cellStyle name="Обычный 3 6 2" xfId="222"/>
    <cellStyle name="Обычный 3 7" xfId="131"/>
    <cellStyle name="Обычный 3_09.04.2014_Programme budget 2014_Education_Modified" xfId="142"/>
    <cellStyle name="Обычный 4" xfId="1"/>
    <cellStyle name="Обычный 4 10" xfId="278"/>
    <cellStyle name="Обычный 4 2" xfId="19"/>
    <cellStyle name="Обычный 4 2 2" xfId="54"/>
    <cellStyle name="Обычный 4 2 2 2" xfId="77"/>
    <cellStyle name="Обычный 4 2 2 2 2" xfId="232"/>
    <cellStyle name="Обычный 4 2 2 3" xfId="145"/>
    <cellStyle name="Обычный 4 2 2 4" xfId="212"/>
    <cellStyle name="Обычный 4 2 3" xfId="76"/>
    <cellStyle name="Обычный 4 2 3 2" xfId="231"/>
    <cellStyle name="Обычный 4 2 4" xfId="144"/>
    <cellStyle name="Обычный 4 2 5" xfId="170"/>
    <cellStyle name="Обычный 4 2 6" xfId="53"/>
    <cellStyle name="Обычный 4 2 6 2" xfId="265"/>
    <cellStyle name="Обычный 4 2 7" xfId="211"/>
    <cellStyle name="Обычный 4 2_09.04.2014_Programme budget 2014_Education_Modified" xfId="146"/>
    <cellStyle name="Обычный 4 3" xfId="55"/>
    <cellStyle name="Обычный 4 3 2" xfId="78"/>
    <cellStyle name="Обычный 4 3 2 2" xfId="233"/>
    <cellStyle name="Обычный 4 3 3" xfId="147"/>
    <cellStyle name="Обычный 4 3 4" xfId="213"/>
    <cellStyle name="Обычный 4 4" xfId="75"/>
    <cellStyle name="Обычный 4 4 2" xfId="230"/>
    <cellStyle name="Обычный 4 5" xfId="52"/>
    <cellStyle name="Обычный 4 5 2" xfId="210"/>
    <cellStyle name="Обычный 4 6" xfId="143"/>
    <cellStyle name="Обычный 4 7" xfId="293"/>
    <cellStyle name="Обычный 4 8" xfId="274"/>
    <cellStyle name="Обычный 4_09.04.2014_Programme budget 2014_Education_Modified" xfId="148"/>
    <cellStyle name="Обычный 5" xfId="9"/>
    <cellStyle name="Обычный 5 2" xfId="20"/>
    <cellStyle name="Обычный 5 3" xfId="149"/>
    <cellStyle name="Обычный 5 4" xfId="168"/>
    <cellStyle name="Обычный 5 5" xfId="38"/>
    <cellStyle name="Обычный 5 6" xfId="358"/>
    <cellStyle name="Обычный 6" xfId="16"/>
    <cellStyle name="Обычный 6 2" xfId="57"/>
    <cellStyle name="Обычный 6 2 2" xfId="58"/>
    <cellStyle name="Обычный 6 2 2 2" xfId="81"/>
    <cellStyle name="Обычный 6 2 2 2 2" xfId="236"/>
    <cellStyle name="Обычный 6 2 2 3" xfId="152"/>
    <cellStyle name="Обычный 6 2 2 4" xfId="216"/>
    <cellStyle name="Обычный 6 2 3" xfId="80"/>
    <cellStyle name="Обычный 6 2 3 2" xfId="235"/>
    <cellStyle name="Обычный 6 2 4" xfId="151"/>
    <cellStyle name="Обычный 6 2 5" xfId="215"/>
    <cellStyle name="Обычный 6 2_09.04.2014_Programme budget 2014_Education_Modified" xfId="153"/>
    <cellStyle name="Обычный 6 3" xfId="59"/>
    <cellStyle name="Обычный 6 3 2" xfId="82"/>
    <cellStyle name="Обычный 6 3 2 2" xfId="237"/>
    <cellStyle name="Обычный 6 3 3" xfId="154"/>
    <cellStyle name="Обычный 6 3 4" xfId="217"/>
    <cellStyle name="Обычный 6 4" xfId="79"/>
    <cellStyle name="Обычный 6 4 2" xfId="234"/>
    <cellStyle name="Обычный 6 5" xfId="56"/>
    <cellStyle name="Обычный 6 5 2" xfId="214"/>
    <cellStyle name="Обычный 6 6" xfId="150"/>
    <cellStyle name="Обычный 6_09.04.2014_Programme budget 2014_Education_Modified" xfId="155"/>
    <cellStyle name="Обычный 7" xfId="14"/>
    <cellStyle name="Обычный 7 2" xfId="162"/>
    <cellStyle name="Обычный 7 2 2" xfId="250"/>
    <cellStyle name="Обычный 7 3" xfId="31"/>
    <cellStyle name="Обычный 8" xfId="13"/>
    <cellStyle name="Обычный 8 2" xfId="163"/>
    <cellStyle name="Обычный 8 2 2" xfId="192"/>
    <cellStyle name="Обычный 8 3" xfId="196"/>
    <cellStyle name="Обычный 8 4" xfId="188"/>
    <cellStyle name="Обычный 9" xfId="12"/>
    <cellStyle name="Обычный 9 2" xfId="166"/>
    <cellStyle name="Обычный 9 3" xfId="199"/>
    <cellStyle name="Обычный 9 4" xfId="258"/>
    <cellStyle name="Процентный" xfId="363" builtinId="5"/>
    <cellStyle name="Процентный 2" xfId="2"/>
    <cellStyle name="Процентный 2 2" xfId="21"/>
    <cellStyle name="Процентный 2 3" xfId="60"/>
    <cellStyle name="Процентный 2 4" xfId="164"/>
    <cellStyle name="Процентный 2 4 2" xfId="247"/>
    <cellStyle name="Процентный 2 5" xfId="357"/>
    <cellStyle name="Процентный 3" xfId="10"/>
    <cellStyle name="Процентный 3 2" xfId="22"/>
    <cellStyle name="Процентный 3 2 2" xfId="259"/>
    <cellStyle name="Процентный 4" xfId="42"/>
    <cellStyle name="Процентный 4 2" xfId="294"/>
    <cellStyle name="Процентный 5" xfId="161"/>
    <cellStyle name="Процентный 5 2" xfId="295"/>
    <cellStyle name="Процентный 6" xfId="36"/>
    <cellStyle name="Процентный 6 2" xfId="202"/>
    <cellStyle name="Процентный 7" xfId="280"/>
    <cellStyle name="Стиль 1" xfId="87"/>
    <cellStyle name="Стиль 1 2" xfId="242"/>
    <cellStyle name="Стиль 1 3" xfId="341"/>
    <cellStyle name="Стиль 1 4" xfId="324"/>
    <cellStyle name="Финансовый" xfId="364" builtinId="3"/>
    <cellStyle name="Финансовый 10" xfId="296"/>
    <cellStyle name="Финансовый 10 2" xfId="285"/>
    <cellStyle name="Финансовый 11" xfId="284"/>
    <cellStyle name="Финансовый 12" xfId="261"/>
    <cellStyle name="Финансовый 2" xfId="4"/>
    <cellStyle name="Финансовый 2 2" xfId="23"/>
    <cellStyle name="Финансовый 2 2 2" xfId="63"/>
    <cellStyle name="Финансовый 2 2 2 2" xfId="64"/>
    <cellStyle name="Финансовый 2 2 2 2 2" xfId="85"/>
    <cellStyle name="Финансовый 2 2 2 2 2 2" xfId="240"/>
    <cellStyle name="Финансовый 2 2 2 2 2 2 2" xfId="297"/>
    <cellStyle name="Финансовый 2 2 2 2 2 3" xfId="272"/>
    <cellStyle name="Финансовый 2 2 2 2 3" xfId="158"/>
    <cellStyle name="Финансовый 2 2 2 2 3 2" xfId="245"/>
    <cellStyle name="Финансовый 2 2 2 2 3 2 2" xfId="298"/>
    <cellStyle name="Финансовый 2 2 2 2 4" xfId="220"/>
    <cellStyle name="Финансовый 2 2 2 2 4 2" xfId="299"/>
    <cellStyle name="Финансовый 2 2 2 2 5" xfId="268"/>
    <cellStyle name="Финансовый 2 2 2 3" xfId="84"/>
    <cellStyle name="Финансовый 2 2 2 3 2" xfId="239"/>
    <cellStyle name="Финансовый 2 2 2 3 2 2" xfId="300"/>
    <cellStyle name="Финансовый 2 2 2 3 3" xfId="271"/>
    <cellStyle name="Финансовый 2 2 2 4" xfId="157"/>
    <cellStyle name="Финансовый 2 2 2 4 2" xfId="244"/>
    <cellStyle name="Финансовый 2 2 2 4 2 2" xfId="301"/>
    <cellStyle name="Финансовый 2 2 2 5" xfId="219"/>
    <cellStyle name="Финансовый 2 2 2 5 2" xfId="302"/>
    <cellStyle name="Финансовый 2 2 2 6" xfId="267"/>
    <cellStyle name="Финансовый 2 2 3" xfId="65"/>
    <cellStyle name="Финансовый 2 2 3 2" xfId="86"/>
    <cellStyle name="Финансовый 2 2 3 2 2" xfId="241"/>
    <cellStyle name="Финансовый 2 2 3 2 2 2" xfId="303"/>
    <cellStyle name="Финансовый 2 2 3 2 3" xfId="273"/>
    <cellStyle name="Финансовый 2 2 3 3" xfId="159"/>
    <cellStyle name="Финансовый 2 2 3 3 2" xfId="246"/>
    <cellStyle name="Финансовый 2 2 3 3 2 2" xfId="304"/>
    <cellStyle name="Финансовый 2 2 3 4" xfId="221"/>
    <cellStyle name="Финансовый 2 2 3 4 2" xfId="305"/>
    <cellStyle name="Финансовый 2 2 3 5" xfId="269"/>
    <cellStyle name="Финансовый 2 2 4" xfId="83"/>
    <cellStyle name="Финансовый 2 2 4 2" xfId="238"/>
    <cellStyle name="Финансовый 2 2 4 2 2" xfId="306"/>
    <cellStyle name="Финансовый 2 2 4 3" xfId="270"/>
    <cellStyle name="Финансовый 2 2 5" xfId="156"/>
    <cellStyle name="Финансовый 2 2 5 2" xfId="243"/>
    <cellStyle name="Финансовый 2 2 5 2 2" xfId="307"/>
    <cellStyle name="Финансовый 2 2 6" xfId="62"/>
    <cellStyle name="Финансовый 2 2 6 2" xfId="266"/>
    <cellStyle name="Финансовый 2 2 7" xfId="218"/>
    <cellStyle name="Финансовый 2 3" xfId="61"/>
    <cellStyle name="Финансовый 2 3 2" xfId="308"/>
    <cellStyle name="Финансовый 2 4" xfId="165"/>
    <cellStyle name="Финансовый 2 4 2" xfId="248"/>
    <cellStyle name="Финансовый 2 5" xfId="40"/>
    <cellStyle name="Финансовый 2 6" xfId="254"/>
    <cellStyle name="Финансовый 2 6 2" xfId="309"/>
    <cellStyle name="Финансовый 2 7" xfId="310"/>
    <cellStyle name="Финансовый 2 8" xfId="311"/>
    <cellStyle name="Финансовый 2 9" xfId="360"/>
    <cellStyle name="Финансовый 3" xfId="7"/>
    <cellStyle name="Финансовый 3 2" xfId="24"/>
    <cellStyle name="Финансовый 3 2 2" xfId="66"/>
    <cellStyle name="Финансовый 3 3" xfId="169"/>
    <cellStyle name="Финансовый 3 3 2" xfId="312"/>
    <cellStyle name="Финансовый 3 4" xfId="171"/>
    <cellStyle name="Финансовый 3 4 2" xfId="313"/>
    <cellStyle name="Финансовый 3 5" xfId="39"/>
    <cellStyle name="Финансовый 3 6" xfId="314"/>
    <cellStyle name="Финансовый 3 7" xfId="315"/>
    <cellStyle name="Финансовый 3 8" xfId="316"/>
    <cellStyle name="Финансовый 3 9" xfId="359"/>
    <cellStyle name="Финансовый 4" xfId="11"/>
    <cellStyle name="Финансовый 4 2" xfId="15"/>
    <cellStyle name="Финансовый 4 2 2" xfId="167"/>
    <cellStyle name="Финансовый 4 2 3" xfId="193"/>
    <cellStyle name="Финансовый 4 3" xfId="175"/>
    <cellStyle name="Финансовый 4 3 2" xfId="197"/>
    <cellStyle name="Финансовый 4 4" xfId="160"/>
    <cellStyle name="Финансовый 4 5" xfId="189"/>
    <cellStyle name="Финансовый 4 6" xfId="200"/>
    <cellStyle name="Финансовый 4 7" xfId="257"/>
    <cellStyle name="Финансовый 5" xfId="26"/>
    <cellStyle name="Финансовый 5 2" xfId="173"/>
    <cellStyle name="Финансовый 5 2 2" xfId="275"/>
    <cellStyle name="Финансовый 5 3" xfId="32"/>
    <cellStyle name="Финансовый 5 3 2" xfId="281"/>
    <cellStyle name="Финансовый 5 4" xfId="249"/>
    <cellStyle name="Финансовый 5 4 2" xfId="279"/>
    <cellStyle name="Финансовый 5 5" xfId="260"/>
    <cellStyle name="Финансовый 6" xfId="174"/>
    <cellStyle name="Финансовый 7" xfId="177"/>
    <cellStyle name="Финансовый 7 2" xfId="253"/>
    <cellStyle name="Финансовый 8" xfId="35"/>
    <cellStyle name="Финансовый 8 2" xfId="201"/>
    <cellStyle name="Финансовый 9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begaliev/AppData/Local/Microsoft/Windows/Temporary%20Internet%20Files/Content.Outlook/O0QNSEY9/&#1075;&#1086;&#1089;&#1089;&#1083;&#1091;&#1078;&#1073;&#1072;/&#1056;&#1072;&#1089;&#1095;&#1077;&#1090;&#1099;%202023-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2023-2025 гг.."/>
      <sheetName val="Смета 2023"/>
      <sheetName val="2111 новый"/>
      <sheetName val="2111 "/>
      <sheetName val="2211 "/>
      <sheetName val="2212"/>
      <sheetName val="2214"/>
      <sheetName val="2215 "/>
      <sheetName val="2221 "/>
      <sheetName val="2222"/>
      <sheetName val="2231"/>
      <sheetName val="311"/>
      <sheetName val="Лист2"/>
    </sheetNames>
    <sheetDataSet>
      <sheetData sheetId="0" refreshError="1">
        <row r="30">
          <cell r="K30">
            <v>1.0102278442087593</v>
          </cell>
        </row>
        <row r="53">
          <cell r="K53">
            <v>1.0102278442087593</v>
          </cell>
        </row>
        <row r="60">
          <cell r="K60">
            <v>1.0203222214036245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77"/>
  <sheetViews>
    <sheetView view="pageBreakPreview" zoomScale="70" zoomScaleNormal="80" zoomScaleSheetLayoutView="70" workbookViewId="0">
      <pane ySplit="6" topLeftCell="A863" activePane="bottomLeft" state="frozen"/>
      <selection pane="bottomLeft" activeCell="K719" sqref="K719"/>
    </sheetView>
  </sheetViews>
  <sheetFormatPr defaultColWidth="9.140625" defaultRowHeight="15" x14ac:dyDescent="0.25"/>
  <cols>
    <col min="1" max="1" width="7.85546875" style="1" customWidth="1"/>
    <col min="2" max="2" width="9.7109375" style="3" customWidth="1"/>
    <col min="3" max="3" width="8.140625" style="3" customWidth="1"/>
    <col min="4" max="4" width="7.42578125" style="1" customWidth="1"/>
    <col min="5" max="5" width="44.7109375" style="1" customWidth="1"/>
    <col min="6" max="6" width="15.42578125" style="2" customWidth="1"/>
    <col min="7" max="7" width="15.28515625" style="2" customWidth="1"/>
    <col min="8" max="8" width="17.5703125" style="2" customWidth="1"/>
    <col min="9" max="9" width="16.85546875" style="2" customWidth="1"/>
    <col min="10" max="10" width="15.85546875" style="2" customWidth="1"/>
    <col min="11" max="11" width="37.28515625" style="1" customWidth="1"/>
    <col min="12" max="12" width="12.140625" style="3" customWidth="1"/>
    <col min="13" max="13" width="13.7109375" style="3" customWidth="1"/>
    <col min="14" max="14" width="15.28515625" style="3" customWidth="1"/>
    <col min="15" max="15" width="16.5703125" style="3" customWidth="1"/>
    <col min="16" max="16" width="14.28515625" style="3" customWidth="1"/>
    <col min="17" max="17" width="14" style="3" customWidth="1"/>
    <col min="18" max="18" width="11" style="1" customWidth="1"/>
    <col min="19" max="16384" width="9.140625" style="1"/>
  </cols>
  <sheetData>
    <row r="1" spans="1:17" ht="57.75" customHeight="1" x14ac:dyDescent="0.25">
      <c r="K1" s="1556" t="s">
        <v>2055</v>
      </c>
      <c r="L1" s="1557"/>
      <c r="M1" s="1557"/>
      <c r="N1" s="1557"/>
      <c r="O1" s="1557"/>
      <c r="P1" s="1557"/>
      <c r="Q1" s="1557"/>
    </row>
    <row r="2" spans="1:17" x14ac:dyDescent="0.25">
      <c r="M2" s="16"/>
      <c r="N2" s="16"/>
      <c r="O2" s="17"/>
      <c r="P2" s="17"/>
      <c r="Q2" s="18"/>
    </row>
    <row r="3" spans="1:17" ht="16.5" x14ac:dyDescent="0.25">
      <c r="A3" s="1418" t="s">
        <v>173</v>
      </c>
      <c r="B3" s="1418"/>
      <c r="C3" s="1418"/>
      <c r="D3" s="1418"/>
      <c r="E3" s="1418"/>
      <c r="F3" s="1418"/>
      <c r="G3" s="1418"/>
      <c r="H3" s="1418"/>
      <c r="I3" s="1418"/>
      <c r="J3" s="1418"/>
      <c r="K3" s="1418"/>
      <c r="L3" s="1418"/>
      <c r="M3" s="1418"/>
      <c r="N3" s="1418"/>
      <c r="O3" s="1418"/>
      <c r="P3" s="1418"/>
      <c r="Q3" s="1418"/>
    </row>
    <row r="5" spans="1:17" x14ac:dyDescent="0.25">
      <c r="A5" s="1419" t="s">
        <v>1244</v>
      </c>
      <c r="B5" s="1419" t="s">
        <v>0</v>
      </c>
      <c r="C5" s="1419" t="s">
        <v>1</v>
      </c>
      <c r="D5" s="1419" t="s">
        <v>2</v>
      </c>
      <c r="E5" s="1419" t="s">
        <v>3</v>
      </c>
      <c r="F5" s="1421" t="s">
        <v>30</v>
      </c>
      <c r="G5" s="1422"/>
      <c r="H5" s="1422"/>
      <c r="I5" s="1422"/>
      <c r="J5" s="1423"/>
      <c r="K5" s="1419" t="s">
        <v>4</v>
      </c>
      <c r="L5" s="1419" t="s">
        <v>5</v>
      </c>
      <c r="M5" s="10" t="s">
        <v>6</v>
      </c>
      <c r="N5" s="1424" t="s">
        <v>7</v>
      </c>
      <c r="O5" s="1425"/>
      <c r="P5" s="1425"/>
      <c r="Q5" s="1426"/>
    </row>
    <row r="6" spans="1:17" x14ac:dyDescent="0.25">
      <c r="A6" s="1420"/>
      <c r="B6" s="1420"/>
      <c r="C6" s="1420"/>
      <c r="D6" s="1420"/>
      <c r="E6" s="1420"/>
      <c r="F6" s="10">
        <v>2021</v>
      </c>
      <c r="G6" s="10">
        <v>2022</v>
      </c>
      <c r="H6" s="10">
        <v>2023</v>
      </c>
      <c r="I6" s="10">
        <v>2024</v>
      </c>
      <c r="J6" s="10">
        <v>2025</v>
      </c>
      <c r="K6" s="1420"/>
      <c r="L6" s="1420"/>
      <c r="M6" s="10">
        <v>2021</v>
      </c>
      <c r="N6" s="10">
        <v>2022</v>
      </c>
      <c r="O6" s="10">
        <v>2023</v>
      </c>
      <c r="P6" s="10">
        <v>2024</v>
      </c>
      <c r="Q6" s="10">
        <v>2025</v>
      </c>
    </row>
    <row r="7" spans="1:17" s="4" customFormat="1" x14ac:dyDescent="0.25">
      <c r="A7" s="1146" t="s">
        <v>1935</v>
      </c>
      <c r="B7" s="1146"/>
      <c r="C7" s="1146"/>
      <c r="D7" s="1146"/>
      <c r="E7" s="1146"/>
      <c r="F7" s="1146"/>
      <c r="G7" s="1146"/>
      <c r="H7" s="1146"/>
      <c r="I7" s="1146"/>
      <c r="J7" s="1146"/>
      <c r="K7" s="1146"/>
      <c r="L7" s="1146"/>
      <c r="M7" s="1146"/>
      <c r="N7" s="1146"/>
      <c r="O7" s="1146"/>
      <c r="P7" s="9"/>
      <c r="Q7" s="9"/>
    </row>
    <row r="8" spans="1:17" s="93" customFormat="1" ht="59.25" x14ac:dyDescent="0.25">
      <c r="A8" s="1450">
        <v>11</v>
      </c>
      <c r="B8" s="85">
        <v>1</v>
      </c>
      <c r="C8" s="86"/>
      <c r="D8" s="87"/>
      <c r="E8" s="88" t="s">
        <v>1301</v>
      </c>
      <c r="F8" s="89">
        <f t="shared" ref="F8:G8" si="0">SUM(F9:F13)</f>
        <v>575640.80000000005</v>
      </c>
      <c r="G8" s="89">
        <f t="shared" si="0"/>
        <v>577640.9</v>
      </c>
      <c r="H8" s="89">
        <f>H9+H15</f>
        <v>767490.8</v>
      </c>
      <c r="I8" s="89">
        <f t="shared" ref="I8:J8" si="1">I9+I15</f>
        <v>591810.9</v>
      </c>
      <c r="J8" s="89">
        <f t="shared" si="1"/>
        <v>597424.69999999995</v>
      </c>
      <c r="K8" s="90" t="s">
        <v>222</v>
      </c>
      <c r="L8" s="91" t="s">
        <v>14</v>
      </c>
      <c r="M8" s="92">
        <f>M12*100/M11</f>
        <v>20</v>
      </c>
      <c r="N8" s="92">
        <f t="shared" ref="N8:Q8" si="2">N12*100/N11</f>
        <v>21.315789473684209</v>
      </c>
      <c r="O8" s="92">
        <f t="shared" si="2"/>
        <v>25</v>
      </c>
      <c r="P8" s="92">
        <f t="shared" si="2"/>
        <v>25</v>
      </c>
      <c r="Q8" s="92">
        <f t="shared" si="2"/>
        <v>25</v>
      </c>
    </row>
    <row r="9" spans="1:17" s="93" customFormat="1" ht="60" x14ac:dyDescent="0.25">
      <c r="A9" s="1450"/>
      <c r="B9" s="1440"/>
      <c r="C9" s="1440">
        <v>1</v>
      </c>
      <c r="D9" s="1440"/>
      <c r="E9" s="1441" t="s">
        <v>10</v>
      </c>
      <c r="F9" s="1096">
        <f>543096.9+30000+2543.9</f>
        <v>575640.80000000005</v>
      </c>
      <c r="G9" s="1096">
        <f>546640.9+30000+1000</f>
        <v>577640.9</v>
      </c>
      <c r="H9" s="1096">
        <v>726927.8</v>
      </c>
      <c r="I9" s="1096">
        <v>591810.9</v>
      </c>
      <c r="J9" s="1096">
        <v>597424.69999999995</v>
      </c>
      <c r="K9" s="94" t="s">
        <v>223</v>
      </c>
      <c r="L9" s="19" t="s">
        <v>224</v>
      </c>
      <c r="M9" s="19">
        <v>90</v>
      </c>
      <c r="N9" s="19">
        <v>90</v>
      </c>
      <c r="O9" s="19">
        <v>90</v>
      </c>
      <c r="P9" s="19">
        <v>90</v>
      </c>
      <c r="Q9" s="19">
        <v>90</v>
      </c>
    </row>
    <row r="10" spans="1:17" s="93" customFormat="1" ht="30" x14ac:dyDescent="0.25">
      <c r="A10" s="1450"/>
      <c r="B10" s="1440"/>
      <c r="C10" s="1440"/>
      <c r="D10" s="1440"/>
      <c r="E10" s="1442"/>
      <c r="F10" s="1096"/>
      <c r="G10" s="1096"/>
      <c r="H10" s="1096"/>
      <c r="I10" s="1096"/>
      <c r="J10" s="1096"/>
      <c r="K10" s="95" t="s">
        <v>225</v>
      </c>
      <c r="L10" s="19" t="s">
        <v>14</v>
      </c>
      <c r="M10" s="19">
        <v>2</v>
      </c>
      <c r="N10" s="19">
        <v>2</v>
      </c>
      <c r="O10" s="19">
        <v>2</v>
      </c>
      <c r="P10" s="19">
        <v>2</v>
      </c>
      <c r="Q10" s="19">
        <v>2</v>
      </c>
    </row>
    <row r="11" spans="1:17" s="93" customFormat="1" ht="30" x14ac:dyDescent="0.25">
      <c r="A11" s="1450"/>
      <c r="B11" s="1440"/>
      <c r="C11" s="1440"/>
      <c r="D11" s="1440"/>
      <c r="E11" s="1442"/>
      <c r="F11" s="1096"/>
      <c r="G11" s="1096"/>
      <c r="H11" s="1096"/>
      <c r="I11" s="1096"/>
      <c r="J11" s="1096"/>
      <c r="K11" s="95" t="s">
        <v>226</v>
      </c>
      <c r="L11" s="19" t="s">
        <v>14</v>
      </c>
      <c r="M11" s="19">
        <v>380</v>
      </c>
      <c r="N11" s="19">
        <v>380</v>
      </c>
      <c r="O11" s="19">
        <v>400</v>
      </c>
      <c r="P11" s="19">
        <v>400</v>
      </c>
      <c r="Q11" s="19">
        <v>400</v>
      </c>
    </row>
    <row r="12" spans="1:17" s="93" customFormat="1" ht="30" x14ac:dyDescent="0.25">
      <c r="A12" s="1450"/>
      <c r="B12" s="1440"/>
      <c r="C12" s="1440"/>
      <c r="D12" s="1440"/>
      <c r="E12" s="1442"/>
      <c r="F12" s="1096"/>
      <c r="G12" s="1096"/>
      <c r="H12" s="1096"/>
      <c r="I12" s="1096"/>
      <c r="J12" s="1096"/>
      <c r="K12" s="95" t="s">
        <v>227</v>
      </c>
      <c r="L12" s="19" t="s">
        <v>228</v>
      </c>
      <c r="M12" s="19">
        <v>76</v>
      </c>
      <c r="N12" s="19">
        <v>81</v>
      </c>
      <c r="O12" s="19">
        <v>100</v>
      </c>
      <c r="P12" s="19">
        <v>100</v>
      </c>
      <c r="Q12" s="19">
        <v>100</v>
      </c>
    </row>
    <row r="13" spans="1:17" s="93" customFormat="1" ht="30" x14ac:dyDescent="0.25">
      <c r="A13" s="1450"/>
      <c r="B13" s="1440"/>
      <c r="C13" s="1440"/>
      <c r="D13" s="1440"/>
      <c r="E13" s="1442"/>
      <c r="F13" s="1096"/>
      <c r="G13" s="1096"/>
      <c r="H13" s="1096"/>
      <c r="I13" s="1096"/>
      <c r="J13" s="1096"/>
      <c r="K13" s="95" t="s">
        <v>229</v>
      </c>
      <c r="L13" s="19" t="s">
        <v>12</v>
      </c>
      <c r="M13" s="19">
        <v>2</v>
      </c>
      <c r="N13" s="19">
        <v>6</v>
      </c>
      <c r="O13" s="19">
        <v>7</v>
      </c>
      <c r="P13" s="19">
        <v>7</v>
      </c>
      <c r="Q13" s="19">
        <v>7</v>
      </c>
    </row>
    <row r="14" spans="1:17" s="93" customFormat="1" ht="45" x14ac:dyDescent="0.25">
      <c r="A14" s="1450"/>
      <c r="B14" s="1440"/>
      <c r="C14" s="1440"/>
      <c r="D14" s="1440"/>
      <c r="E14" s="1443"/>
      <c r="F14" s="1096"/>
      <c r="G14" s="1096"/>
      <c r="H14" s="1096"/>
      <c r="I14" s="1096"/>
      <c r="J14" s="1096"/>
      <c r="K14" s="95" t="s">
        <v>230</v>
      </c>
      <c r="L14" s="19" t="s">
        <v>12</v>
      </c>
      <c r="M14" s="19">
        <v>7</v>
      </c>
      <c r="N14" s="19">
        <v>4</v>
      </c>
      <c r="O14" s="19">
        <v>5</v>
      </c>
      <c r="P14" s="19">
        <v>5</v>
      </c>
      <c r="Q14" s="19">
        <v>5</v>
      </c>
    </row>
    <row r="15" spans="1:17" s="93" customFormat="1" ht="45" x14ac:dyDescent="0.25">
      <c r="A15" s="1451"/>
      <c r="B15" s="746">
        <v>113</v>
      </c>
      <c r="C15" s="746">
        <v>1</v>
      </c>
      <c r="D15" s="746"/>
      <c r="E15" s="745" t="s">
        <v>1391</v>
      </c>
      <c r="F15" s="743"/>
      <c r="G15" s="743"/>
      <c r="H15" s="743">
        <v>40563</v>
      </c>
      <c r="I15" s="743"/>
      <c r="J15" s="743"/>
      <c r="K15" s="95"/>
      <c r="L15" s="19"/>
      <c r="M15" s="19"/>
      <c r="N15" s="19"/>
      <c r="O15" s="19"/>
      <c r="P15" s="19"/>
      <c r="Q15" s="19"/>
    </row>
    <row r="16" spans="1:17" s="93" customFormat="1" x14ac:dyDescent="0.25">
      <c r="A16" s="1444" t="s">
        <v>15</v>
      </c>
      <c r="B16" s="1445"/>
      <c r="C16" s="1445"/>
      <c r="D16" s="1445"/>
      <c r="E16" s="1446"/>
      <c r="F16" s="96">
        <f>F8</f>
        <v>575640.80000000005</v>
      </c>
      <c r="G16" s="96">
        <f t="shared" ref="G16" si="3">G8</f>
        <v>577640.9</v>
      </c>
      <c r="H16" s="96">
        <f>H8</f>
        <v>767490.8</v>
      </c>
      <c r="I16" s="96">
        <f t="shared" ref="I16:J16" si="4">I8</f>
        <v>591810.9</v>
      </c>
      <c r="J16" s="96">
        <f t="shared" si="4"/>
        <v>597424.69999999995</v>
      </c>
      <c r="K16" s="5"/>
      <c r="L16" s="97"/>
      <c r="M16" s="98"/>
      <c r="N16" s="98"/>
      <c r="O16" s="98"/>
      <c r="P16" s="98"/>
      <c r="Q16" s="98"/>
    </row>
    <row r="17" spans="1:17" s="93" customFormat="1" x14ac:dyDescent="0.25">
      <c r="A17" s="1380" t="s">
        <v>1936</v>
      </c>
      <c r="B17" s="1381"/>
      <c r="C17" s="1381"/>
      <c r="D17" s="1381"/>
      <c r="E17" s="1381"/>
      <c r="F17" s="1381"/>
      <c r="G17" s="1381"/>
      <c r="H17" s="1381"/>
      <c r="I17" s="1381"/>
      <c r="J17" s="1381"/>
      <c r="K17" s="1381"/>
      <c r="L17" s="1381"/>
      <c r="M17" s="1381"/>
      <c r="N17" s="1381"/>
      <c r="O17" s="1381"/>
      <c r="P17" s="1381"/>
      <c r="Q17" s="1382"/>
    </row>
    <row r="18" spans="1:17" s="93" customFormat="1" ht="28.5" x14ac:dyDescent="0.25">
      <c r="A18" s="1434">
        <v>12</v>
      </c>
      <c r="B18" s="99">
        <v>122</v>
      </c>
      <c r="C18" s="100"/>
      <c r="D18" s="100"/>
      <c r="E18" s="735" t="s">
        <v>1251</v>
      </c>
      <c r="F18" s="41">
        <f>F24</f>
        <v>303581</v>
      </c>
      <c r="G18" s="41">
        <f t="shared" ref="G18:J18" si="5">G24</f>
        <v>481351.79999999993</v>
      </c>
      <c r="H18" s="41">
        <f t="shared" si="5"/>
        <v>420216.00000000006</v>
      </c>
      <c r="I18" s="41">
        <f t="shared" si="5"/>
        <v>429627.6</v>
      </c>
      <c r="J18" s="41">
        <f t="shared" si="5"/>
        <v>438916.8</v>
      </c>
      <c r="K18" s="100"/>
      <c r="L18" s="100"/>
      <c r="M18" s="100"/>
      <c r="N18" s="100"/>
      <c r="O18" s="100"/>
      <c r="P18" s="100"/>
      <c r="Q18" s="100"/>
    </row>
    <row r="19" spans="1:17" s="93" customFormat="1" ht="75" x14ac:dyDescent="0.25">
      <c r="A19" s="1435"/>
      <c r="B19" s="747"/>
      <c r="C19" s="129">
        <v>1</v>
      </c>
      <c r="D19" s="62"/>
      <c r="E19" s="101" t="s">
        <v>1248</v>
      </c>
      <c r="F19" s="44">
        <v>257737.9</v>
      </c>
      <c r="G19" s="44">
        <v>400671.1</v>
      </c>
      <c r="H19" s="44">
        <v>408475.2</v>
      </c>
      <c r="I19" s="44">
        <v>417766.7</v>
      </c>
      <c r="J19" s="44">
        <v>426937.5</v>
      </c>
      <c r="K19" s="103" t="s">
        <v>548</v>
      </c>
      <c r="L19" s="104" t="s">
        <v>14</v>
      </c>
      <c r="M19" s="105">
        <f>113776.4/162035800*100</f>
        <v>7.0216828626760264E-2</v>
      </c>
      <c r="N19" s="105">
        <v>0.13800000000000001</v>
      </c>
      <c r="O19" s="105">
        <f>N19</f>
        <v>0.13800000000000001</v>
      </c>
      <c r="P19" s="105">
        <f>N19</f>
        <v>0.13800000000000001</v>
      </c>
      <c r="Q19" s="105">
        <f>N19</f>
        <v>0.13800000000000001</v>
      </c>
    </row>
    <row r="20" spans="1:17" s="93" customFormat="1" ht="75" x14ac:dyDescent="0.25">
      <c r="A20" s="1435"/>
      <c r="B20" s="747"/>
      <c r="C20" s="129">
        <v>2</v>
      </c>
      <c r="D20" s="34"/>
      <c r="E20" s="106" t="s">
        <v>1311</v>
      </c>
      <c r="F20" s="44">
        <v>5798.7</v>
      </c>
      <c r="G20" s="44">
        <v>5894.6</v>
      </c>
      <c r="H20" s="44">
        <v>6861.9</v>
      </c>
      <c r="I20" s="44">
        <v>6932.1</v>
      </c>
      <c r="J20" s="44">
        <v>7001.3</v>
      </c>
      <c r="K20" s="101" t="s">
        <v>549</v>
      </c>
      <c r="L20" s="104" t="s">
        <v>14</v>
      </c>
      <c r="M20" s="107">
        <v>100</v>
      </c>
      <c r="N20" s="107">
        <v>100</v>
      </c>
      <c r="O20" s="107">
        <v>100</v>
      </c>
      <c r="P20" s="107">
        <v>100</v>
      </c>
      <c r="Q20" s="107">
        <v>100</v>
      </c>
    </row>
    <row r="21" spans="1:17" s="93" customFormat="1" ht="75" x14ac:dyDescent="0.25">
      <c r="A21" s="1435"/>
      <c r="B21" s="747"/>
      <c r="C21" s="129">
        <v>3</v>
      </c>
      <c r="D21" s="34"/>
      <c r="E21" s="106" t="s">
        <v>546</v>
      </c>
      <c r="F21" s="45">
        <v>38744.400000000001</v>
      </c>
      <c r="G21" s="45">
        <v>40000</v>
      </c>
      <c r="H21" s="45"/>
      <c r="I21" s="45"/>
      <c r="J21" s="45"/>
      <c r="K21" s="106" t="s">
        <v>550</v>
      </c>
      <c r="L21" s="104" t="s">
        <v>12</v>
      </c>
      <c r="M21" s="108">
        <v>69</v>
      </c>
      <c r="N21" s="108">
        <f>M21/F21*G21</f>
        <v>71.236101217208159</v>
      </c>
      <c r="O21" s="108"/>
      <c r="P21" s="108"/>
      <c r="Q21" s="108"/>
    </row>
    <row r="22" spans="1:17" s="93" customFormat="1" ht="45" x14ac:dyDescent="0.25">
      <c r="A22" s="1435"/>
      <c r="B22" s="747"/>
      <c r="C22" s="129">
        <v>4</v>
      </c>
      <c r="D22" s="34"/>
      <c r="E22" s="106" t="s">
        <v>1249</v>
      </c>
      <c r="F22" s="44">
        <v>1300</v>
      </c>
      <c r="G22" s="44">
        <v>4786.1000000000004</v>
      </c>
      <c r="H22" s="44">
        <v>4878.8999999999996</v>
      </c>
      <c r="I22" s="44">
        <v>4928.8</v>
      </c>
      <c r="J22" s="44">
        <v>4978</v>
      </c>
      <c r="K22" s="106" t="s">
        <v>551</v>
      </c>
      <c r="L22" s="104" t="s">
        <v>12</v>
      </c>
      <c r="M22" s="108">
        <v>15</v>
      </c>
      <c r="N22" s="108">
        <v>15</v>
      </c>
      <c r="O22" s="108">
        <v>24</v>
      </c>
      <c r="P22" s="108">
        <v>24</v>
      </c>
      <c r="Q22" s="108">
        <v>24</v>
      </c>
    </row>
    <row r="23" spans="1:17" s="93" customFormat="1" ht="75" x14ac:dyDescent="0.25">
      <c r="A23" s="1436"/>
      <c r="B23" s="747"/>
      <c r="C23" s="129">
        <v>5</v>
      </c>
      <c r="D23" s="34"/>
      <c r="E23" s="106" t="s">
        <v>547</v>
      </c>
      <c r="F23" s="45"/>
      <c r="G23" s="45">
        <v>30000</v>
      </c>
      <c r="H23" s="45"/>
      <c r="I23" s="45"/>
      <c r="J23" s="45"/>
      <c r="K23" s="106" t="s">
        <v>550</v>
      </c>
      <c r="L23" s="104" t="s">
        <v>12</v>
      </c>
      <c r="M23" s="108">
        <v>84</v>
      </c>
      <c r="N23" s="108">
        <v>150</v>
      </c>
      <c r="O23" s="108"/>
      <c r="P23" s="108"/>
      <c r="Q23" s="108"/>
    </row>
    <row r="24" spans="1:17" s="93" customFormat="1" x14ac:dyDescent="0.25">
      <c r="A24" s="1444" t="s">
        <v>15</v>
      </c>
      <c r="B24" s="1445"/>
      <c r="C24" s="1445"/>
      <c r="D24" s="1445"/>
      <c r="E24" s="1446"/>
      <c r="F24" s="109">
        <f>SUM(F19:F23)</f>
        <v>303581</v>
      </c>
      <c r="G24" s="109">
        <f>SUM(G19:G23)</f>
        <v>481351.79999999993</v>
      </c>
      <c r="H24" s="109">
        <f>SUM(H19:H23)</f>
        <v>420216.00000000006</v>
      </c>
      <c r="I24" s="109">
        <f>SUM(I19:I23)</f>
        <v>429627.6</v>
      </c>
      <c r="J24" s="109">
        <f>SUM(J19:J23)</f>
        <v>438916.8</v>
      </c>
      <c r="K24" s="5"/>
      <c r="L24" s="97"/>
      <c r="M24" s="98"/>
      <c r="N24" s="98"/>
      <c r="O24" s="98"/>
      <c r="P24" s="98"/>
      <c r="Q24" s="98"/>
    </row>
    <row r="25" spans="1:17" s="93" customFormat="1" x14ac:dyDescent="0.25">
      <c r="A25" s="1380" t="s">
        <v>1937</v>
      </c>
      <c r="B25" s="1381"/>
      <c r="C25" s="1381"/>
      <c r="D25" s="1381"/>
      <c r="E25" s="1381"/>
      <c r="F25" s="1381"/>
      <c r="G25" s="1381"/>
      <c r="H25" s="1381"/>
      <c r="I25" s="1381"/>
      <c r="J25" s="1381"/>
      <c r="K25" s="1381"/>
      <c r="L25" s="1381"/>
      <c r="M25" s="1381"/>
      <c r="N25" s="1381"/>
      <c r="O25" s="1381"/>
      <c r="P25" s="1381"/>
      <c r="Q25" s="1382"/>
    </row>
    <row r="26" spans="1:17" s="93" customFormat="1" ht="42.75" x14ac:dyDescent="0.25">
      <c r="A26" s="1447" t="s">
        <v>231</v>
      </c>
      <c r="B26" s="38" t="s">
        <v>1902</v>
      </c>
      <c r="C26" s="100"/>
      <c r="D26" s="100"/>
      <c r="E26" s="42" t="s">
        <v>1252</v>
      </c>
      <c r="F26" s="110">
        <v>7952.7</v>
      </c>
      <c r="G26" s="110">
        <v>8053.1</v>
      </c>
      <c r="H26" s="110">
        <v>8207.2999999999993</v>
      </c>
      <c r="I26" s="110">
        <v>8449.7999999999993</v>
      </c>
      <c r="J26" s="110">
        <v>8534.2000000000007</v>
      </c>
      <c r="K26" s="100"/>
      <c r="L26" s="100"/>
      <c r="M26" s="100"/>
      <c r="N26" s="100"/>
      <c r="O26" s="100"/>
      <c r="P26" s="100"/>
      <c r="Q26" s="100"/>
    </row>
    <row r="27" spans="1:17" s="93" customFormat="1" ht="75" x14ac:dyDescent="0.25">
      <c r="A27" s="1448"/>
      <c r="B27" s="1447"/>
      <c r="C27" s="1455" t="s">
        <v>20</v>
      </c>
      <c r="D27" s="1455"/>
      <c r="E27" s="1452" t="s">
        <v>232</v>
      </c>
      <c r="F27" s="1286">
        <v>7952.7</v>
      </c>
      <c r="G27" s="1286">
        <v>8053.1</v>
      </c>
      <c r="H27" s="1286">
        <v>8207.2999999999993</v>
      </c>
      <c r="I27" s="1286">
        <v>8449.7999999999993</v>
      </c>
      <c r="J27" s="1286">
        <v>8534.2000000000007</v>
      </c>
      <c r="K27" s="111" t="s">
        <v>1312</v>
      </c>
      <c r="L27" s="47" t="s">
        <v>14</v>
      </c>
      <c r="M27" s="113">
        <v>30</v>
      </c>
      <c r="N27" s="114">
        <v>40</v>
      </c>
      <c r="O27" s="114">
        <v>70</v>
      </c>
      <c r="P27" s="114">
        <v>80</v>
      </c>
      <c r="Q27" s="114">
        <v>85</v>
      </c>
    </row>
    <row r="28" spans="1:17" s="93" customFormat="1" ht="45" x14ac:dyDescent="0.25">
      <c r="A28" s="1448"/>
      <c r="B28" s="1448"/>
      <c r="C28" s="1456"/>
      <c r="D28" s="1456"/>
      <c r="E28" s="1453"/>
      <c r="F28" s="1308"/>
      <c r="G28" s="1308"/>
      <c r="H28" s="1308"/>
      <c r="I28" s="1308"/>
      <c r="J28" s="1308"/>
      <c r="K28" s="111" t="s">
        <v>1254</v>
      </c>
      <c r="L28" s="47" t="s">
        <v>14</v>
      </c>
      <c r="M28" s="113">
        <v>30</v>
      </c>
      <c r="N28" s="114">
        <v>40</v>
      </c>
      <c r="O28" s="114">
        <v>50</v>
      </c>
      <c r="P28" s="114">
        <v>50</v>
      </c>
      <c r="Q28" s="114">
        <v>60</v>
      </c>
    </row>
    <row r="29" spans="1:17" s="93" customFormat="1" ht="30" x14ac:dyDescent="0.25">
      <c r="A29" s="1448"/>
      <c r="B29" s="1448"/>
      <c r="C29" s="1456"/>
      <c r="D29" s="1456"/>
      <c r="E29" s="1453"/>
      <c r="F29" s="1308"/>
      <c r="G29" s="1308"/>
      <c r="H29" s="1308"/>
      <c r="I29" s="1308"/>
      <c r="J29" s="1308"/>
      <c r="K29" s="111" t="s">
        <v>1245</v>
      </c>
      <c r="L29" s="47" t="s">
        <v>14</v>
      </c>
      <c r="M29" s="113">
        <v>30</v>
      </c>
      <c r="N29" s="113">
        <v>30</v>
      </c>
      <c r="O29" s="113">
        <v>30</v>
      </c>
      <c r="P29" s="113">
        <v>30</v>
      </c>
      <c r="Q29" s="113">
        <v>30</v>
      </c>
    </row>
    <row r="30" spans="1:17" s="93" customFormat="1" ht="30" hidden="1" customHeight="1" x14ac:dyDescent="0.25">
      <c r="A30" s="1449"/>
      <c r="B30" s="1449"/>
      <c r="C30" s="1457"/>
      <c r="D30" s="1457"/>
      <c r="E30" s="1454"/>
      <c r="F30" s="1287"/>
      <c r="G30" s="1287"/>
      <c r="H30" s="1287"/>
      <c r="I30" s="1287"/>
      <c r="J30" s="1287"/>
      <c r="K30" s="111" t="s">
        <v>233</v>
      </c>
      <c r="L30" s="112"/>
      <c r="M30" s="115"/>
      <c r="N30" s="115"/>
      <c r="O30" s="115"/>
      <c r="P30" s="115"/>
      <c r="Q30" s="115"/>
    </row>
    <row r="31" spans="1:17" s="93" customFormat="1" x14ac:dyDescent="0.25">
      <c r="A31" s="1143" t="s">
        <v>15</v>
      </c>
      <c r="B31" s="1144"/>
      <c r="C31" s="1144"/>
      <c r="D31" s="1144"/>
      <c r="E31" s="1145"/>
      <c r="F31" s="109">
        <f>F27</f>
        <v>7952.7</v>
      </c>
      <c r="G31" s="109">
        <f t="shared" ref="G31:J31" si="6">G27</f>
        <v>8053.1</v>
      </c>
      <c r="H31" s="109">
        <f t="shared" si="6"/>
        <v>8207.2999999999993</v>
      </c>
      <c r="I31" s="109">
        <f t="shared" si="6"/>
        <v>8449.7999999999993</v>
      </c>
      <c r="J31" s="109">
        <f t="shared" si="6"/>
        <v>8534.2000000000007</v>
      </c>
      <c r="K31" s="5"/>
      <c r="L31" s="97"/>
      <c r="M31" s="98"/>
      <c r="N31" s="98"/>
      <c r="O31" s="98"/>
      <c r="P31" s="98"/>
      <c r="Q31" s="98"/>
    </row>
    <row r="32" spans="1:17" s="93" customFormat="1" x14ac:dyDescent="0.25">
      <c r="A32" s="1380" t="s">
        <v>1938</v>
      </c>
      <c r="B32" s="1381"/>
      <c r="C32" s="1381"/>
      <c r="D32" s="1381"/>
      <c r="E32" s="1381"/>
      <c r="F32" s="1381"/>
      <c r="G32" s="1381"/>
      <c r="H32" s="1381"/>
      <c r="I32" s="1381"/>
      <c r="J32" s="1381"/>
      <c r="K32" s="1381"/>
      <c r="L32" s="1381"/>
      <c r="M32" s="1381"/>
      <c r="N32" s="1381"/>
      <c r="O32" s="1381"/>
      <c r="P32" s="1381"/>
      <c r="Q32" s="1382"/>
    </row>
    <row r="33" spans="1:17" s="93" customFormat="1" ht="28.5" x14ac:dyDescent="0.25">
      <c r="A33" s="1434">
        <v>14</v>
      </c>
      <c r="B33" s="1073">
        <v>142</v>
      </c>
      <c r="C33" s="516"/>
      <c r="D33" s="51"/>
      <c r="E33" s="42" t="s">
        <v>1392</v>
      </c>
      <c r="F33" s="80">
        <f>F34+F35</f>
        <v>0</v>
      </c>
      <c r="G33" s="80">
        <f t="shared" ref="G33:J33" si="7">G34+G35</f>
        <v>0</v>
      </c>
      <c r="H33" s="80">
        <f t="shared" si="7"/>
        <v>1030000</v>
      </c>
      <c r="I33" s="80">
        <f t="shared" si="7"/>
        <v>1030000</v>
      </c>
      <c r="J33" s="80">
        <f t="shared" si="7"/>
        <v>1030000</v>
      </c>
      <c r="K33" s="39"/>
      <c r="L33" s="112"/>
      <c r="M33" s="115"/>
      <c r="N33" s="115"/>
      <c r="O33" s="115"/>
      <c r="P33" s="115"/>
      <c r="Q33" s="115"/>
    </row>
    <row r="34" spans="1:17" s="93" customFormat="1" ht="75" x14ac:dyDescent="0.25">
      <c r="A34" s="1435"/>
      <c r="B34" s="748"/>
      <c r="C34" s="516" t="s">
        <v>17</v>
      </c>
      <c r="D34" s="51"/>
      <c r="E34" s="106" t="s">
        <v>546</v>
      </c>
      <c r="F34" s="80"/>
      <c r="G34" s="80"/>
      <c r="H34" s="83">
        <v>1000000</v>
      </c>
      <c r="I34" s="83">
        <v>1000000</v>
      </c>
      <c r="J34" s="83">
        <v>1000000</v>
      </c>
      <c r="K34" s="106" t="s">
        <v>550</v>
      </c>
      <c r="L34" s="104" t="s">
        <v>12</v>
      </c>
      <c r="M34" s="108">
        <v>69</v>
      </c>
      <c r="N34" s="108"/>
      <c r="O34" s="108"/>
      <c r="P34" s="108"/>
      <c r="Q34" s="108"/>
    </row>
    <row r="35" spans="1:17" s="93" customFormat="1" ht="75" x14ac:dyDescent="0.25">
      <c r="A35" s="1436"/>
      <c r="B35" s="749"/>
      <c r="C35" s="456" t="s">
        <v>18</v>
      </c>
      <c r="D35" s="750"/>
      <c r="E35" s="106" t="s">
        <v>547</v>
      </c>
      <c r="F35" s="80"/>
      <c r="G35" s="80"/>
      <c r="H35" s="83">
        <v>30000</v>
      </c>
      <c r="I35" s="83">
        <v>30000</v>
      </c>
      <c r="J35" s="83">
        <v>30000</v>
      </c>
      <c r="K35" s="106" t="s">
        <v>550</v>
      </c>
      <c r="L35" s="104" t="s">
        <v>12</v>
      </c>
      <c r="M35" s="108">
        <v>84</v>
      </c>
      <c r="N35" s="108">
        <v>150</v>
      </c>
      <c r="O35" s="108">
        <v>150</v>
      </c>
      <c r="P35" s="108">
        <v>150</v>
      </c>
      <c r="Q35" s="108">
        <v>150</v>
      </c>
    </row>
    <row r="36" spans="1:17" s="93" customFormat="1" x14ac:dyDescent="0.25">
      <c r="A36" s="1143" t="s">
        <v>15</v>
      </c>
      <c r="B36" s="1144"/>
      <c r="C36" s="1144"/>
      <c r="D36" s="1144"/>
      <c r="E36" s="1145"/>
      <c r="F36" s="109">
        <f>F33</f>
        <v>0</v>
      </c>
      <c r="G36" s="109">
        <f t="shared" ref="G36:J36" si="8">G33</f>
        <v>0</v>
      </c>
      <c r="H36" s="109">
        <f t="shared" si="8"/>
        <v>1030000</v>
      </c>
      <c r="I36" s="109">
        <f t="shared" si="8"/>
        <v>1030000</v>
      </c>
      <c r="J36" s="109">
        <f t="shared" si="8"/>
        <v>1030000</v>
      </c>
      <c r="K36" s="5"/>
      <c r="L36" s="97"/>
      <c r="M36" s="98"/>
      <c r="N36" s="98"/>
      <c r="O36" s="98"/>
      <c r="P36" s="98"/>
      <c r="Q36" s="98"/>
    </row>
    <row r="37" spans="1:17" s="93" customFormat="1" x14ac:dyDescent="0.25">
      <c r="A37" s="1380" t="s">
        <v>1939</v>
      </c>
      <c r="B37" s="1381"/>
      <c r="C37" s="1381"/>
      <c r="D37" s="1381"/>
      <c r="E37" s="1381"/>
      <c r="F37" s="1381"/>
      <c r="G37" s="1381"/>
      <c r="H37" s="1381"/>
      <c r="I37" s="1381"/>
      <c r="J37" s="1381"/>
      <c r="K37" s="1381"/>
      <c r="L37" s="1381"/>
      <c r="M37" s="1381"/>
      <c r="N37" s="1381"/>
      <c r="O37" s="1381"/>
      <c r="P37" s="1381"/>
      <c r="Q37" s="1382"/>
    </row>
    <row r="38" spans="1:17" s="93" customFormat="1" ht="75" x14ac:dyDescent="0.25">
      <c r="A38" s="1434">
        <v>15</v>
      </c>
      <c r="B38" s="23" t="s">
        <v>718</v>
      </c>
      <c r="C38" s="116">
        <v>1</v>
      </c>
      <c r="D38" s="117"/>
      <c r="E38" s="118" t="s">
        <v>1250</v>
      </c>
      <c r="F38" s="83">
        <v>135651.6</v>
      </c>
      <c r="G38" s="83">
        <v>204706.2</v>
      </c>
      <c r="H38" s="83">
        <v>274794</v>
      </c>
      <c r="I38" s="83">
        <v>274794</v>
      </c>
      <c r="J38" s="83">
        <v>274794</v>
      </c>
      <c r="K38" s="101" t="s">
        <v>560</v>
      </c>
      <c r="L38" s="104" t="s">
        <v>12</v>
      </c>
      <c r="M38" s="19">
        <v>37</v>
      </c>
      <c r="N38" s="19">
        <v>37</v>
      </c>
      <c r="O38" s="19">
        <v>37</v>
      </c>
      <c r="P38" s="19">
        <v>37</v>
      </c>
      <c r="Q38" s="19">
        <v>37</v>
      </c>
    </row>
    <row r="39" spans="1:17" s="93" customFormat="1" ht="45" x14ac:dyDescent="0.25">
      <c r="A39" s="1435"/>
      <c r="B39" s="340"/>
      <c r="C39" s="116">
        <v>2</v>
      </c>
      <c r="D39" s="117"/>
      <c r="E39" s="111" t="s">
        <v>552</v>
      </c>
      <c r="F39" s="83">
        <v>112042</v>
      </c>
      <c r="G39" s="83">
        <v>48135.700000000004</v>
      </c>
      <c r="H39" s="83">
        <v>78920.600000000006</v>
      </c>
      <c r="I39" s="83">
        <v>72375.199999999997</v>
      </c>
      <c r="J39" s="83">
        <v>77971</v>
      </c>
      <c r="K39" s="119" t="s">
        <v>561</v>
      </c>
      <c r="L39" s="104" t="s">
        <v>12</v>
      </c>
      <c r="M39" s="19">
        <v>90</v>
      </c>
      <c r="N39" s="19">
        <v>90</v>
      </c>
      <c r="O39" s="19">
        <v>90</v>
      </c>
      <c r="P39" s="19">
        <v>90</v>
      </c>
      <c r="Q39" s="19">
        <v>90</v>
      </c>
    </row>
    <row r="40" spans="1:17" s="93" customFormat="1" ht="60" x14ac:dyDescent="0.25">
      <c r="A40" s="1435"/>
      <c r="B40" s="340"/>
      <c r="C40" s="116">
        <v>3</v>
      </c>
      <c r="D40" s="117"/>
      <c r="E40" s="111" t="s">
        <v>553</v>
      </c>
      <c r="F40" s="83">
        <v>1637.4</v>
      </c>
      <c r="G40" s="83">
        <v>2957.3</v>
      </c>
      <c r="H40" s="83">
        <v>2508</v>
      </c>
      <c r="I40" s="83">
        <v>2508</v>
      </c>
      <c r="J40" s="83">
        <v>2508</v>
      </c>
      <c r="K40" s="120" t="s">
        <v>562</v>
      </c>
      <c r="L40" s="121" t="s">
        <v>12</v>
      </c>
      <c r="M40" s="122">
        <v>69</v>
      </c>
      <c r="N40" s="122">
        <v>69</v>
      </c>
      <c r="O40" s="122">
        <v>69</v>
      </c>
      <c r="P40" s="122">
        <v>69</v>
      </c>
      <c r="Q40" s="122">
        <v>69</v>
      </c>
    </row>
    <row r="41" spans="1:17" s="93" customFormat="1" ht="105" x14ac:dyDescent="0.25">
      <c r="A41" s="1435"/>
      <c r="B41" s="340"/>
      <c r="C41" s="116">
        <v>4</v>
      </c>
      <c r="D41" s="117"/>
      <c r="E41" s="111" t="s">
        <v>554</v>
      </c>
      <c r="F41" s="83">
        <v>12912.4</v>
      </c>
      <c r="G41" s="83">
        <v>8496.9</v>
      </c>
      <c r="H41" s="83">
        <v>8496.9</v>
      </c>
      <c r="I41" s="83">
        <v>8496.9</v>
      </c>
      <c r="J41" s="83">
        <v>8496.9</v>
      </c>
      <c r="K41" s="123" t="s">
        <v>1255</v>
      </c>
      <c r="L41" s="27" t="s">
        <v>13</v>
      </c>
      <c r="M41" s="124">
        <v>6224</v>
      </c>
      <c r="N41" s="124">
        <v>2085</v>
      </c>
      <c r="O41" s="124">
        <v>2738</v>
      </c>
      <c r="P41" s="124">
        <v>2738</v>
      </c>
      <c r="Q41" s="124">
        <v>2738</v>
      </c>
    </row>
    <row r="42" spans="1:17" s="93" customFormat="1" ht="45" x14ac:dyDescent="0.25">
      <c r="A42" s="1435"/>
      <c r="B42" s="340"/>
      <c r="C42" s="116">
        <v>5</v>
      </c>
      <c r="D42" s="117"/>
      <c r="E42" s="111" t="s">
        <v>1253</v>
      </c>
      <c r="F42" s="83">
        <v>611.29999999999995</v>
      </c>
      <c r="G42" s="83">
        <v>374</v>
      </c>
      <c r="H42" s="83">
        <v>374</v>
      </c>
      <c r="I42" s="83">
        <v>374</v>
      </c>
      <c r="J42" s="83">
        <v>374</v>
      </c>
      <c r="K42" s="123" t="s">
        <v>563</v>
      </c>
      <c r="L42" s="104" t="s">
        <v>564</v>
      </c>
      <c r="M42" s="19">
        <v>2</v>
      </c>
      <c r="N42" s="19">
        <v>2</v>
      </c>
      <c r="O42" s="19">
        <v>2</v>
      </c>
      <c r="P42" s="19">
        <v>2</v>
      </c>
      <c r="Q42" s="19">
        <v>2</v>
      </c>
    </row>
    <row r="43" spans="1:17" s="93" customFormat="1" ht="30" x14ac:dyDescent="0.25">
      <c r="A43" s="1435"/>
      <c r="B43" s="340"/>
      <c r="C43" s="116">
        <v>6</v>
      </c>
      <c r="D43" s="117"/>
      <c r="E43" s="111" t="s">
        <v>555</v>
      </c>
      <c r="F43" s="83">
        <v>169045.6</v>
      </c>
      <c r="G43" s="83">
        <v>15611.8</v>
      </c>
      <c r="H43" s="83">
        <v>15611.8</v>
      </c>
      <c r="I43" s="83">
        <v>15611.8</v>
      </c>
      <c r="J43" s="83">
        <v>15611.8</v>
      </c>
      <c r="K43" s="123" t="s">
        <v>565</v>
      </c>
      <c r="L43" s="104" t="s">
        <v>12</v>
      </c>
      <c r="M43" s="125">
        <v>2</v>
      </c>
      <c r="N43" s="19">
        <v>2</v>
      </c>
      <c r="O43" s="19">
        <v>6</v>
      </c>
      <c r="P43" s="19">
        <v>6</v>
      </c>
      <c r="Q43" s="19">
        <v>6</v>
      </c>
    </row>
    <row r="44" spans="1:17" s="93" customFormat="1" ht="30" x14ac:dyDescent="0.25">
      <c r="A44" s="1435"/>
      <c r="B44" s="340"/>
      <c r="C44" s="116">
        <v>7</v>
      </c>
      <c r="D44" s="730"/>
      <c r="E44" s="126" t="s">
        <v>556</v>
      </c>
      <c r="F44" s="83">
        <v>19000</v>
      </c>
      <c r="G44" s="83">
        <v>19000</v>
      </c>
      <c r="H44" s="83">
        <v>13474</v>
      </c>
      <c r="I44" s="83">
        <v>13474</v>
      </c>
      <c r="J44" s="83">
        <v>13474</v>
      </c>
      <c r="K44" s="101" t="s">
        <v>568</v>
      </c>
      <c r="L44" s="104" t="s">
        <v>14</v>
      </c>
      <c r="M44" s="136">
        <v>0.156</v>
      </c>
      <c r="N44" s="136">
        <v>0.224</v>
      </c>
      <c r="O44" s="136">
        <v>0.21530621140369624</v>
      </c>
      <c r="P44" s="136">
        <v>0.21530621140369624</v>
      </c>
      <c r="Q44" s="136">
        <v>0.21530621140369624</v>
      </c>
    </row>
    <row r="45" spans="1:17" s="93" customFormat="1" ht="30" x14ac:dyDescent="0.25">
      <c r="A45" s="1435"/>
      <c r="B45" s="340"/>
      <c r="C45" s="116">
        <v>8</v>
      </c>
      <c r="D45" s="730"/>
      <c r="E45" s="126" t="s">
        <v>1393</v>
      </c>
      <c r="F45" s="83">
        <v>282470.7</v>
      </c>
      <c r="G45" s="83">
        <v>313921.3</v>
      </c>
      <c r="H45" s="83">
        <v>331429.90000000002</v>
      </c>
      <c r="I45" s="83">
        <v>338008.5</v>
      </c>
      <c r="J45" s="83">
        <v>346924.4</v>
      </c>
      <c r="K45" s="134" t="s">
        <v>282</v>
      </c>
      <c r="L45" s="27" t="s">
        <v>14</v>
      </c>
      <c r="M45" s="135">
        <v>1</v>
      </c>
      <c r="N45" s="135">
        <v>1</v>
      </c>
      <c r="O45" s="135">
        <v>1</v>
      </c>
      <c r="P45" s="135">
        <v>1</v>
      </c>
      <c r="Q45" s="135">
        <v>1</v>
      </c>
    </row>
    <row r="46" spans="1:17" s="93" customFormat="1" ht="30" customHeight="1" x14ac:dyDescent="0.25">
      <c r="A46" s="1435"/>
      <c r="B46" s="1118"/>
      <c r="C46" s="1459">
        <v>9</v>
      </c>
      <c r="D46" s="1410"/>
      <c r="E46" s="1275" t="s">
        <v>557</v>
      </c>
      <c r="F46" s="1286">
        <v>100761.7</v>
      </c>
      <c r="G46" s="1286">
        <v>88066.8</v>
      </c>
      <c r="H46" s="1286">
        <v>123660</v>
      </c>
      <c r="I46" s="1286">
        <v>136874.4</v>
      </c>
      <c r="J46" s="1286">
        <v>138174.20000000001</v>
      </c>
      <c r="K46" s="106" t="s">
        <v>569</v>
      </c>
      <c r="L46" s="104" t="s">
        <v>12</v>
      </c>
      <c r="M46" s="102">
        <v>118</v>
      </c>
      <c r="N46" s="102">
        <v>124</v>
      </c>
      <c r="O46" s="102">
        <v>118</v>
      </c>
      <c r="P46" s="102">
        <v>118</v>
      </c>
      <c r="Q46" s="102">
        <v>118</v>
      </c>
    </row>
    <row r="47" spans="1:17" s="93" customFormat="1" ht="45" x14ac:dyDescent="0.25">
      <c r="A47" s="1435"/>
      <c r="B47" s="1119"/>
      <c r="C47" s="1460"/>
      <c r="D47" s="1411"/>
      <c r="E47" s="1276"/>
      <c r="F47" s="1287"/>
      <c r="G47" s="1287"/>
      <c r="H47" s="1287"/>
      <c r="I47" s="1287"/>
      <c r="J47" s="1287"/>
      <c r="K47" s="137" t="s">
        <v>570</v>
      </c>
      <c r="L47" s="104" t="s">
        <v>12</v>
      </c>
      <c r="M47" s="102">
        <v>44</v>
      </c>
      <c r="N47" s="102">
        <v>66</v>
      </c>
      <c r="O47" s="102">
        <v>24</v>
      </c>
      <c r="P47" s="102">
        <v>24</v>
      </c>
      <c r="Q47" s="102">
        <v>24</v>
      </c>
    </row>
    <row r="48" spans="1:17" s="93" customFormat="1" ht="45" x14ac:dyDescent="0.25">
      <c r="A48" s="1435"/>
      <c r="B48" s="23" t="s">
        <v>719</v>
      </c>
      <c r="C48" s="129">
        <v>1</v>
      </c>
      <c r="D48" s="730"/>
      <c r="E48" s="130" t="s">
        <v>1931</v>
      </c>
      <c r="F48" s="83">
        <v>4750</v>
      </c>
      <c r="G48" s="83">
        <v>6000</v>
      </c>
      <c r="H48" s="83">
        <v>6000</v>
      </c>
      <c r="I48" s="83">
        <v>6000</v>
      </c>
      <c r="J48" s="83">
        <v>6000</v>
      </c>
      <c r="K48" s="101" t="s">
        <v>566</v>
      </c>
      <c r="L48" s="27" t="s">
        <v>14</v>
      </c>
      <c r="M48" s="131">
        <v>0.38320358194506071</v>
      </c>
      <c r="N48" s="132">
        <v>0.31578947368421051</v>
      </c>
      <c r="O48" s="132">
        <v>0.30978454484905749</v>
      </c>
      <c r="P48" s="132">
        <v>0.30664813149071873</v>
      </c>
      <c r="Q48" s="132">
        <v>0.30361453099145325</v>
      </c>
    </row>
    <row r="49" spans="1:17" s="93" customFormat="1" ht="30" x14ac:dyDescent="0.25">
      <c r="A49" s="1435"/>
      <c r="B49" s="340"/>
      <c r="C49" s="129">
        <v>2</v>
      </c>
      <c r="D49" s="730"/>
      <c r="E49" s="133" t="s">
        <v>1932</v>
      </c>
      <c r="F49" s="83"/>
      <c r="G49" s="83">
        <v>1500</v>
      </c>
      <c r="H49" s="83">
        <v>1500</v>
      </c>
      <c r="I49" s="83">
        <v>1500</v>
      </c>
      <c r="J49" s="83">
        <v>1500</v>
      </c>
      <c r="K49" s="101" t="s">
        <v>566</v>
      </c>
      <c r="L49" s="34" t="s">
        <v>14</v>
      </c>
      <c r="M49" s="131"/>
      <c r="N49" s="132">
        <v>7.8947368421052627E-2</v>
      </c>
      <c r="O49" s="132">
        <v>7.7446136212264372E-2</v>
      </c>
      <c r="P49" s="132">
        <v>7.6662032872679683E-2</v>
      </c>
      <c r="Q49" s="132">
        <v>7.5903632747863312E-2</v>
      </c>
    </row>
    <row r="50" spans="1:17" s="93" customFormat="1" ht="45" x14ac:dyDescent="0.25">
      <c r="A50" s="1435"/>
      <c r="B50" s="340"/>
      <c r="C50" s="129">
        <v>3</v>
      </c>
      <c r="D50" s="730"/>
      <c r="E50" s="111" t="s">
        <v>1933</v>
      </c>
      <c r="F50" s="83">
        <v>7645.5</v>
      </c>
      <c r="G50" s="83">
        <v>11500</v>
      </c>
      <c r="H50" s="83">
        <v>11868.3</v>
      </c>
      <c r="I50" s="83">
        <v>12066.4</v>
      </c>
      <c r="J50" s="83">
        <v>12261.9</v>
      </c>
      <c r="K50" s="101" t="s">
        <v>566</v>
      </c>
      <c r="L50" s="34" t="s">
        <v>14</v>
      </c>
      <c r="M50" s="131">
        <v>0.61679641805493934</v>
      </c>
      <c r="N50" s="132">
        <v>0.60526315789473684</v>
      </c>
      <c r="O50" s="132">
        <v>0.61276931893867814</v>
      </c>
      <c r="P50" s="132">
        <v>0.6166898356366014</v>
      </c>
      <c r="Q50" s="132">
        <v>0.62048183626068332</v>
      </c>
    </row>
    <row r="51" spans="1:17" s="93" customFormat="1" x14ac:dyDescent="0.25">
      <c r="A51" s="1435"/>
      <c r="B51" s="1099" t="s">
        <v>720</v>
      </c>
      <c r="C51" s="1458">
        <v>1</v>
      </c>
      <c r="D51" s="1410"/>
      <c r="E51" s="1129" t="s">
        <v>558</v>
      </c>
      <c r="F51" s="1286">
        <v>30768.6</v>
      </c>
      <c r="G51" s="1286">
        <v>31161.4</v>
      </c>
      <c r="H51" s="1286">
        <v>79147.7</v>
      </c>
      <c r="I51" s="1286">
        <v>84733.5</v>
      </c>
      <c r="J51" s="1286">
        <v>83628.399999999994</v>
      </c>
      <c r="K51" s="1461" t="s">
        <v>567</v>
      </c>
      <c r="L51" s="1090" t="s">
        <v>564</v>
      </c>
      <c r="M51" s="1410">
        <v>273</v>
      </c>
      <c r="N51" s="1410">
        <v>260</v>
      </c>
      <c r="O51" s="1410">
        <v>260</v>
      </c>
      <c r="P51" s="1410">
        <v>260</v>
      </c>
      <c r="Q51" s="1410">
        <v>260</v>
      </c>
    </row>
    <row r="52" spans="1:17" s="93" customFormat="1" ht="33" customHeight="1" x14ac:dyDescent="0.25">
      <c r="A52" s="1435"/>
      <c r="B52" s="1099"/>
      <c r="C52" s="1458"/>
      <c r="D52" s="1411"/>
      <c r="E52" s="1130"/>
      <c r="F52" s="1287"/>
      <c r="G52" s="1287"/>
      <c r="H52" s="1287"/>
      <c r="I52" s="1287"/>
      <c r="J52" s="1287"/>
      <c r="K52" s="1462"/>
      <c r="L52" s="1092"/>
      <c r="M52" s="1411"/>
      <c r="N52" s="1411"/>
      <c r="O52" s="1411"/>
      <c r="P52" s="1411"/>
      <c r="Q52" s="1411"/>
    </row>
    <row r="53" spans="1:17" s="93" customFormat="1" ht="45" x14ac:dyDescent="0.25">
      <c r="A53" s="1435"/>
      <c r="B53" s="23" t="s">
        <v>721</v>
      </c>
      <c r="C53" s="129">
        <v>1</v>
      </c>
      <c r="D53" s="138"/>
      <c r="E53" s="139" t="s">
        <v>559</v>
      </c>
      <c r="F53" s="83">
        <v>7420.5</v>
      </c>
      <c r="G53" s="83">
        <v>7355.8</v>
      </c>
      <c r="H53" s="83">
        <v>10840.4</v>
      </c>
      <c r="I53" s="83">
        <v>9499.5</v>
      </c>
      <c r="J53" s="83">
        <v>11238.4</v>
      </c>
      <c r="K53" s="101" t="s">
        <v>571</v>
      </c>
      <c r="L53" s="34" t="s">
        <v>12</v>
      </c>
      <c r="M53" s="117">
        <v>10</v>
      </c>
      <c r="N53" s="117">
        <v>12</v>
      </c>
      <c r="O53" s="117">
        <v>15</v>
      </c>
      <c r="P53" s="117">
        <v>15</v>
      </c>
      <c r="Q53" s="117">
        <v>15</v>
      </c>
    </row>
    <row r="54" spans="1:17" s="93" customFormat="1" x14ac:dyDescent="0.25">
      <c r="A54" s="1463" t="s">
        <v>15</v>
      </c>
      <c r="B54" s="1463"/>
      <c r="C54" s="1463"/>
      <c r="D54" s="1463"/>
      <c r="E54" s="1463"/>
      <c r="F54" s="109">
        <v>870178.2</v>
      </c>
      <c r="G54" s="109">
        <v>762371.4</v>
      </c>
      <c r="H54" s="109">
        <f>H38+H39+H40+H41+H42+H43+H44+H45+H46+H48+H49+H50+H51+H53</f>
        <v>958625.6</v>
      </c>
      <c r="I54" s="109">
        <f t="shared" ref="I54:J54" si="9">I38+I39+I40+I41+I42+I43+I44+I45+I46+I48+I49+I50+I51+I53</f>
        <v>976316.20000000007</v>
      </c>
      <c r="J54" s="109">
        <f t="shared" si="9"/>
        <v>992957.00000000012</v>
      </c>
      <c r="K54" s="5"/>
      <c r="L54" s="97"/>
      <c r="M54" s="98"/>
      <c r="N54" s="98"/>
      <c r="O54" s="98"/>
      <c r="P54" s="98"/>
      <c r="Q54" s="98"/>
    </row>
    <row r="55" spans="1:17" s="93" customFormat="1" x14ac:dyDescent="0.25">
      <c r="A55" s="1469" t="s">
        <v>1940</v>
      </c>
      <c r="B55" s="1470"/>
      <c r="C55" s="1470"/>
      <c r="D55" s="1470"/>
      <c r="E55" s="1470"/>
      <c r="F55" s="1470"/>
      <c r="G55" s="1470"/>
      <c r="H55" s="1470"/>
      <c r="I55" s="1470"/>
      <c r="J55" s="1470"/>
      <c r="K55" s="1470"/>
      <c r="L55" s="1470"/>
      <c r="M55" s="1470"/>
      <c r="N55" s="1470"/>
      <c r="O55" s="1470"/>
      <c r="P55" s="1470"/>
      <c r="Q55" s="1471"/>
    </row>
    <row r="56" spans="1:17" s="93" customFormat="1" ht="73.5" x14ac:dyDescent="0.25">
      <c r="A56" s="1501">
        <v>16</v>
      </c>
      <c r="B56" s="38" t="s">
        <v>722</v>
      </c>
      <c r="C56" s="38"/>
      <c r="D56" s="38"/>
      <c r="E56" s="39" t="s">
        <v>1246</v>
      </c>
      <c r="F56" s="41">
        <f>SUM(F57:F64)</f>
        <v>174146.1</v>
      </c>
      <c r="G56" s="41">
        <f>SUM(G57:G64)</f>
        <v>201791.4</v>
      </c>
      <c r="H56" s="41">
        <f>SUM(H57:H64)</f>
        <v>216561</v>
      </c>
      <c r="I56" s="41">
        <f>SUM(I57:I64)</f>
        <v>202491.4</v>
      </c>
      <c r="J56" s="41">
        <f>SUM(J57:J64)</f>
        <v>202891.4</v>
      </c>
      <c r="K56" s="42" t="s">
        <v>464</v>
      </c>
      <c r="L56" s="19" t="s">
        <v>14</v>
      </c>
      <c r="M56" s="19">
        <v>1056</v>
      </c>
      <c r="N56" s="19">
        <v>0</v>
      </c>
      <c r="O56" s="19">
        <v>0</v>
      </c>
      <c r="P56" s="19">
        <v>0</v>
      </c>
      <c r="Q56" s="19">
        <v>0</v>
      </c>
    </row>
    <row r="57" spans="1:17" s="93" customFormat="1" ht="45" x14ac:dyDescent="0.25">
      <c r="A57" s="1501"/>
      <c r="B57" s="1288"/>
      <c r="C57" s="43" t="s">
        <v>17</v>
      </c>
      <c r="D57" s="38"/>
      <c r="E57" s="140" t="s">
        <v>465</v>
      </c>
      <c r="F57" s="44">
        <v>174146.1</v>
      </c>
      <c r="G57" s="44">
        <v>201791.4</v>
      </c>
      <c r="H57" s="44">
        <v>216561</v>
      </c>
      <c r="I57" s="44">
        <v>202491.4</v>
      </c>
      <c r="J57" s="44">
        <v>202891.4</v>
      </c>
      <c r="K57" s="141" t="s">
        <v>466</v>
      </c>
      <c r="L57" s="19" t="s">
        <v>25</v>
      </c>
      <c r="M57" s="19">
        <v>650</v>
      </c>
      <c r="N57" s="33" t="s">
        <v>467</v>
      </c>
      <c r="O57" s="33" t="s">
        <v>467</v>
      </c>
      <c r="P57" s="33" t="s">
        <v>468</v>
      </c>
      <c r="Q57" s="33" t="s">
        <v>468</v>
      </c>
    </row>
    <row r="58" spans="1:17" s="93" customFormat="1" ht="45" hidden="1" x14ac:dyDescent="0.25">
      <c r="A58" s="1501"/>
      <c r="B58" s="1497"/>
      <c r="C58" s="43" t="s">
        <v>18</v>
      </c>
      <c r="D58" s="38"/>
      <c r="E58" s="133" t="s">
        <v>469</v>
      </c>
      <c r="F58" s="44"/>
      <c r="G58" s="44"/>
      <c r="H58" s="45"/>
      <c r="I58" s="45"/>
      <c r="J58" s="45"/>
      <c r="K58" s="133" t="s">
        <v>470</v>
      </c>
      <c r="L58" s="19"/>
      <c r="M58" s="19" t="s">
        <v>306</v>
      </c>
      <c r="N58" s="19" t="s">
        <v>306</v>
      </c>
      <c r="O58" s="19" t="s">
        <v>306</v>
      </c>
      <c r="P58" s="19" t="s">
        <v>306</v>
      </c>
      <c r="Q58" s="19" t="s">
        <v>306</v>
      </c>
    </row>
    <row r="59" spans="1:17" s="93" customFormat="1" ht="45" hidden="1" x14ac:dyDescent="0.25">
      <c r="A59" s="1501"/>
      <c r="B59" s="1497"/>
      <c r="C59" s="43" t="s">
        <v>16</v>
      </c>
      <c r="D59" s="38"/>
      <c r="E59" s="133" t="s">
        <v>471</v>
      </c>
      <c r="F59" s="44"/>
      <c r="G59" s="44"/>
      <c r="H59" s="44"/>
      <c r="I59" s="44"/>
      <c r="J59" s="44"/>
      <c r="K59" s="133" t="s">
        <v>472</v>
      </c>
      <c r="L59" s="19" t="s">
        <v>14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</row>
    <row r="60" spans="1:17" s="93" customFormat="1" ht="45" hidden="1" x14ac:dyDescent="0.25">
      <c r="A60" s="1501"/>
      <c r="B60" s="1497"/>
      <c r="C60" s="43" t="s">
        <v>19</v>
      </c>
      <c r="D60" s="38"/>
      <c r="E60" s="133" t="s">
        <v>473</v>
      </c>
      <c r="F60" s="44"/>
      <c r="G60" s="44"/>
      <c r="H60" s="46"/>
      <c r="I60" s="46"/>
      <c r="J60" s="46"/>
      <c r="K60" s="133" t="s">
        <v>474</v>
      </c>
      <c r="L60" s="19" t="s">
        <v>14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</row>
    <row r="61" spans="1:17" s="93" customFormat="1" ht="60" hidden="1" x14ac:dyDescent="0.25">
      <c r="A61" s="1501"/>
      <c r="B61" s="1497"/>
      <c r="C61" s="43" t="s">
        <v>20</v>
      </c>
      <c r="D61" s="38"/>
      <c r="E61" s="133" t="s">
        <v>475</v>
      </c>
      <c r="F61" s="44"/>
      <c r="G61" s="44"/>
      <c r="H61" s="46"/>
      <c r="I61" s="46"/>
      <c r="J61" s="46"/>
      <c r="K61" s="133" t="s">
        <v>476</v>
      </c>
      <c r="L61" s="47" t="s">
        <v>26</v>
      </c>
      <c r="M61" s="19">
        <v>30</v>
      </c>
      <c r="N61" s="19">
        <v>30</v>
      </c>
      <c r="O61" s="19">
        <v>30</v>
      </c>
      <c r="P61" s="19">
        <v>30</v>
      </c>
      <c r="Q61" s="19">
        <v>30</v>
      </c>
    </row>
    <row r="62" spans="1:17" s="93" customFormat="1" ht="30" hidden="1" x14ac:dyDescent="0.25">
      <c r="A62" s="1501"/>
      <c r="B62" s="1497"/>
      <c r="C62" s="43" t="s">
        <v>21</v>
      </c>
      <c r="D62" s="38"/>
      <c r="E62" s="111" t="s">
        <v>477</v>
      </c>
      <c r="F62" s="44"/>
      <c r="G62" s="44"/>
      <c r="H62" s="46"/>
      <c r="I62" s="46"/>
      <c r="J62" s="46"/>
      <c r="K62" s="133" t="s">
        <v>478</v>
      </c>
      <c r="L62" s="47" t="s">
        <v>25</v>
      </c>
      <c r="M62" s="19">
        <v>14</v>
      </c>
      <c r="N62" s="19">
        <v>14</v>
      </c>
      <c r="O62" s="19"/>
      <c r="P62" s="19"/>
      <c r="Q62" s="19"/>
    </row>
    <row r="63" spans="1:17" s="93" customFormat="1" ht="30" hidden="1" x14ac:dyDescent="0.25">
      <c r="A63" s="1501"/>
      <c r="B63" s="1497"/>
      <c r="C63" s="43" t="s">
        <v>22</v>
      </c>
      <c r="D63" s="38"/>
      <c r="E63" s="111" t="s">
        <v>479</v>
      </c>
      <c r="F63" s="44"/>
      <c r="G63" s="44"/>
      <c r="H63" s="46"/>
      <c r="I63" s="46"/>
      <c r="J63" s="46"/>
      <c r="K63" s="133" t="s">
        <v>480</v>
      </c>
      <c r="L63" s="47" t="s">
        <v>25</v>
      </c>
      <c r="M63" s="19">
        <v>278</v>
      </c>
      <c r="N63" s="19">
        <v>280</v>
      </c>
      <c r="O63" s="19"/>
      <c r="P63" s="19"/>
      <c r="Q63" s="19"/>
    </row>
    <row r="64" spans="1:17" s="93" customFormat="1" hidden="1" x14ac:dyDescent="0.25">
      <c r="A64" s="1501"/>
      <c r="B64" s="1289"/>
      <c r="C64" s="43" t="s">
        <v>23</v>
      </c>
      <c r="D64" s="38"/>
      <c r="E64" s="133" t="s">
        <v>481</v>
      </c>
      <c r="F64" s="44"/>
      <c r="G64" s="44"/>
      <c r="H64" s="46"/>
      <c r="I64" s="46"/>
      <c r="J64" s="46"/>
      <c r="K64" s="133" t="s">
        <v>482</v>
      </c>
      <c r="L64" s="47" t="s">
        <v>25</v>
      </c>
      <c r="M64" s="19">
        <v>88</v>
      </c>
      <c r="N64" s="19">
        <v>90</v>
      </c>
      <c r="O64" s="19"/>
      <c r="P64" s="19"/>
      <c r="Q64" s="19"/>
    </row>
    <row r="65" spans="1:19" s="93" customFormat="1" x14ac:dyDescent="0.25">
      <c r="A65" s="1463" t="s">
        <v>15</v>
      </c>
      <c r="B65" s="1463"/>
      <c r="C65" s="1463"/>
      <c r="D65" s="1463"/>
      <c r="E65" s="1463"/>
      <c r="F65" s="31">
        <f>F56</f>
        <v>174146.1</v>
      </c>
      <c r="G65" s="31">
        <f t="shared" ref="G65:J65" si="10">G56</f>
        <v>201791.4</v>
      </c>
      <c r="H65" s="31">
        <f>H56</f>
        <v>216561</v>
      </c>
      <c r="I65" s="31">
        <f t="shared" si="10"/>
        <v>202491.4</v>
      </c>
      <c r="J65" s="31">
        <f t="shared" si="10"/>
        <v>202891.4</v>
      </c>
      <c r="K65" s="48"/>
      <c r="L65" s="49"/>
      <c r="M65" s="49"/>
      <c r="N65" s="49"/>
      <c r="O65" s="49"/>
      <c r="P65" s="49"/>
      <c r="Q65" s="49"/>
    </row>
    <row r="66" spans="1:19" s="93" customFormat="1" x14ac:dyDescent="0.25">
      <c r="A66" s="1466" t="s">
        <v>483</v>
      </c>
      <c r="B66" s="1467"/>
      <c r="C66" s="1467"/>
      <c r="D66" s="1467"/>
      <c r="E66" s="1467"/>
      <c r="F66" s="1467"/>
      <c r="G66" s="1467"/>
      <c r="H66" s="1467"/>
      <c r="I66" s="1467"/>
      <c r="J66" s="1467"/>
      <c r="K66" s="1467"/>
      <c r="L66" s="1467"/>
      <c r="M66" s="1467"/>
      <c r="N66" s="1467"/>
      <c r="O66" s="1467"/>
      <c r="P66" s="1467"/>
      <c r="Q66" s="1468"/>
    </row>
    <row r="67" spans="1:19" s="93" customFormat="1" ht="88.5" x14ac:dyDescent="0.25">
      <c r="A67" s="1503">
        <v>16</v>
      </c>
      <c r="B67" s="50" t="s">
        <v>8</v>
      </c>
      <c r="C67" s="50"/>
      <c r="D67" s="50"/>
      <c r="E67" s="39" t="s">
        <v>1247</v>
      </c>
      <c r="F67" s="41">
        <f>SUM(F68:F71)</f>
        <v>14277.5</v>
      </c>
      <c r="G67" s="41">
        <f>SUM(G68:G71)</f>
        <v>13914.1</v>
      </c>
      <c r="H67" s="41">
        <f t="shared" ref="H67:J67" si="11">H68</f>
        <v>13914.1</v>
      </c>
      <c r="I67" s="41">
        <f t="shared" si="11"/>
        <v>13914.1</v>
      </c>
      <c r="J67" s="41">
        <f t="shared" si="11"/>
        <v>15090.7</v>
      </c>
      <c r="K67" s="42" t="s">
        <v>484</v>
      </c>
      <c r="L67" s="40" t="s">
        <v>14</v>
      </c>
      <c r="M67" s="40">
        <v>4.9000000000000004</v>
      </c>
      <c r="N67" s="40">
        <v>4.9000000000000004</v>
      </c>
      <c r="O67" s="40">
        <v>4.9000000000000004</v>
      </c>
      <c r="P67" s="40">
        <v>4.9000000000000004</v>
      </c>
      <c r="Q67" s="40">
        <v>4.9000000000000004</v>
      </c>
    </row>
    <row r="68" spans="1:19" s="93" customFormat="1" ht="45" x14ac:dyDescent="0.25">
      <c r="A68" s="1504"/>
      <c r="B68" s="33"/>
      <c r="C68" s="33" t="s">
        <v>17</v>
      </c>
      <c r="D68" s="33"/>
      <c r="E68" s="103" t="s">
        <v>10</v>
      </c>
      <c r="F68" s="44">
        <v>14277.5</v>
      </c>
      <c r="G68" s="44">
        <v>13914.1</v>
      </c>
      <c r="H68" s="44">
        <f>13414.1+500</f>
        <v>13914.1</v>
      </c>
      <c r="I68" s="44">
        <v>13914.1</v>
      </c>
      <c r="J68" s="44">
        <v>15090.7</v>
      </c>
      <c r="K68" s="140" t="s">
        <v>485</v>
      </c>
      <c r="L68" s="19" t="s">
        <v>25</v>
      </c>
      <c r="M68" s="19">
        <v>4.9000000000000004</v>
      </c>
      <c r="N68" s="19">
        <v>4.9000000000000004</v>
      </c>
      <c r="O68" s="19">
        <v>4.9000000000000004</v>
      </c>
      <c r="P68" s="19">
        <v>4.9000000000000004</v>
      </c>
      <c r="Q68" s="19">
        <v>4.9000000000000004</v>
      </c>
    </row>
    <row r="69" spans="1:19" s="93" customFormat="1" ht="45" hidden="1" x14ac:dyDescent="0.25">
      <c r="A69" s="1504"/>
      <c r="B69" s="33"/>
      <c r="C69" s="33" t="s">
        <v>18</v>
      </c>
      <c r="D69" s="33"/>
      <c r="E69" s="140" t="s">
        <v>275</v>
      </c>
      <c r="F69" s="44"/>
      <c r="G69" s="44"/>
      <c r="H69" s="44"/>
      <c r="I69" s="44"/>
      <c r="J69" s="44"/>
      <c r="K69" s="140" t="s">
        <v>486</v>
      </c>
      <c r="L69" s="19" t="s">
        <v>14</v>
      </c>
      <c r="M69" s="19"/>
      <c r="N69" s="19"/>
      <c r="O69" s="19"/>
      <c r="P69" s="19"/>
      <c r="Q69" s="19"/>
    </row>
    <row r="70" spans="1:19" s="93" customFormat="1" ht="30" hidden="1" x14ac:dyDescent="0.25">
      <c r="A70" s="1504"/>
      <c r="B70" s="33"/>
      <c r="C70" s="33" t="s">
        <v>16</v>
      </c>
      <c r="D70" s="33"/>
      <c r="E70" s="140" t="s">
        <v>276</v>
      </c>
      <c r="F70" s="44"/>
      <c r="G70" s="44"/>
      <c r="H70" s="44"/>
      <c r="I70" s="44"/>
      <c r="J70" s="44"/>
      <c r="K70" s="140" t="s">
        <v>487</v>
      </c>
      <c r="L70" s="19" t="s">
        <v>14</v>
      </c>
      <c r="M70" s="19"/>
      <c r="N70" s="19"/>
      <c r="O70" s="19"/>
      <c r="P70" s="19"/>
      <c r="Q70" s="19"/>
    </row>
    <row r="71" spans="1:19" s="93" customFormat="1" ht="30" hidden="1" x14ac:dyDescent="0.25">
      <c r="A71" s="1504"/>
      <c r="B71" s="33"/>
      <c r="C71" s="33" t="s">
        <v>19</v>
      </c>
      <c r="D71" s="33"/>
      <c r="E71" s="140" t="s">
        <v>488</v>
      </c>
      <c r="F71" s="44"/>
      <c r="G71" s="44"/>
      <c r="H71" s="44"/>
      <c r="I71" s="44"/>
      <c r="J71" s="44"/>
      <c r="K71" s="140" t="s">
        <v>489</v>
      </c>
      <c r="L71" s="19" t="s">
        <v>25</v>
      </c>
      <c r="M71" s="19"/>
      <c r="N71" s="19"/>
      <c r="O71" s="19"/>
      <c r="P71" s="19"/>
      <c r="Q71" s="19"/>
    </row>
    <row r="72" spans="1:19" s="93" customFormat="1" ht="83.25" customHeight="1" x14ac:dyDescent="0.25">
      <c r="A72" s="1504"/>
      <c r="B72" s="38" t="s">
        <v>1437</v>
      </c>
      <c r="C72" s="38"/>
      <c r="D72" s="38"/>
      <c r="E72" s="39" t="s">
        <v>1259</v>
      </c>
      <c r="F72" s="41">
        <f>SUM(F73:F75)</f>
        <v>8076.3</v>
      </c>
      <c r="G72" s="41">
        <f>SUM(G73:G75)</f>
        <v>8439.7000000000007</v>
      </c>
      <c r="H72" s="41">
        <f>H73+H74+H75</f>
        <v>16879.400000000001</v>
      </c>
      <c r="I72" s="41">
        <f t="shared" ref="I72:J72" si="12">I73+I74+I75</f>
        <v>16445.8</v>
      </c>
      <c r="J72" s="41">
        <f t="shared" si="12"/>
        <v>15279.4</v>
      </c>
      <c r="K72" s="42" t="s">
        <v>490</v>
      </c>
      <c r="L72" s="19" t="s">
        <v>25</v>
      </c>
      <c r="M72" s="19">
        <v>2300</v>
      </c>
      <c r="N72" s="19">
        <v>2500</v>
      </c>
      <c r="O72" s="19">
        <v>2600</v>
      </c>
      <c r="P72" s="19">
        <v>2600</v>
      </c>
      <c r="Q72" s="19">
        <v>2600</v>
      </c>
    </row>
    <row r="73" spans="1:19" s="93" customFormat="1" ht="30" x14ac:dyDescent="0.25">
      <c r="A73" s="1504"/>
      <c r="B73" s="51"/>
      <c r="C73" s="43" t="s">
        <v>17</v>
      </c>
      <c r="D73" s="51"/>
      <c r="E73" s="111" t="s">
        <v>491</v>
      </c>
      <c r="F73" s="44">
        <v>8076.3</v>
      </c>
      <c r="G73" s="44">
        <v>8439.7000000000007</v>
      </c>
      <c r="H73" s="44">
        <v>16879.400000000001</v>
      </c>
      <c r="I73" s="44">
        <v>16445.8</v>
      </c>
      <c r="J73" s="44">
        <v>15279.4</v>
      </c>
      <c r="K73" s="140" t="s">
        <v>492</v>
      </c>
      <c r="L73" s="32" t="s">
        <v>12</v>
      </c>
      <c r="M73" s="32">
        <v>2300</v>
      </c>
      <c r="N73" s="32">
        <v>2500</v>
      </c>
      <c r="O73" s="32">
        <v>2600</v>
      </c>
      <c r="P73" s="32">
        <v>2600</v>
      </c>
      <c r="Q73" s="32">
        <v>2600</v>
      </c>
    </row>
    <row r="74" spans="1:19" s="93" customFormat="1" ht="30" hidden="1" x14ac:dyDescent="0.25">
      <c r="A74" s="1504"/>
      <c r="B74" s="51"/>
      <c r="C74" s="43" t="s">
        <v>18</v>
      </c>
      <c r="D74" s="51"/>
      <c r="E74" s="111" t="s">
        <v>493</v>
      </c>
      <c r="F74" s="44"/>
      <c r="G74" s="44"/>
      <c r="H74" s="44"/>
      <c r="I74" s="44"/>
      <c r="J74" s="44"/>
      <c r="K74" s="140"/>
      <c r="L74" s="32"/>
      <c r="M74" s="32"/>
      <c r="N74" s="32"/>
      <c r="O74" s="32"/>
      <c r="P74" s="32"/>
      <c r="Q74" s="32"/>
    </row>
    <row r="75" spans="1:19" s="93" customFormat="1" ht="90" hidden="1" x14ac:dyDescent="0.25">
      <c r="A75" s="1505"/>
      <c r="B75" s="51"/>
      <c r="C75" s="43" t="s">
        <v>16</v>
      </c>
      <c r="D75" s="51"/>
      <c r="E75" s="111" t="s">
        <v>494</v>
      </c>
      <c r="F75" s="44"/>
      <c r="G75" s="44"/>
      <c r="H75" s="44"/>
      <c r="I75" s="44"/>
      <c r="J75" s="44"/>
      <c r="K75" s="111" t="s">
        <v>495</v>
      </c>
      <c r="L75" s="52" t="s">
        <v>449</v>
      </c>
      <c r="M75" s="52"/>
      <c r="N75" s="52"/>
      <c r="O75" s="52"/>
      <c r="P75" s="52"/>
      <c r="Q75" s="52"/>
    </row>
    <row r="76" spans="1:19" s="93" customFormat="1" x14ac:dyDescent="0.25">
      <c r="A76" s="1463" t="s">
        <v>15</v>
      </c>
      <c r="B76" s="1463"/>
      <c r="C76" s="1463"/>
      <c r="D76" s="1463"/>
      <c r="E76" s="1463"/>
      <c r="F76" s="31">
        <f>F67+F72</f>
        <v>22353.8</v>
      </c>
      <c r="G76" s="31">
        <f t="shared" ref="G76:J76" si="13">G67+G72</f>
        <v>22353.800000000003</v>
      </c>
      <c r="H76" s="31">
        <f>H67+H72</f>
        <v>30793.5</v>
      </c>
      <c r="I76" s="31">
        <f t="shared" si="13"/>
        <v>30359.9</v>
      </c>
      <c r="J76" s="31">
        <f t="shared" si="13"/>
        <v>30370.1</v>
      </c>
      <c r="K76" s="48"/>
      <c r="L76" s="49"/>
      <c r="M76" s="53"/>
      <c r="N76" s="53"/>
      <c r="O76" s="49"/>
      <c r="P76" s="49"/>
      <c r="Q76" s="49"/>
    </row>
    <row r="77" spans="1:19" s="93" customFormat="1" x14ac:dyDescent="0.25">
      <c r="A77" s="1469" t="s">
        <v>1934</v>
      </c>
      <c r="B77" s="1470"/>
      <c r="C77" s="1470"/>
      <c r="D77" s="1470"/>
      <c r="E77" s="1470"/>
      <c r="F77" s="1470"/>
      <c r="G77" s="1470"/>
      <c r="H77" s="1470"/>
      <c r="I77" s="1470"/>
      <c r="J77" s="1470"/>
      <c r="K77" s="1470"/>
      <c r="L77" s="1470"/>
      <c r="M77" s="1470"/>
      <c r="N77" s="1470"/>
      <c r="O77" s="1470"/>
      <c r="P77" s="1470"/>
      <c r="Q77" s="1471"/>
    </row>
    <row r="78" spans="1:19" s="93" customFormat="1" ht="88.5" x14ac:dyDescent="0.25">
      <c r="A78" s="1472">
        <v>16</v>
      </c>
      <c r="B78" s="20" t="s">
        <v>8</v>
      </c>
      <c r="C78" s="20"/>
      <c r="D78" s="20"/>
      <c r="E78" s="142" t="s">
        <v>1263</v>
      </c>
      <c r="F78" s="24">
        <v>113838</v>
      </c>
      <c r="G78" s="24">
        <v>134351.70000000001</v>
      </c>
      <c r="H78" s="24">
        <f>H79+H81</f>
        <v>246005.2</v>
      </c>
      <c r="I78" s="24">
        <f t="shared" ref="I78:J78" si="14">I79+I81</f>
        <v>246635.40000000002</v>
      </c>
      <c r="J78" s="24">
        <f t="shared" si="14"/>
        <v>246905.19999999998</v>
      </c>
      <c r="K78" s="143" t="s">
        <v>1256</v>
      </c>
      <c r="L78" s="25" t="s">
        <v>14</v>
      </c>
      <c r="M78" s="25">
        <v>100</v>
      </c>
      <c r="N78" s="25">
        <v>100</v>
      </c>
      <c r="O78" s="25">
        <v>100</v>
      </c>
      <c r="P78" s="25">
        <v>100</v>
      </c>
      <c r="Q78" s="25">
        <v>100</v>
      </c>
      <c r="S78" s="93" t="s">
        <v>235</v>
      </c>
    </row>
    <row r="79" spans="1:19" s="93" customFormat="1" ht="59.25" x14ac:dyDescent="0.25">
      <c r="A79" s="1473"/>
      <c r="B79" s="147"/>
      <c r="C79" s="21" t="s">
        <v>17</v>
      </c>
      <c r="D79" s="21"/>
      <c r="E79" s="103" t="s">
        <v>10</v>
      </c>
      <c r="F79" s="26">
        <v>44197.4</v>
      </c>
      <c r="G79" s="26">
        <v>55487.8</v>
      </c>
      <c r="H79" s="26">
        <v>111570.7</v>
      </c>
      <c r="I79" s="26">
        <v>111956.7</v>
      </c>
      <c r="J79" s="26">
        <v>111615.9</v>
      </c>
      <c r="K79" s="144" t="s">
        <v>903</v>
      </c>
      <c r="L79" s="27" t="s">
        <v>14</v>
      </c>
      <c r="M79" s="27">
        <v>100</v>
      </c>
      <c r="N79" s="27">
        <v>100</v>
      </c>
      <c r="O79" s="27">
        <v>100</v>
      </c>
      <c r="P79" s="27">
        <v>100</v>
      </c>
      <c r="Q79" s="27">
        <v>100</v>
      </c>
    </row>
    <row r="80" spans="1:19" s="93" customFormat="1" x14ac:dyDescent="0.25">
      <c r="A80" s="1473"/>
      <c r="B80" s="147"/>
      <c r="C80" s="21" t="s">
        <v>23</v>
      </c>
      <c r="D80" s="21"/>
      <c r="E80" s="103" t="s">
        <v>280</v>
      </c>
      <c r="F80" s="26">
        <v>69640.600000000006</v>
      </c>
      <c r="G80" s="26"/>
      <c r="H80" s="26"/>
      <c r="I80" s="26"/>
      <c r="J80" s="26"/>
      <c r="K80" s="144"/>
      <c r="L80" s="27" t="s">
        <v>14</v>
      </c>
      <c r="M80" s="27">
        <v>100</v>
      </c>
      <c r="N80" s="27">
        <v>100</v>
      </c>
      <c r="O80" s="27"/>
      <c r="P80" s="27"/>
      <c r="Q80" s="27"/>
    </row>
    <row r="81" spans="1:17" s="93" customFormat="1" ht="60" x14ac:dyDescent="0.25">
      <c r="A81" s="1473"/>
      <c r="B81" s="147"/>
      <c r="C81" s="21" t="s">
        <v>18</v>
      </c>
      <c r="D81" s="21"/>
      <c r="E81" s="103" t="s">
        <v>404</v>
      </c>
      <c r="F81" s="26"/>
      <c r="G81" s="26">
        <v>61811.4</v>
      </c>
      <c r="H81" s="26">
        <f>142874.2-8439.7</f>
        <v>134434.5</v>
      </c>
      <c r="I81" s="26">
        <f>142901.6-8222.9</f>
        <v>134678.70000000001</v>
      </c>
      <c r="J81" s="26">
        <f>142929-7639.7</f>
        <v>135289.29999999999</v>
      </c>
      <c r="K81" s="103" t="s">
        <v>496</v>
      </c>
      <c r="L81" s="27" t="s">
        <v>14</v>
      </c>
      <c r="M81" s="27"/>
      <c r="N81" s="27"/>
      <c r="O81" s="27">
        <v>100</v>
      </c>
      <c r="P81" s="27">
        <v>100</v>
      </c>
      <c r="Q81" s="27">
        <v>100</v>
      </c>
    </row>
    <row r="82" spans="1:17" s="93" customFormat="1" ht="30" hidden="1" customHeight="1" x14ac:dyDescent="0.25">
      <c r="A82" s="1473"/>
      <c r="B82" s="147"/>
      <c r="C82" s="21" t="s">
        <v>16</v>
      </c>
      <c r="D82" s="21"/>
      <c r="E82" s="103" t="s">
        <v>276</v>
      </c>
      <c r="F82" s="26"/>
      <c r="G82" s="26"/>
      <c r="H82" s="26"/>
      <c r="I82" s="26"/>
      <c r="J82" s="26"/>
      <c r="K82" s="103" t="s">
        <v>497</v>
      </c>
      <c r="L82" s="27" t="s">
        <v>14</v>
      </c>
      <c r="M82" s="27"/>
      <c r="N82" s="54"/>
      <c r="O82" s="27"/>
      <c r="P82" s="27"/>
      <c r="Q82" s="27"/>
    </row>
    <row r="83" spans="1:17" s="93" customFormat="1" ht="30" hidden="1" customHeight="1" x14ac:dyDescent="0.25">
      <c r="A83" s="1473"/>
      <c r="B83" s="147"/>
      <c r="C83" s="21" t="s">
        <v>19</v>
      </c>
      <c r="D83" s="21"/>
      <c r="E83" s="103" t="s">
        <v>277</v>
      </c>
      <c r="F83" s="26"/>
      <c r="G83" s="26"/>
      <c r="H83" s="26"/>
      <c r="I83" s="26"/>
      <c r="J83" s="26"/>
      <c r="K83" s="103" t="s">
        <v>284</v>
      </c>
      <c r="L83" s="27" t="s">
        <v>228</v>
      </c>
      <c r="M83" s="27"/>
      <c r="N83" s="27"/>
      <c r="O83" s="27"/>
      <c r="P83" s="27"/>
      <c r="Q83" s="27"/>
    </row>
    <row r="84" spans="1:17" s="93" customFormat="1" ht="30" hidden="1" customHeight="1" x14ac:dyDescent="0.25">
      <c r="A84" s="1473"/>
      <c r="B84" s="147"/>
      <c r="C84" s="21" t="s">
        <v>20</v>
      </c>
      <c r="D84" s="21"/>
      <c r="E84" s="103" t="s">
        <v>278</v>
      </c>
      <c r="F84" s="26"/>
      <c r="G84" s="26"/>
      <c r="H84" s="26"/>
      <c r="I84" s="26"/>
      <c r="J84" s="26"/>
      <c r="K84" s="103" t="s">
        <v>489</v>
      </c>
      <c r="L84" s="27" t="s">
        <v>449</v>
      </c>
      <c r="M84" s="27"/>
      <c r="N84" s="27"/>
      <c r="O84" s="27"/>
      <c r="P84" s="27"/>
      <c r="Q84" s="27"/>
    </row>
    <row r="85" spans="1:17" s="93" customFormat="1" ht="45" hidden="1" customHeight="1" x14ac:dyDescent="0.25">
      <c r="A85" s="1473"/>
      <c r="B85" s="147"/>
      <c r="C85" s="21" t="s">
        <v>21</v>
      </c>
      <c r="D85" s="21"/>
      <c r="E85" s="103" t="s">
        <v>232</v>
      </c>
      <c r="F85" s="26"/>
      <c r="G85" s="26"/>
      <c r="H85" s="26"/>
      <c r="I85" s="26"/>
      <c r="J85" s="26"/>
      <c r="K85" s="103" t="s">
        <v>498</v>
      </c>
      <c r="L85" s="27" t="s">
        <v>14</v>
      </c>
      <c r="M85" s="27">
        <v>100</v>
      </c>
      <c r="N85" s="27"/>
      <c r="O85" s="27"/>
      <c r="P85" s="27"/>
      <c r="Q85" s="27"/>
    </row>
    <row r="86" spans="1:17" s="93" customFormat="1" ht="60" hidden="1" customHeight="1" x14ac:dyDescent="0.25">
      <c r="A86" s="1473"/>
      <c r="B86" s="147"/>
      <c r="C86" s="21" t="s">
        <v>22</v>
      </c>
      <c r="D86" s="21"/>
      <c r="E86" s="103" t="s">
        <v>279</v>
      </c>
      <c r="F86" s="26"/>
      <c r="G86" s="26"/>
      <c r="H86" s="26"/>
      <c r="I86" s="26"/>
      <c r="J86" s="26"/>
      <c r="K86" s="103" t="s">
        <v>499</v>
      </c>
      <c r="L86" s="27" t="s">
        <v>14</v>
      </c>
      <c r="M86" s="27"/>
      <c r="N86" s="27"/>
      <c r="O86" s="27"/>
      <c r="P86" s="27"/>
      <c r="Q86" s="27"/>
    </row>
    <row r="87" spans="1:17" s="93" customFormat="1" ht="85.5" x14ac:dyDescent="0.25">
      <c r="A87" s="1473"/>
      <c r="B87" s="23" t="s">
        <v>1438</v>
      </c>
      <c r="C87" s="23"/>
      <c r="D87" s="23"/>
      <c r="E87" s="142" t="s">
        <v>1264</v>
      </c>
      <c r="F87" s="24">
        <v>962469.9</v>
      </c>
      <c r="G87" s="24">
        <v>1303962</v>
      </c>
      <c r="H87" s="24">
        <f>H88+H92+H93+H94+H95+H96+H97+H98+H99</f>
        <v>1360736.0999999999</v>
      </c>
      <c r="I87" s="24">
        <f t="shared" ref="I87:J87" si="15">I88+I92+I93+I94+I95+I96+I97+I98+I99</f>
        <v>1349023.7</v>
      </c>
      <c r="J87" s="24">
        <f t="shared" si="15"/>
        <v>1369793.5999999999</v>
      </c>
      <c r="K87" s="143" t="s">
        <v>500</v>
      </c>
      <c r="L87" s="27" t="s">
        <v>501</v>
      </c>
      <c r="M87" s="55">
        <v>4.0999999999999996</v>
      </c>
      <c r="N87" s="55">
        <v>4.2</v>
      </c>
      <c r="O87" s="55">
        <v>4.4000000000000004</v>
      </c>
      <c r="P87" s="55">
        <v>4.4000000000000004</v>
      </c>
      <c r="Q87" s="55">
        <v>4.4000000000000004</v>
      </c>
    </row>
    <row r="88" spans="1:17" s="93" customFormat="1" ht="30" x14ac:dyDescent="0.25">
      <c r="A88" s="1473"/>
      <c r="B88" s="1118"/>
      <c r="C88" s="22" t="s">
        <v>17</v>
      </c>
      <c r="D88" s="22"/>
      <c r="E88" s="103" t="s">
        <v>1257</v>
      </c>
      <c r="F88" s="26">
        <v>4170.3999999999996</v>
      </c>
      <c r="G88" s="26">
        <v>6584.7</v>
      </c>
      <c r="H88" s="28">
        <v>5886.4</v>
      </c>
      <c r="I88" s="28">
        <v>5886.4</v>
      </c>
      <c r="J88" s="28">
        <v>5886.4</v>
      </c>
      <c r="K88" s="145" t="s">
        <v>490</v>
      </c>
      <c r="L88" s="27" t="s">
        <v>14</v>
      </c>
      <c r="M88" s="27">
        <v>100</v>
      </c>
      <c r="N88" s="27">
        <v>100</v>
      </c>
      <c r="O88" s="27">
        <v>100</v>
      </c>
      <c r="P88" s="27">
        <v>100</v>
      </c>
      <c r="Q88" s="27">
        <v>100</v>
      </c>
    </row>
    <row r="89" spans="1:17" s="93" customFormat="1" ht="30" hidden="1" customHeight="1" x14ac:dyDescent="0.25">
      <c r="A89" s="1473"/>
      <c r="B89" s="1475"/>
      <c r="C89" s="22" t="s">
        <v>18</v>
      </c>
      <c r="D89" s="22"/>
      <c r="E89" s="146" t="s">
        <v>502</v>
      </c>
      <c r="F89" s="26"/>
      <c r="G89" s="26"/>
      <c r="H89" s="28"/>
      <c r="I89" s="28"/>
      <c r="J89" s="28"/>
      <c r="K89" s="1465" t="s">
        <v>904</v>
      </c>
      <c r="L89" s="27" t="s">
        <v>449</v>
      </c>
      <c r="M89" s="34">
        <v>36</v>
      </c>
      <c r="N89" s="34"/>
      <c r="O89" s="34"/>
      <c r="P89" s="34"/>
      <c r="Q89" s="34"/>
    </row>
    <row r="90" spans="1:17" s="93" customFormat="1" ht="30" hidden="1" x14ac:dyDescent="0.25">
      <c r="A90" s="1473"/>
      <c r="B90" s="1475"/>
      <c r="C90" s="22" t="s">
        <v>16</v>
      </c>
      <c r="D90" s="22"/>
      <c r="E90" s="146" t="s">
        <v>503</v>
      </c>
      <c r="F90" s="26">
        <v>0</v>
      </c>
      <c r="G90" s="26"/>
      <c r="H90" s="28">
        <v>0</v>
      </c>
      <c r="I90" s="28">
        <v>0</v>
      </c>
      <c r="J90" s="28">
        <v>0</v>
      </c>
      <c r="K90" s="1465"/>
      <c r="L90" s="27" t="s">
        <v>449</v>
      </c>
      <c r="M90" s="34"/>
      <c r="N90" s="34"/>
      <c r="O90" s="34"/>
      <c r="P90" s="34"/>
      <c r="Q90" s="34"/>
    </row>
    <row r="91" spans="1:17" s="93" customFormat="1" hidden="1" x14ac:dyDescent="0.25">
      <c r="A91" s="1473"/>
      <c r="B91" s="1475"/>
      <c r="C91" s="22" t="s">
        <v>19</v>
      </c>
      <c r="D91" s="22"/>
      <c r="E91" s="146" t="s">
        <v>504</v>
      </c>
      <c r="F91" s="26"/>
      <c r="G91" s="26"/>
      <c r="H91" s="28">
        <v>0</v>
      </c>
      <c r="I91" s="28">
        <v>0</v>
      </c>
      <c r="J91" s="28">
        <v>0</v>
      </c>
      <c r="K91" s="1465"/>
      <c r="L91" s="27" t="s">
        <v>449</v>
      </c>
      <c r="M91" s="34">
        <v>18</v>
      </c>
      <c r="N91" s="34"/>
      <c r="O91" s="34"/>
      <c r="P91" s="34"/>
      <c r="Q91" s="34"/>
    </row>
    <row r="92" spans="1:17" s="93" customFormat="1" ht="45" x14ac:dyDescent="0.25">
      <c r="A92" s="1473"/>
      <c r="B92" s="1475"/>
      <c r="C92" s="22" t="s">
        <v>20</v>
      </c>
      <c r="D92" s="22"/>
      <c r="E92" s="146" t="s">
        <v>505</v>
      </c>
      <c r="F92" s="26">
        <v>26933.3</v>
      </c>
      <c r="G92" s="26">
        <v>44447.1</v>
      </c>
      <c r="H92" s="28">
        <v>30393.599999999999</v>
      </c>
      <c r="I92" s="28">
        <v>30393.599999999999</v>
      </c>
      <c r="J92" s="28">
        <v>30393.599999999999</v>
      </c>
      <c r="K92" s="146" t="s">
        <v>506</v>
      </c>
      <c r="L92" s="27" t="s">
        <v>967</v>
      </c>
      <c r="M92" s="27">
        <v>72</v>
      </c>
      <c r="N92" s="27">
        <v>72</v>
      </c>
      <c r="O92" s="27">
        <v>72</v>
      </c>
      <c r="P92" s="27">
        <v>72</v>
      </c>
      <c r="Q92" s="27">
        <v>72</v>
      </c>
    </row>
    <row r="93" spans="1:17" s="93" customFormat="1" ht="72.75" x14ac:dyDescent="0.25">
      <c r="A93" s="1473"/>
      <c r="B93" s="1475"/>
      <c r="C93" s="22" t="s">
        <v>21</v>
      </c>
      <c r="D93" s="22"/>
      <c r="E93" s="146" t="s">
        <v>1258</v>
      </c>
      <c r="F93" s="26">
        <v>5360.6</v>
      </c>
      <c r="G93" s="26">
        <v>5886.4</v>
      </c>
      <c r="H93" s="28">
        <v>0</v>
      </c>
      <c r="I93" s="28">
        <v>0</v>
      </c>
      <c r="J93" s="28">
        <v>0</v>
      </c>
      <c r="K93" s="146" t="s">
        <v>905</v>
      </c>
      <c r="L93" s="27" t="s">
        <v>14</v>
      </c>
      <c r="M93" s="30">
        <v>100</v>
      </c>
      <c r="N93" s="30">
        <v>100</v>
      </c>
      <c r="O93" s="30">
        <v>100</v>
      </c>
      <c r="P93" s="30">
        <v>100</v>
      </c>
      <c r="Q93" s="30">
        <v>100</v>
      </c>
    </row>
    <row r="94" spans="1:17" s="93" customFormat="1" ht="45" x14ac:dyDescent="0.25">
      <c r="A94" s="1473"/>
      <c r="B94" s="1475"/>
      <c r="C94" s="22" t="s">
        <v>22</v>
      </c>
      <c r="D94" s="22"/>
      <c r="E94" s="146" t="s">
        <v>1260</v>
      </c>
      <c r="F94" s="26">
        <v>0</v>
      </c>
      <c r="G94" s="26">
        <v>0</v>
      </c>
      <c r="H94" s="28">
        <v>0</v>
      </c>
      <c r="I94" s="28">
        <v>0</v>
      </c>
      <c r="J94" s="28">
        <v>0</v>
      </c>
      <c r="K94" s="146" t="s">
        <v>1261</v>
      </c>
      <c r="L94" s="27" t="s">
        <v>967</v>
      </c>
      <c r="M94" s="30">
        <v>181</v>
      </c>
      <c r="N94" s="30">
        <v>181</v>
      </c>
      <c r="O94" s="30">
        <v>181</v>
      </c>
      <c r="P94" s="30">
        <v>181</v>
      </c>
      <c r="Q94" s="30">
        <v>181</v>
      </c>
    </row>
    <row r="95" spans="1:17" s="93" customFormat="1" ht="118.5" x14ac:dyDescent="0.25">
      <c r="A95" s="1473"/>
      <c r="B95" s="1475"/>
      <c r="C95" s="22" t="s">
        <v>23</v>
      </c>
      <c r="D95" s="22"/>
      <c r="E95" s="146" t="s">
        <v>507</v>
      </c>
      <c r="F95" s="26">
        <v>353814.6</v>
      </c>
      <c r="G95" s="26">
        <v>711039.1</v>
      </c>
      <c r="H95" s="28">
        <v>769150.7</v>
      </c>
      <c r="I95" s="28">
        <v>757050</v>
      </c>
      <c r="J95" s="28">
        <v>757050</v>
      </c>
      <c r="K95" s="146" t="s">
        <v>1262</v>
      </c>
      <c r="L95" s="27" t="s">
        <v>967</v>
      </c>
      <c r="M95" s="27">
        <v>46</v>
      </c>
      <c r="N95" s="27">
        <v>54</v>
      </c>
      <c r="O95" s="27">
        <v>62</v>
      </c>
      <c r="P95" s="27">
        <v>65</v>
      </c>
      <c r="Q95" s="27">
        <v>68</v>
      </c>
    </row>
    <row r="96" spans="1:17" s="93" customFormat="1" ht="30" x14ac:dyDescent="0.25">
      <c r="A96" s="1473"/>
      <c r="B96" s="1475"/>
      <c r="C96" s="22" t="s">
        <v>27</v>
      </c>
      <c r="D96" s="22"/>
      <c r="E96" s="146" t="s">
        <v>508</v>
      </c>
      <c r="F96" s="26">
        <v>650</v>
      </c>
      <c r="G96" s="26">
        <v>350</v>
      </c>
      <c r="H96" s="28">
        <v>8958.7999999999993</v>
      </c>
      <c r="I96" s="28">
        <v>9347.1</v>
      </c>
      <c r="J96" s="28">
        <v>30117</v>
      </c>
      <c r="K96" s="146" t="s">
        <v>490</v>
      </c>
      <c r="L96" s="27" t="s">
        <v>967</v>
      </c>
      <c r="M96" s="21" t="s">
        <v>509</v>
      </c>
      <c r="N96" s="21" t="s">
        <v>509</v>
      </c>
      <c r="O96" s="21" t="s">
        <v>509</v>
      </c>
      <c r="P96" s="21" t="s">
        <v>509</v>
      </c>
      <c r="Q96" s="21" t="s">
        <v>509</v>
      </c>
    </row>
    <row r="97" spans="1:17" s="93" customFormat="1" ht="30" x14ac:dyDescent="0.25">
      <c r="A97" s="1473"/>
      <c r="B97" s="1475"/>
      <c r="C97" s="22" t="s">
        <v>28</v>
      </c>
      <c r="D97" s="22"/>
      <c r="E97" s="146" t="s">
        <v>510</v>
      </c>
      <c r="F97" s="26">
        <v>53178.2</v>
      </c>
      <c r="G97" s="26">
        <v>48659.199999999997</v>
      </c>
      <c r="H97" s="28">
        <v>49556.1</v>
      </c>
      <c r="I97" s="28">
        <v>49556.1</v>
      </c>
      <c r="J97" s="28">
        <v>49956.1</v>
      </c>
      <c r="K97" s="103" t="s">
        <v>511</v>
      </c>
      <c r="L97" s="27" t="s">
        <v>14</v>
      </c>
      <c r="M97" s="34">
        <v>30</v>
      </c>
      <c r="N97" s="34">
        <v>80</v>
      </c>
      <c r="O97" s="34">
        <v>80</v>
      </c>
      <c r="P97" s="34">
        <v>100</v>
      </c>
      <c r="Q97" s="34">
        <v>100</v>
      </c>
    </row>
    <row r="98" spans="1:17" s="93" customFormat="1" ht="73.5" x14ac:dyDescent="0.25">
      <c r="A98" s="1473"/>
      <c r="B98" s="1475"/>
      <c r="C98" s="22" t="s">
        <v>512</v>
      </c>
      <c r="D98" s="22"/>
      <c r="E98" s="146" t="s">
        <v>513</v>
      </c>
      <c r="F98" s="26">
        <v>82279.3</v>
      </c>
      <c r="G98" s="26">
        <v>77606.600000000006</v>
      </c>
      <c r="H98" s="28">
        <v>78944.7</v>
      </c>
      <c r="I98" s="28">
        <v>78944.7</v>
      </c>
      <c r="J98" s="28">
        <v>78544.7</v>
      </c>
      <c r="K98" s="146" t="s">
        <v>906</v>
      </c>
      <c r="L98" s="27" t="s">
        <v>14</v>
      </c>
      <c r="M98" s="34">
        <v>44</v>
      </c>
      <c r="N98" s="34">
        <v>45</v>
      </c>
      <c r="O98" s="34">
        <v>46</v>
      </c>
      <c r="P98" s="34">
        <v>47</v>
      </c>
      <c r="Q98" s="34">
        <v>48</v>
      </c>
    </row>
    <row r="99" spans="1:17" s="93" customFormat="1" ht="60" x14ac:dyDescent="0.25">
      <c r="A99" s="1473"/>
      <c r="B99" s="1475"/>
      <c r="C99" s="22" t="s">
        <v>29</v>
      </c>
      <c r="D99" s="22"/>
      <c r="E99" s="146" t="s">
        <v>514</v>
      </c>
      <c r="F99" s="26">
        <v>436083.5</v>
      </c>
      <c r="G99" s="26">
        <v>409388.9</v>
      </c>
      <c r="H99" s="28">
        <v>417845.8</v>
      </c>
      <c r="I99" s="28">
        <v>417845.8</v>
      </c>
      <c r="J99" s="28">
        <v>417845.8</v>
      </c>
      <c r="K99" s="146" t="s">
        <v>515</v>
      </c>
      <c r="L99" s="27" t="s">
        <v>14</v>
      </c>
      <c r="M99" s="27">
        <v>11</v>
      </c>
      <c r="N99" s="27">
        <v>9</v>
      </c>
      <c r="O99" s="27">
        <v>2</v>
      </c>
      <c r="P99" s="27">
        <v>2</v>
      </c>
      <c r="Q99" s="27">
        <v>2</v>
      </c>
    </row>
    <row r="100" spans="1:17" s="93" customFormat="1" ht="45" hidden="1" x14ac:dyDescent="0.25">
      <c r="A100" s="1473"/>
      <c r="B100" s="1475"/>
      <c r="C100" s="22" t="s">
        <v>231</v>
      </c>
      <c r="D100" s="22"/>
      <c r="E100" s="146" t="s">
        <v>516</v>
      </c>
      <c r="F100" s="26">
        <v>0</v>
      </c>
      <c r="G100" s="26">
        <v>0</v>
      </c>
      <c r="H100" s="28">
        <v>0</v>
      </c>
      <c r="I100" s="28">
        <v>0</v>
      </c>
      <c r="J100" s="28">
        <v>0</v>
      </c>
      <c r="K100" s="147" t="s">
        <v>517</v>
      </c>
      <c r="L100" s="27" t="s">
        <v>14</v>
      </c>
      <c r="M100" s="27"/>
      <c r="N100" s="27"/>
      <c r="O100" s="27"/>
      <c r="P100" s="27"/>
      <c r="Q100" s="27"/>
    </row>
    <row r="101" spans="1:17" s="93" customFormat="1" ht="45" hidden="1" x14ac:dyDescent="0.25">
      <c r="A101" s="1473"/>
      <c r="B101" s="1475"/>
      <c r="C101" s="22" t="s">
        <v>518</v>
      </c>
      <c r="D101" s="22"/>
      <c r="E101" s="103" t="s">
        <v>519</v>
      </c>
      <c r="F101" s="26">
        <v>0</v>
      </c>
      <c r="G101" s="26">
        <v>0</v>
      </c>
      <c r="H101" s="28">
        <v>0</v>
      </c>
      <c r="I101" s="28">
        <v>0</v>
      </c>
      <c r="J101" s="28">
        <v>0</v>
      </c>
      <c r="K101" s="147" t="s">
        <v>520</v>
      </c>
      <c r="L101" s="27" t="s">
        <v>14</v>
      </c>
      <c r="M101" s="27"/>
      <c r="N101" s="27"/>
      <c r="O101" s="27"/>
      <c r="P101" s="27"/>
      <c r="Q101" s="27"/>
    </row>
    <row r="102" spans="1:17" s="93" customFormat="1" ht="60" hidden="1" x14ac:dyDescent="0.25">
      <c r="A102" s="1473"/>
      <c r="B102" s="1475"/>
      <c r="C102" s="22" t="s">
        <v>521</v>
      </c>
      <c r="D102" s="22"/>
      <c r="E102" s="103" t="s">
        <v>522</v>
      </c>
      <c r="F102" s="26">
        <v>0</v>
      </c>
      <c r="G102" s="26">
        <v>0</v>
      </c>
      <c r="H102" s="28">
        <v>0</v>
      </c>
      <c r="I102" s="28">
        <v>0</v>
      </c>
      <c r="J102" s="28">
        <v>0</v>
      </c>
      <c r="K102" s="146" t="s">
        <v>523</v>
      </c>
      <c r="L102" s="27" t="s">
        <v>14</v>
      </c>
      <c r="M102" s="30">
        <v>30</v>
      </c>
      <c r="N102" s="30"/>
      <c r="O102" s="30"/>
      <c r="P102" s="30"/>
      <c r="Q102" s="30"/>
    </row>
    <row r="103" spans="1:17" s="93" customFormat="1" ht="45" hidden="1" x14ac:dyDescent="0.25">
      <c r="A103" s="1473"/>
      <c r="B103" s="1119"/>
      <c r="C103" s="22" t="s">
        <v>524</v>
      </c>
      <c r="D103" s="22"/>
      <c r="E103" s="103" t="s">
        <v>525</v>
      </c>
      <c r="F103" s="26">
        <v>0</v>
      </c>
      <c r="G103" s="26">
        <v>0</v>
      </c>
      <c r="H103" s="28"/>
      <c r="I103" s="28">
        <v>0</v>
      </c>
      <c r="J103" s="28">
        <v>0</v>
      </c>
      <c r="K103" s="148" t="s">
        <v>526</v>
      </c>
      <c r="L103" s="27" t="s">
        <v>449</v>
      </c>
      <c r="M103" s="29">
        <v>2</v>
      </c>
      <c r="N103" s="29"/>
      <c r="O103" s="29"/>
      <c r="P103" s="29"/>
      <c r="Q103" s="29"/>
    </row>
    <row r="104" spans="1:17" s="93" customFormat="1" ht="89.25" x14ac:dyDescent="0.25">
      <c r="A104" s="1473"/>
      <c r="B104" s="23" t="s">
        <v>1439</v>
      </c>
      <c r="C104" s="23"/>
      <c r="D104" s="23"/>
      <c r="E104" s="142" t="s">
        <v>1265</v>
      </c>
      <c r="F104" s="24">
        <v>369628.5</v>
      </c>
      <c r="G104" s="24">
        <v>407810.8</v>
      </c>
      <c r="H104" s="24">
        <f>H105+H106+H108</f>
        <v>392531.4</v>
      </c>
      <c r="I104" s="24">
        <f t="shared" ref="I104:J104" si="16">I105+I106+I108</f>
        <v>407175.30000000005</v>
      </c>
      <c r="J104" s="24">
        <f t="shared" si="16"/>
        <v>407175.30000000005</v>
      </c>
      <c r="K104" s="143" t="s">
        <v>527</v>
      </c>
      <c r="L104" s="27" t="s">
        <v>14</v>
      </c>
      <c r="M104" s="55"/>
      <c r="N104" s="55">
        <v>40</v>
      </c>
      <c r="O104" s="55">
        <v>60</v>
      </c>
      <c r="P104" s="55">
        <v>70</v>
      </c>
      <c r="Q104" s="55">
        <v>80</v>
      </c>
    </row>
    <row r="105" spans="1:17" s="93" customFormat="1" ht="30" x14ac:dyDescent="0.25">
      <c r="A105" s="1473"/>
      <c r="B105" s="1118"/>
      <c r="C105" s="22" t="s">
        <v>17</v>
      </c>
      <c r="D105" s="22"/>
      <c r="E105" s="103" t="s">
        <v>528</v>
      </c>
      <c r="F105" s="26">
        <v>245525.7</v>
      </c>
      <c r="G105" s="26">
        <v>346154.8</v>
      </c>
      <c r="H105" s="28">
        <v>345895.4</v>
      </c>
      <c r="I105" s="28">
        <v>345895.4</v>
      </c>
      <c r="J105" s="28">
        <v>345895.4</v>
      </c>
      <c r="K105" s="148" t="s">
        <v>529</v>
      </c>
      <c r="L105" s="27" t="s">
        <v>14</v>
      </c>
      <c r="M105" s="29"/>
      <c r="N105" s="34">
        <v>40</v>
      </c>
      <c r="O105" s="34">
        <v>60</v>
      </c>
      <c r="P105" s="34">
        <v>70</v>
      </c>
      <c r="Q105" s="34">
        <v>80</v>
      </c>
    </row>
    <row r="106" spans="1:17" s="93" customFormat="1" ht="75" x14ac:dyDescent="0.25">
      <c r="A106" s="1473"/>
      <c r="B106" s="1475"/>
      <c r="C106" s="22" t="s">
        <v>18</v>
      </c>
      <c r="D106" s="22"/>
      <c r="E106" s="103" t="s">
        <v>530</v>
      </c>
      <c r="F106" s="26">
        <v>45781.8</v>
      </c>
      <c r="G106" s="26">
        <v>41656</v>
      </c>
      <c r="H106" s="28">
        <v>41656</v>
      </c>
      <c r="I106" s="28">
        <v>41656</v>
      </c>
      <c r="J106" s="28">
        <v>41656</v>
      </c>
      <c r="K106" s="148" t="s">
        <v>531</v>
      </c>
      <c r="L106" s="27" t="s">
        <v>14</v>
      </c>
      <c r="M106" s="29"/>
      <c r="N106" s="34">
        <v>45</v>
      </c>
      <c r="O106" s="34">
        <v>46</v>
      </c>
      <c r="P106" s="34">
        <v>47</v>
      </c>
      <c r="Q106" s="34">
        <v>48</v>
      </c>
    </row>
    <row r="107" spans="1:17" s="93" customFormat="1" ht="45" hidden="1" x14ac:dyDescent="0.25">
      <c r="A107" s="1473"/>
      <c r="B107" s="1475"/>
      <c r="C107" s="22" t="s">
        <v>16</v>
      </c>
      <c r="D107" s="22"/>
      <c r="E107" s="103" t="s">
        <v>525</v>
      </c>
      <c r="F107" s="26"/>
      <c r="G107" s="26"/>
      <c r="H107" s="28"/>
      <c r="I107" s="28"/>
      <c r="J107" s="28"/>
      <c r="K107" s="148" t="s">
        <v>532</v>
      </c>
      <c r="L107" s="27" t="s">
        <v>449</v>
      </c>
      <c r="M107" s="29"/>
      <c r="N107" s="34"/>
      <c r="O107" s="34"/>
      <c r="P107" s="34"/>
      <c r="Q107" s="34"/>
    </row>
    <row r="108" spans="1:17" s="93" customFormat="1" ht="60" x14ac:dyDescent="0.25">
      <c r="A108" s="1473"/>
      <c r="B108" s="1119"/>
      <c r="C108" s="22" t="s">
        <v>19</v>
      </c>
      <c r="D108" s="22"/>
      <c r="E108" s="103" t="s">
        <v>1266</v>
      </c>
      <c r="F108" s="26">
        <v>78321</v>
      </c>
      <c r="G108" s="26">
        <v>20000</v>
      </c>
      <c r="H108" s="28">
        <v>4980</v>
      </c>
      <c r="I108" s="28">
        <v>19623.900000000001</v>
      </c>
      <c r="J108" s="28">
        <v>19623.900000000001</v>
      </c>
      <c r="K108" s="148" t="s">
        <v>1267</v>
      </c>
      <c r="L108" s="27" t="s">
        <v>967</v>
      </c>
      <c r="M108" s="29"/>
      <c r="N108" s="34">
        <v>181</v>
      </c>
      <c r="O108" s="34">
        <v>181</v>
      </c>
      <c r="P108" s="34">
        <v>181</v>
      </c>
      <c r="Q108" s="34">
        <v>181</v>
      </c>
    </row>
    <row r="109" spans="1:17" s="93" customFormat="1" ht="42.75" x14ac:dyDescent="0.25">
      <c r="A109" s="1473"/>
      <c r="B109" s="23" t="s">
        <v>1440</v>
      </c>
      <c r="C109" s="22"/>
      <c r="D109" s="22"/>
      <c r="E109" s="142" t="s">
        <v>533</v>
      </c>
      <c r="F109" s="24">
        <v>90429.3</v>
      </c>
      <c r="G109" s="24">
        <v>44677</v>
      </c>
      <c r="H109" s="24">
        <f>H114+H115</f>
        <v>38088.199999999997</v>
      </c>
      <c r="I109" s="24">
        <f t="shared" ref="I109:J109" si="17">I114+I115</f>
        <v>55992.1</v>
      </c>
      <c r="J109" s="24">
        <f t="shared" si="17"/>
        <v>55992.1</v>
      </c>
      <c r="K109" s="149" t="s">
        <v>520</v>
      </c>
      <c r="L109" s="25" t="s">
        <v>14</v>
      </c>
      <c r="M109" s="56"/>
      <c r="N109" s="62">
        <v>100</v>
      </c>
      <c r="O109" s="62">
        <v>100</v>
      </c>
      <c r="P109" s="62">
        <v>100</v>
      </c>
      <c r="Q109" s="62">
        <v>100</v>
      </c>
    </row>
    <row r="110" spans="1:17" s="93" customFormat="1" ht="30" hidden="1" x14ac:dyDescent="0.25">
      <c r="A110" s="1473"/>
      <c r="B110" s="1118"/>
      <c r="C110" s="22" t="s">
        <v>17</v>
      </c>
      <c r="D110" s="22"/>
      <c r="E110" s="103" t="s">
        <v>534</v>
      </c>
      <c r="F110" s="26"/>
      <c r="G110" s="26"/>
      <c r="H110" s="28"/>
      <c r="I110" s="28"/>
      <c r="J110" s="28"/>
      <c r="K110" s="148" t="s">
        <v>520</v>
      </c>
      <c r="L110" s="27" t="s">
        <v>14</v>
      </c>
      <c r="M110" s="29"/>
      <c r="N110" s="34"/>
      <c r="O110" s="34"/>
      <c r="P110" s="34"/>
      <c r="Q110" s="34"/>
    </row>
    <row r="111" spans="1:17" s="93" customFormat="1" ht="60" hidden="1" x14ac:dyDescent="0.25">
      <c r="A111" s="1473"/>
      <c r="B111" s="1475"/>
      <c r="C111" s="22" t="s">
        <v>18</v>
      </c>
      <c r="D111" s="22"/>
      <c r="E111" s="103" t="s">
        <v>535</v>
      </c>
      <c r="F111" s="26"/>
      <c r="G111" s="26"/>
      <c r="H111" s="28"/>
      <c r="I111" s="28"/>
      <c r="J111" s="28"/>
      <c r="K111" s="148" t="s">
        <v>520</v>
      </c>
      <c r="L111" s="27" t="s">
        <v>14</v>
      </c>
      <c r="M111" s="29"/>
      <c r="N111" s="34"/>
      <c r="O111" s="34"/>
      <c r="P111" s="34"/>
      <c r="Q111" s="34"/>
    </row>
    <row r="112" spans="1:17" s="93" customFormat="1" ht="60" hidden="1" x14ac:dyDescent="0.25">
      <c r="A112" s="1473"/>
      <c r="B112" s="1475"/>
      <c r="C112" s="22" t="s">
        <v>16</v>
      </c>
      <c r="D112" s="22"/>
      <c r="E112" s="103" t="s">
        <v>536</v>
      </c>
      <c r="F112" s="26">
        <v>12429.3</v>
      </c>
      <c r="G112" s="26"/>
      <c r="H112" s="28"/>
      <c r="I112" s="28"/>
      <c r="J112" s="28"/>
      <c r="K112" s="148" t="s">
        <v>506</v>
      </c>
      <c r="L112" s="27" t="s">
        <v>449</v>
      </c>
      <c r="M112" s="29"/>
      <c r="N112" s="34">
        <v>72</v>
      </c>
      <c r="O112" s="34"/>
      <c r="P112" s="34"/>
      <c r="Q112" s="34"/>
    </row>
    <row r="113" spans="1:17" s="93" customFormat="1" ht="60" hidden="1" x14ac:dyDescent="0.25">
      <c r="A113" s="1473"/>
      <c r="B113" s="1475"/>
      <c r="C113" s="22" t="s">
        <v>19</v>
      </c>
      <c r="D113" s="22"/>
      <c r="E113" s="103" t="s">
        <v>537</v>
      </c>
      <c r="F113" s="26"/>
      <c r="G113" s="26"/>
      <c r="H113" s="28"/>
      <c r="I113" s="28"/>
      <c r="J113" s="28"/>
      <c r="K113" s="148" t="s">
        <v>520</v>
      </c>
      <c r="L113" s="27" t="s">
        <v>14</v>
      </c>
      <c r="M113" s="29"/>
      <c r="N113" s="34"/>
      <c r="O113" s="34"/>
      <c r="P113" s="34"/>
      <c r="Q113" s="34"/>
    </row>
    <row r="114" spans="1:17" s="93" customFormat="1" ht="45" x14ac:dyDescent="0.25">
      <c r="A114" s="1473"/>
      <c r="B114" s="1475"/>
      <c r="C114" s="22" t="s">
        <v>20</v>
      </c>
      <c r="D114" s="22"/>
      <c r="E114" s="103" t="s">
        <v>1268</v>
      </c>
      <c r="F114" s="26">
        <v>60000</v>
      </c>
      <c r="G114" s="26">
        <v>44527</v>
      </c>
      <c r="H114" s="28">
        <v>37938.199999999997</v>
      </c>
      <c r="I114" s="28">
        <v>25000</v>
      </c>
      <c r="J114" s="28">
        <v>25000</v>
      </c>
      <c r="K114" s="148" t="s">
        <v>520</v>
      </c>
      <c r="L114" s="27" t="s">
        <v>14</v>
      </c>
      <c r="M114" s="29"/>
      <c r="N114" s="34">
        <v>100</v>
      </c>
      <c r="O114" s="34">
        <v>100</v>
      </c>
      <c r="P114" s="34"/>
      <c r="Q114" s="34"/>
    </row>
    <row r="115" spans="1:17" s="93" customFormat="1" ht="90" x14ac:dyDescent="0.25">
      <c r="A115" s="1473"/>
      <c r="B115" s="1475"/>
      <c r="C115" s="22" t="s">
        <v>21</v>
      </c>
      <c r="D115" s="22"/>
      <c r="E115" s="103" t="s">
        <v>1269</v>
      </c>
      <c r="F115" s="26">
        <v>18000</v>
      </c>
      <c r="G115" s="26">
        <v>150</v>
      </c>
      <c r="H115" s="28">
        <v>150</v>
      </c>
      <c r="I115" s="28">
        <v>30992.1</v>
      </c>
      <c r="J115" s="28">
        <v>30992.1</v>
      </c>
      <c r="K115" s="148" t="s">
        <v>520</v>
      </c>
      <c r="L115" s="27" t="s">
        <v>14</v>
      </c>
      <c r="M115" s="29"/>
      <c r="N115" s="34">
        <v>100</v>
      </c>
      <c r="O115" s="34">
        <v>100</v>
      </c>
      <c r="P115" s="34"/>
      <c r="Q115" s="34"/>
    </row>
    <row r="116" spans="1:17" s="93" customFormat="1" ht="75" hidden="1" x14ac:dyDescent="0.25">
      <c r="A116" s="1473"/>
      <c r="B116" s="1475"/>
      <c r="C116" s="22" t="s">
        <v>22</v>
      </c>
      <c r="D116" s="22"/>
      <c r="E116" s="103" t="s">
        <v>538</v>
      </c>
      <c r="F116" s="26"/>
      <c r="G116" s="26"/>
      <c r="H116" s="28"/>
      <c r="I116" s="28"/>
      <c r="J116" s="28"/>
      <c r="K116" s="148" t="s">
        <v>520</v>
      </c>
      <c r="L116" s="27" t="s">
        <v>14</v>
      </c>
      <c r="M116" s="29"/>
      <c r="N116" s="29"/>
      <c r="O116" s="29"/>
      <c r="P116" s="29"/>
      <c r="Q116" s="29"/>
    </row>
    <row r="117" spans="1:17" s="93" customFormat="1" ht="45" hidden="1" x14ac:dyDescent="0.25">
      <c r="A117" s="1473"/>
      <c r="B117" s="1475"/>
      <c r="C117" s="22" t="s">
        <v>23</v>
      </c>
      <c r="D117" s="22"/>
      <c r="E117" s="103" t="s">
        <v>539</v>
      </c>
      <c r="F117" s="26"/>
      <c r="G117" s="26"/>
      <c r="H117" s="28"/>
      <c r="I117" s="28"/>
      <c r="J117" s="28"/>
      <c r="K117" s="148" t="s">
        <v>520</v>
      </c>
      <c r="L117" s="27" t="s">
        <v>14</v>
      </c>
      <c r="M117" s="29"/>
      <c r="N117" s="29"/>
      <c r="O117" s="29"/>
      <c r="P117" s="29"/>
      <c r="Q117" s="29"/>
    </row>
    <row r="118" spans="1:17" s="93" customFormat="1" ht="60" hidden="1" x14ac:dyDescent="0.25">
      <c r="A118" s="1473"/>
      <c r="B118" s="1475"/>
      <c r="C118" s="22" t="s">
        <v>27</v>
      </c>
      <c r="D118" s="22"/>
      <c r="E118" s="103" t="s">
        <v>540</v>
      </c>
      <c r="F118" s="26"/>
      <c r="G118" s="26"/>
      <c r="H118" s="28"/>
      <c r="I118" s="28"/>
      <c r="J118" s="28"/>
      <c r="K118" s="148" t="s">
        <v>520</v>
      </c>
      <c r="L118" s="27" t="s">
        <v>14</v>
      </c>
      <c r="M118" s="29"/>
      <c r="N118" s="29"/>
      <c r="O118" s="29"/>
      <c r="P118" s="29"/>
      <c r="Q118" s="29"/>
    </row>
    <row r="119" spans="1:17" s="93" customFormat="1" ht="30" hidden="1" x14ac:dyDescent="0.25">
      <c r="A119" s="1473"/>
      <c r="B119" s="1475"/>
      <c r="C119" s="22" t="s">
        <v>28</v>
      </c>
      <c r="D119" s="22"/>
      <c r="E119" s="103" t="s">
        <v>541</v>
      </c>
      <c r="F119" s="26"/>
      <c r="G119" s="26"/>
      <c r="H119" s="28"/>
      <c r="I119" s="28"/>
      <c r="J119" s="28"/>
      <c r="K119" s="148" t="s">
        <v>520</v>
      </c>
      <c r="L119" s="27" t="s">
        <v>14</v>
      </c>
      <c r="M119" s="29"/>
      <c r="N119" s="29"/>
      <c r="O119" s="29"/>
      <c r="P119" s="29"/>
      <c r="Q119" s="29"/>
    </row>
    <row r="120" spans="1:17" s="93" customFormat="1" ht="30" hidden="1" x14ac:dyDescent="0.25">
      <c r="A120" s="1473"/>
      <c r="B120" s="1475"/>
      <c r="C120" s="22" t="s">
        <v>512</v>
      </c>
      <c r="D120" s="22"/>
      <c r="E120" s="103" t="s">
        <v>542</v>
      </c>
      <c r="F120" s="26"/>
      <c r="G120" s="26"/>
      <c r="H120" s="28"/>
      <c r="I120" s="28"/>
      <c r="J120" s="28"/>
      <c r="K120" s="148" t="s">
        <v>520</v>
      </c>
      <c r="L120" s="27" t="s">
        <v>14</v>
      </c>
      <c r="M120" s="29"/>
      <c r="N120" s="29"/>
      <c r="O120" s="29"/>
      <c r="P120" s="29"/>
      <c r="Q120" s="29"/>
    </row>
    <row r="121" spans="1:17" s="93" customFormat="1" ht="45" hidden="1" x14ac:dyDescent="0.25">
      <c r="A121" s="1473"/>
      <c r="B121" s="1475"/>
      <c r="C121" s="22" t="s">
        <v>29</v>
      </c>
      <c r="D121" s="22"/>
      <c r="E121" s="103" t="s">
        <v>543</v>
      </c>
      <c r="F121" s="26"/>
      <c r="G121" s="26"/>
      <c r="H121" s="28"/>
      <c r="I121" s="28"/>
      <c r="J121" s="28"/>
      <c r="K121" s="148" t="s">
        <v>520</v>
      </c>
      <c r="L121" s="27" t="s">
        <v>14</v>
      </c>
      <c r="M121" s="29"/>
      <c r="N121" s="29"/>
      <c r="O121" s="29"/>
      <c r="P121" s="29"/>
      <c r="Q121" s="29"/>
    </row>
    <row r="122" spans="1:17" s="93" customFormat="1" ht="45" hidden="1" x14ac:dyDescent="0.25">
      <c r="A122" s="1474"/>
      <c r="B122" s="1119"/>
      <c r="C122" s="22" t="s">
        <v>231</v>
      </c>
      <c r="D122" s="22"/>
      <c r="E122" s="103" t="s">
        <v>544</v>
      </c>
      <c r="F122" s="26"/>
      <c r="G122" s="26"/>
      <c r="H122" s="28"/>
      <c r="I122" s="28"/>
      <c r="J122" s="28"/>
      <c r="K122" s="148" t="s">
        <v>520</v>
      </c>
      <c r="L122" s="27" t="s">
        <v>14</v>
      </c>
      <c r="M122" s="29"/>
      <c r="N122" s="29"/>
      <c r="O122" s="29"/>
      <c r="P122" s="29"/>
      <c r="Q122" s="29"/>
    </row>
    <row r="123" spans="1:17" s="93" customFormat="1" x14ac:dyDescent="0.25">
      <c r="A123" s="1463" t="s">
        <v>15</v>
      </c>
      <c r="B123" s="1463"/>
      <c r="C123" s="1463"/>
      <c r="D123" s="1463"/>
      <c r="E123" s="1464"/>
      <c r="F123" s="31">
        <f>F78+F87+F104+F109</f>
        <v>1536365.7</v>
      </c>
      <c r="G123" s="31">
        <f t="shared" ref="G123:J123" si="18">G78+G87+G104+G109</f>
        <v>1890801.5</v>
      </c>
      <c r="H123" s="31">
        <f>H78+H87+H104+H109</f>
        <v>2037360.8999999997</v>
      </c>
      <c r="I123" s="31">
        <f t="shared" si="18"/>
        <v>2058826.5000000002</v>
      </c>
      <c r="J123" s="31">
        <f t="shared" si="18"/>
        <v>2079866.2</v>
      </c>
      <c r="K123" s="5"/>
      <c r="L123" s="57"/>
      <c r="M123" s="57"/>
      <c r="N123" s="57"/>
      <c r="O123" s="57"/>
      <c r="P123" s="57"/>
      <c r="Q123" s="57"/>
    </row>
    <row r="124" spans="1:17" s="93" customFormat="1" x14ac:dyDescent="0.25">
      <c r="A124" s="1463" t="s">
        <v>545</v>
      </c>
      <c r="B124" s="1463"/>
      <c r="C124" s="1463"/>
      <c r="D124" s="1463"/>
      <c r="E124" s="1464"/>
      <c r="F124" s="31">
        <v>1732865.5999999999</v>
      </c>
      <c r="G124" s="31">
        <v>2114946.7000000002</v>
      </c>
      <c r="H124" s="31">
        <f>H65+H76+H123</f>
        <v>2284715.3999999994</v>
      </c>
      <c r="I124" s="31">
        <f t="shared" ref="I124:J124" si="19">I65+I76+I123</f>
        <v>2291677.8000000003</v>
      </c>
      <c r="J124" s="31">
        <f t="shared" si="19"/>
        <v>2313127.7000000002</v>
      </c>
      <c r="K124" s="5"/>
      <c r="L124" s="57"/>
      <c r="M124" s="57"/>
      <c r="N124" s="57"/>
      <c r="O124" s="57"/>
      <c r="P124" s="57"/>
      <c r="Q124" s="57"/>
    </row>
    <row r="125" spans="1:17" s="93" customFormat="1" x14ac:dyDescent="0.25">
      <c r="A125" s="1380" t="s">
        <v>1941</v>
      </c>
      <c r="B125" s="1381"/>
      <c r="C125" s="1381"/>
      <c r="D125" s="1381"/>
      <c r="E125" s="1381"/>
      <c r="F125" s="1381"/>
      <c r="G125" s="1381"/>
      <c r="H125" s="1381"/>
      <c r="I125" s="1381"/>
      <c r="J125" s="1381"/>
      <c r="K125" s="1381"/>
      <c r="L125" s="1381"/>
      <c r="M125" s="1381"/>
      <c r="N125" s="1381"/>
      <c r="O125" s="1381"/>
      <c r="P125" s="1381"/>
      <c r="Q125" s="1382"/>
    </row>
    <row r="126" spans="1:17" s="93" customFormat="1" ht="74.25" x14ac:dyDescent="0.25">
      <c r="A126" s="1115" t="s">
        <v>462</v>
      </c>
      <c r="B126" s="23" t="s">
        <v>8</v>
      </c>
      <c r="C126" s="340"/>
      <c r="D126" s="340"/>
      <c r="E126" s="150" t="s">
        <v>1271</v>
      </c>
      <c r="F126" s="329">
        <v>78234.100000000006</v>
      </c>
      <c r="G126" s="751">
        <v>132735.70000000001</v>
      </c>
      <c r="H126" s="751">
        <f>H127</f>
        <v>82602.399999999994</v>
      </c>
      <c r="I126" s="751">
        <f t="shared" ref="I126:J126" si="20">I127</f>
        <v>83480.2</v>
      </c>
      <c r="J126" s="751">
        <f t="shared" si="20"/>
        <v>93344.5</v>
      </c>
      <c r="K126" s="144" t="s">
        <v>1270</v>
      </c>
      <c r="L126" s="151" t="s">
        <v>12</v>
      </c>
      <c r="M126" s="34">
        <v>1</v>
      </c>
      <c r="N126" s="34">
        <v>1</v>
      </c>
      <c r="O126" s="34">
        <v>1</v>
      </c>
      <c r="P126" s="34">
        <v>1</v>
      </c>
      <c r="Q126" s="34">
        <v>1</v>
      </c>
    </row>
    <row r="127" spans="1:17" s="93" customFormat="1" ht="30" x14ac:dyDescent="0.25">
      <c r="A127" s="1116"/>
      <c r="B127" s="1090"/>
      <c r="C127" s="1090" t="s">
        <v>17</v>
      </c>
      <c r="D127" s="1090"/>
      <c r="E127" s="1120" t="s">
        <v>10</v>
      </c>
      <c r="F127" s="1121">
        <v>78234.100000000006</v>
      </c>
      <c r="G127" s="1486">
        <v>132735.70000000001</v>
      </c>
      <c r="H127" s="1486">
        <v>82602.399999999994</v>
      </c>
      <c r="I127" s="1486">
        <v>83480.2</v>
      </c>
      <c r="J127" s="1121">
        <v>93344.5</v>
      </c>
      <c r="K127" s="144" t="s">
        <v>391</v>
      </c>
      <c r="L127" s="151" t="s">
        <v>14</v>
      </c>
      <c r="M127" s="152">
        <v>100</v>
      </c>
      <c r="N127" s="152">
        <v>100</v>
      </c>
      <c r="O127" s="152">
        <v>100</v>
      </c>
      <c r="P127" s="152">
        <v>100</v>
      </c>
      <c r="Q127" s="152">
        <v>100</v>
      </c>
    </row>
    <row r="128" spans="1:17" s="93" customFormat="1" ht="30" x14ac:dyDescent="0.25">
      <c r="A128" s="1116"/>
      <c r="B128" s="1091"/>
      <c r="C128" s="1091"/>
      <c r="D128" s="1091"/>
      <c r="E128" s="1088"/>
      <c r="F128" s="1373"/>
      <c r="G128" s="1502"/>
      <c r="H128" s="1502"/>
      <c r="I128" s="1502"/>
      <c r="J128" s="1373"/>
      <c r="K128" s="144" t="s">
        <v>392</v>
      </c>
      <c r="L128" s="151" t="s">
        <v>14</v>
      </c>
      <c r="M128" s="153">
        <v>100</v>
      </c>
      <c r="N128" s="153">
        <v>100</v>
      </c>
      <c r="O128" s="153">
        <v>100</v>
      </c>
      <c r="P128" s="153">
        <v>100</v>
      </c>
      <c r="Q128" s="153">
        <v>100</v>
      </c>
    </row>
    <row r="129" spans="1:19" s="93" customFormat="1" ht="45" x14ac:dyDescent="0.25">
      <c r="A129" s="1116"/>
      <c r="B129" s="1091"/>
      <c r="C129" s="1091"/>
      <c r="D129" s="1091"/>
      <c r="E129" s="1088"/>
      <c r="F129" s="1476"/>
      <c r="G129" s="1502"/>
      <c r="H129" s="1502"/>
      <c r="I129" s="1508"/>
      <c r="J129" s="1476"/>
      <c r="K129" s="154" t="s">
        <v>393</v>
      </c>
      <c r="L129" s="155" t="s">
        <v>14</v>
      </c>
      <c r="M129" s="153">
        <v>90</v>
      </c>
      <c r="N129" s="153" t="s">
        <v>309</v>
      </c>
      <c r="O129" s="153" t="s">
        <v>309</v>
      </c>
      <c r="P129" s="153" t="s">
        <v>309</v>
      </c>
      <c r="Q129" s="153" t="s">
        <v>309</v>
      </c>
    </row>
    <row r="130" spans="1:19" s="93" customFormat="1" ht="45" x14ac:dyDescent="0.25">
      <c r="A130" s="1116"/>
      <c r="B130" s="1091"/>
      <c r="C130" s="1091"/>
      <c r="D130" s="1091"/>
      <c r="E130" s="1088"/>
      <c r="F130" s="1476"/>
      <c r="G130" s="1502"/>
      <c r="H130" s="1502"/>
      <c r="I130" s="1508"/>
      <c r="J130" s="1476"/>
      <c r="K130" s="144" t="s">
        <v>394</v>
      </c>
      <c r="L130" s="151" t="s">
        <v>14</v>
      </c>
      <c r="M130" s="153">
        <v>58</v>
      </c>
      <c r="N130" s="153">
        <v>50</v>
      </c>
      <c r="O130" s="153">
        <v>50</v>
      </c>
      <c r="P130" s="153">
        <v>50</v>
      </c>
      <c r="Q130" s="153">
        <v>50</v>
      </c>
    </row>
    <row r="131" spans="1:19" s="93" customFormat="1" ht="45" x14ac:dyDescent="0.25">
      <c r="A131" s="1116"/>
      <c r="B131" s="1091"/>
      <c r="C131" s="1091"/>
      <c r="D131" s="1091"/>
      <c r="E131" s="1088"/>
      <c r="F131" s="1476"/>
      <c r="G131" s="1502"/>
      <c r="H131" s="1502"/>
      <c r="I131" s="1508"/>
      <c r="J131" s="1476"/>
      <c r="K131" s="156" t="s">
        <v>395</v>
      </c>
      <c r="L131" s="157" t="s">
        <v>12</v>
      </c>
      <c r="M131" s="158">
        <v>25</v>
      </c>
      <c r="N131" s="158">
        <v>8</v>
      </c>
      <c r="O131" s="158">
        <v>8</v>
      </c>
      <c r="P131" s="158">
        <v>8</v>
      </c>
      <c r="Q131" s="158">
        <v>8</v>
      </c>
    </row>
    <row r="132" spans="1:19" s="93" customFormat="1" ht="30" x14ac:dyDescent="0.25">
      <c r="A132" s="1116"/>
      <c r="B132" s="1092"/>
      <c r="C132" s="1092"/>
      <c r="D132" s="1092"/>
      <c r="E132" s="1089"/>
      <c r="F132" s="1128"/>
      <c r="G132" s="1487"/>
      <c r="H132" s="1487"/>
      <c r="I132" s="1509"/>
      <c r="J132" s="1128"/>
      <c r="K132" s="144" t="s">
        <v>396</v>
      </c>
      <c r="L132" s="151" t="s">
        <v>12</v>
      </c>
      <c r="M132" s="152">
        <v>124</v>
      </c>
      <c r="N132" s="152">
        <v>125</v>
      </c>
      <c r="O132" s="152">
        <v>125</v>
      </c>
      <c r="P132" s="152">
        <v>125</v>
      </c>
      <c r="Q132" s="152">
        <v>125</v>
      </c>
    </row>
    <row r="133" spans="1:19" s="93" customFormat="1" ht="51.6" customHeight="1" x14ac:dyDescent="0.25">
      <c r="A133" s="1116"/>
      <c r="B133" s="1099" t="s">
        <v>723</v>
      </c>
      <c r="C133" s="1378"/>
      <c r="D133" s="1378"/>
      <c r="E133" s="1379" t="s">
        <v>1272</v>
      </c>
      <c r="F133" s="1521">
        <v>174133.9</v>
      </c>
      <c r="G133" s="1506">
        <v>295443.90000000002</v>
      </c>
      <c r="H133" s="1506">
        <f>H135</f>
        <v>358249.2</v>
      </c>
      <c r="I133" s="1506">
        <f t="shared" ref="I133:J133" si="21">I135</f>
        <v>361880.2</v>
      </c>
      <c r="J133" s="1506">
        <f t="shared" si="21"/>
        <v>356466.2</v>
      </c>
      <c r="K133" s="101" t="s">
        <v>397</v>
      </c>
      <c r="L133" s="27" t="s">
        <v>12</v>
      </c>
      <c r="M133" s="152">
        <v>109</v>
      </c>
      <c r="N133" s="152">
        <v>110</v>
      </c>
      <c r="O133" s="152">
        <v>110</v>
      </c>
      <c r="P133" s="152">
        <v>110</v>
      </c>
      <c r="Q133" s="152">
        <v>110</v>
      </c>
    </row>
    <row r="134" spans="1:19" s="93" customFormat="1" ht="13.9" hidden="1" customHeight="1" x14ac:dyDescent="0.25">
      <c r="A134" s="1116"/>
      <c r="B134" s="1099"/>
      <c r="C134" s="1378"/>
      <c r="D134" s="1378"/>
      <c r="E134" s="1379"/>
      <c r="F134" s="1521"/>
      <c r="G134" s="1507"/>
      <c r="H134" s="1507"/>
      <c r="I134" s="1507"/>
      <c r="J134" s="1507"/>
      <c r="K134" s="156" t="s">
        <v>1377</v>
      </c>
      <c r="M134" s="1366">
        <v>99.1</v>
      </c>
      <c r="N134" s="1366">
        <v>100</v>
      </c>
      <c r="O134" s="1366">
        <v>100</v>
      </c>
      <c r="P134" s="1366">
        <v>100</v>
      </c>
      <c r="Q134" s="1366">
        <v>100</v>
      </c>
    </row>
    <row r="135" spans="1:19" s="93" customFormat="1" x14ac:dyDescent="0.25">
      <c r="A135" s="1116"/>
      <c r="B135" s="1512"/>
      <c r="C135" s="1118" t="s">
        <v>17</v>
      </c>
      <c r="D135" s="1378"/>
      <c r="E135" s="1120" t="s">
        <v>728</v>
      </c>
      <c r="F135" s="1372">
        <v>174133.9</v>
      </c>
      <c r="G135" s="1486">
        <v>295443.90000000002</v>
      </c>
      <c r="H135" s="1486">
        <v>358249.2</v>
      </c>
      <c r="I135" s="1510">
        <v>361880.2</v>
      </c>
      <c r="J135" s="1372">
        <v>356466.2</v>
      </c>
      <c r="K135" s="1088" t="s">
        <v>1377</v>
      </c>
      <c r="L135" s="1090" t="s">
        <v>14</v>
      </c>
      <c r="M135" s="1367"/>
      <c r="N135" s="1367"/>
      <c r="O135" s="1367"/>
      <c r="P135" s="1367"/>
      <c r="Q135" s="1367"/>
    </row>
    <row r="136" spans="1:19" s="93" customFormat="1" ht="20.25" customHeight="1" x14ac:dyDescent="0.25">
      <c r="A136" s="1116"/>
      <c r="B136" s="1512"/>
      <c r="C136" s="1475"/>
      <c r="D136" s="1378"/>
      <c r="E136" s="1518"/>
      <c r="F136" s="1372"/>
      <c r="G136" s="1502"/>
      <c r="H136" s="1502"/>
      <c r="I136" s="1510"/>
      <c r="J136" s="1372"/>
      <c r="K136" s="1088"/>
      <c r="L136" s="1091"/>
      <c r="M136" s="1367"/>
      <c r="N136" s="1367"/>
      <c r="O136" s="1367"/>
      <c r="P136" s="1367"/>
      <c r="Q136" s="1367"/>
    </row>
    <row r="137" spans="1:19" s="93" customFormat="1" ht="37.5" customHeight="1" x14ac:dyDescent="0.25">
      <c r="A137" s="1116"/>
      <c r="B137" s="1513"/>
      <c r="C137" s="1514"/>
      <c r="D137" s="1513"/>
      <c r="E137" s="1519"/>
      <c r="F137" s="1391"/>
      <c r="G137" s="1502"/>
      <c r="H137" s="1502"/>
      <c r="I137" s="1511"/>
      <c r="J137" s="1391"/>
      <c r="K137" s="1088"/>
      <c r="L137" s="1091"/>
      <c r="M137" s="1367"/>
      <c r="N137" s="1367"/>
      <c r="O137" s="1367"/>
      <c r="P137" s="1367"/>
      <c r="Q137" s="1367"/>
    </row>
    <row r="138" spans="1:19" s="93" customFormat="1" ht="29.25" customHeight="1" x14ac:dyDescent="0.25">
      <c r="A138" s="1117"/>
      <c r="B138" s="1513"/>
      <c r="C138" s="1515"/>
      <c r="D138" s="1513"/>
      <c r="E138" s="1520"/>
      <c r="F138" s="1391"/>
      <c r="G138" s="1487"/>
      <c r="H138" s="1487"/>
      <c r="I138" s="1511"/>
      <c r="J138" s="1391"/>
      <c r="K138" s="1089"/>
      <c r="L138" s="1092"/>
      <c r="M138" s="1368"/>
      <c r="N138" s="1368"/>
      <c r="O138" s="1368"/>
      <c r="P138" s="1368"/>
      <c r="Q138" s="1368"/>
    </row>
    <row r="139" spans="1:19" s="93" customFormat="1" x14ac:dyDescent="0.25">
      <c r="A139" s="1143" t="s">
        <v>15</v>
      </c>
      <c r="B139" s="1144"/>
      <c r="C139" s="1144"/>
      <c r="D139" s="1144"/>
      <c r="E139" s="1145"/>
      <c r="F139" s="159">
        <f>F126+F133</f>
        <v>252368</v>
      </c>
      <c r="G139" s="160">
        <f>G126+G133</f>
        <v>428179.60000000003</v>
      </c>
      <c r="H139" s="160">
        <f>H126+H133</f>
        <v>440851.6</v>
      </c>
      <c r="I139" s="160">
        <f t="shared" ref="I139:J139" si="22">I126+I133</f>
        <v>445360.4</v>
      </c>
      <c r="J139" s="160">
        <f t="shared" si="22"/>
        <v>449810.7</v>
      </c>
      <c r="K139" s="5"/>
      <c r="L139" s="97"/>
      <c r="M139" s="98"/>
      <c r="N139" s="98"/>
      <c r="O139" s="98"/>
      <c r="P139" s="98"/>
      <c r="Q139" s="98"/>
    </row>
    <row r="140" spans="1:19" s="93" customFormat="1" x14ac:dyDescent="0.25">
      <c r="A140" s="1380" t="s">
        <v>234</v>
      </c>
      <c r="B140" s="1381"/>
      <c r="C140" s="1381"/>
      <c r="D140" s="1381"/>
      <c r="E140" s="1363"/>
      <c r="F140" s="1381"/>
      <c r="G140" s="1381"/>
      <c r="H140" s="1381"/>
      <c r="I140" s="1381"/>
      <c r="J140" s="1381"/>
      <c r="K140" s="1381"/>
      <c r="L140" s="1381"/>
      <c r="M140" s="1381"/>
      <c r="N140" s="1381"/>
      <c r="O140" s="1381"/>
      <c r="P140" s="1381"/>
      <c r="Q140" s="1382"/>
    </row>
    <row r="141" spans="1:19" s="93" customFormat="1" ht="60" x14ac:dyDescent="0.25">
      <c r="A141" s="1434">
        <v>18</v>
      </c>
      <c r="B141" s="50" t="s">
        <v>8</v>
      </c>
      <c r="C141" s="33"/>
      <c r="D141" s="744"/>
      <c r="E141" s="357" t="s">
        <v>1241</v>
      </c>
      <c r="F141" s="728">
        <v>100000</v>
      </c>
      <c r="G141" s="80">
        <v>100000</v>
      </c>
      <c r="H141" s="80">
        <f>H142</f>
        <v>93800</v>
      </c>
      <c r="I141" s="80">
        <f t="shared" ref="I141:J141" si="23">I142</f>
        <v>107200</v>
      </c>
      <c r="J141" s="80">
        <f t="shared" si="23"/>
        <v>112354.6</v>
      </c>
      <c r="K141" s="111" t="s">
        <v>31</v>
      </c>
      <c r="L141" s="19" t="s">
        <v>14</v>
      </c>
      <c r="M141" s="165"/>
      <c r="N141" s="165">
        <v>100</v>
      </c>
      <c r="O141" s="165">
        <v>100</v>
      </c>
      <c r="P141" s="165">
        <v>100</v>
      </c>
      <c r="Q141" s="165">
        <v>100</v>
      </c>
      <c r="S141" s="93" t="s">
        <v>235</v>
      </c>
    </row>
    <row r="142" spans="1:19" s="93" customFormat="1" ht="30" x14ac:dyDescent="0.25">
      <c r="A142" s="1435"/>
      <c r="B142" s="33"/>
      <c r="C142" s="33" t="s">
        <v>17</v>
      </c>
      <c r="D142" s="33"/>
      <c r="E142" s="111" t="s">
        <v>10</v>
      </c>
      <c r="F142" s="83">
        <v>100000</v>
      </c>
      <c r="G142" s="83">
        <v>100000</v>
      </c>
      <c r="H142" s="83">
        <v>93800</v>
      </c>
      <c r="I142" s="83">
        <v>107200</v>
      </c>
      <c r="J142" s="83">
        <v>112354.6</v>
      </c>
      <c r="K142" s="111" t="s">
        <v>9</v>
      </c>
      <c r="L142" s="19"/>
      <c r="M142" s="111"/>
      <c r="N142" s="111"/>
      <c r="O142" s="111"/>
      <c r="P142" s="111"/>
      <c r="Q142" s="111"/>
    </row>
    <row r="143" spans="1:19" s="93" customFormat="1" ht="82.5" customHeight="1" x14ac:dyDescent="0.25">
      <c r="A143" s="1435"/>
      <c r="B143" s="50" t="s">
        <v>724</v>
      </c>
      <c r="C143" s="161"/>
      <c r="D143" s="161"/>
      <c r="E143" s="39" t="s">
        <v>1273</v>
      </c>
      <c r="F143" s="80">
        <v>1204168.8</v>
      </c>
      <c r="G143" s="80">
        <v>133589.1</v>
      </c>
      <c r="H143" s="80">
        <f>H144</f>
        <v>89520.5</v>
      </c>
      <c r="I143" s="80">
        <f t="shared" ref="I143:J143" si="24">I144</f>
        <v>27692.6</v>
      </c>
      <c r="J143" s="80">
        <f t="shared" si="24"/>
        <v>22538</v>
      </c>
      <c r="K143" s="111"/>
      <c r="L143" s="19"/>
      <c r="M143" s="111"/>
      <c r="N143" s="111"/>
      <c r="O143" s="139"/>
      <c r="P143" s="139"/>
      <c r="Q143" s="139"/>
    </row>
    <row r="144" spans="1:19" s="93" customFormat="1" ht="75" x14ac:dyDescent="0.25">
      <c r="A144" s="1436"/>
      <c r="B144" s="162"/>
      <c r="C144" s="33" t="s">
        <v>17</v>
      </c>
      <c r="D144" s="163"/>
      <c r="E144" s="164" t="s">
        <v>1942</v>
      </c>
      <c r="F144" s="83">
        <v>1204168.8</v>
      </c>
      <c r="G144" s="83">
        <v>133589.1</v>
      </c>
      <c r="H144" s="83">
        <v>89520.5</v>
      </c>
      <c r="I144" s="83">
        <v>27692.6</v>
      </c>
      <c r="J144" s="83">
        <v>22538</v>
      </c>
      <c r="K144" s="437" t="s">
        <v>1274</v>
      </c>
      <c r="L144" s="165" t="s">
        <v>14</v>
      </c>
      <c r="M144" s="165"/>
      <c r="N144" s="165">
        <v>100</v>
      </c>
      <c r="O144" s="165">
        <v>100</v>
      </c>
      <c r="P144" s="165">
        <v>100</v>
      </c>
      <c r="Q144" s="165">
        <v>100</v>
      </c>
    </row>
    <row r="145" spans="1:17" s="93" customFormat="1" x14ac:dyDescent="0.25">
      <c r="A145" s="1143" t="s">
        <v>15</v>
      </c>
      <c r="B145" s="1144"/>
      <c r="C145" s="1144"/>
      <c r="D145" s="1144"/>
      <c r="E145" s="1145"/>
      <c r="F145" s="109">
        <v>1304168.8</v>
      </c>
      <c r="G145" s="109">
        <v>233589.1</v>
      </c>
      <c r="H145" s="109">
        <f>H141+H143</f>
        <v>183320.5</v>
      </c>
      <c r="I145" s="109">
        <f t="shared" ref="I145:J145" si="25">I141+I143</f>
        <v>134892.6</v>
      </c>
      <c r="J145" s="109">
        <f t="shared" si="25"/>
        <v>134892.6</v>
      </c>
      <c r="K145" s="5"/>
      <c r="L145" s="97"/>
      <c r="M145" s="98"/>
      <c r="N145" s="98"/>
      <c r="O145" s="98"/>
      <c r="P145" s="98"/>
      <c r="Q145" s="98"/>
    </row>
    <row r="146" spans="1:17" s="93" customFormat="1" x14ac:dyDescent="0.25">
      <c r="A146" s="1362" t="s">
        <v>1948</v>
      </c>
      <c r="B146" s="1383"/>
      <c r="C146" s="1383"/>
      <c r="D146" s="1383"/>
      <c r="E146" s="1383"/>
      <c r="F146" s="1383"/>
      <c r="G146" s="1383"/>
      <c r="H146" s="1383"/>
      <c r="I146" s="1383"/>
      <c r="J146" s="1383"/>
      <c r="K146" s="1383"/>
      <c r="L146" s="1383"/>
      <c r="M146" s="1383"/>
      <c r="N146" s="1383"/>
      <c r="O146" s="1383"/>
      <c r="P146" s="1383"/>
      <c r="Q146" s="1384"/>
    </row>
    <row r="147" spans="1:17" s="93" customFormat="1" ht="71.25" x14ac:dyDescent="0.25">
      <c r="A147" s="1437">
        <v>19</v>
      </c>
      <c r="B147" s="201" t="s">
        <v>8</v>
      </c>
      <c r="C147" s="167"/>
      <c r="D147" s="167"/>
      <c r="E147" s="168" t="s">
        <v>1301</v>
      </c>
      <c r="F147" s="538">
        <v>299680.5</v>
      </c>
      <c r="G147" s="538">
        <v>226244.2</v>
      </c>
      <c r="H147" s="538">
        <f>H148+H149</f>
        <v>528855.69999999995</v>
      </c>
      <c r="I147" s="538">
        <f t="shared" ref="I147:J147" si="26">I148+I149</f>
        <v>570722.85</v>
      </c>
      <c r="J147" s="538">
        <f t="shared" si="26"/>
        <v>499681.30000000005</v>
      </c>
      <c r="K147" s="169" t="s">
        <v>31</v>
      </c>
      <c r="L147" s="416" t="s">
        <v>14</v>
      </c>
      <c r="M147" s="170">
        <v>0.26</v>
      </c>
      <c r="N147" s="171" t="s">
        <v>381</v>
      </c>
      <c r="O147" s="171" t="s">
        <v>381</v>
      </c>
      <c r="P147" s="171" t="s">
        <v>381</v>
      </c>
      <c r="Q147" s="171" t="s">
        <v>381</v>
      </c>
    </row>
    <row r="148" spans="1:17" s="93" customFormat="1" ht="30" x14ac:dyDescent="0.25">
      <c r="A148" s="1438"/>
      <c r="B148" s="189"/>
      <c r="C148" s="172" t="s">
        <v>17</v>
      </c>
      <c r="D148" s="173"/>
      <c r="E148" s="174" t="s">
        <v>10</v>
      </c>
      <c r="F148" s="200">
        <v>21901.200000000001</v>
      </c>
      <c r="G148" s="200">
        <v>61098.400000000001</v>
      </c>
      <c r="H148" s="200">
        <v>198600.8</v>
      </c>
      <c r="I148" s="200">
        <v>200495.1</v>
      </c>
      <c r="J148" s="200">
        <v>146330.6</v>
      </c>
      <c r="K148" s="177" t="s">
        <v>9</v>
      </c>
      <c r="L148" s="178" t="s">
        <v>224</v>
      </c>
      <c r="M148" s="175"/>
      <c r="N148" s="175">
        <v>0</v>
      </c>
      <c r="O148" s="176">
        <v>0</v>
      </c>
      <c r="P148" s="179">
        <v>0</v>
      </c>
      <c r="Q148" s="179">
        <v>0</v>
      </c>
    </row>
    <row r="149" spans="1:17" s="93" customFormat="1" ht="30" x14ac:dyDescent="0.25">
      <c r="A149" s="1438"/>
      <c r="B149" s="189"/>
      <c r="C149" s="180" t="s">
        <v>18</v>
      </c>
      <c r="D149" s="181"/>
      <c r="E149" s="111" t="s">
        <v>668</v>
      </c>
      <c r="F149" s="200">
        <v>14239</v>
      </c>
      <c r="G149" s="200">
        <v>165145.79999999999</v>
      </c>
      <c r="H149" s="200">
        <v>330254.90000000002</v>
      </c>
      <c r="I149" s="200">
        <v>370227.75</v>
      </c>
      <c r="J149" s="200">
        <v>353350.7</v>
      </c>
      <c r="K149" s="177" t="s">
        <v>282</v>
      </c>
      <c r="L149" s="178" t="s">
        <v>14</v>
      </c>
      <c r="M149" s="175" t="s">
        <v>382</v>
      </c>
      <c r="N149" s="176" t="s">
        <v>382</v>
      </c>
      <c r="O149" s="176"/>
      <c r="P149" s="179"/>
      <c r="Q149" s="179"/>
    </row>
    <row r="150" spans="1:17" s="93" customFormat="1" ht="30" x14ac:dyDescent="0.25">
      <c r="A150" s="1438"/>
      <c r="B150" s="189"/>
      <c r="C150" s="180" t="s">
        <v>16</v>
      </c>
      <c r="D150" s="181"/>
      <c r="E150" s="182" t="s">
        <v>276</v>
      </c>
      <c r="F150" s="539">
        <v>8616.1</v>
      </c>
      <c r="G150" s="539"/>
      <c r="H150" s="539"/>
      <c r="I150" s="540"/>
      <c r="J150" s="540"/>
      <c r="K150" s="184" t="s">
        <v>283</v>
      </c>
      <c r="L150" s="185" t="s">
        <v>14</v>
      </c>
      <c r="M150" s="183">
        <v>0</v>
      </c>
      <c r="N150" s="186">
        <v>0.9</v>
      </c>
      <c r="O150" s="186">
        <v>0.9</v>
      </c>
      <c r="P150" s="186">
        <v>0.9</v>
      </c>
      <c r="Q150" s="186">
        <v>0.9</v>
      </c>
    </row>
    <row r="151" spans="1:17" s="93" customFormat="1" ht="45" x14ac:dyDescent="0.25">
      <c r="A151" s="1438"/>
      <c r="B151" s="189"/>
      <c r="C151" s="180" t="s">
        <v>20</v>
      </c>
      <c r="D151" s="181"/>
      <c r="E151" s="182" t="s">
        <v>278</v>
      </c>
      <c r="F151" s="539">
        <v>5107.7</v>
      </c>
      <c r="G151" s="539"/>
      <c r="H151" s="539"/>
      <c r="I151" s="540"/>
      <c r="J151" s="540"/>
      <c r="K151" s="187" t="s">
        <v>1943</v>
      </c>
      <c r="L151" s="185" t="s">
        <v>12</v>
      </c>
      <c r="M151" s="183">
        <v>741</v>
      </c>
      <c r="N151" s="179">
        <v>741</v>
      </c>
      <c r="O151" s="179">
        <v>741</v>
      </c>
      <c r="P151" s="188">
        <v>741</v>
      </c>
      <c r="Q151" s="179">
        <v>741</v>
      </c>
    </row>
    <row r="152" spans="1:17" s="93" customFormat="1" ht="45" x14ac:dyDescent="0.25">
      <c r="A152" s="1438"/>
      <c r="B152" s="189"/>
      <c r="C152" s="166" t="s">
        <v>21</v>
      </c>
      <c r="D152" s="189"/>
      <c r="E152" s="190" t="s">
        <v>232</v>
      </c>
      <c r="F152" s="539">
        <v>247184.8</v>
      </c>
      <c r="G152" s="539"/>
      <c r="H152" s="539"/>
      <c r="I152" s="540"/>
      <c r="J152" s="540"/>
      <c r="K152" s="187" t="s">
        <v>498</v>
      </c>
      <c r="L152" s="185" t="s">
        <v>14</v>
      </c>
      <c r="M152" s="183">
        <v>16.100000000000001</v>
      </c>
      <c r="N152" s="183">
        <v>16.100000000000001</v>
      </c>
      <c r="O152" s="179">
        <v>16.100000000000001</v>
      </c>
      <c r="P152" s="179">
        <v>16.100000000000001</v>
      </c>
      <c r="Q152" s="179">
        <v>16.100000000000001</v>
      </c>
    </row>
    <row r="153" spans="1:17" s="93" customFormat="1" ht="60" x14ac:dyDescent="0.25">
      <c r="A153" s="1438"/>
      <c r="B153" s="189"/>
      <c r="C153" s="166" t="s">
        <v>29</v>
      </c>
      <c r="D153" s="189"/>
      <c r="E153" s="191" t="s">
        <v>358</v>
      </c>
      <c r="F153" s="539">
        <v>2631.7</v>
      </c>
      <c r="G153" s="539"/>
      <c r="H153" s="539"/>
      <c r="I153" s="540"/>
      <c r="J153" s="540"/>
      <c r="K153" s="187" t="s">
        <v>1275</v>
      </c>
      <c r="L153" s="185" t="s">
        <v>12</v>
      </c>
      <c r="M153" s="183" t="s">
        <v>1221</v>
      </c>
      <c r="N153" s="183" t="s">
        <v>1221</v>
      </c>
      <c r="O153" s="179"/>
      <c r="P153" s="183" t="s">
        <v>1221</v>
      </c>
      <c r="Q153" s="183" t="s">
        <v>1221</v>
      </c>
    </row>
    <row r="154" spans="1:17" s="93" customFormat="1" ht="99.75" x14ac:dyDescent="0.25">
      <c r="A154" s="1438"/>
      <c r="B154" s="201" t="s">
        <v>359</v>
      </c>
      <c r="C154" s="172"/>
      <c r="D154" s="173"/>
      <c r="E154" s="192" t="s">
        <v>1944</v>
      </c>
      <c r="F154" s="203">
        <v>224023.2</v>
      </c>
      <c r="G154" s="203">
        <v>224015.9</v>
      </c>
      <c r="H154" s="203">
        <f>H155+H158</f>
        <v>465256.1</v>
      </c>
      <c r="I154" s="203">
        <f t="shared" ref="I154:J154" si="27">I155+I158</f>
        <v>408858.05</v>
      </c>
      <c r="J154" s="203">
        <f t="shared" si="27"/>
        <v>543300</v>
      </c>
      <c r="K154" s="39" t="s">
        <v>1280</v>
      </c>
      <c r="L154" s="27" t="s">
        <v>967</v>
      </c>
      <c r="M154" s="193" t="s">
        <v>1222</v>
      </c>
      <c r="N154" s="193" t="s">
        <v>1222</v>
      </c>
      <c r="O154" s="193" t="s">
        <v>1222</v>
      </c>
      <c r="P154" s="193" t="s">
        <v>1222</v>
      </c>
      <c r="Q154" s="193" t="s">
        <v>1222</v>
      </c>
    </row>
    <row r="155" spans="1:17" s="93" customFormat="1" ht="105" x14ac:dyDescent="0.25">
      <c r="A155" s="1438"/>
      <c r="B155" s="1431"/>
      <c r="C155" s="172" t="s">
        <v>17</v>
      </c>
      <c r="D155" s="173"/>
      <c r="E155" s="194" t="s">
        <v>1276</v>
      </c>
      <c r="F155" s="200">
        <v>211417</v>
      </c>
      <c r="G155" s="200">
        <v>211526.7</v>
      </c>
      <c r="H155" s="200">
        <v>399037.2</v>
      </c>
      <c r="I155" s="200">
        <v>362715.85</v>
      </c>
      <c r="J155" s="200">
        <v>495615.7</v>
      </c>
      <c r="K155" s="195" t="s">
        <v>1281</v>
      </c>
      <c r="L155" s="196"/>
      <c r="M155" s="175" t="s">
        <v>1223</v>
      </c>
      <c r="N155" s="175" t="s">
        <v>1223</v>
      </c>
      <c r="O155" s="175" t="s">
        <v>1223</v>
      </c>
      <c r="P155" s="175" t="s">
        <v>1223</v>
      </c>
      <c r="Q155" s="175" t="s">
        <v>1223</v>
      </c>
    </row>
    <row r="156" spans="1:17" s="93" customFormat="1" ht="105" x14ac:dyDescent="0.25">
      <c r="A156" s="1438"/>
      <c r="B156" s="1432"/>
      <c r="C156" s="172" t="s">
        <v>18</v>
      </c>
      <c r="D156" s="173"/>
      <c r="E156" s="194" t="s">
        <v>1277</v>
      </c>
      <c r="F156" s="200">
        <v>5805</v>
      </c>
      <c r="G156" s="200">
        <v>5688</v>
      </c>
      <c r="H156" s="200"/>
      <c r="I156" s="200"/>
      <c r="J156" s="200"/>
      <c r="K156" s="195" t="s">
        <v>1282</v>
      </c>
      <c r="L156" s="196"/>
      <c r="M156" s="175" t="s">
        <v>1224</v>
      </c>
      <c r="N156" s="175" t="s">
        <v>1224</v>
      </c>
      <c r="O156" s="175" t="s">
        <v>1224</v>
      </c>
      <c r="P156" s="175" t="s">
        <v>1224</v>
      </c>
      <c r="Q156" s="175" t="s">
        <v>1224</v>
      </c>
    </row>
    <row r="157" spans="1:17" s="93" customFormat="1" ht="105" x14ac:dyDescent="0.25">
      <c r="A157" s="1438"/>
      <c r="B157" s="1432"/>
      <c r="C157" s="172" t="s">
        <v>16</v>
      </c>
      <c r="D157" s="173"/>
      <c r="E157" s="194" t="s">
        <v>1278</v>
      </c>
      <c r="F157" s="200">
        <v>2776.9</v>
      </c>
      <c r="G157" s="200">
        <v>2776.9</v>
      </c>
      <c r="H157" s="200"/>
      <c r="I157" s="200"/>
      <c r="J157" s="200"/>
      <c r="K157" s="195" t="s">
        <v>1283</v>
      </c>
      <c r="L157" s="196"/>
      <c r="M157" s="175" t="s">
        <v>1225</v>
      </c>
      <c r="N157" s="175" t="s">
        <v>1225</v>
      </c>
      <c r="O157" s="175" t="s">
        <v>1225</v>
      </c>
      <c r="P157" s="175" t="s">
        <v>1225</v>
      </c>
      <c r="Q157" s="175" t="s">
        <v>1225</v>
      </c>
    </row>
    <row r="158" spans="1:17" s="93" customFormat="1" ht="105" x14ac:dyDescent="0.25">
      <c r="A158" s="1438"/>
      <c r="B158" s="1433"/>
      <c r="C158" s="172" t="s">
        <v>19</v>
      </c>
      <c r="D158" s="173"/>
      <c r="E158" s="194" t="s">
        <v>360</v>
      </c>
      <c r="F158" s="200">
        <v>4024.3</v>
      </c>
      <c r="G158" s="200">
        <v>4024.3</v>
      </c>
      <c r="H158" s="200">
        <v>66218.899999999994</v>
      </c>
      <c r="I158" s="200">
        <v>46142.2</v>
      </c>
      <c r="J158" s="200">
        <v>47684.3</v>
      </c>
      <c r="K158" s="195" t="s">
        <v>1283</v>
      </c>
      <c r="L158" s="196"/>
      <c r="M158" s="196"/>
      <c r="N158" s="197" t="s">
        <v>1226</v>
      </c>
      <c r="O158" s="197" t="s">
        <v>1226</v>
      </c>
      <c r="P158" s="197" t="s">
        <v>1226</v>
      </c>
      <c r="Q158" s="197" t="s">
        <v>1226</v>
      </c>
    </row>
    <row r="159" spans="1:17" s="93" customFormat="1" ht="165" x14ac:dyDescent="0.25">
      <c r="A159" s="1438"/>
      <c r="B159" s="201" t="s">
        <v>361</v>
      </c>
      <c r="C159" s="166"/>
      <c r="D159" s="189"/>
      <c r="E159" s="198" t="s">
        <v>1279</v>
      </c>
      <c r="F159" s="203">
        <v>49962.1</v>
      </c>
      <c r="G159" s="203">
        <v>49962.1</v>
      </c>
      <c r="H159" s="203">
        <f>H160+H161+H163</f>
        <v>214414.30000000002</v>
      </c>
      <c r="I159" s="203">
        <f t="shared" ref="I159:J159" si="28">I160+I161+I163</f>
        <v>227010.40000000002</v>
      </c>
      <c r="J159" s="203">
        <f t="shared" si="28"/>
        <v>169201</v>
      </c>
      <c r="K159" s="111" t="s">
        <v>1284</v>
      </c>
      <c r="L159" s="27" t="s">
        <v>967</v>
      </c>
      <c r="M159" s="199" t="s">
        <v>1227</v>
      </c>
      <c r="N159" s="199" t="s">
        <v>1227</v>
      </c>
      <c r="O159" s="199" t="s">
        <v>1227</v>
      </c>
      <c r="P159" s="199" t="s">
        <v>1227</v>
      </c>
      <c r="Q159" s="199" t="s">
        <v>1227</v>
      </c>
    </row>
    <row r="160" spans="1:17" s="93" customFormat="1" ht="165" x14ac:dyDescent="0.25">
      <c r="A160" s="1438"/>
      <c r="B160" s="189"/>
      <c r="C160" s="166" t="s">
        <v>17</v>
      </c>
      <c r="D160" s="189"/>
      <c r="E160" s="191" t="s">
        <v>362</v>
      </c>
      <c r="F160" s="200">
        <v>42787.9</v>
      </c>
      <c r="G160" s="200">
        <v>42787.9</v>
      </c>
      <c r="H160" s="200">
        <v>109813.1</v>
      </c>
      <c r="I160" s="200">
        <v>101718.6</v>
      </c>
      <c r="J160" s="200">
        <v>101608.5</v>
      </c>
      <c r="K160" s="195" t="s">
        <v>1288</v>
      </c>
      <c r="L160" s="175"/>
      <c r="M160" s="175" t="s">
        <v>1228</v>
      </c>
      <c r="N160" s="175" t="s">
        <v>1228</v>
      </c>
      <c r="O160" s="175" t="s">
        <v>1228</v>
      </c>
      <c r="P160" s="175" t="s">
        <v>1228</v>
      </c>
      <c r="Q160" s="175" t="s">
        <v>1228</v>
      </c>
    </row>
    <row r="161" spans="1:17" s="93" customFormat="1" ht="150" x14ac:dyDescent="0.25">
      <c r="A161" s="1438"/>
      <c r="B161" s="189"/>
      <c r="C161" s="166" t="s">
        <v>18</v>
      </c>
      <c r="D161" s="189"/>
      <c r="E161" s="191" t="s">
        <v>1289</v>
      </c>
      <c r="F161" s="200">
        <v>4099.8</v>
      </c>
      <c r="G161" s="200">
        <v>4099.8</v>
      </c>
      <c r="H161" s="200">
        <v>66735.3</v>
      </c>
      <c r="I161" s="200">
        <v>89758.5</v>
      </c>
      <c r="J161" s="200">
        <v>60454.8</v>
      </c>
      <c r="K161" s="195" t="s">
        <v>1286</v>
      </c>
      <c r="L161" s="175"/>
      <c r="M161" s="175" t="s">
        <v>1229</v>
      </c>
      <c r="N161" s="175" t="s">
        <v>1230</v>
      </c>
      <c r="O161" s="175" t="s">
        <v>1231</v>
      </c>
      <c r="P161" s="175" t="s">
        <v>1231</v>
      </c>
      <c r="Q161" s="175" t="s">
        <v>1231</v>
      </c>
    </row>
    <row r="162" spans="1:17" s="93" customFormat="1" ht="165" x14ac:dyDescent="0.25">
      <c r="A162" s="1438"/>
      <c r="B162" s="189"/>
      <c r="C162" s="172" t="s">
        <v>16</v>
      </c>
      <c r="D162" s="173"/>
      <c r="E162" s="194" t="s">
        <v>363</v>
      </c>
      <c r="F162" s="200">
        <v>3074.4</v>
      </c>
      <c r="G162" s="200">
        <v>3074.4</v>
      </c>
      <c r="H162" s="200"/>
      <c r="I162" s="200"/>
      <c r="J162" s="200"/>
      <c r="K162" s="195" t="s">
        <v>1285</v>
      </c>
      <c r="L162" s="196"/>
      <c r="M162" s="175" t="s">
        <v>1232</v>
      </c>
      <c r="N162" s="175" t="s">
        <v>1232</v>
      </c>
      <c r="O162" s="175" t="s">
        <v>1232</v>
      </c>
      <c r="P162" s="175" t="s">
        <v>1232</v>
      </c>
      <c r="Q162" s="175" t="s">
        <v>1232</v>
      </c>
    </row>
    <row r="163" spans="1:17" s="93" customFormat="1" ht="30" x14ac:dyDescent="0.25">
      <c r="A163" s="1438"/>
      <c r="B163" s="189"/>
      <c r="C163" s="172" t="s">
        <v>19</v>
      </c>
      <c r="D163" s="173"/>
      <c r="E163" s="194" t="s">
        <v>364</v>
      </c>
      <c r="F163" s="200"/>
      <c r="G163" s="200"/>
      <c r="H163" s="200">
        <v>37865.9</v>
      </c>
      <c r="I163" s="200">
        <v>35533.300000000003</v>
      </c>
      <c r="J163" s="200">
        <v>7137.7</v>
      </c>
      <c r="K163" s="195"/>
      <c r="L163" s="196"/>
      <c r="M163" s="175"/>
      <c r="N163" s="175"/>
      <c r="O163" s="175"/>
      <c r="P163" s="175"/>
      <c r="Q163" s="175"/>
    </row>
    <row r="164" spans="1:17" s="93" customFormat="1" ht="114" x14ac:dyDescent="0.25">
      <c r="A164" s="1438"/>
      <c r="B164" s="201" t="s">
        <v>365</v>
      </c>
      <c r="C164" s="166"/>
      <c r="D164" s="189"/>
      <c r="E164" s="202" t="s">
        <v>366</v>
      </c>
      <c r="F164" s="203">
        <v>23859.200000000001</v>
      </c>
      <c r="G164" s="203">
        <v>42723.6</v>
      </c>
      <c r="H164" s="203">
        <v>0</v>
      </c>
      <c r="I164" s="203">
        <v>0</v>
      </c>
      <c r="J164" s="203">
        <v>0</v>
      </c>
      <c r="K164" s="42" t="s">
        <v>1945</v>
      </c>
      <c r="L164" s="27" t="s">
        <v>967</v>
      </c>
      <c r="M164" s="193" t="s">
        <v>1233</v>
      </c>
      <c r="N164" s="193" t="s">
        <v>1233</v>
      </c>
      <c r="O164" s="193" t="s">
        <v>1233</v>
      </c>
      <c r="P164" s="193" t="s">
        <v>1233</v>
      </c>
      <c r="Q164" s="193" t="s">
        <v>1233</v>
      </c>
    </row>
    <row r="165" spans="1:17" s="93" customFormat="1" ht="105" x14ac:dyDescent="0.25">
      <c r="A165" s="1438"/>
      <c r="B165" s="1431"/>
      <c r="C165" s="166" t="s">
        <v>17</v>
      </c>
      <c r="D165" s="189"/>
      <c r="E165" s="204" t="s">
        <v>259</v>
      </c>
      <c r="F165" s="200">
        <v>21977.4</v>
      </c>
      <c r="G165" s="200">
        <v>39751.1</v>
      </c>
      <c r="H165" s="200"/>
      <c r="I165" s="541"/>
      <c r="J165" s="541"/>
      <c r="K165" s="177" t="s">
        <v>1290</v>
      </c>
      <c r="L165" s="196"/>
      <c r="M165" s="175" t="s">
        <v>1234</v>
      </c>
      <c r="N165" s="175" t="s">
        <v>1234</v>
      </c>
      <c r="O165" s="175" t="s">
        <v>1234</v>
      </c>
      <c r="P165" s="175" t="s">
        <v>1234</v>
      </c>
      <c r="Q165" s="175" t="s">
        <v>1234</v>
      </c>
    </row>
    <row r="166" spans="1:17" s="93" customFormat="1" ht="105" x14ac:dyDescent="0.25">
      <c r="A166" s="1438"/>
      <c r="B166" s="1433"/>
      <c r="C166" s="166" t="s">
        <v>18</v>
      </c>
      <c r="D166" s="189"/>
      <c r="E166" s="204" t="s">
        <v>367</v>
      </c>
      <c r="F166" s="200">
        <v>1881.8</v>
      </c>
      <c r="G166" s="200">
        <v>2972.5</v>
      </c>
      <c r="H166" s="205"/>
      <c r="I166" s="542"/>
      <c r="J166" s="542"/>
      <c r="K166" s="177" t="s">
        <v>1287</v>
      </c>
      <c r="L166" s="206"/>
      <c r="M166" s="206" t="s">
        <v>1235</v>
      </c>
      <c r="N166" s="206" t="s">
        <v>1235</v>
      </c>
      <c r="O166" s="206" t="s">
        <v>1235</v>
      </c>
      <c r="P166" s="206" t="s">
        <v>1235</v>
      </c>
      <c r="Q166" s="206" t="s">
        <v>1235</v>
      </c>
    </row>
    <row r="167" spans="1:17" s="93" customFormat="1" ht="135" x14ac:dyDescent="0.25">
      <c r="A167" s="1438"/>
      <c r="B167" s="201" t="s">
        <v>368</v>
      </c>
      <c r="C167" s="201"/>
      <c r="D167" s="207"/>
      <c r="E167" s="202" t="s">
        <v>369</v>
      </c>
      <c r="F167" s="203">
        <v>37218.67</v>
      </c>
      <c r="G167" s="203">
        <v>37203.800000000003</v>
      </c>
      <c r="H167" s="203">
        <f>H168</f>
        <v>88608.4</v>
      </c>
      <c r="I167" s="203">
        <f t="shared" ref="I167:J167" si="29">I168</f>
        <v>84708.6</v>
      </c>
      <c r="J167" s="203">
        <f t="shared" si="29"/>
        <v>86000.9</v>
      </c>
      <c r="K167" s="133" t="s">
        <v>1291</v>
      </c>
      <c r="L167" s="27" t="s">
        <v>967</v>
      </c>
      <c r="M167" s="193"/>
      <c r="N167" s="199" t="s">
        <v>1236</v>
      </c>
      <c r="O167" s="199" t="s">
        <v>1236</v>
      </c>
      <c r="P167" s="199" t="s">
        <v>1236</v>
      </c>
      <c r="Q167" s="199" t="s">
        <v>1236</v>
      </c>
    </row>
    <row r="168" spans="1:17" s="93" customFormat="1" ht="270" x14ac:dyDescent="0.25">
      <c r="A168" s="1438"/>
      <c r="B168" s="172"/>
      <c r="C168" s="166" t="s">
        <v>17</v>
      </c>
      <c r="D168" s="208"/>
      <c r="E168" s="506" t="s">
        <v>370</v>
      </c>
      <c r="F168" s="215">
        <v>37218.67</v>
      </c>
      <c r="G168" s="539">
        <v>37203.800000000003</v>
      </c>
      <c r="H168" s="215">
        <v>88608.4</v>
      </c>
      <c r="I168" s="539">
        <v>84708.6</v>
      </c>
      <c r="J168" s="539">
        <v>86000.9</v>
      </c>
      <c r="K168" s="101" t="s">
        <v>1293</v>
      </c>
      <c r="L168" s="214"/>
      <c r="M168" s="211"/>
      <c r="N168" s="199" t="s">
        <v>1236</v>
      </c>
      <c r="O168" s="199" t="s">
        <v>1236</v>
      </c>
      <c r="P168" s="199" t="s">
        <v>1236</v>
      </c>
      <c r="Q168" s="199" t="s">
        <v>1236</v>
      </c>
    </row>
    <row r="169" spans="1:17" s="93" customFormat="1" ht="45" hidden="1" x14ac:dyDescent="0.25">
      <c r="A169" s="1438"/>
      <c r="B169" s="189"/>
      <c r="C169" s="166" t="s">
        <v>18</v>
      </c>
      <c r="D169" s="189"/>
      <c r="E169" s="213" t="s">
        <v>371</v>
      </c>
      <c r="F169" s="215"/>
      <c r="G169" s="539"/>
      <c r="H169" s="215"/>
      <c r="I169" s="540"/>
      <c r="J169" s="540"/>
      <c r="K169" s="209"/>
      <c r="L169" s="214"/>
      <c r="M169" s="211"/>
      <c r="N169" s="216" t="s">
        <v>235</v>
      </c>
      <c r="O169" s="188"/>
      <c r="P169" s="212"/>
      <c r="Q169" s="217"/>
    </row>
    <row r="170" spans="1:17" s="93" customFormat="1" ht="150" x14ac:dyDescent="0.25">
      <c r="A170" s="1438"/>
      <c r="B170" s="218" t="s">
        <v>372</v>
      </c>
      <c r="C170" s="219"/>
      <c r="D170" s="220"/>
      <c r="E170" s="221" t="s">
        <v>373</v>
      </c>
      <c r="F170" s="543">
        <v>13041.4</v>
      </c>
      <c r="G170" s="543">
        <v>14222.2</v>
      </c>
      <c r="H170" s="543">
        <f>H171</f>
        <v>13635.4</v>
      </c>
      <c r="I170" s="543">
        <f t="shared" ref="I170:J170" si="30">I171</f>
        <v>21100.5</v>
      </c>
      <c r="J170" s="543">
        <f t="shared" si="30"/>
        <v>5585.5</v>
      </c>
      <c r="K170" s="133" t="s">
        <v>1292</v>
      </c>
      <c r="L170" s="27" t="s">
        <v>967</v>
      </c>
      <c r="M170" s="222"/>
      <c r="N170" s="216" t="s">
        <v>1237</v>
      </c>
      <c r="O170" s="216" t="s">
        <v>1237</v>
      </c>
      <c r="P170" s="216" t="s">
        <v>1237</v>
      </c>
      <c r="Q170" s="216" t="s">
        <v>1237</v>
      </c>
    </row>
    <row r="171" spans="1:17" s="93" customFormat="1" ht="150" x14ac:dyDescent="0.25">
      <c r="A171" s="1438"/>
      <c r="B171" s="224"/>
      <c r="C171" s="223" t="s">
        <v>17</v>
      </c>
      <c r="D171" s="224"/>
      <c r="E171" s="225" t="s">
        <v>374</v>
      </c>
      <c r="F171" s="226">
        <v>10719.6</v>
      </c>
      <c r="G171" s="544">
        <v>7410.2</v>
      </c>
      <c r="H171" s="226">
        <v>13635.4</v>
      </c>
      <c r="I171" s="545">
        <v>21100.5</v>
      </c>
      <c r="J171" s="545">
        <v>5585.5</v>
      </c>
      <c r="K171" s="133" t="s">
        <v>1292</v>
      </c>
      <c r="L171" s="216"/>
      <c r="M171" s="216"/>
      <c r="N171" s="216" t="s">
        <v>1237</v>
      </c>
      <c r="O171" s="216" t="s">
        <v>383</v>
      </c>
      <c r="P171" s="216" t="s">
        <v>384</v>
      </c>
      <c r="Q171" s="216" t="s">
        <v>385</v>
      </c>
    </row>
    <row r="172" spans="1:17" s="93" customFormat="1" ht="30" x14ac:dyDescent="0.25">
      <c r="A172" s="1438"/>
      <c r="B172" s="224"/>
      <c r="C172" s="180" t="s">
        <v>18</v>
      </c>
      <c r="D172" s="189"/>
      <c r="E172" s="227" t="s">
        <v>375</v>
      </c>
      <c r="F172" s="215">
        <v>2321.8000000000002</v>
      </c>
      <c r="G172" s="539">
        <v>6812</v>
      </c>
      <c r="H172" s="215"/>
      <c r="I172" s="200"/>
      <c r="J172" s="200"/>
      <c r="K172" s="209" t="s">
        <v>386</v>
      </c>
      <c r="L172" s="214"/>
      <c r="M172" s="211"/>
      <c r="N172" s="214"/>
      <c r="O172" s="179" t="s">
        <v>387</v>
      </c>
      <c r="P172" s="199" t="s">
        <v>387</v>
      </c>
      <c r="Q172" s="228" t="s">
        <v>388</v>
      </c>
    </row>
    <row r="173" spans="1:17" s="93" customFormat="1" ht="31.9" customHeight="1" x14ac:dyDescent="0.25">
      <c r="A173" s="1438"/>
      <c r="B173" s="229" t="s">
        <v>376</v>
      </c>
      <c r="C173" s="201"/>
      <c r="D173" s="207"/>
      <c r="E173" s="210" t="s">
        <v>377</v>
      </c>
      <c r="F173" s="546">
        <v>11662.02</v>
      </c>
      <c r="G173" s="546">
        <v>74593.899999999994</v>
      </c>
      <c r="H173" s="546">
        <f>H174+H175+H176</f>
        <v>89052.700000000012</v>
      </c>
      <c r="I173" s="546">
        <f t="shared" ref="I173:J173" si="31">I174+I175+I176</f>
        <v>101694.00000000001</v>
      </c>
      <c r="J173" s="546">
        <f t="shared" si="31"/>
        <v>124411.9</v>
      </c>
      <c r="K173" s="230" t="s">
        <v>389</v>
      </c>
      <c r="L173" s="27" t="s">
        <v>967</v>
      </c>
      <c r="M173" s="231"/>
      <c r="N173" s="232"/>
      <c r="O173" s="179"/>
      <c r="P173" s="233"/>
      <c r="Q173" s="228"/>
    </row>
    <row r="174" spans="1:17" s="93" customFormat="1" ht="30" x14ac:dyDescent="0.25">
      <c r="A174" s="1438"/>
      <c r="B174" s="189"/>
      <c r="C174" s="166" t="s">
        <v>17</v>
      </c>
      <c r="D174" s="189"/>
      <c r="E174" s="227" t="s">
        <v>378</v>
      </c>
      <c r="F174" s="215">
        <v>9945.5</v>
      </c>
      <c r="G174" s="539">
        <v>62318.9</v>
      </c>
      <c r="H174" s="215">
        <v>61788.5</v>
      </c>
      <c r="I174" s="200">
        <v>74253.100000000006</v>
      </c>
      <c r="J174" s="200">
        <v>96579.199999999997</v>
      </c>
      <c r="K174" s="209" t="s">
        <v>389</v>
      </c>
      <c r="L174" s="214"/>
      <c r="M174" s="211"/>
      <c r="N174" s="214"/>
      <c r="O174" s="179"/>
      <c r="P174" s="233"/>
      <c r="Q174" s="228"/>
    </row>
    <row r="175" spans="1:17" s="93" customFormat="1" ht="30" x14ac:dyDescent="0.25">
      <c r="A175" s="1438"/>
      <c r="B175" s="189"/>
      <c r="C175" s="166" t="s">
        <v>18</v>
      </c>
      <c r="D175" s="189"/>
      <c r="E175" s="227" t="s">
        <v>379</v>
      </c>
      <c r="F175" s="215">
        <v>836.2</v>
      </c>
      <c r="G175" s="539">
        <v>5866.9</v>
      </c>
      <c r="H175" s="215">
        <v>13077.6</v>
      </c>
      <c r="I175" s="200">
        <v>13168.6</v>
      </c>
      <c r="J175" s="200">
        <v>13374.2</v>
      </c>
      <c r="K175" s="209" t="s">
        <v>389</v>
      </c>
      <c r="L175" s="214"/>
      <c r="M175" s="211"/>
      <c r="N175" s="214"/>
      <c r="O175" s="179"/>
      <c r="P175" s="233"/>
      <c r="Q175" s="228"/>
    </row>
    <row r="176" spans="1:17" s="93" customFormat="1" ht="30" x14ac:dyDescent="0.25">
      <c r="A176" s="1439"/>
      <c r="B176" s="189"/>
      <c r="C176" s="166" t="s">
        <v>16</v>
      </c>
      <c r="D176" s="189"/>
      <c r="E176" s="227" t="s">
        <v>380</v>
      </c>
      <c r="F176" s="215">
        <v>880.3</v>
      </c>
      <c r="G176" s="539">
        <v>6408.1</v>
      </c>
      <c r="H176" s="215">
        <v>14186.6</v>
      </c>
      <c r="I176" s="200">
        <v>14272.3</v>
      </c>
      <c r="J176" s="200">
        <v>14458.5</v>
      </c>
      <c r="K176" s="209" t="s">
        <v>389</v>
      </c>
      <c r="L176" s="210"/>
      <c r="M176" s="211"/>
      <c r="N176" s="214"/>
      <c r="O176" s="179"/>
      <c r="P176" s="233"/>
      <c r="Q176" s="228"/>
    </row>
    <row r="177" spans="1:17" s="93" customFormat="1" x14ac:dyDescent="0.25">
      <c r="A177" s="1428" t="s">
        <v>357</v>
      </c>
      <c r="B177" s="1429"/>
      <c r="C177" s="1429"/>
      <c r="D177" s="1429"/>
      <c r="E177" s="1430"/>
      <c r="F177" s="234">
        <v>659447.09</v>
      </c>
      <c r="G177" s="235">
        <v>668965.69999999995</v>
      </c>
      <c r="H177" s="235">
        <f>H147+H154+H159+H164+H167+H170+H173</f>
        <v>1399822.5999999996</v>
      </c>
      <c r="I177" s="235">
        <v>1414094.4</v>
      </c>
      <c r="J177" s="235">
        <v>1428180.6</v>
      </c>
      <c r="K177" s="236"/>
      <c r="L177" s="237"/>
      <c r="M177" s="237"/>
      <c r="N177" s="237"/>
      <c r="O177" s="238"/>
      <c r="P177" s="239"/>
      <c r="Q177" s="236"/>
    </row>
    <row r="178" spans="1:17" s="4" customFormat="1" x14ac:dyDescent="0.25">
      <c r="A178" s="1385" t="s">
        <v>272</v>
      </c>
      <c r="B178" s="1386"/>
      <c r="C178" s="1386"/>
      <c r="D178" s="1386"/>
      <c r="E178" s="1386"/>
      <c r="F178" s="1386"/>
      <c r="G178" s="1386"/>
      <c r="H178" s="1386"/>
      <c r="I178" s="1386"/>
      <c r="J178" s="1386"/>
      <c r="K178" s="1386"/>
      <c r="L178" s="1386"/>
      <c r="M178" s="1386"/>
      <c r="N178" s="1386"/>
      <c r="O178" s="1386"/>
      <c r="P178" s="1386"/>
      <c r="Q178" s="1386"/>
    </row>
    <row r="179" spans="1:17" s="4" customFormat="1" ht="71.25" x14ac:dyDescent="0.25">
      <c r="A179" s="1109">
        <v>20</v>
      </c>
      <c r="B179" s="240">
        <v>1</v>
      </c>
      <c r="C179" s="241"/>
      <c r="D179" s="242"/>
      <c r="E179" s="243" t="s">
        <v>251</v>
      </c>
      <c r="F179" s="547">
        <v>20403.3</v>
      </c>
      <c r="G179" s="547">
        <v>22509</v>
      </c>
      <c r="H179" s="547">
        <v>41623.1</v>
      </c>
      <c r="I179" s="547">
        <v>42550.6</v>
      </c>
      <c r="J179" s="547">
        <v>43466.1</v>
      </c>
      <c r="K179" s="245" t="s">
        <v>262</v>
      </c>
      <c r="L179" s="244" t="s">
        <v>14</v>
      </c>
      <c r="M179" s="246"/>
      <c r="N179" s="246"/>
      <c r="O179" s="246"/>
      <c r="P179" s="246"/>
      <c r="Q179" s="246"/>
    </row>
    <row r="180" spans="1:17" s="4" customFormat="1" ht="75" x14ac:dyDescent="0.25">
      <c r="A180" s="1109"/>
      <c r="B180" s="731"/>
      <c r="C180" s="247">
        <v>1</v>
      </c>
      <c r="D180" s="241"/>
      <c r="E180" s="248" t="s">
        <v>252</v>
      </c>
      <c r="F180" s="263">
        <v>7800</v>
      </c>
      <c r="G180" s="263">
        <v>8679</v>
      </c>
      <c r="H180" s="263">
        <v>15992</v>
      </c>
      <c r="I180" s="263">
        <v>16392</v>
      </c>
      <c r="J180" s="263">
        <v>16792</v>
      </c>
      <c r="K180" s="250" t="s">
        <v>1294</v>
      </c>
      <c r="L180" s="251">
        <v>1</v>
      </c>
      <c r="M180" s="252">
        <v>1</v>
      </c>
      <c r="N180" s="252">
        <v>1</v>
      </c>
      <c r="O180" s="252">
        <v>1</v>
      </c>
      <c r="P180" s="252">
        <v>1</v>
      </c>
      <c r="Q180" s="252">
        <v>1</v>
      </c>
    </row>
    <row r="181" spans="1:17" s="4" customFormat="1" ht="75" x14ac:dyDescent="0.25">
      <c r="A181" s="1109"/>
      <c r="B181" s="731"/>
      <c r="C181" s="253">
        <v>2</v>
      </c>
      <c r="D181" s="241"/>
      <c r="E181" s="254" t="s">
        <v>404</v>
      </c>
      <c r="F181" s="263">
        <v>12603.3</v>
      </c>
      <c r="G181" s="263">
        <v>13830</v>
      </c>
      <c r="H181" s="263">
        <v>25631.1</v>
      </c>
      <c r="I181" s="263">
        <v>26158.6</v>
      </c>
      <c r="J181" s="263">
        <v>26674.1</v>
      </c>
      <c r="K181" s="250" t="s">
        <v>1378</v>
      </c>
      <c r="L181" s="251">
        <v>1</v>
      </c>
      <c r="M181" s="252">
        <v>1</v>
      </c>
      <c r="N181" s="252">
        <v>1</v>
      </c>
      <c r="O181" s="252">
        <v>1</v>
      </c>
      <c r="P181" s="252">
        <v>1</v>
      </c>
      <c r="Q181" s="252">
        <v>1</v>
      </c>
    </row>
    <row r="182" spans="1:17" s="4" customFormat="1" ht="28.5" x14ac:dyDescent="0.25">
      <c r="A182" s="1109"/>
      <c r="B182" s="255">
        <v>202</v>
      </c>
      <c r="C182" s="256"/>
      <c r="D182" s="241"/>
      <c r="E182" s="257" t="s">
        <v>253</v>
      </c>
      <c r="F182" s="259">
        <v>7676.3</v>
      </c>
      <c r="G182" s="259">
        <v>9268</v>
      </c>
      <c r="H182" s="259">
        <v>16832</v>
      </c>
      <c r="I182" s="259">
        <v>16832</v>
      </c>
      <c r="J182" s="259">
        <v>16832</v>
      </c>
      <c r="K182" s="260" t="s">
        <v>263</v>
      </c>
      <c r="L182" s="249"/>
      <c r="M182" s="258"/>
      <c r="N182" s="258"/>
      <c r="O182" s="258"/>
      <c r="P182" s="258"/>
      <c r="Q182" s="258"/>
    </row>
    <row r="183" spans="1:17" s="4" customFormat="1" ht="45" x14ac:dyDescent="0.25">
      <c r="A183" s="1109"/>
      <c r="B183" s="731"/>
      <c r="C183" s="256">
        <v>1</v>
      </c>
      <c r="D183" s="241"/>
      <c r="E183" s="250" t="s">
        <v>254</v>
      </c>
      <c r="F183" s="263">
        <v>3291.2</v>
      </c>
      <c r="G183" s="263">
        <v>3972</v>
      </c>
      <c r="H183" s="263">
        <v>7125</v>
      </c>
      <c r="I183" s="263">
        <v>7125</v>
      </c>
      <c r="J183" s="263">
        <v>7125</v>
      </c>
      <c r="K183" s="250" t="s">
        <v>264</v>
      </c>
      <c r="L183" s="27" t="s">
        <v>967</v>
      </c>
      <c r="M183" s="249" t="s">
        <v>236</v>
      </c>
      <c r="N183" s="249" t="s">
        <v>237</v>
      </c>
      <c r="O183" s="249" t="s">
        <v>238</v>
      </c>
      <c r="P183" s="249" t="s">
        <v>239</v>
      </c>
      <c r="Q183" s="249" t="s">
        <v>240</v>
      </c>
    </row>
    <row r="184" spans="1:17" s="4" customFormat="1" ht="60" x14ac:dyDescent="0.25">
      <c r="A184" s="1109"/>
      <c r="B184" s="731"/>
      <c r="C184" s="256">
        <v>2</v>
      </c>
      <c r="D184" s="241"/>
      <c r="E184" s="250" t="s">
        <v>255</v>
      </c>
      <c r="F184" s="263">
        <v>2213.6</v>
      </c>
      <c r="G184" s="263">
        <v>2648</v>
      </c>
      <c r="H184" s="263">
        <v>5003</v>
      </c>
      <c r="I184" s="263">
        <v>5003</v>
      </c>
      <c r="J184" s="263">
        <v>5003</v>
      </c>
      <c r="K184" s="261" t="s">
        <v>265</v>
      </c>
      <c r="L184" s="249" t="s">
        <v>1346</v>
      </c>
      <c r="M184" s="249">
        <v>55</v>
      </c>
      <c r="N184" s="249">
        <v>60</v>
      </c>
      <c r="O184" s="249">
        <v>65</v>
      </c>
      <c r="P184" s="249">
        <v>70</v>
      </c>
      <c r="Q184" s="249">
        <v>75</v>
      </c>
    </row>
    <row r="185" spans="1:17" s="4" customFormat="1" ht="60" x14ac:dyDescent="0.25">
      <c r="A185" s="1109"/>
      <c r="B185" s="731"/>
      <c r="C185" s="262" t="s">
        <v>16</v>
      </c>
      <c r="D185" s="241"/>
      <c r="E185" s="250" t="s">
        <v>256</v>
      </c>
      <c r="F185" s="263">
        <v>2171.5</v>
      </c>
      <c r="G185" s="263">
        <v>2648</v>
      </c>
      <c r="H185" s="263">
        <v>4704</v>
      </c>
      <c r="I185" s="263">
        <v>4704</v>
      </c>
      <c r="J185" s="263">
        <v>4704</v>
      </c>
      <c r="K185" s="261" t="s">
        <v>266</v>
      </c>
      <c r="L185" s="27" t="s">
        <v>967</v>
      </c>
      <c r="M185" s="249">
        <v>15</v>
      </c>
      <c r="N185" s="249">
        <v>20</v>
      </c>
      <c r="O185" s="249">
        <v>25</v>
      </c>
      <c r="P185" s="249">
        <v>30</v>
      </c>
      <c r="Q185" s="249">
        <v>35</v>
      </c>
    </row>
    <row r="186" spans="1:17" s="4" customFormat="1" ht="42.75" x14ac:dyDescent="0.25">
      <c r="A186" s="1109"/>
      <c r="B186" s="264" t="s">
        <v>725</v>
      </c>
      <c r="C186" s="265"/>
      <c r="D186" s="241"/>
      <c r="E186" s="260" t="s">
        <v>1295</v>
      </c>
      <c r="F186" s="548">
        <v>7059.4</v>
      </c>
      <c r="G186" s="548">
        <v>11255</v>
      </c>
      <c r="H186" s="259">
        <v>20256</v>
      </c>
      <c r="I186" s="259">
        <v>20256</v>
      </c>
      <c r="J186" s="259">
        <v>20256</v>
      </c>
      <c r="K186" s="260" t="s">
        <v>267</v>
      </c>
      <c r="L186" s="249"/>
      <c r="M186" s="266"/>
      <c r="N186" s="267"/>
      <c r="O186" s="267"/>
      <c r="P186" s="267"/>
      <c r="Q186" s="267"/>
    </row>
    <row r="187" spans="1:17" s="4" customFormat="1" ht="30" x14ac:dyDescent="0.25">
      <c r="A187" s="1109"/>
      <c r="B187" s="732"/>
      <c r="C187" s="262" t="s">
        <v>17</v>
      </c>
      <c r="D187" s="241"/>
      <c r="E187" s="250" t="s">
        <v>257</v>
      </c>
      <c r="F187" s="507">
        <v>3816.7</v>
      </c>
      <c r="G187" s="507">
        <v>5958</v>
      </c>
      <c r="H187" s="263">
        <v>10732</v>
      </c>
      <c r="I187" s="263">
        <v>10732</v>
      </c>
      <c r="J187" s="263">
        <v>10732</v>
      </c>
      <c r="K187" s="261" t="s">
        <v>268</v>
      </c>
      <c r="L187" s="249" t="s">
        <v>1345</v>
      </c>
      <c r="M187" s="249" t="s">
        <v>241</v>
      </c>
      <c r="N187" s="249" t="s">
        <v>242</v>
      </c>
      <c r="O187" s="249" t="s">
        <v>243</v>
      </c>
      <c r="P187" s="249" t="s">
        <v>244</v>
      </c>
      <c r="Q187" s="249" t="s">
        <v>245</v>
      </c>
    </row>
    <row r="188" spans="1:17" s="4" customFormat="1" ht="60" x14ac:dyDescent="0.25">
      <c r="A188" s="1109"/>
      <c r="B188" s="732"/>
      <c r="C188" s="262" t="s">
        <v>18</v>
      </c>
      <c r="D188" s="241"/>
      <c r="E188" s="250" t="s">
        <v>258</v>
      </c>
      <c r="F188" s="507">
        <v>3242.7</v>
      </c>
      <c r="G188" s="507">
        <v>5297</v>
      </c>
      <c r="H188" s="263">
        <v>9524</v>
      </c>
      <c r="I188" s="263">
        <v>9524</v>
      </c>
      <c r="J188" s="263">
        <v>9524</v>
      </c>
      <c r="K188" s="261" t="s">
        <v>269</v>
      </c>
      <c r="L188" s="249" t="s">
        <v>14</v>
      </c>
      <c r="M188" s="249">
        <v>100</v>
      </c>
      <c r="N188" s="249">
        <v>100</v>
      </c>
      <c r="O188" s="249">
        <v>100</v>
      </c>
      <c r="P188" s="249">
        <v>100</v>
      </c>
      <c r="Q188" s="249">
        <v>100</v>
      </c>
    </row>
    <row r="189" spans="1:17" s="4" customFormat="1" ht="42.75" x14ac:dyDescent="0.25">
      <c r="A189" s="1109"/>
      <c r="B189" s="264" t="s">
        <v>726</v>
      </c>
      <c r="C189" s="265"/>
      <c r="D189" s="241"/>
      <c r="E189" s="260" t="s">
        <v>259</v>
      </c>
      <c r="F189" s="548">
        <v>5803.2</v>
      </c>
      <c r="G189" s="548">
        <v>6621.9</v>
      </c>
      <c r="H189" s="259">
        <v>11979.3</v>
      </c>
      <c r="I189" s="259">
        <v>11979.3</v>
      </c>
      <c r="J189" s="259">
        <v>11979.3</v>
      </c>
      <c r="K189" s="260" t="s">
        <v>270</v>
      </c>
      <c r="L189" s="266"/>
      <c r="M189" s="266"/>
      <c r="N189" s="267"/>
      <c r="O189" s="267"/>
      <c r="P189" s="267"/>
      <c r="Q189" s="267"/>
    </row>
    <row r="190" spans="1:17" s="4" customFormat="1" ht="30" x14ac:dyDescent="0.25">
      <c r="A190" s="1109"/>
      <c r="B190" s="732"/>
      <c r="C190" s="262" t="s">
        <v>17</v>
      </c>
      <c r="D190" s="241"/>
      <c r="E190" s="261" t="s">
        <v>260</v>
      </c>
      <c r="F190" s="507">
        <v>2865.1</v>
      </c>
      <c r="G190" s="507">
        <v>3310</v>
      </c>
      <c r="H190" s="263">
        <v>6098</v>
      </c>
      <c r="I190" s="263">
        <v>6098</v>
      </c>
      <c r="J190" s="263">
        <v>6098</v>
      </c>
      <c r="K190" s="261" t="s">
        <v>271</v>
      </c>
      <c r="L190" s="249" t="s">
        <v>1345</v>
      </c>
      <c r="M190" s="249" t="s">
        <v>246</v>
      </c>
      <c r="N190" s="249" t="s">
        <v>247</v>
      </c>
      <c r="O190" s="249" t="s">
        <v>248</v>
      </c>
      <c r="P190" s="249" t="s">
        <v>249</v>
      </c>
      <c r="Q190" s="249" t="s">
        <v>250</v>
      </c>
    </row>
    <row r="191" spans="1:17" s="4" customFormat="1" ht="45" x14ac:dyDescent="0.25">
      <c r="A191" s="1110"/>
      <c r="B191" s="732"/>
      <c r="C191" s="262" t="s">
        <v>18</v>
      </c>
      <c r="D191" s="241"/>
      <c r="E191" s="250" t="s">
        <v>261</v>
      </c>
      <c r="F191" s="507">
        <v>2938.1</v>
      </c>
      <c r="G191" s="507">
        <v>3311.9</v>
      </c>
      <c r="H191" s="507">
        <v>5881.3</v>
      </c>
      <c r="I191" s="507">
        <v>5881.3</v>
      </c>
      <c r="J191" s="507">
        <v>5881.3</v>
      </c>
      <c r="K191" s="508" t="s">
        <v>1313</v>
      </c>
      <c r="L191" s="268" t="s">
        <v>1347</v>
      </c>
      <c r="M191" s="268">
        <v>150</v>
      </c>
      <c r="N191" s="268">
        <v>150</v>
      </c>
      <c r="O191" s="268">
        <v>160</v>
      </c>
      <c r="P191" s="268">
        <v>170</v>
      </c>
      <c r="Q191" s="268">
        <v>180</v>
      </c>
    </row>
    <row r="192" spans="1:17" s="4" customFormat="1" x14ac:dyDescent="0.25">
      <c r="A192" s="1143" t="s">
        <v>15</v>
      </c>
      <c r="B192" s="1144"/>
      <c r="C192" s="1144"/>
      <c r="D192" s="1144"/>
      <c r="E192" s="1145"/>
      <c r="F192" s="509">
        <v>40942.199999999997</v>
      </c>
      <c r="G192" s="509">
        <v>49653.9</v>
      </c>
      <c r="H192" s="509">
        <v>90690.4</v>
      </c>
      <c r="I192" s="509">
        <v>91617.9</v>
      </c>
      <c r="J192" s="509">
        <v>92533.4</v>
      </c>
      <c r="K192" s="510"/>
      <c r="L192" s="1427"/>
      <c r="M192" s="1427"/>
      <c r="N192" s="1427"/>
      <c r="O192" s="1427"/>
      <c r="P192" s="1427"/>
      <c r="Q192" s="1427"/>
    </row>
    <row r="193" spans="1:18" s="4" customFormat="1" x14ac:dyDescent="0.25">
      <c r="A193" s="1362" t="s">
        <v>1949</v>
      </c>
      <c r="B193" s="1363"/>
      <c r="C193" s="1363"/>
      <c r="D193" s="1363"/>
      <c r="E193" s="1363"/>
      <c r="F193" s="1522"/>
      <c r="G193" s="1522"/>
      <c r="H193" s="1522"/>
      <c r="I193" s="1522"/>
      <c r="J193" s="1522"/>
      <c r="K193" s="1522"/>
      <c r="L193" s="1522"/>
      <c r="M193" s="1522"/>
      <c r="N193" s="1522"/>
      <c r="O193" s="1522"/>
      <c r="P193" s="1522"/>
      <c r="Q193" s="1523"/>
    </row>
    <row r="194" spans="1:18" s="4" customFormat="1" x14ac:dyDescent="0.25">
      <c r="A194" s="1108">
        <v>21</v>
      </c>
      <c r="B194" s="20" t="s">
        <v>8</v>
      </c>
      <c r="C194" s="100"/>
      <c r="D194" s="100"/>
      <c r="E194" s="42" t="s">
        <v>1196</v>
      </c>
      <c r="F194" s="549">
        <f>F195+F196</f>
        <v>39774.6</v>
      </c>
      <c r="G194" s="549">
        <f t="shared" ref="G194:J194" si="32">G195+G196</f>
        <v>51444.6</v>
      </c>
      <c r="H194" s="549">
        <f t="shared" si="32"/>
        <v>52500.4</v>
      </c>
      <c r="I194" s="549">
        <f t="shared" si="32"/>
        <v>52944</v>
      </c>
      <c r="J194" s="549">
        <f t="shared" si="32"/>
        <v>53563</v>
      </c>
      <c r="K194" s="100"/>
      <c r="L194" s="100"/>
      <c r="M194" s="100"/>
      <c r="N194" s="100"/>
      <c r="O194" s="100"/>
      <c r="P194" s="100"/>
      <c r="Q194" s="100"/>
    </row>
    <row r="195" spans="1:18" s="4" customFormat="1" ht="30" x14ac:dyDescent="0.25">
      <c r="A195" s="1109"/>
      <c r="B195" s="20"/>
      <c r="C195" s="22" t="s">
        <v>17</v>
      </c>
      <c r="D195" s="20"/>
      <c r="E195" s="140" t="s">
        <v>273</v>
      </c>
      <c r="F195" s="270">
        <v>39774.6</v>
      </c>
      <c r="G195" s="270">
        <v>36608.699999999997</v>
      </c>
      <c r="H195" s="270">
        <v>37331</v>
      </c>
      <c r="I195" s="270">
        <v>37549</v>
      </c>
      <c r="J195" s="270">
        <v>37899</v>
      </c>
      <c r="K195" s="111" t="s">
        <v>9</v>
      </c>
      <c r="L195" s="40" t="s">
        <v>14</v>
      </c>
      <c r="M195" s="271">
        <v>100</v>
      </c>
      <c r="N195" s="104">
        <v>100</v>
      </c>
      <c r="O195" s="19">
        <v>100</v>
      </c>
      <c r="P195" s="165">
        <v>100</v>
      </c>
      <c r="Q195" s="19">
        <v>100</v>
      </c>
    </row>
    <row r="196" spans="1:18" s="4" customFormat="1" ht="30" x14ac:dyDescent="0.25">
      <c r="A196" s="1109"/>
      <c r="B196" s="20"/>
      <c r="C196" s="22" t="s">
        <v>18</v>
      </c>
      <c r="D196" s="20"/>
      <c r="E196" s="140" t="s">
        <v>274</v>
      </c>
      <c r="F196" s="270">
        <v>0</v>
      </c>
      <c r="G196" s="270">
        <v>14835.9</v>
      </c>
      <c r="H196" s="270">
        <v>15169.4</v>
      </c>
      <c r="I196" s="270">
        <v>15395</v>
      </c>
      <c r="J196" s="270">
        <v>15664</v>
      </c>
      <c r="K196" s="111" t="s">
        <v>281</v>
      </c>
      <c r="L196" s="40" t="s">
        <v>14</v>
      </c>
      <c r="M196" s="271">
        <v>24</v>
      </c>
      <c r="N196" s="104">
        <v>24</v>
      </c>
      <c r="O196" s="19">
        <v>24</v>
      </c>
      <c r="P196" s="165">
        <v>24</v>
      </c>
      <c r="Q196" s="19">
        <v>24</v>
      </c>
    </row>
    <row r="197" spans="1:18" s="4" customFormat="1" ht="30" x14ac:dyDescent="0.25">
      <c r="A197" s="1110"/>
      <c r="B197" s="20" t="s">
        <v>727</v>
      </c>
      <c r="C197" s="269"/>
      <c r="D197" s="20"/>
      <c r="E197" s="42" t="s">
        <v>1296</v>
      </c>
      <c r="F197" s="352">
        <v>15078.8</v>
      </c>
      <c r="G197" s="352">
        <v>8702</v>
      </c>
      <c r="H197" s="352">
        <v>8812.2999999999993</v>
      </c>
      <c r="I197" s="352">
        <v>8995.7000000000007</v>
      </c>
      <c r="J197" s="352">
        <v>8995.7000000000007</v>
      </c>
      <c r="K197" s="111" t="s">
        <v>1946</v>
      </c>
      <c r="L197" s="40" t="s">
        <v>25</v>
      </c>
      <c r="M197" s="271">
        <v>330</v>
      </c>
      <c r="N197" s="104">
        <v>340</v>
      </c>
      <c r="O197" s="19">
        <v>360</v>
      </c>
      <c r="P197" s="19">
        <v>380</v>
      </c>
      <c r="Q197" s="19">
        <v>400</v>
      </c>
    </row>
    <row r="198" spans="1:18" s="4" customFormat="1" x14ac:dyDescent="0.25">
      <c r="A198" s="1143" t="s">
        <v>15</v>
      </c>
      <c r="B198" s="1144"/>
      <c r="C198" s="1144"/>
      <c r="D198" s="1144"/>
      <c r="E198" s="1145"/>
      <c r="F198" s="109">
        <f>F194+F197</f>
        <v>54853.399999999994</v>
      </c>
      <c r="G198" s="109">
        <f t="shared" ref="G198:J198" si="33">G194+G197</f>
        <v>60146.6</v>
      </c>
      <c r="H198" s="109">
        <f t="shared" si="33"/>
        <v>61312.7</v>
      </c>
      <c r="I198" s="109">
        <f t="shared" si="33"/>
        <v>61939.7</v>
      </c>
      <c r="J198" s="109">
        <f t="shared" si="33"/>
        <v>62558.7</v>
      </c>
      <c r="K198" s="272"/>
      <c r="L198" s="273"/>
      <c r="M198" s="274"/>
      <c r="N198" s="274"/>
      <c r="O198" s="274"/>
      <c r="P198" s="274"/>
      <c r="Q198" s="274"/>
    </row>
    <row r="199" spans="1:18" s="4" customFormat="1" x14ac:dyDescent="0.25">
      <c r="A199" s="1362" t="s">
        <v>1947</v>
      </c>
      <c r="B199" s="1363"/>
      <c r="C199" s="1363"/>
      <c r="D199" s="1363"/>
      <c r="E199" s="1363"/>
      <c r="F199" s="1363"/>
      <c r="G199" s="1363"/>
      <c r="H199" s="1363"/>
      <c r="I199" s="1363"/>
      <c r="J199" s="1363"/>
      <c r="K199" s="1363"/>
      <c r="L199" s="1363"/>
      <c r="M199" s="1363"/>
      <c r="N199" s="1363"/>
      <c r="O199" s="1363"/>
      <c r="P199" s="1363"/>
      <c r="Q199" s="1364"/>
      <c r="R199" s="4" t="s">
        <v>235</v>
      </c>
    </row>
    <row r="200" spans="1:18" s="4" customFormat="1" ht="30.75" customHeight="1" x14ac:dyDescent="0.25">
      <c r="A200" s="1115" t="s">
        <v>32</v>
      </c>
      <c r="B200" s="23" t="s">
        <v>1394</v>
      </c>
      <c r="C200" s="65"/>
      <c r="D200" s="65"/>
      <c r="E200" s="143" t="s">
        <v>657</v>
      </c>
      <c r="F200" s="329">
        <v>72333</v>
      </c>
      <c r="G200" s="329">
        <v>70797.100000000006</v>
      </c>
      <c r="H200" s="329">
        <f>H201</f>
        <v>188922.3</v>
      </c>
      <c r="I200" s="329">
        <f t="shared" ref="I200:J200" si="34">I201</f>
        <v>194888.7</v>
      </c>
      <c r="J200" s="329">
        <f t="shared" si="34"/>
        <v>196357.8</v>
      </c>
      <c r="K200" s="142" t="s">
        <v>9</v>
      </c>
      <c r="L200" s="27" t="s">
        <v>431</v>
      </c>
      <c r="M200" s="27">
        <v>100</v>
      </c>
      <c r="N200" s="27">
        <v>100</v>
      </c>
      <c r="O200" s="27">
        <v>100</v>
      </c>
      <c r="P200" s="27">
        <v>100</v>
      </c>
      <c r="Q200" s="27">
        <v>100</v>
      </c>
    </row>
    <row r="201" spans="1:18" s="4" customFormat="1" ht="30" x14ac:dyDescent="0.25">
      <c r="A201" s="1116"/>
      <c r="B201" s="29"/>
      <c r="C201" s="22" t="s">
        <v>8</v>
      </c>
      <c r="D201" s="275"/>
      <c r="E201" s="103" t="s">
        <v>10</v>
      </c>
      <c r="F201" s="26">
        <f>64755.7+7577.3</f>
        <v>72333</v>
      </c>
      <c r="G201" s="26">
        <f>64297.1+6500</f>
        <v>70797.100000000006</v>
      </c>
      <c r="H201" s="26">
        <f>114612.3+74310</f>
        <v>188922.3</v>
      </c>
      <c r="I201" s="26">
        <f>64954.7+129934</f>
        <v>194888.7</v>
      </c>
      <c r="J201" s="26">
        <f>65603.8+130754</f>
        <v>196357.8</v>
      </c>
      <c r="K201" s="276"/>
      <c r="L201" s="276"/>
      <c r="M201" s="276"/>
      <c r="N201" s="276"/>
      <c r="O201" s="276"/>
      <c r="P201" s="276"/>
      <c r="Q201" s="277"/>
    </row>
    <row r="202" spans="1:18" s="4" customFormat="1" ht="57" x14ac:dyDescent="0.25">
      <c r="A202" s="1116"/>
      <c r="B202" s="335" t="s">
        <v>1395</v>
      </c>
      <c r="C202" s="65"/>
      <c r="D202" s="65"/>
      <c r="E202" s="42" t="s">
        <v>659</v>
      </c>
      <c r="F202" s="329">
        <v>84589</v>
      </c>
      <c r="G202" s="329">
        <v>85171.9</v>
      </c>
      <c r="H202" s="329">
        <f>H203+H208</f>
        <v>86681.2</v>
      </c>
      <c r="I202" s="329">
        <f t="shared" ref="I202:J202" si="35">I203+I208</f>
        <v>87554.2</v>
      </c>
      <c r="J202" s="329">
        <f t="shared" si="35"/>
        <v>88417.2</v>
      </c>
      <c r="K202" s="523" t="s">
        <v>1297</v>
      </c>
      <c r="L202" s="280"/>
      <c r="M202" s="525">
        <f>M203+M204+M205+M206</f>
        <v>458800</v>
      </c>
      <c r="N202" s="525">
        <f t="shared" ref="N202:Q202" si="36">N203+N204+N205+N206</f>
        <v>458900</v>
      </c>
      <c r="O202" s="525">
        <f t="shared" si="36"/>
        <v>463489</v>
      </c>
      <c r="P202" s="527">
        <f t="shared" si="36"/>
        <v>472758.78</v>
      </c>
      <c r="Q202" s="527">
        <f t="shared" si="36"/>
        <v>486894.26752199989</v>
      </c>
    </row>
    <row r="203" spans="1:18" s="4" customFormat="1" ht="30" x14ac:dyDescent="0.25">
      <c r="A203" s="1116"/>
      <c r="B203" s="1115"/>
      <c r="C203" s="1118" t="s">
        <v>17</v>
      </c>
      <c r="D203" s="1118"/>
      <c r="E203" s="1120" t="s">
        <v>659</v>
      </c>
      <c r="F203" s="1121">
        <f>78228.2+6360.8</f>
        <v>84589</v>
      </c>
      <c r="G203" s="1121">
        <f>74171.9+G207</f>
        <v>85171.9</v>
      </c>
      <c r="H203" s="1121">
        <v>86579.3</v>
      </c>
      <c r="I203" s="1121">
        <f>76354.2+I207</f>
        <v>87554.2</v>
      </c>
      <c r="J203" s="1121">
        <f>77117.2+J207</f>
        <v>88417.2</v>
      </c>
      <c r="K203" s="140" t="s">
        <v>1298</v>
      </c>
      <c r="L203" s="19" t="s">
        <v>967</v>
      </c>
      <c r="M203" s="19">
        <v>6300</v>
      </c>
      <c r="N203" s="19">
        <v>6300</v>
      </c>
      <c r="O203" s="19">
        <f>N203*101/100</f>
        <v>6363</v>
      </c>
      <c r="P203" s="124">
        <f>O203*102/100</f>
        <v>6490.26</v>
      </c>
      <c r="Q203" s="124">
        <f>P203*102.99/100</f>
        <v>6684.3187740000003</v>
      </c>
    </row>
    <row r="204" spans="1:18" s="4" customFormat="1" ht="30" x14ac:dyDescent="0.25">
      <c r="A204" s="1116"/>
      <c r="B204" s="1116"/>
      <c r="C204" s="1475"/>
      <c r="D204" s="1475"/>
      <c r="E204" s="1088"/>
      <c r="F204" s="1373"/>
      <c r="G204" s="1373"/>
      <c r="H204" s="1373"/>
      <c r="I204" s="1373"/>
      <c r="J204" s="1373"/>
      <c r="K204" s="278" t="s">
        <v>663</v>
      </c>
      <c r="L204" s="19" t="s">
        <v>967</v>
      </c>
      <c r="M204" s="19">
        <v>6000</v>
      </c>
      <c r="N204" s="19">
        <v>6000</v>
      </c>
      <c r="O204" s="19">
        <f t="shared" ref="O204:O206" si="37">N204*101/100</f>
        <v>6060</v>
      </c>
      <c r="P204" s="124">
        <f t="shared" ref="P204:P206" si="38">O204*102/100</f>
        <v>6181.2</v>
      </c>
      <c r="Q204" s="124">
        <f t="shared" ref="Q204:Q206" si="39">P204*102.99/100</f>
        <v>6366.0178799999994</v>
      </c>
    </row>
    <row r="205" spans="1:18" s="4" customFormat="1" ht="30" x14ac:dyDescent="0.25">
      <c r="A205" s="1116"/>
      <c r="B205" s="1116"/>
      <c r="C205" s="1475"/>
      <c r="D205" s="1475"/>
      <c r="E205" s="1088"/>
      <c r="F205" s="1373"/>
      <c r="G205" s="1373"/>
      <c r="H205" s="1373"/>
      <c r="I205" s="1373"/>
      <c r="J205" s="1373"/>
      <c r="K205" s="103" t="s">
        <v>1299</v>
      </c>
      <c r="L205" s="19" t="s">
        <v>967</v>
      </c>
      <c r="M205" s="27">
        <v>441100</v>
      </c>
      <c r="N205" s="27">
        <v>441200</v>
      </c>
      <c r="O205" s="19">
        <f t="shared" si="37"/>
        <v>445612</v>
      </c>
      <c r="P205" s="124">
        <f t="shared" si="38"/>
        <v>454524.24</v>
      </c>
      <c r="Q205" s="124">
        <f t="shared" si="39"/>
        <v>468114.51477599994</v>
      </c>
    </row>
    <row r="206" spans="1:18" s="4" customFormat="1" ht="45" x14ac:dyDescent="0.25">
      <c r="A206" s="1116"/>
      <c r="B206" s="1117"/>
      <c r="C206" s="1119"/>
      <c r="D206" s="1119"/>
      <c r="E206" s="1088"/>
      <c r="F206" s="1373"/>
      <c r="G206" s="1373"/>
      <c r="H206" s="1373"/>
      <c r="I206" s="1373"/>
      <c r="J206" s="1373"/>
      <c r="K206" s="103" t="s">
        <v>1314</v>
      </c>
      <c r="L206" s="19" t="s">
        <v>967</v>
      </c>
      <c r="M206" s="27">
        <v>5400</v>
      </c>
      <c r="N206" s="27">
        <v>5400</v>
      </c>
      <c r="O206" s="19">
        <f t="shared" si="37"/>
        <v>5454</v>
      </c>
      <c r="P206" s="124">
        <f t="shared" si="38"/>
        <v>5563.08</v>
      </c>
      <c r="Q206" s="124">
        <f t="shared" si="39"/>
        <v>5729.4160919999995</v>
      </c>
    </row>
    <row r="207" spans="1:18" s="4" customFormat="1" ht="30" hidden="1" x14ac:dyDescent="0.25">
      <c r="A207" s="1116"/>
      <c r="B207" s="23" t="s">
        <v>32</v>
      </c>
      <c r="C207" s="22" t="s">
        <v>658</v>
      </c>
      <c r="D207" s="22"/>
      <c r="E207" s="103" t="s">
        <v>659</v>
      </c>
      <c r="F207" s="26">
        <v>6360.8</v>
      </c>
      <c r="G207" s="26">
        <v>11000</v>
      </c>
      <c r="H207" s="26">
        <v>11100</v>
      </c>
      <c r="I207" s="26">
        <v>11200</v>
      </c>
      <c r="J207" s="26">
        <v>11300</v>
      </c>
      <c r="K207" s="279"/>
      <c r="L207" s="280"/>
      <c r="M207" s="280"/>
      <c r="N207" s="280"/>
      <c r="O207" s="165"/>
      <c r="P207" s="281"/>
      <c r="Q207" s="281"/>
    </row>
    <row r="208" spans="1:18" s="4" customFormat="1" ht="45" x14ac:dyDescent="0.25">
      <c r="A208" s="1116"/>
      <c r="B208" s="335"/>
      <c r="C208" s="65" t="s">
        <v>18</v>
      </c>
      <c r="D208" s="65"/>
      <c r="E208" s="279" t="s">
        <v>1399</v>
      </c>
      <c r="F208" s="519"/>
      <c r="G208" s="519"/>
      <c r="H208" s="519">
        <v>101.9</v>
      </c>
      <c r="I208" s="519"/>
      <c r="J208" s="519"/>
      <c r="K208" s="279"/>
      <c r="L208" s="280"/>
      <c r="M208" s="280"/>
      <c r="N208" s="280"/>
      <c r="O208" s="165"/>
      <c r="P208" s="281"/>
      <c r="Q208" s="281"/>
    </row>
    <row r="209" spans="1:19" s="4" customFormat="1" ht="42.75" x14ac:dyDescent="0.25">
      <c r="A209" s="1116"/>
      <c r="B209" s="335" t="s">
        <v>1396</v>
      </c>
      <c r="C209" s="521"/>
      <c r="D209" s="65"/>
      <c r="E209" s="523" t="s">
        <v>660</v>
      </c>
      <c r="F209" s="329">
        <v>48715.199999999997</v>
      </c>
      <c r="G209" s="329">
        <v>84756</v>
      </c>
      <c r="H209" s="329">
        <f>H210</f>
        <v>86366.399999999994</v>
      </c>
      <c r="I209" s="329">
        <f t="shared" ref="I209:J209" si="40">I210</f>
        <v>87249.7</v>
      </c>
      <c r="J209" s="329">
        <f t="shared" si="40"/>
        <v>88121.5</v>
      </c>
      <c r="K209" s="526" t="s">
        <v>664</v>
      </c>
      <c r="L209" s="280" t="s">
        <v>14</v>
      </c>
      <c r="M209" s="471">
        <v>40</v>
      </c>
      <c r="N209" s="471">
        <v>50</v>
      </c>
      <c r="O209" s="471">
        <v>55</v>
      </c>
      <c r="P209" s="471">
        <v>60</v>
      </c>
      <c r="Q209" s="471">
        <v>70</v>
      </c>
    </row>
    <row r="210" spans="1:19" s="4" customFormat="1" ht="30" x14ac:dyDescent="0.25">
      <c r="A210" s="1116"/>
      <c r="B210" s="65"/>
      <c r="C210" s="65" t="s">
        <v>17</v>
      </c>
      <c r="D210" s="65"/>
      <c r="E210" s="279" t="s">
        <v>660</v>
      </c>
      <c r="F210" s="519">
        <v>48715.199999999997</v>
      </c>
      <c r="G210" s="519">
        <v>84756</v>
      </c>
      <c r="H210" s="519">
        <v>86366.399999999994</v>
      </c>
      <c r="I210" s="519">
        <v>87249.7</v>
      </c>
      <c r="J210" s="519">
        <v>88121.5</v>
      </c>
      <c r="K210" s="437" t="s">
        <v>665</v>
      </c>
      <c r="L210" s="19" t="s">
        <v>967</v>
      </c>
      <c r="M210" s="280">
        <v>6900</v>
      </c>
      <c r="N210" s="505">
        <v>6900</v>
      </c>
      <c r="O210" s="505">
        <v>6969</v>
      </c>
      <c r="P210" s="505">
        <v>7108</v>
      </c>
      <c r="Q210" s="505">
        <v>7321</v>
      </c>
    </row>
    <row r="211" spans="1:19" s="4" customFormat="1" ht="71.25" x14ac:dyDescent="0.25">
      <c r="A211" s="1116"/>
      <c r="B211" s="335" t="s">
        <v>1397</v>
      </c>
      <c r="C211" s="65"/>
      <c r="D211" s="65"/>
      <c r="E211" s="42" t="s">
        <v>661</v>
      </c>
      <c r="F211" s="528">
        <v>105284.8</v>
      </c>
      <c r="G211" s="528">
        <v>122071.8</v>
      </c>
      <c r="H211" s="528">
        <f>H212</f>
        <v>124682.4</v>
      </c>
      <c r="I211" s="528">
        <v>126053.2</v>
      </c>
      <c r="J211" s="528">
        <v>127307.8</v>
      </c>
      <c r="K211" s="523" t="s">
        <v>666</v>
      </c>
      <c r="L211" s="280"/>
      <c r="M211" s="525">
        <f>M212</f>
        <v>1000</v>
      </c>
      <c r="N211" s="525">
        <f t="shared" ref="N211:Q211" si="41">N212</f>
        <v>12000</v>
      </c>
      <c r="O211" s="525">
        <f t="shared" si="41"/>
        <v>1212</v>
      </c>
      <c r="P211" s="525">
        <f t="shared" si="41"/>
        <v>1236</v>
      </c>
      <c r="Q211" s="525">
        <f t="shared" si="41"/>
        <v>1273</v>
      </c>
    </row>
    <row r="212" spans="1:19" s="4" customFormat="1" ht="60" x14ac:dyDescent="0.25">
      <c r="A212" s="1116"/>
      <c r="B212" s="65"/>
      <c r="C212" s="65" t="s">
        <v>17</v>
      </c>
      <c r="D212" s="65"/>
      <c r="E212" s="437" t="s">
        <v>661</v>
      </c>
      <c r="F212" s="519">
        <v>105284.8</v>
      </c>
      <c r="G212" s="519">
        <v>122071.8</v>
      </c>
      <c r="H212" s="26">
        <f>124282.4+400</f>
        <v>124682.4</v>
      </c>
      <c r="I212" s="26">
        <f>125553.2+500</f>
        <v>126053.2</v>
      </c>
      <c r="J212" s="26">
        <f>126807.8+500</f>
        <v>127307.8</v>
      </c>
      <c r="K212" s="103" t="s">
        <v>1300</v>
      </c>
      <c r="L212" s="19" t="s">
        <v>967</v>
      </c>
      <c r="M212" s="27">
        <v>1000</v>
      </c>
      <c r="N212" s="34">
        <v>12000</v>
      </c>
      <c r="O212" s="34">
        <v>1212</v>
      </c>
      <c r="P212" s="34">
        <v>1236</v>
      </c>
      <c r="Q212" s="34">
        <v>1273</v>
      </c>
    </row>
    <row r="213" spans="1:19" s="4" customFormat="1" ht="28.5" x14ac:dyDescent="0.25">
      <c r="A213" s="1116"/>
      <c r="B213" s="23" t="s">
        <v>1401</v>
      </c>
      <c r="C213" s="127"/>
      <c r="D213" s="275"/>
      <c r="E213" s="42" t="s">
        <v>662</v>
      </c>
      <c r="F213" s="24">
        <v>0</v>
      </c>
      <c r="G213" s="24">
        <v>5809.9</v>
      </c>
      <c r="H213" s="550">
        <f>H214</f>
        <v>5809.5</v>
      </c>
      <c r="I213" s="550">
        <v>5869.2</v>
      </c>
      <c r="J213" s="550">
        <v>5927.8</v>
      </c>
      <c r="K213" s="282" t="s">
        <v>694</v>
      </c>
      <c r="L213" s="283"/>
      <c r="M213" s="27"/>
      <c r="N213" s="34">
        <v>22</v>
      </c>
      <c r="O213" s="34">
        <v>45</v>
      </c>
      <c r="P213" s="34">
        <v>61</v>
      </c>
      <c r="Q213" s="34">
        <v>84</v>
      </c>
    </row>
    <row r="214" spans="1:19" s="93" customFormat="1" ht="30" x14ac:dyDescent="0.25">
      <c r="A214" s="1117"/>
      <c r="B214" s="22"/>
      <c r="C214" s="22" t="s">
        <v>16</v>
      </c>
      <c r="D214" s="275"/>
      <c r="E214" s="285" t="s">
        <v>662</v>
      </c>
      <c r="F214" s="520">
        <v>0</v>
      </c>
      <c r="G214" s="520">
        <v>5809.9</v>
      </c>
      <c r="H214" s="520">
        <v>5809.5</v>
      </c>
      <c r="I214" s="520">
        <v>5869.2</v>
      </c>
      <c r="J214" s="520">
        <v>5927.8</v>
      </c>
      <c r="K214" s="134" t="s">
        <v>694</v>
      </c>
      <c r="L214" s="283"/>
      <c r="M214" s="283"/>
      <c r="N214" s="284">
        <v>22</v>
      </c>
      <c r="O214" s="284">
        <v>45</v>
      </c>
      <c r="P214" s="284">
        <v>61</v>
      </c>
      <c r="Q214" s="284">
        <v>84</v>
      </c>
    </row>
    <row r="215" spans="1:19" s="93" customFormat="1" x14ac:dyDescent="0.25">
      <c r="A215" s="1143" t="s">
        <v>15</v>
      </c>
      <c r="B215" s="1144"/>
      <c r="C215" s="1144"/>
      <c r="D215" s="1144"/>
      <c r="E215" s="1145"/>
      <c r="F215" s="551">
        <v>310922</v>
      </c>
      <c r="G215" s="551">
        <v>368606.7</v>
      </c>
      <c r="H215" s="551">
        <f>H200+H202+H209+H211+H213</f>
        <v>492461.80000000005</v>
      </c>
      <c r="I215" s="551">
        <v>501615.00000000006</v>
      </c>
      <c r="J215" s="551">
        <v>506132.1</v>
      </c>
      <c r="K215" s="286"/>
      <c r="L215" s="274"/>
      <c r="M215" s="274"/>
      <c r="N215" s="287"/>
      <c r="O215" s="287"/>
      <c r="P215" s="287"/>
      <c r="Q215" s="287"/>
    </row>
    <row r="216" spans="1:19" s="93" customFormat="1" x14ac:dyDescent="0.25">
      <c r="A216" s="1385" t="s">
        <v>714</v>
      </c>
      <c r="B216" s="1386"/>
      <c r="C216" s="1386"/>
      <c r="D216" s="1386"/>
      <c r="E216" s="1386"/>
      <c r="F216" s="1386"/>
      <c r="G216" s="1386"/>
      <c r="H216" s="1386"/>
      <c r="I216" s="1386"/>
      <c r="J216" s="1386"/>
      <c r="K216" s="1386"/>
      <c r="L216" s="1386"/>
      <c r="M216" s="1386"/>
      <c r="N216" s="1386"/>
      <c r="O216" s="1386"/>
      <c r="P216" s="1386"/>
      <c r="Q216" s="1386"/>
    </row>
    <row r="217" spans="1:19" s="93" customFormat="1" ht="45" x14ac:dyDescent="0.25">
      <c r="A217" s="1108">
        <v>22</v>
      </c>
      <c r="B217" s="288" t="s">
        <v>1394</v>
      </c>
      <c r="C217" s="284"/>
      <c r="D217" s="289"/>
      <c r="E217" s="290" t="s">
        <v>1379</v>
      </c>
      <c r="F217" s="550">
        <v>3931</v>
      </c>
      <c r="G217" s="550">
        <v>3589.9</v>
      </c>
      <c r="H217" s="550">
        <f>H218</f>
        <v>4488.8999999999996</v>
      </c>
      <c r="I217" s="550">
        <v>4888.8999999999996</v>
      </c>
      <c r="J217" s="550">
        <v>5288.9</v>
      </c>
      <c r="K217" s="736" t="s">
        <v>9</v>
      </c>
      <c r="L217" s="291" t="s">
        <v>224</v>
      </c>
      <c r="M217" s="291">
        <v>1</v>
      </c>
      <c r="N217" s="291">
        <v>1</v>
      </c>
      <c r="O217" s="291">
        <v>1</v>
      </c>
      <c r="P217" s="291">
        <v>1</v>
      </c>
      <c r="Q217" s="291">
        <v>1</v>
      </c>
      <c r="S217" s="93" t="s">
        <v>235</v>
      </c>
    </row>
    <row r="218" spans="1:19" s="93" customFormat="1" ht="30" x14ac:dyDescent="0.25">
      <c r="A218" s="1109"/>
      <c r="B218" s="511"/>
      <c r="C218" s="22" t="s">
        <v>17</v>
      </c>
      <c r="D218" s="29"/>
      <c r="E218" s="103" t="s">
        <v>10</v>
      </c>
      <c r="F218" s="520">
        <v>2174.3000000000002</v>
      </c>
      <c r="G218" s="321">
        <v>2489.9</v>
      </c>
      <c r="H218" s="321">
        <v>4488.8999999999996</v>
      </c>
      <c r="I218" s="321">
        <v>2488.9</v>
      </c>
      <c r="J218" s="321">
        <v>2488.9</v>
      </c>
      <c r="K218" s="293"/>
      <c r="L218" s="293"/>
      <c r="M218" s="291">
        <v>1</v>
      </c>
      <c r="N218" s="291">
        <v>1</v>
      </c>
      <c r="O218" s="291">
        <v>1</v>
      </c>
      <c r="P218" s="291">
        <v>1</v>
      </c>
      <c r="Q218" s="291">
        <v>1</v>
      </c>
    </row>
    <row r="219" spans="1:19" s="93" customFormat="1" ht="58.5" x14ac:dyDescent="0.25">
      <c r="A219" s="1109"/>
      <c r="B219" s="23" t="s">
        <v>1398</v>
      </c>
      <c r="C219" s="22"/>
      <c r="D219" s="29"/>
      <c r="E219" s="294" t="s">
        <v>910</v>
      </c>
      <c r="F219" s="24">
        <v>55912.6</v>
      </c>
      <c r="G219" s="295">
        <v>89092.4</v>
      </c>
      <c r="H219" s="295">
        <f>H220</f>
        <v>95185.4</v>
      </c>
      <c r="I219" s="295">
        <v>91649.600000000006</v>
      </c>
      <c r="J219" s="295">
        <v>92590.3</v>
      </c>
      <c r="K219" s="293"/>
      <c r="L219" s="293"/>
      <c r="M219" s="293"/>
      <c r="N219" s="293"/>
      <c r="O219" s="293"/>
      <c r="P219" s="293"/>
      <c r="Q219" s="293"/>
    </row>
    <row r="220" spans="1:19" s="93" customFormat="1" ht="30" x14ac:dyDescent="0.25">
      <c r="A220" s="1110"/>
      <c r="B220" s="511"/>
      <c r="C220" s="65" t="s">
        <v>17</v>
      </c>
      <c r="D220" s="296"/>
      <c r="E220" s="297" t="s">
        <v>695</v>
      </c>
      <c r="F220" s="519">
        <v>55912.6</v>
      </c>
      <c r="G220" s="552">
        <v>89092.4</v>
      </c>
      <c r="H220" s="552">
        <v>95185.4</v>
      </c>
      <c r="I220" s="552">
        <v>91649.600000000006</v>
      </c>
      <c r="J220" s="552">
        <v>92590.3</v>
      </c>
      <c r="K220" s="314" t="s">
        <v>1302</v>
      </c>
      <c r="L220" s="19" t="s">
        <v>967</v>
      </c>
      <c r="M220" s="299">
        <v>5988</v>
      </c>
      <c r="N220" s="299">
        <v>6000</v>
      </c>
      <c r="O220" s="299">
        <v>6050</v>
      </c>
      <c r="P220" s="299">
        <v>6100</v>
      </c>
      <c r="Q220" s="299">
        <v>6150</v>
      </c>
    </row>
    <row r="221" spans="1:19" s="93" customFormat="1" x14ac:dyDescent="0.25">
      <c r="A221" s="1365" t="s">
        <v>15</v>
      </c>
      <c r="B221" s="1365"/>
      <c r="C221" s="1365"/>
      <c r="D221" s="1365"/>
      <c r="E221" s="1365"/>
      <c r="F221" s="31">
        <v>59843.6</v>
      </c>
      <c r="G221" s="31">
        <v>92682.299999999988</v>
      </c>
      <c r="H221" s="31">
        <f>H217+H219</f>
        <v>99674.299999999988</v>
      </c>
      <c r="I221" s="31">
        <v>96538.5</v>
      </c>
      <c r="J221" s="31">
        <v>97879.2</v>
      </c>
      <c r="K221" s="300"/>
      <c r="L221" s="301"/>
      <c r="M221" s="301"/>
      <c r="N221" s="302"/>
      <c r="O221" s="302"/>
      <c r="P221" s="302"/>
      <c r="Q221" s="302"/>
    </row>
    <row r="222" spans="1:19" s="93" customFormat="1" x14ac:dyDescent="0.25">
      <c r="A222" s="1380" t="s">
        <v>715</v>
      </c>
      <c r="B222" s="1479"/>
      <c r="C222" s="1479"/>
      <c r="D222" s="1479"/>
      <c r="E222" s="1479"/>
      <c r="F222" s="1479"/>
      <c r="G222" s="1479"/>
      <c r="H222" s="1479"/>
      <c r="I222" s="1479"/>
      <c r="J222" s="1479"/>
      <c r="K222" s="1479"/>
      <c r="L222" s="1479"/>
      <c r="M222" s="1479"/>
      <c r="N222" s="1479"/>
      <c r="O222" s="1479"/>
      <c r="P222" s="1479"/>
      <c r="Q222" s="1480"/>
    </row>
    <row r="223" spans="1:19" s="93" customFormat="1" ht="73.5" x14ac:dyDescent="0.25">
      <c r="A223" s="1108">
        <v>22</v>
      </c>
      <c r="B223" s="303">
        <v>221</v>
      </c>
      <c r="C223" s="304"/>
      <c r="D223" s="305"/>
      <c r="E223" s="290" t="s">
        <v>1306</v>
      </c>
      <c r="F223" s="318">
        <v>8799.2999999999993</v>
      </c>
      <c r="G223" s="318">
        <v>9225.6</v>
      </c>
      <c r="H223" s="554">
        <f>H224</f>
        <v>10012.799999999999</v>
      </c>
      <c r="I223" s="554">
        <v>10115.200000000001</v>
      </c>
      <c r="J223" s="554">
        <v>10216.299999999999</v>
      </c>
      <c r="K223" s="306" t="s">
        <v>31</v>
      </c>
      <c r="L223" s="291"/>
      <c r="M223" s="307"/>
      <c r="N223" s="307"/>
      <c r="O223" s="29"/>
      <c r="P223" s="29"/>
      <c r="Q223" s="29"/>
    </row>
    <row r="224" spans="1:19" s="93" customFormat="1" ht="30" x14ac:dyDescent="0.25">
      <c r="A224" s="1109"/>
      <c r="B224" s="553"/>
      <c r="C224" s="308">
        <v>1</v>
      </c>
      <c r="D224" s="304"/>
      <c r="E224" s="292" t="s">
        <v>10</v>
      </c>
      <c r="F224" s="321">
        <v>8799.2999999999993</v>
      </c>
      <c r="G224" s="321">
        <v>9225.6</v>
      </c>
      <c r="H224" s="532">
        <v>10012.799999999999</v>
      </c>
      <c r="I224" s="532">
        <v>10115.200000000001</v>
      </c>
      <c r="J224" s="532">
        <v>10216.299999999999</v>
      </c>
      <c r="K224" s="309"/>
      <c r="L224" s="291"/>
      <c r="M224" s="293"/>
      <c r="N224" s="293"/>
      <c r="O224" s="29"/>
      <c r="P224" s="29"/>
      <c r="Q224" s="29"/>
    </row>
    <row r="225" spans="1:17" s="93" customFormat="1" ht="85.5" x14ac:dyDescent="0.25">
      <c r="A225" s="1109"/>
      <c r="B225" s="553"/>
      <c r="C225" s="310"/>
      <c r="D225" s="304"/>
      <c r="E225" s="325" t="s">
        <v>1950</v>
      </c>
      <c r="F225" s="295">
        <v>309493.5</v>
      </c>
      <c r="G225" s="295">
        <v>240000</v>
      </c>
      <c r="H225" s="554">
        <f>H226</f>
        <v>160000</v>
      </c>
      <c r="I225" s="554">
        <v>161636.4</v>
      </c>
      <c r="J225" s="554">
        <v>163251.6</v>
      </c>
      <c r="K225" s="311" t="s">
        <v>2054</v>
      </c>
      <c r="L225" s="291" t="s">
        <v>14</v>
      </c>
      <c r="M225" s="293" t="s">
        <v>900</v>
      </c>
      <c r="N225" s="293" t="s">
        <v>900</v>
      </c>
      <c r="O225" s="293" t="s">
        <v>900</v>
      </c>
      <c r="P225" s="293" t="s">
        <v>900</v>
      </c>
      <c r="Q225" s="293" t="s">
        <v>900</v>
      </c>
    </row>
    <row r="226" spans="1:17" s="93" customFormat="1" ht="45" x14ac:dyDescent="0.25">
      <c r="A226" s="1110"/>
      <c r="B226" s="553"/>
      <c r="C226" s="312">
        <v>1</v>
      </c>
      <c r="D226" s="313"/>
      <c r="E226" s="254" t="s">
        <v>696</v>
      </c>
      <c r="F226" s="552">
        <v>309493.5</v>
      </c>
      <c r="G226" s="552">
        <v>240000</v>
      </c>
      <c r="H226" s="555">
        <v>160000</v>
      </c>
      <c r="I226" s="555">
        <v>161636.4</v>
      </c>
      <c r="J226" s="555">
        <v>163251.6</v>
      </c>
      <c r="K226" s="311" t="s">
        <v>2054</v>
      </c>
      <c r="L226" s="315" t="s">
        <v>14</v>
      </c>
      <c r="M226" s="293" t="s">
        <v>900</v>
      </c>
      <c r="N226" s="293" t="s">
        <v>900</v>
      </c>
      <c r="O226" s="293" t="s">
        <v>900</v>
      </c>
      <c r="P226" s="293" t="s">
        <v>900</v>
      </c>
      <c r="Q226" s="293" t="s">
        <v>900</v>
      </c>
    </row>
    <row r="227" spans="1:17" s="93" customFormat="1" x14ac:dyDescent="0.25">
      <c r="A227" s="1365" t="s">
        <v>15</v>
      </c>
      <c r="B227" s="1365"/>
      <c r="C227" s="1365"/>
      <c r="D227" s="1365"/>
      <c r="E227" s="1365"/>
      <c r="F227" s="316">
        <v>318292.8</v>
      </c>
      <c r="G227" s="316">
        <v>249225.60000000001</v>
      </c>
      <c r="H227" s="316">
        <f>H223+H225</f>
        <v>170012.79999999999</v>
      </c>
      <c r="I227" s="316">
        <v>171751.6</v>
      </c>
      <c r="J227" s="316">
        <v>173467.9</v>
      </c>
      <c r="K227" s="60"/>
      <c r="L227" s="60"/>
      <c r="M227" s="60"/>
      <c r="N227" s="60"/>
      <c r="O227" s="60"/>
      <c r="P227" s="60"/>
      <c r="Q227" s="60"/>
    </row>
    <row r="228" spans="1:17" s="93" customFormat="1" x14ac:dyDescent="0.25">
      <c r="A228" s="1380" t="s">
        <v>716</v>
      </c>
      <c r="B228" s="1479"/>
      <c r="C228" s="1479"/>
      <c r="D228" s="1479"/>
      <c r="E228" s="1479"/>
      <c r="F228" s="1481"/>
      <c r="G228" s="1481"/>
      <c r="H228" s="1481"/>
      <c r="I228" s="1481"/>
      <c r="J228" s="1481"/>
      <c r="K228" s="1481"/>
      <c r="L228" s="1481"/>
      <c r="M228" s="1481"/>
      <c r="N228" s="1481"/>
      <c r="O228" s="1481"/>
      <c r="P228" s="1481"/>
      <c r="Q228" s="1482"/>
    </row>
    <row r="229" spans="1:17" s="93" customFormat="1" ht="87.75" x14ac:dyDescent="0.25">
      <c r="A229" s="1115" t="s">
        <v>32</v>
      </c>
      <c r="B229" s="288" t="s">
        <v>1400</v>
      </c>
      <c r="C229" s="66"/>
      <c r="D229" s="317"/>
      <c r="E229" s="282" t="s">
        <v>1305</v>
      </c>
      <c r="F229" s="318">
        <v>484427.1</v>
      </c>
      <c r="G229" s="318">
        <v>1369953.4</v>
      </c>
      <c r="H229" s="318">
        <f>H230+H231+H232+H233</f>
        <v>1340869.5</v>
      </c>
      <c r="I229" s="318">
        <v>1514983.8</v>
      </c>
      <c r="J229" s="318">
        <v>1532045.2</v>
      </c>
      <c r="K229" s="319" t="s">
        <v>31</v>
      </c>
      <c r="L229" s="291" t="s">
        <v>14</v>
      </c>
      <c r="M229" s="320"/>
      <c r="N229" s="289"/>
      <c r="O229" s="291">
        <v>100</v>
      </c>
      <c r="P229" s="291">
        <v>100</v>
      </c>
      <c r="Q229" s="291">
        <v>100</v>
      </c>
    </row>
    <row r="230" spans="1:17" s="93" customFormat="1" ht="45" x14ac:dyDescent="0.25">
      <c r="A230" s="1116"/>
      <c r="B230" s="22"/>
      <c r="C230" s="308">
        <v>1</v>
      </c>
      <c r="D230" s="275"/>
      <c r="E230" s="292" t="s">
        <v>1951</v>
      </c>
      <c r="F230" s="26">
        <v>36604.199999999997</v>
      </c>
      <c r="G230" s="321">
        <v>124162.7</v>
      </c>
      <c r="H230" s="321">
        <v>150793.4</v>
      </c>
      <c r="I230" s="321">
        <v>156703.79999999999</v>
      </c>
      <c r="J230" s="321">
        <v>156703.79999999999</v>
      </c>
      <c r="K230" s="309" t="s">
        <v>1303</v>
      </c>
      <c r="L230" s="293" t="s">
        <v>14</v>
      </c>
      <c r="M230" s="111"/>
      <c r="N230" s="111"/>
      <c r="O230" s="293">
        <v>100</v>
      </c>
      <c r="P230" s="293">
        <v>100</v>
      </c>
      <c r="Q230" s="293">
        <v>100</v>
      </c>
    </row>
    <row r="231" spans="1:17" s="93" customFormat="1" ht="45" x14ac:dyDescent="0.25">
      <c r="A231" s="1116"/>
      <c r="B231" s="22"/>
      <c r="C231" s="310">
        <v>2</v>
      </c>
      <c r="D231" s="275"/>
      <c r="E231" s="254" t="s">
        <v>1304</v>
      </c>
      <c r="F231" s="26">
        <v>397118.3</v>
      </c>
      <c r="G231" s="321">
        <v>1143514.5</v>
      </c>
      <c r="H231" s="321">
        <v>1075198.3</v>
      </c>
      <c r="I231" s="321">
        <v>1242153.7</v>
      </c>
      <c r="J231" s="321">
        <v>1257977</v>
      </c>
      <c r="K231" s="309" t="s">
        <v>697</v>
      </c>
      <c r="L231" s="293" t="s">
        <v>14</v>
      </c>
      <c r="M231" s="111"/>
      <c r="N231" s="111"/>
      <c r="O231" s="293">
        <v>100</v>
      </c>
      <c r="P231" s="293">
        <v>100</v>
      </c>
      <c r="Q231" s="293">
        <v>100</v>
      </c>
    </row>
    <row r="232" spans="1:17" s="93" customFormat="1" ht="30" x14ac:dyDescent="0.25">
      <c r="A232" s="1116"/>
      <c r="B232" s="22"/>
      <c r="C232" s="322">
        <v>3</v>
      </c>
      <c r="D232" s="275"/>
      <c r="E232" s="323" t="s">
        <v>698</v>
      </c>
      <c r="F232" s="519">
        <v>46409.8</v>
      </c>
      <c r="G232" s="321">
        <v>94776.5</v>
      </c>
      <c r="H232" s="321">
        <v>101697.3</v>
      </c>
      <c r="I232" s="321">
        <v>102755.5</v>
      </c>
      <c r="J232" s="321">
        <v>103801.4</v>
      </c>
      <c r="K232" s="297" t="s">
        <v>699</v>
      </c>
      <c r="L232" s="293" t="s">
        <v>14</v>
      </c>
      <c r="M232" s="111"/>
      <c r="N232" s="111"/>
      <c r="O232" s="324">
        <v>100</v>
      </c>
      <c r="P232" s="324">
        <v>100</v>
      </c>
      <c r="Q232" s="324">
        <v>100</v>
      </c>
    </row>
    <row r="233" spans="1:17" s="93" customFormat="1" ht="30" x14ac:dyDescent="0.25">
      <c r="A233" s="1116"/>
      <c r="B233" s="22"/>
      <c r="C233" s="322">
        <v>4</v>
      </c>
      <c r="D233" s="275"/>
      <c r="E233" s="323" t="s">
        <v>700</v>
      </c>
      <c r="F233" s="519">
        <v>4294.8</v>
      </c>
      <c r="G233" s="321">
        <v>7499.7</v>
      </c>
      <c r="H233" s="321">
        <v>13180.5</v>
      </c>
      <c r="I233" s="321">
        <v>13370.8</v>
      </c>
      <c r="J233" s="321">
        <v>13563</v>
      </c>
      <c r="K233" s="297" t="s">
        <v>701</v>
      </c>
      <c r="L233" s="293" t="s">
        <v>14</v>
      </c>
      <c r="M233" s="111"/>
      <c r="N233" s="111"/>
      <c r="O233" s="324">
        <v>100</v>
      </c>
      <c r="P233" s="324">
        <v>100</v>
      </c>
      <c r="Q233" s="324">
        <v>100</v>
      </c>
    </row>
    <row r="234" spans="1:17" s="93" customFormat="1" ht="28.5" x14ac:dyDescent="0.25">
      <c r="A234" s="1116"/>
      <c r="B234" s="503">
        <v>227</v>
      </c>
      <c r="C234" s="308"/>
      <c r="D234" s="313"/>
      <c r="E234" s="325" t="s">
        <v>1952</v>
      </c>
      <c r="F234" s="295">
        <v>10129</v>
      </c>
      <c r="G234" s="295">
        <v>170041.10000000003</v>
      </c>
      <c r="H234" s="295">
        <f>H235+H236+H237+H238+H239+H240+H241</f>
        <v>165908.20000000001</v>
      </c>
      <c r="I234" s="295">
        <v>8941</v>
      </c>
      <c r="J234" s="295">
        <v>8941</v>
      </c>
      <c r="K234" s="101"/>
      <c r="L234" s="101"/>
      <c r="M234" s="101"/>
      <c r="N234" s="101"/>
      <c r="O234" s="101"/>
      <c r="P234" s="101"/>
      <c r="Q234" s="101"/>
    </row>
    <row r="235" spans="1:17" s="93" customFormat="1" ht="60" x14ac:dyDescent="0.25">
      <c r="A235" s="1116"/>
      <c r="B235" s="553"/>
      <c r="C235" s="308">
        <v>1</v>
      </c>
      <c r="D235" s="313"/>
      <c r="E235" s="254" t="s">
        <v>702</v>
      </c>
      <c r="F235" s="26"/>
      <c r="G235" s="26">
        <v>17280.5</v>
      </c>
      <c r="H235" s="321">
        <v>17280.5</v>
      </c>
      <c r="I235" s="321"/>
      <c r="J235" s="321"/>
      <c r="K235" s="309" t="s">
        <v>703</v>
      </c>
      <c r="L235" s="293" t="s">
        <v>14</v>
      </c>
      <c r="M235" s="101"/>
      <c r="N235" s="29"/>
      <c r="O235" s="293">
        <v>80</v>
      </c>
      <c r="P235" s="293">
        <v>100</v>
      </c>
      <c r="Q235" s="293"/>
    </row>
    <row r="236" spans="1:17" s="93" customFormat="1" ht="30" x14ac:dyDescent="0.25">
      <c r="A236" s="1116"/>
      <c r="B236" s="553"/>
      <c r="C236" s="308">
        <v>2</v>
      </c>
      <c r="D236" s="313"/>
      <c r="E236" s="254" t="s">
        <v>704</v>
      </c>
      <c r="F236" s="26"/>
      <c r="G236" s="26">
        <v>19274.8</v>
      </c>
      <c r="H236" s="321">
        <v>3958.1</v>
      </c>
      <c r="I236" s="321"/>
      <c r="J236" s="321"/>
      <c r="K236" s="309" t="s">
        <v>703</v>
      </c>
      <c r="L236" s="293" t="s">
        <v>14</v>
      </c>
      <c r="M236" s="101"/>
      <c r="N236" s="29"/>
      <c r="O236" s="293">
        <v>80</v>
      </c>
      <c r="P236" s="293">
        <v>100</v>
      </c>
      <c r="Q236" s="293"/>
    </row>
    <row r="237" spans="1:17" s="93" customFormat="1" ht="120" x14ac:dyDescent="0.25">
      <c r="A237" s="1116"/>
      <c r="B237" s="553"/>
      <c r="C237" s="308">
        <v>3</v>
      </c>
      <c r="D237" s="313"/>
      <c r="E237" s="254" t="s">
        <v>705</v>
      </c>
      <c r="F237" s="26">
        <v>1060</v>
      </c>
      <c r="G237" s="321">
        <v>109398.1</v>
      </c>
      <c r="H237" s="321">
        <v>123421.4</v>
      </c>
      <c r="I237" s="321"/>
      <c r="J237" s="321"/>
      <c r="K237" s="309" t="s">
        <v>703</v>
      </c>
      <c r="L237" s="293" t="s">
        <v>14</v>
      </c>
      <c r="M237" s="101"/>
      <c r="N237" s="29"/>
      <c r="O237" s="293">
        <v>80</v>
      </c>
      <c r="P237" s="293">
        <v>100</v>
      </c>
      <c r="Q237" s="293"/>
    </row>
    <row r="238" spans="1:17" s="93" customFormat="1" ht="30" x14ac:dyDescent="0.25">
      <c r="A238" s="1116"/>
      <c r="B238" s="553"/>
      <c r="C238" s="308">
        <v>4</v>
      </c>
      <c r="D238" s="313"/>
      <c r="E238" s="254" t="s">
        <v>706</v>
      </c>
      <c r="F238" s="26">
        <v>74.5</v>
      </c>
      <c r="G238" s="321">
        <v>74.5</v>
      </c>
      <c r="H238" s="321">
        <v>74.5</v>
      </c>
      <c r="I238" s="321"/>
      <c r="J238" s="321"/>
      <c r="K238" s="314" t="s">
        <v>707</v>
      </c>
      <c r="L238" s="293" t="s">
        <v>14</v>
      </c>
      <c r="M238" s="101"/>
      <c r="N238" s="29"/>
      <c r="O238" s="293">
        <v>100</v>
      </c>
      <c r="P238" s="293">
        <v>100</v>
      </c>
      <c r="Q238" s="293"/>
    </row>
    <row r="239" spans="1:17" s="93" customFormat="1" ht="75" x14ac:dyDescent="0.25">
      <c r="A239" s="1116"/>
      <c r="B239" s="553"/>
      <c r="C239" s="308">
        <v>5</v>
      </c>
      <c r="D239" s="326"/>
      <c r="E239" s="254" t="s">
        <v>708</v>
      </c>
      <c r="F239" s="26">
        <v>7194.5</v>
      </c>
      <c r="G239" s="321">
        <v>8667.2000000000007</v>
      </c>
      <c r="H239" s="321">
        <v>5832.7</v>
      </c>
      <c r="I239" s="321"/>
      <c r="J239" s="321"/>
      <c r="K239" s="314" t="s">
        <v>1953</v>
      </c>
      <c r="L239" s="293" t="s">
        <v>14</v>
      </c>
      <c r="M239" s="101"/>
      <c r="N239" s="29"/>
      <c r="O239" s="293">
        <v>80</v>
      </c>
      <c r="P239" s="293">
        <v>100</v>
      </c>
      <c r="Q239" s="293"/>
    </row>
    <row r="240" spans="1:17" s="93" customFormat="1" ht="45" x14ac:dyDescent="0.25">
      <c r="A240" s="1116"/>
      <c r="B240" s="553"/>
      <c r="C240" s="308">
        <v>6</v>
      </c>
      <c r="D240" s="326"/>
      <c r="E240" s="254" t="s">
        <v>709</v>
      </c>
      <c r="F240" s="26"/>
      <c r="G240" s="321">
        <v>6400</v>
      </c>
      <c r="H240" s="321">
        <v>6400</v>
      </c>
      <c r="I240" s="321"/>
      <c r="J240" s="321"/>
      <c r="K240" s="309" t="s">
        <v>703</v>
      </c>
      <c r="L240" s="293" t="s">
        <v>14</v>
      </c>
      <c r="M240" s="101"/>
      <c r="N240" s="29"/>
      <c r="O240" s="293">
        <v>80</v>
      </c>
      <c r="P240" s="293">
        <v>100</v>
      </c>
      <c r="Q240" s="293"/>
    </row>
    <row r="241" spans="1:18" s="93" customFormat="1" ht="75" x14ac:dyDescent="0.25">
      <c r="A241" s="1117"/>
      <c r="B241" s="553"/>
      <c r="C241" s="312">
        <v>7</v>
      </c>
      <c r="D241" s="313"/>
      <c r="E241" s="327" t="s">
        <v>710</v>
      </c>
      <c r="F241" s="26">
        <v>1800</v>
      </c>
      <c r="G241" s="321">
        <v>8946</v>
      </c>
      <c r="H241" s="321">
        <v>8941</v>
      </c>
      <c r="I241" s="321">
        <v>8941</v>
      </c>
      <c r="J241" s="321">
        <v>8941</v>
      </c>
      <c r="K241" s="314" t="s">
        <v>1954</v>
      </c>
      <c r="L241" s="293" t="s">
        <v>14</v>
      </c>
      <c r="M241" s="101"/>
      <c r="N241" s="29"/>
      <c r="O241" s="293">
        <v>100</v>
      </c>
      <c r="P241" s="293">
        <v>100</v>
      </c>
      <c r="Q241" s="293">
        <v>100</v>
      </c>
    </row>
    <row r="242" spans="1:18" s="4" customFormat="1" x14ac:dyDescent="0.25">
      <c r="A242" s="1365" t="s">
        <v>15</v>
      </c>
      <c r="B242" s="1365"/>
      <c r="C242" s="1365"/>
      <c r="D242" s="1365"/>
      <c r="E242" s="1365"/>
      <c r="F242" s="316">
        <v>494556.1</v>
      </c>
      <c r="G242" s="316">
        <v>1539994.5</v>
      </c>
      <c r="H242" s="316">
        <f>H229+H234</f>
        <v>1506777.7</v>
      </c>
      <c r="I242" s="316">
        <v>1523924.8</v>
      </c>
      <c r="J242" s="316">
        <v>1540986.2</v>
      </c>
      <c r="K242" s="1498"/>
      <c r="L242" s="1499"/>
      <c r="M242" s="1499"/>
      <c r="N242" s="1499"/>
      <c r="O242" s="1499"/>
      <c r="P242" s="1499"/>
      <c r="Q242" s="1500"/>
    </row>
    <row r="243" spans="1:18" s="4" customFormat="1" x14ac:dyDescent="0.25">
      <c r="A243" s="1380" t="s">
        <v>717</v>
      </c>
      <c r="B243" s="1479"/>
      <c r="C243" s="1479"/>
      <c r="D243" s="1479"/>
      <c r="E243" s="1479"/>
      <c r="F243" s="1479"/>
      <c r="G243" s="1479"/>
      <c r="H243" s="1479"/>
      <c r="I243" s="1479"/>
      <c r="J243" s="1479"/>
      <c r="K243" s="1479"/>
      <c r="L243" s="1479"/>
      <c r="M243" s="1479"/>
      <c r="N243" s="1479"/>
      <c r="O243" s="1479"/>
      <c r="P243" s="1479"/>
      <c r="Q243" s="1480"/>
    </row>
    <row r="244" spans="1:18" s="4" customFormat="1" ht="53.45" customHeight="1" x14ac:dyDescent="0.25">
      <c r="A244" s="1115" t="s">
        <v>32</v>
      </c>
      <c r="B244" s="23" t="s">
        <v>1903</v>
      </c>
      <c r="C244" s="275"/>
      <c r="D244" s="275"/>
      <c r="E244" s="42" t="s">
        <v>1307</v>
      </c>
      <c r="F244" s="328">
        <v>242807.37000000002</v>
      </c>
      <c r="G244" s="329">
        <v>354718.9</v>
      </c>
      <c r="H244" s="329">
        <f>H245+H247</f>
        <v>315604.40000000002</v>
      </c>
      <c r="I244" s="329">
        <v>318832.40000000002</v>
      </c>
      <c r="J244" s="329">
        <v>322018.3</v>
      </c>
      <c r="K244" s="111" t="s">
        <v>1308</v>
      </c>
      <c r="L244" s="27" t="s">
        <v>12</v>
      </c>
      <c r="M244" s="27">
        <v>2</v>
      </c>
      <c r="N244" s="34">
        <v>2</v>
      </c>
      <c r="O244" s="34">
        <v>0</v>
      </c>
      <c r="P244" s="34">
        <v>0</v>
      </c>
      <c r="Q244" s="34">
        <v>0</v>
      </c>
    </row>
    <row r="245" spans="1:18" s="4" customFormat="1" ht="30" x14ac:dyDescent="0.25">
      <c r="A245" s="1116"/>
      <c r="B245" s="1118"/>
      <c r="C245" s="1118" t="s">
        <v>17</v>
      </c>
      <c r="D245" s="1118"/>
      <c r="E245" s="1172" t="s">
        <v>711</v>
      </c>
      <c r="F245" s="1486">
        <v>101251.24</v>
      </c>
      <c r="G245" s="1486">
        <v>159859</v>
      </c>
      <c r="H245" s="1486">
        <v>157802.20000000001</v>
      </c>
      <c r="I245" s="1486">
        <v>159416.20000000001</v>
      </c>
      <c r="J245" s="1486">
        <v>161009.15</v>
      </c>
      <c r="K245" s="330" t="s">
        <v>1956</v>
      </c>
      <c r="L245" s="19" t="s">
        <v>12</v>
      </c>
      <c r="M245" s="19">
        <v>5</v>
      </c>
      <c r="N245" s="19">
        <v>3</v>
      </c>
      <c r="O245" s="19">
        <v>0</v>
      </c>
      <c r="P245" s="19">
        <v>0</v>
      </c>
      <c r="Q245" s="19">
        <v>0</v>
      </c>
    </row>
    <row r="246" spans="1:18" s="4" customFormat="1" ht="30" x14ac:dyDescent="0.25">
      <c r="A246" s="1116"/>
      <c r="B246" s="1119"/>
      <c r="C246" s="1119"/>
      <c r="D246" s="1119"/>
      <c r="E246" s="1173"/>
      <c r="F246" s="1487"/>
      <c r="G246" s="1487"/>
      <c r="H246" s="1487"/>
      <c r="I246" s="1487"/>
      <c r="J246" s="1487"/>
      <c r="K246" s="111" t="s">
        <v>1955</v>
      </c>
      <c r="L246" s="19" t="s">
        <v>12</v>
      </c>
      <c r="M246" s="19">
        <v>1</v>
      </c>
      <c r="N246" s="19">
        <v>1</v>
      </c>
      <c r="O246" s="19">
        <v>0</v>
      </c>
      <c r="P246" s="19">
        <v>0</v>
      </c>
      <c r="Q246" s="19">
        <v>0</v>
      </c>
    </row>
    <row r="247" spans="1:18" s="4" customFormat="1" ht="30" x14ac:dyDescent="0.25">
      <c r="A247" s="1116"/>
      <c r="B247" s="340"/>
      <c r="C247" s="22" t="s">
        <v>18</v>
      </c>
      <c r="D247" s="275"/>
      <c r="E247" s="140" t="s">
        <v>712</v>
      </c>
      <c r="F247" s="331">
        <v>96633.35</v>
      </c>
      <c r="G247" s="331">
        <v>194859.9</v>
      </c>
      <c r="H247" s="331">
        <v>157802.20000000001</v>
      </c>
      <c r="I247" s="331">
        <v>159416.20000000001</v>
      </c>
      <c r="J247" s="331">
        <v>161009.15</v>
      </c>
      <c r="K247" s="140" t="s">
        <v>1309</v>
      </c>
      <c r="L247" s="19" t="s">
        <v>26</v>
      </c>
      <c r="M247" s="19">
        <v>17475</v>
      </c>
      <c r="N247" s="19">
        <v>12916</v>
      </c>
      <c r="O247" s="19">
        <v>12000</v>
      </c>
      <c r="P247" s="19">
        <v>12000</v>
      </c>
      <c r="Q247" s="19">
        <v>12000</v>
      </c>
    </row>
    <row r="248" spans="1:18" s="4" customFormat="1" ht="45" x14ac:dyDescent="0.25">
      <c r="A248" s="1117"/>
      <c r="B248" s="340"/>
      <c r="C248" s="22" t="s">
        <v>16</v>
      </c>
      <c r="D248" s="275"/>
      <c r="E248" s="140" t="s">
        <v>713</v>
      </c>
      <c r="F248" s="332">
        <v>44922.78</v>
      </c>
      <c r="G248" s="332"/>
      <c r="H248" s="331"/>
      <c r="I248" s="331"/>
      <c r="J248" s="331"/>
      <c r="K248" s="140" t="s">
        <v>1310</v>
      </c>
      <c r="L248" s="19" t="s">
        <v>12</v>
      </c>
      <c r="M248" s="19">
        <v>17908</v>
      </c>
      <c r="N248" s="19">
        <v>13454</v>
      </c>
      <c r="O248" s="19">
        <v>0</v>
      </c>
      <c r="P248" s="19">
        <v>0</v>
      </c>
      <c r="Q248" s="19">
        <v>0</v>
      </c>
    </row>
    <row r="249" spans="1:18" s="4" customFormat="1" x14ac:dyDescent="0.25">
      <c r="A249" s="1365" t="s">
        <v>15</v>
      </c>
      <c r="B249" s="1365"/>
      <c r="C249" s="1365"/>
      <c r="D249" s="1365"/>
      <c r="E249" s="1365"/>
      <c r="F249" s="316">
        <v>242807.37000000002</v>
      </c>
      <c r="G249" s="316">
        <v>354718.9</v>
      </c>
      <c r="H249" s="316">
        <f>H244</f>
        <v>315604.40000000002</v>
      </c>
      <c r="I249" s="316">
        <v>318832.40000000002</v>
      </c>
      <c r="J249" s="316">
        <v>322018.3</v>
      </c>
      <c r="K249" s="1498"/>
      <c r="L249" s="1499"/>
      <c r="M249" s="1499"/>
      <c r="N249" s="1499"/>
      <c r="O249" s="1499"/>
      <c r="P249" s="1499"/>
      <c r="Q249" s="1500"/>
      <c r="R249" s="4" t="s">
        <v>235</v>
      </c>
    </row>
    <row r="250" spans="1:18" s="4" customFormat="1" x14ac:dyDescent="0.25">
      <c r="A250" s="1365" t="s">
        <v>545</v>
      </c>
      <c r="B250" s="1365"/>
      <c r="C250" s="1365"/>
      <c r="D250" s="1365"/>
      <c r="E250" s="1365"/>
      <c r="F250" s="64">
        <v>1426421.87</v>
      </c>
      <c r="G250" s="64">
        <v>2605228</v>
      </c>
      <c r="H250" s="64">
        <f>H215+H221+H227+H242+H249</f>
        <v>2584531</v>
      </c>
      <c r="I250" s="64">
        <v>2612662.2999999998</v>
      </c>
      <c r="J250" s="64">
        <v>2640483.6999999997</v>
      </c>
      <c r="K250" s="1483"/>
      <c r="L250" s="1484"/>
      <c r="M250" s="1484"/>
      <c r="N250" s="1484"/>
      <c r="O250" s="1484"/>
      <c r="P250" s="1484"/>
      <c r="Q250" s="1485"/>
    </row>
    <row r="251" spans="1:18" s="4" customFormat="1" x14ac:dyDescent="0.25">
      <c r="A251" s="1362" t="s">
        <v>390</v>
      </c>
      <c r="B251" s="1363"/>
      <c r="C251" s="1363"/>
      <c r="D251" s="1363"/>
      <c r="E251" s="1363"/>
      <c r="F251" s="1363"/>
      <c r="G251" s="1363"/>
      <c r="H251" s="1363"/>
      <c r="I251" s="1363"/>
      <c r="J251" s="1363"/>
      <c r="K251" s="1363"/>
      <c r="L251" s="1363"/>
      <c r="M251" s="1363"/>
      <c r="N251" s="1363"/>
      <c r="O251" s="1363"/>
      <c r="P251" s="1363"/>
      <c r="Q251" s="1364"/>
    </row>
    <row r="252" spans="1:18" s="4" customFormat="1" ht="84.75" customHeight="1" x14ac:dyDescent="0.25">
      <c r="A252" s="1108">
        <v>23</v>
      </c>
      <c r="B252" s="334">
        <v>231</v>
      </c>
      <c r="C252" s="335"/>
      <c r="D252" s="336"/>
      <c r="E252" s="279" t="s">
        <v>1957</v>
      </c>
      <c r="F252" s="581">
        <v>489755.1</v>
      </c>
      <c r="G252" s="581">
        <v>508067.2</v>
      </c>
      <c r="H252" s="581">
        <f>H253+H254</f>
        <v>496450.5</v>
      </c>
      <c r="I252" s="581">
        <f t="shared" ref="I252:J252" si="42">I253+I254</f>
        <v>501894.2</v>
      </c>
      <c r="J252" s="581">
        <f t="shared" si="42"/>
        <v>505324</v>
      </c>
      <c r="K252" s="337" t="s">
        <v>9</v>
      </c>
      <c r="L252" s="338" t="s">
        <v>400</v>
      </c>
      <c r="M252" s="338">
        <v>34</v>
      </c>
      <c r="N252" s="339">
        <v>30</v>
      </c>
      <c r="O252" s="339">
        <v>30</v>
      </c>
      <c r="P252" s="339">
        <v>30</v>
      </c>
      <c r="Q252" s="339">
        <v>30</v>
      </c>
    </row>
    <row r="253" spans="1:18" s="4" customFormat="1" ht="42" customHeight="1" x14ac:dyDescent="0.25">
      <c r="A253" s="1109"/>
      <c r="B253" s="733"/>
      <c r="C253" s="22" t="s">
        <v>17</v>
      </c>
      <c r="D253" s="340"/>
      <c r="E253" s="103" t="s">
        <v>10</v>
      </c>
      <c r="F253" s="270">
        <v>471859.4</v>
      </c>
      <c r="G253" s="270">
        <v>470911.6</v>
      </c>
      <c r="H253" s="270">
        <v>474158.8</v>
      </c>
      <c r="I253" s="270">
        <v>479383.7</v>
      </c>
      <c r="J253" s="270">
        <v>482645.6</v>
      </c>
      <c r="K253" s="341"/>
      <c r="L253" s="341"/>
      <c r="M253" s="342"/>
      <c r="N253" s="342"/>
      <c r="O253" s="342"/>
      <c r="P253" s="342"/>
      <c r="Q253" s="342"/>
    </row>
    <row r="254" spans="1:18" s="4" customFormat="1" ht="40.5" customHeight="1" x14ac:dyDescent="0.25">
      <c r="A254" s="1109"/>
      <c r="B254" s="733"/>
      <c r="C254" s="22" t="s">
        <v>18</v>
      </c>
      <c r="D254" s="340"/>
      <c r="E254" s="103" t="s">
        <v>404</v>
      </c>
      <c r="F254" s="270">
        <v>17895.7</v>
      </c>
      <c r="G254" s="270">
        <v>37155.599999999999</v>
      </c>
      <c r="H254" s="270">
        <v>22291.7</v>
      </c>
      <c r="I254" s="270">
        <v>22510.5</v>
      </c>
      <c r="J254" s="270">
        <v>22678.400000000001</v>
      </c>
      <c r="K254" s="341"/>
      <c r="L254" s="341"/>
      <c r="M254" s="342"/>
      <c r="N254" s="342"/>
      <c r="O254" s="342"/>
      <c r="P254" s="342"/>
      <c r="Q254" s="342"/>
    </row>
    <row r="255" spans="1:18" s="4" customFormat="1" ht="88.5" x14ac:dyDescent="0.25">
      <c r="A255" s="1109"/>
      <c r="B255" s="343">
        <v>232</v>
      </c>
      <c r="C255" s="22"/>
      <c r="D255" s="340"/>
      <c r="E255" s="143" t="s">
        <v>1317</v>
      </c>
      <c r="F255" s="352">
        <v>1294402.8999999999</v>
      </c>
      <c r="G255" s="352">
        <v>1909740.5</v>
      </c>
      <c r="H255" s="352">
        <f>H256</f>
        <v>2026672.4</v>
      </c>
      <c r="I255" s="352">
        <f t="shared" ref="I255:J255" si="43">I256</f>
        <v>2046839</v>
      </c>
      <c r="J255" s="352">
        <f t="shared" si="43"/>
        <v>2064138.1</v>
      </c>
      <c r="K255" s="344" t="s">
        <v>1315</v>
      </c>
      <c r="L255" s="345" t="s">
        <v>12</v>
      </c>
      <c r="M255" s="346">
        <v>26</v>
      </c>
      <c r="N255" s="347">
        <v>28</v>
      </c>
      <c r="O255" s="347">
        <v>28</v>
      </c>
      <c r="P255" s="347">
        <v>28</v>
      </c>
      <c r="Q255" s="347">
        <v>28</v>
      </c>
    </row>
    <row r="256" spans="1:18" s="4" customFormat="1" ht="45" x14ac:dyDescent="0.25">
      <c r="A256" s="1109"/>
      <c r="B256" s="343"/>
      <c r="C256" s="22" t="s">
        <v>17</v>
      </c>
      <c r="D256" s="340"/>
      <c r="E256" s="103" t="s">
        <v>398</v>
      </c>
      <c r="F256" s="270">
        <v>1294402.8999999999</v>
      </c>
      <c r="G256" s="270">
        <v>1909740.5</v>
      </c>
      <c r="H256" s="270">
        <v>2026672.4</v>
      </c>
      <c r="I256" s="270">
        <v>2046839</v>
      </c>
      <c r="J256" s="270">
        <v>2064138.1</v>
      </c>
      <c r="K256" s="344" t="s">
        <v>401</v>
      </c>
      <c r="L256" s="345" t="s">
        <v>13</v>
      </c>
      <c r="M256" s="345">
        <v>1029</v>
      </c>
      <c r="N256" s="348">
        <v>1140</v>
      </c>
      <c r="O256" s="348">
        <v>1134</v>
      </c>
      <c r="P256" s="348">
        <v>1140</v>
      </c>
      <c r="Q256" s="348">
        <v>1140</v>
      </c>
    </row>
    <row r="257" spans="1:19" s="4" customFormat="1" ht="134.25" x14ac:dyDescent="0.25">
      <c r="A257" s="1109"/>
      <c r="B257" s="343">
        <v>233</v>
      </c>
      <c r="C257" s="22"/>
      <c r="D257" s="340"/>
      <c r="E257" s="103" t="s">
        <v>1316</v>
      </c>
      <c r="F257" s="352">
        <v>28893.599999999999</v>
      </c>
      <c r="G257" s="352">
        <v>29763</v>
      </c>
      <c r="H257" s="352">
        <f>H258</f>
        <v>36542.300000000003</v>
      </c>
      <c r="I257" s="352">
        <f t="shared" ref="I257:J257" si="44">I258</f>
        <v>41549.9</v>
      </c>
      <c r="J257" s="352">
        <f t="shared" si="44"/>
        <v>44876.3</v>
      </c>
      <c r="K257" s="344" t="s">
        <v>402</v>
      </c>
      <c r="L257" s="345" t="s">
        <v>14</v>
      </c>
      <c r="M257" s="345">
        <v>90</v>
      </c>
      <c r="N257" s="348">
        <v>90</v>
      </c>
      <c r="O257" s="348">
        <v>90</v>
      </c>
      <c r="P257" s="348">
        <v>90</v>
      </c>
      <c r="Q257" s="348">
        <v>90</v>
      </c>
    </row>
    <row r="258" spans="1:19" s="4" customFormat="1" ht="60" x14ac:dyDescent="0.25">
      <c r="A258" s="1110"/>
      <c r="B258" s="343"/>
      <c r="C258" s="22" t="s">
        <v>17</v>
      </c>
      <c r="D258" s="340"/>
      <c r="E258" s="103" t="s">
        <v>399</v>
      </c>
      <c r="F258" s="270">
        <v>28893.599999999999</v>
      </c>
      <c r="G258" s="270">
        <v>29763</v>
      </c>
      <c r="H258" s="270">
        <v>36542.300000000003</v>
      </c>
      <c r="I258" s="270">
        <v>41549.9</v>
      </c>
      <c r="J258" s="270">
        <v>44876.3</v>
      </c>
      <c r="K258" s="344" t="s">
        <v>403</v>
      </c>
      <c r="L258" s="345" t="s">
        <v>14</v>
      </c>
      <c r="M258" s="345">
        <v>7.7</v>
      </c>
      <c r="N258" s="348">
        <v>7.7</v>
      </c>
      <c r="O258" s="348">
        <v>7.7</v>
      </c>
      <c r="P258" s="348">
        <v>7.7</v>
      </c>
      <c r="Q258" s="348">
        <v>7.7</v>
      </c>
    </row>
    <row r="259" spans="1:19" s="4" customFormat="1" x14ac:dyDescent="0.25">
      <c r="A259" s="1143" t="s">
        <v>15</v>
      </c>
      <c r="B259" s="1144"/>
      <c r="C259" s="1144"/>
      <c r="D259" s="1144"/>
      <c r="E259" s="1145"/>
      <c r="F259" s="109">
        <v>1813051.6</v>
      </c>
      <c r="G259" s="109">
        <v>2447570.7000000002</v>
      </c>
      <c r="H259" s="109">
        <f>H252+H255+H257</f>
        <v>2559665.1999999997</v>
      </c>
      <c r="I259" s="109">
        <v>2590283.1</v>
      </c>
      <c r="J259" s="109">
        <v>2614338.4</v>
      </c>
      <c r="K259" s="5"/>
      <c r="L259" s="97"/>
      <c r="M259" s="98"/>
      <c r="N259" s="98"/>
      <c r="O259" s="98"/>
      <c r="P259" s="98"/>
      <c r="Q259" s="98"/>
    </row>
    <row r="260" spans="1:19" s="4" customFormat="1" x14ac:dyDescent="0.25">
      <c r="A260" s="1362" t="s">
        <v>572</v>
      </c>
      <c r="B260" s="1363"/>
      <c r="C260" s="1363"/>
      <c r="D260" s="1363"/>
      <c r="E260" s="1363"/>
      <c r="F260" s="1363"/>
      <c r="G260" s="1363"/>
      <c r="H260" s="1363"/>
      <c r="I260" s="1363"/>
      <c r="J260" s="1363"/>
      <c r="K260" s="1363"/>
      <c r="L260" s="1363"/>
      <c r="M260" s="1363"/>
      <c r="N260" s="1363"/>
      <c r="O260" s="1363"/>
      <c r="P260" s="1363"/>
      <c r="Q260" s="1364"/>
    </row>
    <row r="261" spans="1:19" s="4" customFormat="1" x14ac:dyDescent="0.25">
      <c r="A261" s="1108">
        <v>24</v>
      </c>
      <c r="B261" s="377">
        <v>24</v>
      </c>
      <c r="C261" s="153"/>
      <c r="D261" s="350"/>
      <c r="E261" s="351" t="s">
        <v>573</v>
      </c>
      <c r="F261" s="352">
        <v>2105464.693</v>
      </c>
      <c r="G261" s="352">
        <f t="shared" ref="G261:J261" si="45">G268</f>
        <v>2910267.2</v>
      </c>
      <c r="H261" s="352">
        <f t="shared" si="45"/>
        <v>3797267.1999999997</v>
      </c>
      <c r="I261" s="352">
        <f t="shared" si="45"/>
        <v>3827684.9999999995</v>
      </c>
      <c r="J261" s="352">
        <f t="shared" si="45"/>
        <v>3858922.1</v>
      </c>
      <c r="K261" s="142"/>
      <c r="L261" s="353"/>
      <c r="M261" s="354"/>
      <c r="N261" s="354"/>
      <c r="O261" s="354"/>
      <c r="P261" s="354"/>
      <c r="Q261" s="354"/>
    </row>
    <row r="262" spans="1:19" s="4" customFormat="1" ht="30" x14ac:dyDescent="0.25">
      <c r="A262" s="1109"/>
      <c r="B262" s="734"/>
      <c r="C262" s="22" t="s">
        <v>580</v>
      </c>
      <c r="D262" s="350"/>
      <c r="E262" s="355" t="s">
        <v>574</v>
      </c>
      <c r="F262" s="270">
        <v>1021050.344</v>
      </c>
      <c r="G262" s="270">
        <v>500000</v>
      </c>
      <c r="H262" s="270">
        <v>750000</v>
      </c>
      <c r="I262" s="270">
        <v>750000</v>
      </c>
      <c r="J262" s="270">
        <v>750000</v>
      </c>
      <c r="K262" s="72" t="s">
        <v>1380</v>
      </c>
      <c r="L262" s="84" t="s">
        <v>14</v>
      </c>
      <c r="M262" s="84">
        <v>90</v>
      </c>
      <c r="N262" s="84">
        <v>92</v>
      </c>
      <c r="O262" s="84">
        <v>100</v>
      </c>
      <c r="P262" s="84">
        <v>100</v>
      </c>
      <c r="Q262" s="84">
        <v>100</v>
      </c>
      <c r="S262" s="4" t="s">
        <v>235</v>
      </c>
    </row>
    <row r="263" spans="1:19" s="4" customFormat="1" x14ac:dyDescent="0.25">
      <c r="A263" s="1109"/>
      <c r="B263" s="734"/>
      <c r="C263" s="22" t="s">
        <v>581</v>
      </c>
      <c r="D263" s="350"/>
      <c r="E263" s="355" t="s">
        <v>575</v>
      </c>
      <c r="F263" s="270">
        <v>694907.81200000003</v>
      </c>
      <c r="G263" s="270">
        <v>1594486.8</v>
      </c>
      <c r="H263" s="270">
        <v>1594486.8</v>
      </c>
      <c r="I263" s="270">
        <v>1594486.8</v>
      </c>
      <c r="J263" s="270">
        <v>1594486.8</v>
      </c>
      <c r="K263" s="72" t="s">
        <v>585</v>
      </c>
      <c r="L263" s="84" t="s">
        <v>14</v>
      </c>
      <c r="M263" s="84">
        <v>85</v>
      </c>
      <c r="N263" s="84">
        <v>90</v>
      </c>
      <c r="O263" s="84">
        <v>95</v>
      </c>
      <c r="P263" s="84">
        <v>95</v>
      </c>
      <c r="Q263" s="84">
        <v>95</v>
      </c>
    </row>
    <row r="264" spans="1:19" s="4" customFormat="1" x14ac:dyDescent="0.25">
      <c r="A264" s="1109"/>
      <c r="B264" s="734"/>
      <c r="C264" s="22" t="s">
        <v>582</v>
      </c>
      <c r="D264" s="350"/>
      <c r="E264" s="355" t="s">
        <v>576</v>
      </c>
      <c r="F264" s="270">
        <v>328002.44500000001</v>
      </c>
      <c r="G264" s="270">
        <v>519380.4</v>
      </c>
      <c r="H264" s="270">
        <f>1106380.4+50000</f>
        <v>1156380.3999999999</v>
      </c>
      <c r="I264" s="270">
        <f>1134380.4+50000</f>
        <v>1184380.3999999999</v>
      </c>
      <c r="J264" s="270">
        <f>1163231.1+50000</f>
        <v>1213231.1000000001</v>
      </c>
      <c r="K264" s="72" t="s">
        <v>586</v>
      </c>
      <c r="L264" s="84" t="s">
        <v>14</v>
      </c>
      <c r="M264" s="84">
        <v>85</v>
      </c>
      <c r="N264" s="84">
        <v>90</v>
      </c>
      <c r="O264" s="84">
        <v>95</v>
      </c>
      <c r="P264" s="84">
        <v>95</v>
      </c>
      <c r="Q264" s="84">
        <v>95</v>
      </c>
    </row>
    <row r="265" spans="1:19" s="4" customFormat="1" ht="45" x14ac:dyDescent="0.25">
      <c r="A265" s="1109"/>
      <c r="B265" s="734"/>
      <c r="C265" s="22" t="s">
        <v>583</v>
      </c>
      <c r="D265" s="350"/>
      <c r="E265" s="355" t="s">
        <v>577</v>
      </c>
      <c r="F265" s="270">
        <v>32064.988000000001</v>
      </c>
      <c r="G265" s="270">
        <v>30000</v>
      </c>
      <c r="H265" s="270">
        <v>30000</v>
      </c>
      <c r="I265" s="270">
        <v>30000</v>
      </c>
      <c r="J265" s="270">
        <v>30000</v>
      </c>
      <c r="K265" s="72" t="s">
        <v>587</v>
      </c>
      <c r="L265" s="84" t="s">
        <v>14</v>
      </c>
      <c r="M265" s="84">
        <v>85</v>
      </c>
      <c r="N265" s="84">
        <v>90</v>
      </c>
      <c r="O265" s="84">
        <v>95</v>
      </c>
      <c r="P265" s="84">
        <v>95</v>
      </c>
      <c r="Q265" s="84">
        <v>95</v>
      </c>
    </row>
    <row r="266" spans="1:19" s="4" customFormat="1" x14ac:dyDescent="0.25">
      <c r="A266" s="1109"/>
      <c r="B266" s="734"/>
      <c r="C266" s="22" t="s">
        <v>584</v>
      </c>
      <c r="D266" s="350"/>
      <c r="E266" s="355" t="s">
        <v>578</v>
      </c>
      <c r="F266" s="270">
        <v>29439.103999999999</v>
      </c>
      <c r="G266" s="270">
        <v>30000</v>
      </c>
      <c r="H266" s="270">
        <v>30000</v>
      </c>
      <c r="I266" s="270">
        <v>30000</v>
      </c>
      <c r="J266" s="270">
        <v>30000</v>
      </c>
      <c r="K266" s="72" t="s">
        <v>585</v>
      </c>
      <c r="L266" s="84" t="s">
        <v>14</v>
      </c>
      <c r="M266" s="84">
        <v>90</v>
      </c>
      <c r="N266" s="84">
        <v>90</v>
      </c>
      <c r="O266" s="84">
        <v>90</v>
      </c>
      <c r="P266" s="84">
        <v>90</v>
      </c>
      <c r="Q266" s="84">
        <v>90</v>
      </c>
    </row>
    <row r="267" spans="1:19" s="4" customFormat="1" x14ac:dyDescent="0.25">
      <c r="A267" s="1110"/>
      <c r="B267" s="734"/>
      <c r="C267" s="22"/>
      <c r="D267" s="350"/>
      <c r="E267" s="355" t="s">
        <v>579</v>
      </c>
      <c r="F267" s="83">
        <v>0</v>
      </c>
      <c r="G267" s="83">
        <v>236400</v>
      </c>
      <c r="H267" s="270">
        <v>236400</v>
      </c>
      <c r="I267" s="270">
        <v>238817.8</v>
      </c>
      <c r="J267" s="270">
        <v>241204.2</v>
      </c>
      <c r="K267" s="72"/>
      <c r="L267" s="84"/>
      <c r="M267" s="84"/>
      <c r="N267" s="84"/>
      <c r="O267" s="84"/>
      <c r="P267" s="84"/>
      <c r="Q267" s="84"/>
      <c r="R267" s="356"/>
      <c r="S267" s="333"/>
    </row>
    <row r="268" spans="1:19" s="4" customFormat="1" x14ac:dyDescent="0.25">
      <c r="A268" s="1143" t="s">
        <v>15</v>
      </c>
      <c r="B268" s="1144"/>
      <c r="C268" s="1144"/>
      <c r="D268" s="1144"/>
      <c r="E268" s="1145"/>
      <c r="F268" s="109">
        <v>2105464.693</v>
      </c>
      <c r="G268" s="109">
        <v>2910267.2</v>
      </c>
      <c r="H268" s="109">
        <f>SUM(H262:H267)</f>
        <v>3797267.1999999997</v>
      </c>
      <c r="I268" s="109">
        <f>SUM(I262:I267)</f>
        <v>3827684.9999999995</v>
      </c>
      <c r="J268" s="109">
        <f>SUM(J262:J267)</f>
        <v>3858922.1</v>
      </c>
      <c r="K268" s="5"/>
      <c r="L268" s="97"/>
      <c r="M268" s="98"/>
      <c r="N268" s="98"/>
      <c r="O268" s="98"/>
      <c r="P268" s="98"/>
      <c r="Q268" s="98"/>
    </row>
    <row r="269" spans="1:19" s="4" customFormat="1" x14ac:dyDescent="0.25">
      <c r="A269" s="1362" t="s">
        <v>588</v>
      </c>
      <c r="B269" s="1363"/>
      <c r="C269" s="1363"/>
      <c r="D269" s="1363"/>
      <c r="E269" s="1363"/>
      <c r="F269" s="1363"/>
      <c r="G269" s="1363"/>
      <c r="H269" s="1363"/>
      <c r="I269" s="1363"/>
      <c r="J269" s="1363"/>
      <c r="K269" s="1363"/>
      <c r="L269" s="1363"/>
      <c r="M269" s="1363"/>
      <c r="N269" s="1363"/>
      <c r="O269" s="1363"/>
      <c r="P269" s="1363"/>
      <c r="Q269" s="1364"/>
    </row>
    <row r="270" spans="1:19" s="4" customFormat="1" x14ac:dyDescent="0.25">
      <c r="A270" s="1143" t="s">
        <v>599</v>
      </c>
      <c r="B270" s="1144"/>
      <c r="C270" s="1144"/>
      <c r="D270" s="1144"/>
      <c r="E270" s="1144"/>
      <c r="F270" s="1144"/>
      <c r="G270" s="1144"/>
      <c r="H270" s="1144"/>
      <c r="I270" s="1144"/>
      <c r="J270" s="1144"/>
      <c r="K270" s="1144"/>
      <c r="L270" s="1144"/>
      <c r="M270" s="1144"/>
      <c r="N270" s="1144"/>
      <c r="O270" s="1144"/>
      <c r="P270" s="1144"/>
      <c r="Q270" s="1145"/>
    </row>
    <row r="271" spans="1:19" s="4" customFormat="1" ht="30" x14ac:dyDescent="0.25">
      <c r="A271" s="358"/>
      <c r="B271" s="1492" t="s">
        <v>1389</v>
      </c>
      <c r="C271" s="1187"/>
      <c r="D271" s="1187"/>
      <c r="E271" s="1524" t="s">
        <v>1318</v>
      </c>
      <c r="F271" s="1477">
        <f>F275</f>
        <v>19747104.600000001</v>
      </c>
      <c r="G271" s="1477">
        <f t="shared" ref="G271:J271" si="46">G275</f>
        <v>15614747.800000001</v>
      </c>
      <c r="H271" s="1477">
        <f>H275</f>
        <v>23252094.199999999</v>
      </c>
      <c r="I271" s="1477">
        <f t="shared" si="46"/>
        <v>22306399.800000001</v>
      </c>
      <c r="J271" s="1477">
        <f t="shared" si="46"/>
        <v>22360423</v>
      </c>
      <c r="K271" s="360" t="s">
        <v>589</v>
      </c>
      <c r="L271" s="361" t="s">
        <v>14</v>
      </c>
      <c r="M271" s="571">
        <v>0.41499999999999998</v>
      </c>
      <c r="N271" s="361">
        <v>0.41499999999999998</v>
      </c>
      <c r="O271" s="361">
        <v>0.42</v>
      </c>
      <c r="P271" s="361">
        <v>0.435</v>
      </c>
      <c r="Q271" s="361">
        <v>0.45</v>
      </c>
    </row>
    <row r="272" spans="1:19" s="4" customFormat="1" x14ac:dyDescent="0.25">
      <c r="A272" s="358"/>
      <c r="B272" s="1493"/>
      <c r="C272" s="1194"/>
      <c r="D272" s="1194"/>
      <c r="E272" s="1525"/>
      <c r="F272" s="1478"/>
      <c r="G272" s="1478"/>
      <c r="H272" s="1478"/>
      <c r="I272" s="1478"/>
      <c r="J272" s="1478"/>
      <c r="K272" s="1488" t="s">
        <v>590</v>
      </c>
      <c r="L272" s="1490" t="s">
        <v>12</v>
      </c>
      <c r="M272" s="1495">
        <v>2.5</v>
      </c>
      <c r="N272" s="1490">
        <v>2.5</v>
      </c>
      <c r="O272" s="1490">
        <v>2.5</v>
      </c>
      <c r="P272" s="1490">
        <v>2.5</v>
      </c>
      <c r="Q272" s="1490">
        <v>2.5</v>
      </c>
    </row>
    <row r="273" spans="1:17" s="4" customFormat="1" x14ac:dyDescent="0.25">
      <c r="A273" s="358"/>
      <c r="B273" s="1493"/>
      <c r="C273" s="1194"/>
      <c r="D273" s="1194"/>
      <c r="E273" s="1525"/>
      <c r="F273" s="1478"/>
      <c r="G273" s="1478"/>
      <c r="H273" s="1478"/>
      <c r="I273" s="1478"/>
      <c r="J273" s="1478"/>
      <c r="K273" s="1489"/>
      <c r="L273" s="1491"/>
      <c r="M273" s="1496"/>
      <c r="N273" s="1491"/>
      <c r="O273" s="1491"/>
      <c r="P273" s="1491"/>
      <c r="Q273" s="1491"/>
    </row>
    <row r="274" spans="1:17" s="4" customFormat="1" ht="49.5" customHeight="1" x14ac:dyDescent="0.25">
      <c r="A274" s="358"/>
      <c r="B274" s="1494"/>
      <c r="C274" s="1188"/>
      <c r="D274" s="1188"/>
      <c r="E274" s="1526"/>
      <c r="F274" s="1478"/>
      <c r="G274" s="1478"/>
      <c r="H274" s="1478"/>
      <c r="I274" s="1478"/>
      <c r="J274" s="1478"/>
      <c r="K274" s="360" t="s">
        <v>591</v>
      </c>
      <c r="L274" s="361" t="s">
        <v>14</v>
      </c>
      <c r="M274" s="362">
        <v>0.81</v>
      </c>
      <c r="N274" s="361">
        <v>0.81</v>
      </c>
      <c r="O274" s="361">
        <v>0.82</v>
      </c>
      <c r="P274" s="361">
        <v>0.83</v>
      </c>
      <c r="Q274" s="361">
        <v>0.84</v>
      </c>
    </row>
    <row r="275" spans="1:17" s="4" customFormat="1" ht="45" customHeight="1" x14ac:dyDescent="0.25">
      <c r="A275" s="358"/>
      <c r="B275" s="740"/>
      <c r="C275" s="740" t="s">
        <v>17</v>
      </c>
      <c r="D275" s="740"/>
      <c r="E275" s="739" t="s">
        <v>1390</v>
      </c>
      <c r="F275" s="741">
        <v>19747104.600000001</v>
      </c>
      <c r="G275" s="738">
        <v>15614747.800000001</v>
      </c>
      <c r="H275" s="738">
        <v>23252094.199999999</v>
      </c>
      <c r="I275" s="738">
        <v>22306399.800000001</v>
      </c>
      <c r="J275" s="738">
        <v>22360423</v>
      </c>
      <c r="K275" s="739" t="s">
        <v>592</v>
      </c>
      <c r="L275" s="737" t="s">
        <v>14</v>
      </c>
      <c r="M275" s="742">
        <v>0.9</v>
      </c>
      <c r="N275" s="737">
        <v>0.9</v>
      </c>
      <c r="O275" s="737">
        <v>1</v>
      </c>
      <c r="P275" s="737">
        <v>1</v>
      </c>
      <c r="Q275" s="737">
        <v>1</v>
      </c>
    </row>
    <row r="276" spans="1:17" s="4" customFormat="1" ht="32.25" hidden="1" customHeight="1" x14ac:dyDescent="0.25">
      <c r="A276" s="358"/>
      <c r="B276" s="1194"/>
      <c r="C276" s="365" t="s">
        <v>19</v>
      </c>
      <c r="D276" s="365"/>
      <c r="E276" s="363" t="s">
        <v>595</v>
      </c>
      <c r="F276" s="366">
        <v>316818.90000000002</v>
      </c>
      <c r="G276" s="364"/>
      <c r="H276" s="364"/>
      <c r="I276" s="364"/>
      <c r="J276" s="364"/>
      <c r="K276" s="360"/>
      <c r="L276" s="361">
        <v>1</v>
      </c>
      <c r="M276" s="121"/>
      <c r="N276" s="361"/>
      <c r="O276" s="361"/>
      <c r="P276" s="361"/>
      <c r="Q276" s="361"/>
    </row>
    <row r="277" spans="1:17" s="4" customFormat="1" ht="32.25" hidden="1" customHeight="1" x14ac:dyDescent="0.25">
      <c r="A277" s="358"/>
      <c r="B277" s="1194"/>
      <c r="C277" s="365" t="s">
        <v>20</v>
      </c>
      <c r="D277" s="365"/>
      <c r="E277" s="363" t="s">
        <v>596</v>
      </c>
      <c r="F277" s="366">
        <v>4067.5</v>
      </c>
      <c r="G277" s="364"/>
      <c r="H277" s="364"/>
      <c r="I277" s="364"/>
      <c r="J277" s="364"/>
      <c r="K277" s="360"/>
      <c r="L277" s="361">
        <v>0.9</v>
      </c>
      <c r="M277" s="121"/>
      <c r="N277" s="361"/>
      <c r="O277" s="361"/>
      <c r="P277" s="361"/>
      <c r="Q277" s="361"/>
    </row>
    <row r="278" spans="1:17" s="4" customFormat="1" ht="77.25" hidden="1" customHeight="1" x14ac:dyDescent="0.25">
      <c r="A278" s="358"/>
      <c r="B278" s="1194"/>
      <c r="C278" s="365" t="s">
        <v>21</v>
      </c>
      <c r="D278" s="365"/>
      <c r="E278" s="363" t="s">
        <v>593</v>
      </c>
      <c r="F278" s="366"/>
      <c r="G278" s="364"/>
      <c r="H278" s="364"/>
      <c r="I278" s="364"/>
      <c r="J278" s="364"/>
      <c r="K278" s="360"/>
      <c r="L278" s="361">
        <v>1</v>
      </c>
      <c r="M278" s="121"/>
      <c r="N278" s="361"/>
      <c r="O278" s="361"/>
      <c r="P278" s="361"/>
      <c r="Q278" s="361"/>
    </row>
    <row r="279" spans="1:17" s="4" customFormat="1" ht="15" hidden="1" customHeight="1" x14ac:dyDescent="0.25">
      <c r="A279" s="358"/>
      <c r="B279" s="1194"/>
      <c r="C279" s="365" t="s">
        <v>22</v>
      </c>
      <c r="D279" s="365"/>
      <c r="E279" s="363" t="s">
        <v>594</v>
      </c>
      <c r="F279" s="366">
        <v>160826.70000000001</v>
      </c>
      <c r="G279" s="364"/>
      <c r="H279" s="364"/>
      <c r="I279" s="364"/>
      <c r="J279" s="364"/>
      <c r="K279" s="360"/>
      <c r="L279" s="361">
        <v>0.9</v>
      </c>
      <c r="M279" s="121"/>
      <c r="N279" s="361"/>
      <c r="O279" s="361"/>
      <c r="P279" s="361"/>
      <c r="Q279" s="361"/>
    </row>
    <row r="280" spans="1:17" s="4" customFormat="1" ht="15" hidden="1" customHeight="1" x14ac:dyDescent="0.25">
      <c r="A280" s="358"/>
      <c r="B280" s="1194"/>
      <c r="C280" s="365" t="s">
        <v>23</v>
      </c>
      <c r="D280" s="365"/>
      <c r="E280" s="363" t="s">
        <v>597</v>
      </c>
      <c r="F280" s="366">
        <v>88478</v>
      </c>
      <c r="G280" s="364"/>
      <c r="H280" s="364"/>
      <c r="I280" s="364"/>
      <c r="J280" s="364"/>
      <c r="K280" s="360"/>
      <c r="L280" s="361">
        <v>0.9</v>
      </c>
      <c r="M280" s="121"/>
      <c r="N280" s="361"/>
      <c r="O280" s="361"/>
      <c r="P280" s="361"/>
      <c r="Q280" s="361"/>
    </row>
    <row r="281" spans="1:17" s="4" customFormat="1" ht="15" hidden="1" customHeight="1" x14ac:dyDescent="0.25">
      <c r="A281" s="358"/>
      <c r="B281" s="1194"/>
      <c r="C281" s="365" t="s">
        <v>27</v>
      </c>
      <c r="D281" s="365"/>
      <c r="E281" s="363" t="s">
        <v>598</v>
      </c>
      <c r="F281" s="366">
        <v>5992.6</v>
      </c>
      <c r="G281" s="364"/>
      <c r="H281" s="364"/>
      <c r="I281" s="364"/>
      <c r="J281" s="364"/>
      <c r="K281" s="360"/>
      <c r="L281" s="121" t="s">
        <v>14</v>
      </c>
      <c r="M281" s="121"/>
      <c r="N281" s="361"/>
      <c r="O281" s="361"/>
      <c r="P281" s="361"/>
      <c r="Q281" s="361"/>
    </row>
    <row r="282" spans="1:17" s="4" customFormat="1" x14ac:dyDescent="0.25">
      <c r="A282" s="1143" t="s">
        <v>15</v>
      </c>
      <c r="B282" s="1144"/>
      <c r="C282" s="1144"/>
      <c r="D282" s="1144"/>
      <c r="E282" s="1145"/>
      <c r="F282" s="367">
        <f>F271</f>
        <v>19747104.600000001</v>
      </c>
      <c r="G282" s="367">
        <f t="shared" ref="G282:J282" si="47">G271</f>
        <v>15614747.800000001</v>
      </c>
      <c r="H282" s="367">
        <f>H271</f>
        <v>23252094.199999999</v>
      </c>
      <c r="I282" s="367">
        <f t="shared" si="47"/>
        <v>22306399.800000001</v>
      </c>
      <c r="J282" s="367">
        <f t="shared" si="47"/>
        <v>22360423</v>
      </c>
      <c r="K282" s="1537"/>
      <c r="L282" s="1537"/>
      <c r="M282" s="1537"/>
      <c r="N282" s="1537"/>
      <c r="O282" s="1537"/>
      <c r="P282" s="1537"/>
      <c r="Q282" s="1537"/>
    </row>
    <row r="283" spans="1:17" s="4" customFormat="1" x14ac:dyDescent="0.25">
      <c r="A283" s="1362" t="s">
        <v>1319</v>
      </c>
      <c r="B283" s="1363"/>
      <c r="C283" s="1363"/>
      <c r="D283" s="1363"/>
      <c r="E283" s="1363"/>
      <c r="F283" s="1363"/>
      <c r="G283" s="1363"/>
      <c r="H283" s="1363"/>
      <c r="I283" s="1363"/>
      <c r="J283" s="1363"/>
      <c r="K283" s="1363"/>
      <c r="L283" s="1363"/>
      <c r="M283" s="1363"/>
      <c r="N283" s="1363"/>
      <c r="O283" s="1363"/>
      <c r="P283" s="1363"/>
      <c r="Q283" s="1364"/>
    </row>
    <row r="284" spans="1:17" s="93" customFormat="1" ht="45" x14ac:dyDescent="0.25">
      <c r="A284" s="42"/>
      <c r="B284" s="368" t="s">
        <v>600</v>
      </c>
      <c r="C284" s="369"/>
      <c r="D284" s="369"/>
      <c r="E284" s="370" t="s">
        <v>793</v>
      </c>
      <c r="F284" s="80">
        <v>23827349.600000001</v>
      </c>
      <c r="G284" s="80">
        <v>26675588.5</v>
      </c>
      <c r="H284" s="80">
        <f>H285+H286+H287+H288+H289</f>
        <v>41356789.399999999</v>
      </c>
      <c r="I284" s="80">
        <v>43445220</v>
      </c>
      <c r="J284" s="80">
        <v>45756753</v>
      </c>
      <c r="K284" s="371" t="s">
        <v>1958</v>
      </c>
      <c r="L284" s="271" t="s">
        <v>13</v>
      </c>
      <c r="M284" s="271">
        <v>0</v>
      </c>
      <c r="N284" s="271">
        <v>0</v>
      </c>
      <c r="O284" s="271">
        <v>0</v>
      </c>
      <c r="P284" s="271">
        <v>0</v>
      </c>
      <c r="Q284" s="271">
        <v>0</v>
      </c>
    </row>
    <row r="285" spans="1:17" s="93" customFormat="1" ht="45" x14ac:dyDescent="0.25">
      <c r="A285" s="42"/>
      <c r="B285" s="368"/>
      <c r="C285" s="369" t="s">
        <v>17</v>
      </c>
      <c r="D285" s="369"/>
      <c r="E285" s="372" t="s">
        <v>601</v>
      </c>
      <c r="F285" s="83">
        <v>14255838.9</v>
      </c>
      <c r="G285" s="83">
        <v>16557653.9</v>
      </c>
      <c r="H285" s="83">
        <v>29399651.800000001</v>
      </c>
      <c r="I285" s="83">
        <v>30956374.899999999</v>
      </c>
      <c r="J285" s="83">
        <v>32629907.600000001</v>
      </c>
      <c r="K285" s="371" t="s">
        <v>1958</v>
      </c>
      <c r="L285" s="271" t="s">
        <v>13</v>
      </c>
      <c r="M285" s="271">
        <v>0</v>
      </c>
      <c r="N285" s="271">
        <v>0</v>
      </c>
      <c r="O285" s="271">
        <v>0</v>
      </c>
      <c r="P285" s="271">
        <v>0</v>
      </c>
      <c r="Q285" s="271">
        <v>0</v>
      </c>
    </row>
    <row r="286" spans="1:17" s="93" customFormat="1" ht="45" x14ac:dyDescent="0.25">
      <c r="A286" s="42"/>
      <c r="B286" s="368"/>
      <c r="C286" s="369" t="s">
        <v>18</v>
      </c>
      <c r="D286" s="369"/>
      <c r="E286" s="372" t="s">
        <v>602</v>
      </c>
      <c r="F286" s="83">
        <v>1938691.8</v>
      </c>
      <c r="G286" s="83">
        <v>1986225.4</v>
      </c>
      <c r="H286" s="83">
        <v>2062946.7</v>
      </c>
      <c r="I286" s="83">
        <v>2114911.5</v>
      </c>
      <c r="J286" s="83">
        <v>2167003</v>
      </c>
      <c r="K286" s="371" t="s">
        <v>1958</v>
      </c>
      <c r="L286" s="271" t="s">
        <v>13</v>
      </c>
      <c r="M286" s="271">
        <v>0</v>
      </c>
      <c r="N286" s="271">
        <v>0</v>
      </c>
      <c r="O286" s="271">
        <v>0</v>
      </c>
      <c r="P286" s="271">
        <v>0</v>
      </c>
      <c r="Q286" s="271">
        <v>0</v>
      </c>
    </row>
    <row r="287" spans="1:17" s="93" customFormat="1" ht="45" x14ac:dyDescent="0.25">
      <c r="A287" s="42"/>
      <c r="B287" s="368"/>
      <c r="C287" s="369" t="s">
        <v>16</v>
      </c>
      <c r="D287" s="369"/>
      <c r="E287" s="372" t="s">
        <v>603</v>
      </c>
      <c r="F287" s="83">
        <v>3730312.1</v>
      </c>
      <c r="G287" s="83">
        <v>4198630</v>
      </c>
      <c r="H287" s="83">
        <v>4644747.4000000004</v>
      </c>
      <c r="I287" s="83">
        <v>4875604.8</v>
      </c>
      <c r="J287" s="83">
        <v>5192447.2</v>
      </c>
      <c r="K287" s="371" t="s">
        <v>1958</v>
      </c>
      <c r="L287" s="271" t="s">
        <v>13</v>
      </c>
      <c r="M287" s="271">
        <v>0</v>
      </c>
      <c r="N287" s="271">
        <v>0</v>
      </c>
      <c r="O287" s="271">
        <v>0</v>
      </c>
      <c r="P287" s="271">
        <v>0</v>
      </c>
      <c r="Q287" s="271">
        <v>0</v>
      </c>
    </row>
    <row r="288" spans="1:17" s="93" customFormat="1" ht="45" x14ac:dyDescent="0.25">
      <c r="A288" s="42"/>
      <c r="B288" s="368"/>
      <c r="C288" s="369" t="s">
        <v>19</v>
      </c>
      <c r="D288" s="369"/>
      <c r="E288" s="372" t="s">
        <v>604</v>
      </c>
      <c r="F288" s="83">
        <v>3727619.9</v>
      </c>
      <c r="G288" s="83">
        <v>3933079.2</v>
      </c>
      <c r="H288" s="83">
        <v>4829048.4000000004</v>
      </c>
      <c r="I288" s="83">
        <v>5043158.3</v>
      </c>
      <c r="J288" s="83">
        <v>5277433</v>
      </c>
      <c r="K288" s="371" t="s">
        <v>1958</v>
      </c>
      <c r="L288" s="271" t="s">
        <v>13</v>
      </c>
      <c r="M288" s="271">
        <v>0</v>
      </c>
      <c r="N288" s="271">
        <v>0</v>
      </c>
      <c r="O288" s="271">
        <v>0</v>
      </c>
      <c r="P288" s="271">
        <v>0</v>
      </c>
      <c r="Q288" s="271">
        <v>0</v>
      </c>
    </row>
    <row r="289" spans="1:17" s="93" customFormat="1" ht="75" x14ac:dyDescent="0.25">
      <c r="A289" s="42"/>
      <c r="B289" s="368"/>
      <c r="C289" s="369" t="s">
        <v>20</v>
      </c>
      <c r="D289" s="369"/>
      <c r="E289" s="372" t="s">
        <v>605</v>
      </c>
      <c r="F289" s="83">
        <v>174886.9</v>
      </c>
      <c r="G289" s="83"/>
      <c r="H289" s="83">
        <v>420395.1</v>
      </c>
      <c r="I289" s="83">
        <v>455170.5</v>
      </c>
      <c r="J289" s="83">
        <v>489962.2</v>
      </c>
      <c r="K289" s="371" t="s">
        <v>1958</v>
      </c>
      <c r="L289" s="271" t="s">
        <v>13</v>
      </c>
      <c r="M289" s="271">
        <v>0</v>
      </c>
      <c r="N289" s="271">
        <v>0</v>
      </c>
      <c r="O289" s="271">
        <v>0</v>
      </c>
      <c r="P289" s="271">
        <v>0</v>
      </c>
      <c r="Q289" s="271">
        <v>0</v>
      </c>
    </row>
    <row r="290" spans="1:17" s="93" customFormat="1" x14ac:dyDescent="0.25">
      <c r="A290" s="1143" t="s">
        <v>15</v>
      </c>
      <c r="B290" s="1144"/>
      <c r="C290" s="1144"/>
      <c r="D290" s="1144"/>
      <c r="E290" s="1145"/>
      <c r="F290" s="109">
        <v>23827349.600000001</v>
      </c>
      <c r="G290" s="109">
        <v>26675588.5</v>
      </c>
      <c r="H290" s="109">
        <f>H284</f>
        <v>41356789.399999999</v>
      </c>
      <c r="I290" s="109">
        <v>43445220</v>
      </c>
      <c r="J290" s="109">
        <v>45756753</v>
      </c>
      <c r="K290" s="5"/>
      <c r="L290" s="97"/>
      <c r="M290" s="98"/>
      <c r="N290" s="98"/>
      <c r="O290" s="98"/>
      <c r="P290" s="98"/>
      <c r="Q290" s="98"/>
    </row>
    <row r="291" spans="1:17" s="93" customFormat="1" x14ac:dyDescent="0.25">
      <c r="A291" s="1535" t="s">
        <v>606</v>
      </c>
      <c r="B291" s="1535"/>
      <c r="C291" s="1535"/>
      <c r="D291" s="1535"/>
      <c r="E291" s="1536"/>
      <c r="F291" s="373"/>
      <c r="G291" s="373"/>
      <c r="H291" s="373"/>
      <c r="I291" s="373"/>
      <c r="J291" s="373"/>
      <c r="K291" s="374"/>
      <c r="L291" s="375"/>
      <c r="M291" s="376"/>
      <c r="N291" s="376"/>
      <c r="O291" s="376"/>
      <c r="P291" s="376"/>
      <c r="Q291" s="376"/>
    </row>
    <row r="292" spans="1:17" s="4" customFormat="1" ht="28.5" x14ac:dyDescent="0.25">
      <c r="A292" s="1393">
        <v>26</v>
      </c>
      <c r="B292" s="377">
        <v>263</v>
      </c>
      <c r="C292" s="378"/>
      <c r="D292" s="379"/>
      <c r="E292" s="380" t="s">
        <v>606</v>
      </c>
      <c r="F292" s="381">
        <f>SUM(F293:F311)</f>
        <v>40942730.011829995</v>
      </c>
      <c r="G292" s="381">
        <v>97520377</v>
      </c>
      <c r="H292" s="381">
        <f>SUM(H293:H326)</f>
        <v>67364740.599999994</v>
      </c>
      <c r="I292" s="381">
        <f>SUM(I293:I321)</f>
        <v>134243073.76800001</v>
      </c>
      <c r="J292" s="381">
        <f>SUM(J293:J321)</f>
        <v>181339610.61399999</v>
      </c>
      <c r="K292" s="382" t="s">
        <v>607</v>
      </c>
      <c r="L292" s="67" t="s">
        <v>14</v>
      </c>
      <c r="M292" s="67">
        <v>100</v>
      </c>
      <c r="N292" s="67">
        <v>100</v>
      </c>
      <c r="O292" s="67">
        <v>100</v>
      </c>
      <c r="P292" s="67">
        <v>100</v>
      </c>
      <c r="Q292" s="67">
        <v>100</v>
      </c>
    </row>
    <row r="293" spans="1:17" s="4" customFormat="1" ht="45" x14ac:dyDescent="0.25">
      <c r="A293" s="1394"/>
      <c r="B293" s="349"/>
      <c r="C293" s="359" t="s">
        <v>16</v>
      </c>
      <c r="D293" s="127"/>
      <c r="E293" s="360" t="s">
        <v>1959</v>
      </c>
      <c r="F293" s="46">
        <v>0</v>
      </c>
      <c r="G293" s="46">
        <v>87650</v>
      </c>
      <c r="H293" s="46">
        <v>71425</v>
      </c>
      <c r="I293" s="46">
        <v>41025</v>
      </c>
      <c r="J293" s="46">
        <v>38525</v>
      </c>
      <c r="K293" s="72" t="s">
        <v>609</v>
      </c>
      <c r="L293" s="74" t="s">
        <v>14</v>
      </c>
      <c r="M293" s="74">
        <v>100</v>
      </c>
      <c r="N293" s="74">
        <v>100</v>
      </c>
      <c r="O293" s="74">
        <v>100</v>
      </c>
      <c r="P293" s="74">
        <v>100</v>
      </c>
      <c r="Q293" s="74">
        <v>100</v>
      </c>
    </row>
    <row r="294" spans="1:17" s="4" customFormat="1" ht="30" x14ac:dyDescent="0.25">
      <c r="A294" s="1394"/>
      <c r="B294" s="349"/>
      <c r="C294" s="359" t="s">
        <v>19</v>
      </c>
      <c r="D294" s="127"/>
      <c r="E294" s="360" t="s">
        <v>610</v>
      </c>
      <c r="F294" s="46">
        <v>0</v>
      </c>
      <c r="G294" s="46">
        <v>500000</v>
      </c>
      <c r="H294" s="46">
        <v>500000</v>
      </c>
      <c r="I294" s="46">
        <v>500000</v>
      </c>
      <c r="J294" s="46">
        <v>500000</v>
      </c>
      <c r="K294" s="72" t="s">
        <v>808</v>
      </c>
      <c r="L294" s="74" t="s">
        <v>14</v>
      </c>
      <c r="M294" s="74">
        <v>20</v>
      </c>
      <c r="N294" s="74">
        <v>40</v>
      </c>
      <c r="O294" s="74">
        <v>50</v>
      </c>
      <c r="P294" s="74">
        <v>75</v>
      </c>
      <c r="Q294" s="74">
        <v>100</v>
      </c>
    </row>
    <row r="295" spans="1:17" s="4" customFormat="1" ht="60" x14ac:dyDescent="0.25">
      <c r="A295" s="1394"/>
      <c r="B295" s="349"/>
      <c r="C295" s="359" t="s">
        <v>21</v>
      </c>
      <c r="D295" s="127"/>
      <c r="E295" s="360" t="s">
        <v>1441</v>
      </c>
      <c r="F295" s="46">
        <v>0</v>
      </c>
      <c r="G295" s="46">
        <v>600000</v>
      </c>
      <c r="H295" s="46">
        <v>900000</v>
      </c>
      <c r="I295" s="46">
        <v>900000</v>
      </c>
      <c r="J295" s="46">
        <v>900000</v>
      </c>
      <c r="K295" s="72" t="s">
        <v>611</v>
      </c>
      <c r="L295" s="74" t="s">
        <v>14</v>
      </c>
      <c r="M295" s="74">
        <v>40</v>
      </c>
      <c r="N295" s="74">
        <v>50</v>
      </c>
      <c r="O295" s="74">
        <v>60</v>
      </c>
      <c r="P295" s="74">
        <v>70</v>
      </c>
      <c r="Q295" s="74">
        <v>90</v>
      </c>
    </row>
    <row r="296" spans="1:17" s="4" customFormat="1" ht="30" x14ac:dyDescent="0.25">
      <c r="A296" s="1394"/>
      <c r="B296" s="349"/>
      <c r="C296" s="359" t="s">
        <v>22</v>
      </c>
      <c r="D296" s="127"/>
      <c r="E296" s="360" t="s">
        <v>612</v>
      </c>
      <c r="F296" s="46">
        <v>529791.03437999997</v>
      </c>
      <c r="G296" s="46">
        <v>700000</v>
      </c>
      <c r="H296" s="46">
        <v>1350200</v>
      </c>
      <c r="I296" s="46">
        <v>2646038.628</v>
      </c>
      <c r="J296" s="46">
        <v>3286895.304</v>
      </c>
      <c r="K296" s="72" t="s">
        <v>613</v>
      </c>
      <c r="L296" s="74" t="s">
        <v>14</v>
      </c>
      <c r="M296" s="74">
        <v>100</v>
      </c>
      <c r="N296" s="74">
        <v>100</v>
      </c>
      <c r="O296" s="74">
        <v>100</v>
      </c>
      <c r="P296" s="74">
        <v>100</v>
      </c>
      <c r="Q296" s="74">
        <v>100</v>
      </c>
    </row>
    <row r="297" spans="1:17" s="4" customFormat="1" ht="30" x14ac:dyDescent="0.25">
      <c r="A297" s="1394"/>
      <c r="B297" s="349"/>
      <c r="C297" s="359" t="s">
        <v>23</v>
      </c>
      <c r="D297" s="127"/>
      <c r="E297" s="360" t="s">
        <v>614</v>
      </c>
      <c r="F297" s="46">
        <v>29532815.395599999</v>
      </c>
      <c r="G297" s="46">
        <v>11463447</v>
      </c>
      <c r="H297" s="46">
        <v>14239380.4</v>
      </c>
      <c r="I297" s="46">
        <v>15694068.23</v>
      </c>
      <c r="J297" s="46">
        <v>16100898.869999999</v>
      </c>
      <c r="K297" s="72" t="s">
        <v>615</v>
      </c>
      <c r="L297" s="74" t="s">
        <v>14</v>
      </c>
      <c r="M297" s="74">
        <v>100</v>
      </c>
      <c r="N297" s="74">
        <v>100</v>
      </c>
      <c r="O297" s="74">
        <v>100</v>
      </c>
      <c r="P297" s="74">
        <v>100</v>
      </c>
      <c r="Q297" s="74">
        <v>100</v>
      </c>
    </row>
    <row r="298" spans="1:17" s="4" customFormat="1" ht="30" x14ac:dyDescent="0.25">
      <c r="A298" s="1394"/>
      <c r="B298" s="349"/>
      <c r="C298" s="359" t="s">
        <v>27</v>
      </c>
      <c r="D298" s="127"/>
      <c r="E298" s="360" t="s">
        <v>616</v>
      </c>
      <c r="F298" s="46">
        <v>529999.99985999998</v>
      </c>
      <c r="G298" s="46">
        <v>500000</v>
      </c>
      <c r="H298" s="46">
        <v>500000</v>
      </c>
      <c r="I298" s="46">
        <v>505111.8</v>
      </c>
      <c r="J298" s="46">
        <v>510161.1</v>
      </c>
      <c r="K298" s="72" t="s">
        <v>617</v>
      </c>
      <c r="L298" s="74" t="s">
        <v>14</v>
      </c>
      <c r="M298" s="74">
        <v>100</v>
      </c>
      <c r="N298" s="74">
        <v>100</v>
      </c>
      <c r="O298" s="74">
        <v>100</v>
      </c>
      <c r="P298" s="74">
        <v>100</v>
      </c>
      <c r="Q298" s="74">
        <v>100</v>
      </c>
    </row>
    <row r="299" spans="1:17" s="4" customFormat="1" ht="30" x14ac:dyDescent="0.25">
      <c r="A299" s="1394"/>
      <c r="B299" s="349"/>
      <c r="C299" s="359" t="s">
        <v>28</v>
      </c>
      <c r="D299" s="127"/>
      <c r="E299" s="360" t="s">
        <v>618</v>
      </c>
      <c r="F299" s="46">
        <v>13097.16872</v>
      </c>
      <c r="G299" s="46">
        <v>30300.799999999999</v>
      </c>
      <c r="H299" s="46">
        <v>30300</v>
      </c>
      <c r="I299" s="46">
        <v>30300</v>
      </c>
      <c r="J299" s="46">
        <v>30300</v>
      </c>
      <c r="K299" s="72" t="s">
        <v>619</v>
      </c>
      <c r="L299" s="74" t="s">
        <v>14</v>
      </c>
      <c r="M299" s="74">
        <v>100</v>
      </c>
      <c r="N299" s="74">
        <v>100</v>
      </c>
      <c r="O299" s="74">
        <v>100</v>
      </c>
      <c r="P299" s="74">
        <v>100</v>
      </c>
      <c r="Q299" s="74">
        <v>100</v>
      </c>
    </row>
    <row r="300" spans="1:17" s="4" customFormat="1" ht="30" x14ac:dyDescent="0.25">
      <c r="A300" s="1394"/>
      <c r="B300" s="349"/>
      <c r="C300" s="359" t="s">
        <v>512</v>
      </c>
      <c r="D300" s="127"/>
      <c r="E300" s="360" t="s">
        <v>620</v>
      </c>
      <c r="F300" s="46">
        <v>25115.883969999999</v>
      </c>
      <c r="G300" s="46">
        <v>45000</v>
      </c>
      <c r="H300" s="46">
        <v>45000</v>
      </c>
      <c r="I300" s="46">
        <v>45000</v>
      </c>
      <c r="J300" s="46">
        <v>45000</v>
      </c>
      <c r="K300" s="72" t="s">
        <v>621</v>
      </c>
      <c r="L300" s="74" t="s">
        <v>14</v>
      </c>
      <c r="M300" s="74">
        <v>100</v>
      </c>
      <c r="N300" s="74">
        <v>100</v>
      </c>
      <c r="O300" s="74">
        <v>100</v>
      </c>
      <c r="P300" s="74">
        <v>100</v>
      </c>
      <c r="Q300" s="74">
        <v>100</v>
      </c>
    </row>
    <row r="301" spans="1:17" s="4" customFormat="1" ht="30" x14ac:dyDescent="0.25">
      <c r="A301" s="1394"/>
      <c r="B301" s="349"/>
      <c r="C301" s="359" t="s">
        <v>231</v>
      </c>
      <c r="D301" s="127"/>
      <c r="E301" s="360" t="s">
        <v>622</v>
      </c>
      <c r="F301" s="46">
        <v>1829690.8792999999</v>
      </c>
      <c r="G301" s="46">
        <v>1112000</v>
      </c>
      <c r="H301" s="46">
        <v>633265.1</v>
      </c>
      <c r="I301" s="46">
        <f>1074079.71-530000</f>
        <v>544079.71</v>
      </c>
      <c r="J301" s="46">
        <f>1058497.04-530000</f>
        <v>528497.04</v>
      </c>
      <c r="K301" s="72" t="s">
        <v>623</v>
      </c>
      <c r="L301" s="74" t="s">
        <v>14</v>
      </c>
      <c r="M301" s="74">
        <v>100</v>
      </c>
      <c r="N301" s="74">
        <v>100</v>
      </c>
      <c r="O301" s="74">
        <v>100</v>
      </c>
      <c r="P301" s="74">
        <v>100</v>
      </c>
      <c r="Q301" s="74">
        <v>100</v>
      </c>
    </row>
    <row r="302" spans="1:17" s="4" customFormat="1" ht="30" x14ac:dyDescent="0.25">
      <c r="A302" s="1394"/>
      <c r="B302" s="349"/>
      <c r="C302" s="359" t="s">
        <v>518</v>
      </c>
      <c r="D302" s="127"/>
      <c r="E302" s="360" t="s">
        <v>624</v>
      </c>
      <c r="F302" s="46">
        <v>100000</v>
      </c>
      <c r="G302" s="46">
        <v>150000</v>
      </c>
      <c r="H302" s="46">
        <v>200000</v>
      </c>
      <c r="I302" s="46">
        <v>250000</v>
      </c>
      <c r="J302" s="46">
        <v>250000</v>
      </c>
      <c r="K302" s="72" t="s">
        <v>1344</v>
      </c>
      <c r="L302" s="74" t="s">
        <v>14</v>
      </c>
      <c r="M302" s="74">
        <v>40</v>
      </c>
      <c r="N302" s="74">
        <v>50</v>
      </c>
      <c r="O302" s="74">
        <v>60</v>
      </c>
      <c r="P302" s="74">
        <v>70</v>
      </c>
      <c r="Q302" s="74">
        <v>90</v>
      </c>
    </row>
    <row r="303" spans="1:17" s="4" customFormat="1" ht="30" x14ac:dyDescent="0.25">
      <c r="A303" s="1394"/>
      <c r="B303" s="349"/>
      <c r="C303" s="359" t="s">
        <v>521</v>
      </c>
      <c r="D303" s="127"/>
      <c r="E303" s="360" t="s">
        <v>1960</v>
      </c>
      <c r="F303" s="46">
        <v>5330076.6500000004</v>
      </c>
      <c r="G303" s="46">
        <v>500000</v>
      </c>
      <c r="H303" s="46">
        <v>1000000</v>
      </c>
      <c r="I303" s="46">
        <v>1000000</v>
      </c>
      <c r="J303" s="46">
        <v>1000000</v>
      </c>
      <c r="K303" s="72" t="s">
        <v>623</v>
      </c>
      <c r="L303" s="74" t="s">
        <v>14</v>
      </c>
      <c r="M303" s="74">
        <v>100</v>
      </c>
      <c r="N303" s="74">
        <v>100</v>
      </c>
      <c r="O303" s="74">
        <v>100</v>
      </c>
      <c r="P303" s="74">
        <v>100</v>
      </c>
      <c r="Q303" s="74">
        <v>100</v>
      </c>
    </row>
    <row r="304" spans="1:17" s="4" customFormat="1" ht="30" x14ac:dyDescent="0.25">
      <c r="A304" s="1394"/>
      <c r="B304" s="349"/>
      <c r="C304" s="359" t="s">
        <v>462</v>
      </c>
      <c r="D304" s="127"/>
      <c r="E304" s="360" t="s">
        <v>625</v>
      </c>
      <c r="F304" s="46">
        <v>0</v>
      </c>
      <c r="G304" s="46">
        <v>801377.3</v>
      </c>
      <c r="H304" s="46">
        <v>952800.9</v>
      </c>
      <c r="I304" s="46">
        <v>1818000</v>
      </c>
      <c r="J304" s="46">
        <v>1836180</v>
      </c>
      <c r="K304" s="72" t="s">
        <v>626</v>
      </c>
      <c r="L304" s="74" t="s">
        <v>14</v>
      </c>
      <c r="M304" s="74">
        <v>100</v>
      </c>
      <c r="N304" s="74">
        <v>100</v>
      </c>
      <c r="O304" s="74">
        <v>100</v>
      </c>
      <c r="P304" s="74">
        <v>100</v>
      </c>
      <c r="Q304" s="74">
        <v>100</v>
      </c>
    </row>
    <row r="305" spans="1:17" s="4" customFormat="1" ht="24" customHeight="1" x14ac:dyDescent="0.25">
      <c r="A305" s="1394"/>
      <c r="B305" s="349"/>
      <c r="C305" s="359" t="s">
        <v>627</v>
      </c>
      <c r="D305" s="127"/>
      <c r="E305" s="360" t="s">
        <v>1961</v>
      </c>
      <c r="F305" s="46">
        <v>2950000</v>
      </c>
      <c r="G305" s="46">
        <v>4339018.8</v>
      </c>
      <c r="H305" s="46"/>
      <c r="I305" s="46"/>
      <c r="J305" s="46"/>
      <c r="K305" s="72" t="s">
        <v>628</v>
      </c>
      <c r="L305" s="74" t="s">
        <v>14</v>
      </c>
      <c r="M305" s="74" t="s">
        <v>608</v>
      </c>
      <c r="N305" s="74" t="s">
        <v>608</v>
      </c>
      <c r="O305" s="74">
        <v>100</v>
      </c>
      <c r="P305" s="74" t="s">
        <v>608</v>
      </c>
      <c r="Q305" s="74" t="s">
        <v>608</v>
      </c>
    </row>
    <row r="306" spans="1:17" s="4" customFormat="1" ht="45" x14ac:dyDescent="0.25">
      <c r="A306" s="1394"/>
      <c r="B306" s="349"/>
      <c r="C306" s="359" t="s">
        <v>463</v>
      </c>
      <c r="D306" s="127"/>
      <c r="E306" s="360" t="s">
        <v>810</v>
      </c>
      <c r="F306" s="46"/>
      <c r="G306" s="46">
        <v>72994638.5</v>
      </c>
      <c r="H306" s="46">
        <v>7279069.9000000004</v>
      </c>
      <c r="I306" s="46">
        <v>47750800.200000003</v>
      </c>
      <c r="J306" s="46">
        <v>95697371.900000006</v>
      </c>
      <c r="K306" s="72" t="s">
        <v>629</v>
      </c>
      <c r="L306" s="74" t="s">
        <v>14</v>
      </c>
      <c r="M306" s="74" t="s">
        <v>235</v>
      </c>
      <c r="N306" s="74"/>
      <c r="O306" s="74">
        <v>100</v>
      </c>
      <c r="P306" s="74">
        <v>100</v>
      </c>
      <c r="Q306" s="74">
        <v>100</v>
      </c>
    </row>
    <row r="307" spans="1:17" s="4" customFormat="1" ht="45" x14ac:dyDescent="0.25">
      <c r="A307" s="1394"/>
      <c r="B307" s="349"/>
      <c r="C307" s="359" t="s">
        <v>630</v>
      </c>
      <c r="D307" s="127"/>
      <c r="E307" s="360" t="s">
        <v>1442</v>
      </c>
      <c r="F307" s="46"/>
      <c r="G307" s="46">
        <v>1996944.6</v>
      </c>
      <c r="H307" s="46">
        <v>500000</v>
      </c>
      <c r="I307" s="46">
        <v>500000</v>
      </c>
      <c r="J307" s="46">
        <v>500000</v>
      </c>
      <c r="K307" s="72" t="s">
        <v>1343</v>
      </c>
      <c r="L307" s="74" t="s">
        <v>14</v>
      </c>
      <c r="M307" s="74"/>
      <c r="N307" s="74"/>
      <c r="O307" s="74">
        <v>100</v>
      </c>
      <c r="P307" s="74">
        <v>100</v>
      </c>
      <c r="Q307" s="74">
        <v>100</v>
      </c>
    </row>
    <row r="308" spans="1:17" s="4" customFormat="1" ht="30" x14ac:dyDescent="0.25">
      <c r="A308" s="1394"/>
      <c r="B308" s="349"/>
      <c r="C308" s="359" t="s">
        <v>32</v>
      </c>
      <c r="D308" s="127"/>
      <c r="E308" s="360" t="s">
        <v>631</v>
      </c>
      <c r="F308" s="46">
        <v>102143</v>
      </c>
      <c r="G308" s="46">
        <v>300000</v>
      </c>
      <c r="H308" s="46"/>
      <c r="I308" s="46"/>
      <c r="J308" s="46"/>
      <c r="K308" s="72" t="s">
        <v>632</v>
      </c>
      <c r="L308" s="74" t="s">
        <v>14</v>
      </c>
      <c r="M308" s="74"/>
      <c r="N308" s="74"/>
      <c r="O308" s="74">
        <v>100</v>
      </c>
      <c r="P308" s="74"/>
      <c r="Q308" s="74"/>
    </row>
    <row r="309" spans="1:17" s="4" customFormat="1" x14ac:dyDescent="0.25">
      <c r="A309" s="1394"/>
      <c r="B309" s="349"/>
      <c r="C309" s="359" t="s">
        <v>797</v>
      </c>
      <c r="D309" s="127"/>
      <c r="E309" s="360" t="s">
        <v>798</v>
      </c>
      <c r="F309" s="46"/>
      <c r="G309" s="46"/>
      <c r="H309" s="46">
        <v>1500000</v>
      </c>
      <c r="I309" s="46">
        <v>1900000</v>
      </c>
      <c r="J309" s="46">
        <v>300000</v>
      </c>
      <c r="K309" s="72" t="s">
        <v>628</v>
      </c>
      <c r="L309" s="74"/>
      <c r="M309" s="74"/>
      <c r="N309" s="74"/>
      <c r="O309" s="74">
        <v>100</v>
      </c>
      <c r="P309" s="74">
        <v>100</v>
      </c>
      <c r="Q309" s="74">
        <v>100</v>
      </c>
    </row>
    <row r="310" spans="1:17" s="4" customFormat="1" ht="30" x14ac:dyDescent="0.25">
      <c r="A310" s="1394"/>
      <c r="B310" s="349"/>
      <c r="C310" s="359" t="s">
        <v>633</v>
      </c>
      <c r="D310" s="127"/>
      <c r="E310" s="360" t="s">
        <v>634</v>
      </c>
      <c r="F310" s="46">
        <v>0</v>
      </c>
      <c r="G310" s="46">
        <v>900000</v>
      </c>
      <c r="H310" s="46"/>
      <c r="I310" s="46"/>
      <c r="J310" s="46"/>
      <c r="K310" s="72" t="s">
        <v>628</v>
      </c>
      <c r="L310" s="74" t="s">
        <v>14</v>
      </c>
      <c r="M310" s="74"/>
      <c r="N310" s="74"/>
      <c r="O310" s="74">
        <v>100</v>
      </c>
      <c r="P310" s="74"/>
      <c r="Q310" s="74"/>
    </row>
    <row r="311" spans="1:17" s="4" customFormat="1" ht="45" x14ac:dyDescent="0.25">
      <c r="A311" s="1394"/>
      <c r="B311" s="349"/>
      <c r="C311" s="359" t="s">
        <v>635</v>
      </c>
      <c r="D311" s="127"/>
      <c r="E311" s="360" t="s">
        <v>636</v>
      </c>
      <c r="F311" s="46"/>
      <c r="G311" s="46">
        <v>500000</v>
      </c>
      <c r="H311" s="46">
        <v>500000</v>
      </c>
      <c r="I311" s="46">
        <v>500000</v>
      </c>
      <c r="J311" s="46">
        <v>500000</v>
      </c>
      <c r="K311" s="72" t="s">
        <v>637</v>
      </c>
      <c r="L311" s="74" t="s">
        <v>14</v>
      </c>
      <c r="M311" s="74"/>
      <c r="N311" s="74"/>
      <c r="O311" s="74">
        <v>100</v>
      </c>
      <c r="P311" s="74">
        <v>100</v>
      </c>
      <c r="Q311" s="74">
        <v>100</v>
      </c>
    </row>
    <row r="312" spans="1:17" s="4" customFormat="1" ht="30" x14ac:dyDescent="0.25">
      <c r="A312" s="1394"/>
      <c r="B312" s="349"/>
      <c r="C312" s="359" t="s">
        <v>799</v>
      </c>
      <c r="D312" s="127"/>
      <c r="E312" s="360" t="s">
        <v>800</v>
      </c>
      <c r="F312" s="46"/>
      <c r="G312" s="46"/>
      <c r="H312" s="46">
        <v>1000000</v>
      </c>
      <c r="I312" s="46">
        <v>1000000</v>
      </c>
      <c r="J312" s="46">
        <v>1000000</v>
      </c>
      <c r="K312" s="72" t="s">
        <v>628</v>
      </c>
      <c r="L312" s="74" t="s">
        <v>14</v>
      </c>
      <c r="M312" s="74"/>
      <c r="N312" s="74"/>
      <c r="O312" s="74">
        <v>100</v>
      </c>
      <c r="P312" s="74">
        <v>100</v>
      </c>
      <c r="Q312" s="74">
        <v>100</v>
      </c>
    </row>
    <row r="313" spans="1:17" s="4" customFormat="1" x14ac:dyDescent="0.25">
      <c r="A313" s="1394"/>
      <c r="B313" s="349"/>
      <c r="C313" s="359" t="s">
        <v>802</v>
      </c>
      <c r="D313" s="127"/>
      <c r="E313" s="360" t="s">
        <v>801</v>
      </c>
      <c r="F313" s="46"/>
      <c r="G313" s="46"/>
      <c r="H313" s="46">
        <v>1500000</v>
      </c>
      <c r="I313" s="46">
        <v>1100000</v>
      </c>
      <c r="J313" s="46">
        <v>200000</v>
      </c>
      <c r="K313" s="72" t="s">
        <v>628</v>
      </c>
      <c r="L313" s="74" t="s">
        <v>14</v>
      </c>
      <c r="M313" s="74"/>
      <c r="N313" s="74"/>
      <c r="O313" s="74">
        <v>100</v>
      </c>
      <c r="P313" s="74">
        <v>100</v>
      </c>
      <c r="Q313" s="74">
        <v>100</v>
      </c>
    </row>
    <row r="314" spans="1:17" s="4" customFormat="1" ht="30" x14ac:dyDescent="0.25">
      <c r="A314" s="1394"/>
      <c r="B314" s="349"/>
      <c r="C314" s="359" t="s">
        <v>212</v>
      </c>
      <c r="D314" s="127"/>
      <c r="E314" s="360" t="s">
        <v>1962</v>
      </c>
      <c r="F314" s="46"/>
      <c r="G314" s="46"/>
      <c r="H314" s="46">
        <v>400000</v>
      </c>
      <c r="I314" s="46"/>
      <c r="J314" s="46"/>
      <c r="K314" s="72" t="s">
        <v>628</v>
      </c>
      <c r="L314" s="74" t="s">
        <v>14</v>
      </c>
      <c r="M314" s="74"/>
      <c r="N314" s="74"/>
      <c r="O314" s="74">
        <v>100</v>
      </c>
      <c r="P314" s="74"/>
      <c r="Q314" s="74"/>
    </row>
    <row r="315" spans="1:17" s="4" customFormat="1" x14ac:dyDescent="0.25">
      <c r="A315" s="1394"/>
      <c r="B315" s="349"/>
      <c r="C315" s="359" t="s">
        <v>1414</v>
      </c>
      <c r="D315" s="127"/>
      <c r="E315" s="141" t="s">
        <v>1415</v>
      </c>
      <c r="F315" s="46"/>
      <c r="G315" s="46"/>
      <c r="H315" s="46">
        <v>550000</v>
      </c>
      <c r="I315" s="46"/>
      <c r="J315" s="46"/>
      <c r="K315" s="72"/>
      <c r="L315" s="74"/>
      <c r="M315" s="74"/>
      <c r="N315" s="74"/>
      <c r="O315" s="74"/>
      <c r="P315" s="74"/>
      <c r="Q315" s="74"/>
    </row>
    <row r="316" spans="1:17" s="4" customFormat="1" ht="30" x14ac:dyDescent="0.25">
      <c r="A316" s="1394"/>
      <c r="B316" s="349"/>
      <c r="C316" s="359" t="s">
        <v>806</v>
      </c>
      <c r="D316" s="127"/>
      <c r="E316" s="360" t="s">
        <v>807</v>
      </c>
      <c r="F316" s="46"/>
      <c r="G316" s="46"/>
      <c r="H316" s="46">
        <v>1000000</v>
      </c>
      <c r="I316" s="46">
        <v>1000000</v>
      </c>
      <c r="J316" s="46">
        <v>1000000</v>
      </c>
      <c r="K316" s="72" t="s">
        <v>809</v>
      </c>
      <c r="L316" s="74" t="s">
        <v>14</v>
      </c>
      <c r="M316" s="74"/>
      <c r="N316" s="74"/>
      <c r="O316" s="74">
        <v>100</v>
      </c>
      <c r="P316" s="74">
        <v>100</v>
      </c>
      <c r="Q316" s="74">
        <v>100</v>
      </c>
    </row>
    <row r="317" spans="1:17" s="4" customFormat="1" ht="30" x14ac:dyDescent="0.25">
      <c r="A317" s="1394"/>
      <c r="B317" s="349"/>
      <c r="C317" s="359" t="s">
        <v>796</v>
      </c>
      <c r="D317" s="127"/>
      <c r="E317" s="383" t="s">
        <v>795</v>
      </c>
      <c r="F317" s="128"/>
      <c r="G317" s="128"/>
      <c r="H317" s="46">
        <v>17800000</v>
      </c>
      <c r="I317" s="46"/>
      <c r="J317" s="46"/>
      <c r="K317" s="72" t="s">
        <v>628</v>
      </c>
      <c r="L317" s="74" t="s">
        <v>14</v>
      </c>
      <c r="M317" s="74"/>
      <c r="N317" s="74"/>
      <c r="O317" s="74">
        <v>100</v>
      </c>
      <c r="P317" s="74"/>
      <c r="Q317" s="74"/>
    </row>
    <row r="318" spans="1:17" s="4" customFormat="1" ht="30" x14ac:dyDescent="0.25">
      <c r="A318" s="1394"/>
      <c r="B318" s="349"/>
      <c r="C318" s="359" t="s">
        <v>197</v>
      </c>
      <c r="D318" s="127"/>
      <c r="E318" s="141" t="s">
        <v>803</v>
      </c>
      <c r="F318" s="128"/>
      <c r="G318" s="128"/>
      <c r="H318" s="46">
        <v>10800299.300000001</v>
      </c>
      <c r="I318" s="46">
        <f>23347250.2+32500000</f>
        <v>55847250.200000003</v>
      </c>
      <c r="J318" s="46">
        <f>26565781.4+30500000</f>
        <v>57065781.399999999</v>
      </c>
      <c r="K318" s="72" t="s">
        <v>628</v>
      </c>
      <c r="L318" s="74" t="s">
        <v>14</v>
      </c>
      <c r="M318" s="74"/>
      <c r="N318" s="74"/>
      <c r="O318" s="74">
        <v>100</v>
      </c>
      <c r="P318" s="74">
        <v>100</v>
      </c>
      <c r="Q318" s="74">
        <v>100</v>
      </c>
    </row>
    <row r="319" spans="1:17" s="4" customFormat="1" ht="24" customHeight="1" x14ac:dyDescent="0.25">
      <c r="A319" s="1394"/>
      <c r="B319" s="349"/>
      <c r="C319" s="359" t="s">
        <v>811</v>
      </c>
      <c r="D319" s="127"/>
      <c r="E319" s="141" t="s">
        <v>1242</v>
      </c>
      <c r="F319" s="128"/>
      <c r="G319" s="128"/>
      <c r="H319" s="46">
        <v>280000</v>
      </c>
      <c r="I319" s="46"/>
      <c r="J319" s="46"/>
      <c r="K319" s="72" t="s">
        <v>628</v>
      </c>
      <c r="L319" s="74" t="s">
        <v>14</v>
      </c>
      <c r="M319" s="74"/>
      <c r="N319" s="74"/>
      <c r="O319" s="74">
        <v>100</v>
      </c>
      <c r="P319" s="74"/>
      <c r="Q319" s="74"/>
    </row>
    <row r="320" spans="1:17" s="4" customFormat="1" ht="21" customHeight="1" x14ac:dyDescent="0.25">
      <c r="A320" s="1394"/>
      <c r="B320" s="349"/>
      <c r="C320" s="359" t="s">
        <v>804</v>
      </c>
      <c r="D320" s="127"/>
      <c r="E320" s="141" t="s">
        <v>805</v>
      </c>
      <c r="F320" s="128"/>
      <c r="G320" s="128"/>
      <c r="H320" s="46">
        <v>816700</v>
      </c>
      <c r="I320" s="46">
        <v>621400</v>
      </c>
      <c r="J320" s="46"/>
      <c r="K320" s="72" t="s">
        <v>628</v>
      </c>
      <c r="L320" s="74" t="s">
        <v>14</v>
      </c>
      <c r="M320" s="74"/>
      <c r="N320" s="74"/>
      <c r="O320" s="74">
        <v>100</v>
      </c>
      <c r="P320" s="74">
        <v>100</v>
      </c>
      <c r="Q320" s="74"/>
    </row>
    <row r="321" spans="1:17" s="4" customFormat="1" ht="37.5" customHeight="1" x14ac:dyDescent="0.25">
      <c r="A321" s="1394"/>
      <c r="B321" s="349"/>
      <c r="C321" s="359" t="s">
        <v>812</v>
      </c>
      <c r="D321" s="127"/>
      <c r="E321" s="141" t="s">
        <v>813</v>
      </c>
      <c r="F321" s="128"/>
      <c r="G321" s="128"/>
      <c r="H321" s="46">
        <v>50000</v>
      </c>
      <c r="I321" s="46">
        <v>50000</v>
      </c>
      <c r="J321" s="46">
        <v>50000</v>
      </c>
      <c r="K321" s="72" t="s">
        <v>628</v>
      </c>
      <c r="L321" s="74" t="s">
        <v>14</v>
      </c>
      <c r="M321" s="74"/>
      <c r="N321" s="74"/>
      <c r="O321" s="74">
        <v>100</v>
      </c>
      <c r="P321" s="74">
        <v>100</v>
      </c>
      <c r="Q321" s="74">
        <v>100</v>
      </c>
    </row>
    <row r="322" spans="1:17" s="4" customFormat="1" ht="37.5" customHeight="1" x14ac:dyDescent="0.25">
      <c r="A322" s="1394"/>
      <c r="B322" s="349"/>
      <c r="C322" s="359" t="s">
        <v>1407</v>
      </c>
      <c r="D322" s="127"/>
      <c r="E322" s="141" t="s">
        <v>1409</v>
      </c>
      <c r="F322" s="128"/>
      <c r="G322" s="128"/>
      <c r="H322" s="46">
        <v>350000</v>
      </c>
      <c r="I322" s="46"/>
      <c r="J322" s="46"/>
      <c r="K322" s="72" t="s">
        <v>628</v>
      </c>
      <c r="L322" s="74" t="s">
        <v>14</v>
      </c>
      <c r="M322" s="74"/>
      <c r="N322" s="74"/>
      <c r="O322" s="74">
        <v>100</v>
      </c>
      <c r="P322" s="74">
        <v>100</v>
      </c>
      <c r="Q322" s="74">
        <v>100</v>
      </c>
    </row>
    <row r="323" spans="1:17" s="4" customFormat="1" ht="37.5" customHeight="1" x14ac:dyDescent="0.25">
      <c r="A323" s="1394"/>
      <c r="B323" s="349"/>
      <c r="C323" s="359" t="s">
        <v>1408</v>
      </c>
      <c r="D323" s="127"/>
      <c r="E323" s="141" t="s">
        <v>1963</v>
      </c>
      <c r="F323" s="128"/>
      <c r="G323" s="128"/>
      <c r="H323" s="46">
        <v>176000</v>
      </c>
      <c r="I323" s="46"/>
      <c r="J323" s="46"/>
      <c r="K323" s="72" t="s">
        <v>628</v>
      </c>
      <c r="L323" s="74" t="s">
        <v>14</v>
      </c>
      <c r="M323" s="74"/>
      <c r="N323" s="74"/>
      <c r="O323" s="74">
        <v>100</v>
      </c>
      <c r="P323" s="74">
        <v>100</v>
      </c>
      <c r="Q323" s="74">
        <v>100</v>
      </c>
    </row>
    <row r="324" spans="1:17" s="4" customFormat="1" ht="37.5" customHeight="1" x14ac:dyDescent="0.25">
      <c r="A324" s="1394"/>
      <c r="B324" s="349"/>
      <c r="C324" s="359" t="s">
        <v>198</v>
      </c>
      <c r="D324" s="127"/>
      <c r="E324" s="141" t="s">
        <v>1411</v>
      </c>
      <c r="F324" s="128"/>
      <c r="G324" s="128"/>
      <c r="H324" s="46">
        <v>350000</v>
      </c>
      <c r="I324" s="46"/>
      <c r="J324" s="46"/>
      <c r="K324" s="72" t="s">
        <v>628</v>
      </c>
      <c r="L324" s="74" t="s">
        <v>14</v>
      </c>
      <c r="M324" s="74"/>
      <c r="N324" s="74"/>
      <c r="O324" s="74">
        <v>100</v>
      </c>
      <c r="P324" s="74">
        <v>100</v>
      </c>
      <c r="Q324" s="74">
        <v>100</v>
      </c>
    </row>
    <row r="325" spans="1:17" s="4" customFormat="1" ht="37.5" customHeight="1" x14ac:dyDescent="0.25">
      <c r="A325" s="1394"/>
      <c r="B325" s="349"/>
      <c r="C325" s="359" t="s">
        <v>1410</v>
      </c>
      <c r="D325" s="127"/>
      <c r="E325" s="141" t="s">
        <v>1412</v>
      </c>
      <c r="F325" s="128"/>
      <c r="G325" s="128"/>
      <c r="H325" s="46">
        <v>2000000</v>
      </c>
      <c r="I325" s="46"/>
      <c r="J325" s="46"/>
      <c r="K325" s="72" t="s">
        <v>628</v>
      </c>
      <c r="L325" s="74" t="s">
        <v>14</v>
      </c>
      <c r="M325" s="74"/>
      <c r="N325" s="74"/>
      <c r="O325" s="74">
        <v>100</v>
      </c>
      <c r="P325" s="74">
        <v>100</v>
      </c>
      <c r="Q325" s="74">
        <v>100</v>
      </c>
    </row>
    <row r="326" spans="1:17" s="4" customFormat="1" ht="37.5" customHeight="1" x14ac:dyDescent="0.25">
      <c r="A326" s="1394"/>
      <c r="B326" s="349"/>
      <c r="C326" s="359" t="s">
        <v>171</v>
      </c>
      <c r="D326" s="127"/>
      <c r="E326" s="141" t="s">
        <v>1413</v>
      </c>
      <c r="F326" s="128"/>
      <c r="G326" s="128"/>
      <c r="H326" s="46">
        <v>90300</v>
      </c>
      <c r="I326" s="46"/>
      <c r="J326" s="46"/>
      <c r="K326" s="72" t="s">
        <v>628</v>
      </c>
      <c r="L326" s="74" t="s">
        <v>14</v>
      </c>
      <c r="M326" s="74"/>
      <c r="N326" s="74"/>
      <c r="O326" s="74">
        <v>100</v>
      </c>
      <c r="P326" s="74">
        <v>100</v>
      </c>
      <c r="Q326" s="74">
        <v>100</v>
      </c>
    </row>
    <row r="327" spans="1:17" s="4" customFormat="1" ht="45" x14ac:dyDescent="0.25">
      <c r="A327" s="1394"/>
      <c r="B327" s="377">
        <v>264</v>
      </c>
      <c r="C327" s="359"/>
      <c r="D327" s="127"/>
      <c r="E327" s="380" t="s">
        <v>638</v>
      </c>
      <c r="F327" s="381">
        <f>SUM(F328:F337)</f>
        <v>7054224.4349100003</v>
      </c>
      <c r="G327" s="381">
        <f>SUM(G328:G337)</f>
        <v>15756409.500000002</v>
      </c>
      <c r="H327" s="381">
        <f>SUM(H328:H337)</f>
        <v>45195914.599999994</v>
      </c>
      <c r="I327" s="381">
        <f>SUM(I328:I337)</f>
        <v>48591345.807999998</v>
      </c>
      <c r="J327" s="381">
        <f>SUM(J328:J337)</f>
        <v>50860850.907999992</v>
      </c>
      <c r="K327" s="72" t="s">
        <v>639</v>
      </c>
      <c r="L327" s="74" t="s">
        <v>14</v>
      </c>
      <c r="M327" s="74">
        <v>100</v>
      </c>
      <c r="N327" s="74">
        <v>100</v>
      </c>
      <c r="O327" s="74">
        <v>100</v>
      </c>
      <c r="P327" s="74">
        <v>100</v>
      </c>
      <c r="Q327" s="74">
        <v>100</v>
      </c>
    </row>
    <row r="328" spans="1:17" s="4" customFormat="1" ht="45" x14ac:dyDescent="0.25">
      <c r="A328" s="1394"/>
      <c r="B328" s="349"/>
      <c r="C328" s="359" t="s">
        <v>17</v>
      </c>
      <c r="D328" s="127"/>
      <c r="E328" s="360" t="s">
        <v>640</v>
      </c>
      <c r="F328" s="46">
        <v>5856825.83256</v>
      </c>
      <c r="G328" s="46">
        <v>3000000</v>
      </c>
      <c r="H328" s="46">
        <v>5000000</v>
      </c>
      <c r="I328" s="46">
        <v>5000000</v>
      </c>
      <c r="J328" s="46">
        <v>7000000</v>
      </c>
      <c r="K328" s="72" t="s">
        <v>641</v>
      </c>
      <c r="L328" s="74" t="s">
        <v>14</v>
      </c>
      <c r="M328" s="74">
        <v>100</v>
      </c>
      <c r="N328" s="74">
        <v>100</v>
      </c>
      <c r="O328" s="74">
        <v>100</v>
      </c>
      <c r="P328" s="74">
        <v>100</v>
      </c>
      <c r="Q328" s="74">
        <v>100</v>
      </c>
    </row>
    <row r="329" spans="1:17" s="4" customFormat="1" ht="42.75" x14ac:dyDescent="0.25">
      <c r="A329" s="1394"/>
      <c r="B329" s="377"/>
      <c r="C329" s="359" t="s">
        <v>18</v>
      </c>
      <c r="D329" s="379"/>
      <c r="E329" s="360" t="s">
        <v>642</v>
      </c>
      <c r="F329" s="46">
        <v>12420</v>
      </c>
      <c r="G329" s="46">
        <v>150000</v>
      </c>
      <c r="H329" s="46">
        <v>100000</v>
      </c>
      <c r="I329" s="46">
        <v>100000</v>
      </c>
      <c r="J329" s="46">
        <v>100000</v>
      </c>
      <c r="K329" s="382" t="s">
        <v>643</v>
      </c>
      <c r="L329" s="67" t="s">
        <v>14</v>
      </c>
      <c r="M329" s="67">
        <v>100</v>
      </c>
      <c r="N329" s="67">
        <v>100</v>
      </c>
      <c r="O329" s="67">
        <v>100</v>
      </c>
      <c r="P329" s="67">
        <v>100</v>
      </c>
      <c r="Q329" s="67">
        <v>100</v>
      </c>
    </row>
    <row r="330" spans="1:17" s="4" customFormat="1" ht="30" x14ac:dyDescent="0.25">
      <c r="A330" s="1394"/>
      <c r="B330" s="349"/>
      <c r="C330" s="359" t="s">
        <v>16</v>
      </c>
      <c r="D330" s="127"/>
      <c r="E330" s="360" t="s">
        <v>644</v>
      </c>
      <c r="F330" s="46">
        <v>0</v>
      </c>
      <c r="G330" s="46">
        <v>5893253</v>
      </c>
      <c r="H330" s="46">
        <v>27456120.600000001</v>
      </c>
      <c r="I330" s="46">
        <f>18731793.1+10531846.308</f>
        <v>29263639.408</v>
      </c>
      <c r="J330" s="46">
        <f>18911348.7+10531846.308</f>
        <v>29443195.008000001</v>
      </c>
      <c r="K330" s="72" t="s">
        <v>645</v>
      </c>
      <c r="L330" s="74" t="s">
        <v>14</v>
      </c>
      <c r="M330" s="74">
        <v>100</v>
      </c>
      <c r="N330" s="74">
        <v>100</v>
      </c>
      <c r="O330" s="74">
        <v>100</v>
      </c>
      <c r="P330" s="74">
        <v>100</v>
      </c>
      <c r="Q330" s="74">
        <v>100</v>
      </c>
    </row>
    <row r="331" spans="1:17" s="93" customFormat="1" ht="30" x14ac:dyDescent="0.25">
      <c r="A331" s="1394"/>
      <c r="B331" s="349"/>
      <c r="C331" s="359" t="s">
        <v>19</v>
      </c>
      <c r="D331" s="127"/>
      <c r="E331" s="360" t="s">
        <v>646</v>
      </c>
      <c r="F331" s="46">
        <v>0</v>
      </c>
      <c r="G331" s="46">
        <v>1423225.3</v>
      </c>
      <c r="H331" s="46">
        <v>3098626.3</v>
      </c>
      <c r="I331" s="46">
        <v>3098626.3</v>
      </c>
      <c r="J331" s="46">
        <v>3098626.3</v>
      </c>
      <c r="K331" s="72" t="s">
        <v>647</v>
      </c>
      <c r="L331" s="74" t="s">
        <v>14</v>
      </c>
      <c r="M331" s="74">
        <v>100</v>
      </c>
      <c r="N331" s="74">
        <v>100</v>
      </c>
      <c r="O331" s="74">
        <v>100</v>
      </c>
      <c r="P331" s="74">
        <v>100</v>
      </c>
      <c r="Q331" s="74">
        <v>100</v>
      </c>
    </row>
    <row r="332" spans="1:17" s="93" customFormat="1" ht="30" x14ac:dyDescent="0.25">
      <c r="A332" s="1394"/>
      <c r="B332" s="349"/>
      <c r="C332" s="359" t="s">
        <v>20</v>
      </c>
      <c r="D332" s="127"/>
      <c r="E332" s="360" t="s">
        <v>648</v>
      </c>
      <c r="F332" s="46">
        <v>0</v>
      </c>
      <c r="G332" s="46">
        <v>874400</v>
      </c>
      <c r="H332" s="46">
        <v>3430400</v>
      </c>
      <c r="I332" s="46">
        <v>1130400</v>
      </c>
      <c r="J332" s="46">
        <v>1130400</v>
      </c>
      <c r="K332" s="72" t="s">
        <v>649</v>
      </c>
      <c r="L332" s="74" t="s">
        <v>14</v>
      </c>
      <c r="M332" s="74">
        <v>100</v>
      </c>
      <c r="N332" s="74">
        <v>100</v>
      </c>
      <c r="O332" s="74">
        <v>100</v>
      </c>
      <c r="P332" s="74">
        <v>100</v>
      </c>
      <c r="Q332" s="74">
        <v>100</v>
      </c>
    </row>
    <row r="333" spans="1:17" s="93" customFormat="1" x14ac:dyDescent="0.25">
      <c r="A333" s="1394"/>
      <c r="B333" s="349"/>
      <c r="C333" s="359" t="s">
        <v>21</v>
      </c>
      <c r="D333" s="127"/>
      <c r="E333" s="360" t="s">
        <v>650</v>
      </c>
      <c r="F333" s="46">
        <v>513997.95179999998</v>
      </c>
      <c r="G333" s="46">
        <v>600000</v>
      </c>
      <c r="H333" s="46">
        <v>800000</v>
      </c>
      <c r="I333" s="46">
        <v>1000000</v>
      </c>
      <c r="J333" s="46">
        <v>1000000</v>
      </c>
      <c r="K333" s="72" t="s">
        <v>651</v>
      </c>
      <c r="L333" s="74" t="s">
        <v>14</v>
      </c>
      <c r="M333" s="74">
        <v>100</v>
      </c>
      <c r="N333" s="74">
        <v>100</v>
      </c>
      <c r="O333" s="74">
        <v>100</v>
      </c>
      <c r="P333" s="74">
        <v>100</v>
      </c>
      <c r="Q333" s="74">
        <v>100</v>
      </c>
    </row>
    <row r="334" spans="1:17" s="93" customFormat="1" ht="45" x14ac:dyDescent="0.25">
      <c r="A334" s="1394"/>
      <c r="B334" s="349"/>
      <c r="C334" s="359" t="s">
        <v>22</v>
      </c>
      <c r="D334" s="127"/>
      <c r="E334" s="360" t="s">
        <v>1243</v>
      </c>
      <c r="F334" s="46">
        <v>279050.62114</v>
      </c>
      <c r="G334" s="46">
        <v>216540.79999999999</v>
      </c>
      <c r="H334" s="46">
        <v>244920.8</v>
      </c>
      <c r="I334" s="46">
        <f>218752.4</f>
        <v>218752.4</v>
      </c>
      <c r="J334" s="46">
        <v>220935.3</v>
      </c>
      <c r="K334" s="72" t="s">
        <v>652</v>
      </c>
      <c r="L334" s="74" t="s">
        <v>14</v>
      </c>
      <c r="M334" s="74">
        <v>100</v>
      </c>
      <c r="N334" s="74">
        <v>100</v>
      </c>
      <c r="O334" s="74">
        <v>100</v>
      </c>
      <c r="P334" s="74">
        <v>100</v>
      </c>
      <c r="Q334" s="74">
        <v>100</v>
      </c>
    </row>
    <row r="335" spans="1:17" s="93" customFormat="1" ht="45" x14ac:dyDescent="0.25">
      <c r="A335" s="1394"/>
      <c r="B335" s="349"/>
      <c r="C335" s="359" t="s">
        <v>23</v>
      </c>
      <c r="D335" s="127"/>
      <c r="E335" s="360" t="s">
        <v>653</v>
      </c>
      <c r="F335" s="46">
        <v>391930.02941000002</v>
      </c>
      <c r="G335" s="46">
        <v>1208990.3999999999</v>
      </c>
      <c r="H335" s="46">
        <v>1885830.4</v>
      </c>
      <c r="I335" s="46">
        <v>1905107.7</v>
      </c>
      <c r="J335" s="46">
        <v>1924134.3</v>
      </c>
      <c r="K335" s="72" t="s">
        <v>652</v>
      </c>
      <c r="L335" s="74" t="s">
        <v>14</v>
      </c>
      <c r="M335" s="74">
        <v>100</v>
      </c>
      <c r="N335" s="74">
        <v>100</v>
      </c>
      <c r="O335" s="74">
        <v>100</v>
      </c>
      <c r="P335" s="74">
        <v>100</v>
      </c>
      <c r="Q335" s="74">
        <v>100</v>
      </c>
    </row>
    <row r="336" spans="1:17" s="93" customFormat="1" ht="45" x14ac:dyDescent="0.25">
      <c r="A336" s="1394"/>
      <c r="B336" s="349"/>
      <c r="C336" s="359" t="s">
        <v>27</v>
      </c>
      <c r="D336" s="127"/>
      <c r="E336" s="360" t="s">
        <v>654</v>
      </c>
      <c r="F336" s="46">
        <v>0</v>
      </c>
      <c r="G336" s="46">
        <v>2290000</v>
      </c>
      <c r="H336" s="46">
        <v>3080016.5</v>
      </c>
      <c r="I336" s="46">
        <v>6773820</v>
      </c>
      <c r="J336" s="46">
        <v>6841560</v>
      </c>
      <c r="K336" s="72" t="s">
        <v>655</v>
      </c>
      <c r="L336" s="74" t="s">
        <v>14</v>
      </c>
      <c r="M336" s="74"/>
      <c r="N336" s="74">
        <v>100</v>
      </c>
      <c r="O336" s="74">
        <v>100</v>
      </c>
      <c r="P336" s="74">
        <v>100</v>
      </c>
      <c r="Q336" s="74">
        <v>100</v>
      </c>
    </row>
    <row r="337" spans="1:19" s="93" customFormat="1" ht="45" x14ac:dyDescent="0.25">
      <c r="A337" s="1395"/>
      <c r="B337" s="349"/>
      <c r="C337" s="359" t="s">
        <v>29</v>
      </c>
      <c r="D337" s="127"/>
      <c r="E337" s="360" t="s">
        <v>1443</v>
      </c>
      <c r="F337" s="46">
        <v>0</v>
      </c>
      <c r="G337" s="46">
        <v>100000</v>
      </c>
      <c r="H337" s="46">
        <v>100000</v>
      </c>
      <c r="I337" s="46">
        <v>101000</v>
      </c>
      <c r="J337" s="46">
        <v>102000</v>
      </c>
      <c r="K337" s="72" t="s">
        <v>656</v>
      </c>
      <c r="L337" s="74" t="s">
        <v>14</v>
      </c>
      <c r="M337" s="74"/>
      <c r="N337" s="74"/>
      <c r="O337" s="74">
        <v>100</v>
      </c>
      <c r="P337" s="74">
        <v>100</v>
      </c>
      <c r="Q337" s="74">
        <v>100</v>
      </c>
    </row>
    <row r="338" spans="1:19" s="93" customFormat="1" x14ac:dyDescent="0.25">
      <c r="A338" s="1406" t="s">
        <v>15</v>
      </c>
      <c r="B338" s="1407"/>
      <c r="C338" s="1407"/>
      <c r="D338" s="1407"/>
      <c r="E338" s="1407"/>
      <c r="F338" s="63">
        <f>F292+F327</f>
        <v>47996954.446739994</v>
      </c>
      <c r="G338" s="63">
        <f>G292+G327</f>
        <v>113276786.5</v>
      </c>
      <c r="H338" s="63">
        <f>H292+H327</f>
        <v>112560655.19999999</v>
      </c>
      <c r="I338" s="63">
        <f>I292+I327</f>
        <v>182834419.57600001</v>
      </c>
      <c r="J338" s="63">
        <f>J292+J327</f>
        <v>232200461.52199998</v>
      </c>
      <c r="K338" s="384"/>
      <c r="L338" s="384"/>
      <c r="M338" s="384"/>
      <c r="N338" s="384"/>
      <c r="O338" s="384"/>
      <c r="P338" s="384"/>
      <c r="Q338" s="385"/>
    </row>
    <row r="339" spans="1:19" s="93" customFormat="1" x14ac:dyDescent="0.25">
      <c r="A339" s="1406" t="s">
        <v>545</v>
      </c>
      <c r="B339" s="1407"/>
      <c r="C339" s="1407"/>
      <c r="D339" s="1407"/>
      <c r="E339" s="1407"/>
      <c r="F339" s="31">
        <f>F282+F290+F338</f>
        <v>91571408.64673999</v>
      </c>
      <c r="G339" s="31">
        <f>G282+G290+G338</f>
        <v>155567122.80000001</v>
      </c>
      <c r="H339" s="31">
        <f>H282+H290+H338</f>
        <v>177169538.79999998</v>
      </c>
      <c r="I339" s="31">
        <f>I282+I290+I338</f>
        <v>248586039.37599999</v>
      </c>
      <c r="J339" s="31">
        <f>J282+J290+J338</f>
        <v>300317637.52199996</v>
      </c>
      <c r="K339" s="5"/>
      <c r="L339" s="8"/>
      <c r="M339" s="8"/>
      <c r="N339" s="8"/>
      <c r="O339" s="8"/>
      <c r="P339" s="8"/>
      <c r="Q339" s="386"/>
    </row>
    <row r="340" spans="1:19" s="4" customFormat="1" x14ac:dyDescent="0.25">
      <c r="A340" s="1362" t="s">
        <v>285</v>
      </c>
      <c r="B340" s="1363"/>
      <c r="C340" s="1363"/>
      <c r="D340" s="1363"/>
      <c r="E340" s="1363"/>
      <c r="F340" s="1363"/>
      <c r="G340" s="1363"/>
      <c r="H340" s="1363"/>
      <c r="I340" s="1363"/>
      <c r="J340" s="1363"/>
      <c r="K340" s="1363"/>
      <c r="L340" s="1363"/>
      <c r="M340" s="1363"/>
      <c r="N340" s="1363"/>
      <c r="O340" s="1363"/>
      <c r="P340" s="1363"/>
      <c r="Q340" s="1364"/>
    </row>
    <row r="341" spans="1:19" s="4" customFormat="1" ht="74.25" x14ac:dyDescent="0.25">
      <c r="A341" s="1416">
        <v>27</v>
      </c>
      <c r="B341" s="20" t="s">
        <v>8</v>
      </c>
      <c r="C341" s="20"/>
      <c r="D341" s="20"/>
      <c r="E341" s="142" t="s">
        <v>1320</v>
      </c>
      <c r="F341" s="24">
        <f>SUM(F342:F343)</f>
        <v>12284.4</v>
      </c>
      <c r="G341" s="24">
        <f>SUM(G342:G343)</f>
        <v>12284.4</v>
      </c>
      <c r="H341" s="24">
        <f>SUM(H342:H343)</f>
        <v>12365.5</v>
      </c>
      <c r="I341" s="24">
        <f>SUM(I342:I343)</f>
        <v>12999.8</v>
      </c>
      <c r="J341" s="24">
        <f>SUM(J342:J343)</f>
        <v>12999.8</v>
      </c>
      <c r="K341" s="143" t="s">
        <v>296</v>
      </c>
      <c r="L341" s="25" t="s">
        <v>14</v>
      </c>
      <c r="M341" s="25">
        <v>27.3</v>
      </c>
      <c r="N341" s="25">
        <v>27.3</v>
      </c>
      <c r="O341" s="25">
        <v>27.3</v>
      </c>
      <c r="P341" s="25">
        <v>27.3</v>
      </c>
      <c r="Q341" s="25">
        <v>27.3</v>
      </c>
    </row>
    <row r="342" spans="1:19" s="4" customFormat="1" ht="43.9" customHeight="1" x14ac:dyDescent="0.25">
      <c r="A342" s="1416"/>
      <c r="B342" s="1404"/>
      <c r="C342" s="21" t="s">
        <v>17</v>
      </c>
      <c r="D342" s="21"/>
      <c r="E342" s="103" t="s">
        <v>10</v>
      </c>
      <c r="F342" s="26">
        <v>12284.4</v>
      </c>
      <c r="G342" s="26">
        <v>12284.4</v>
      </c>
      <c r="H342" s="26">
        <v>12365.5</v>
      </c>
      <c r="I342" s="26">
        <v>12999.8</v>
      </c>
      <c r="J342" s="26">
        <v>12999.8</v>
      </c>
      <c r="K342" s="1374" t="s">
        <v>296</v>
      </c>
      <c r="L342" s="27" t="s">
        <v>224</v>
      </c>
      <c r="M342" s="27">
        <v>27.3</v>
      </c>
      <c r="N342" s="27">
        <v>27.3</v>
      </c>
      <c r="O342" s="27">
        <v>27.3</v>
      </c>
      <c r="P342" s="27">
        <v>27.3</v>
      </c>
      <c r="Q342" s="27">
        <v>27.3</v>
      </c>
    </row>
    <row r="343" spans="1:19" s="4" customFormat="1" hidden="1" x14ac:dyDescent="0.25">
      <c r="A343" s="1416"/>
      <c r="B343" s="1405"/>
      <c r="C343" s="21" t="s">
        <v>18</v>
      </c>
      <c r="D343" s="21"/>
      <c r="E343" s="103" t="s">
        <v>11</v>
      </c>
      <c r="F343" s="26"/>
      <c r="G343" s="26"/>
      <c r="H343" s="26"/>
      <c r="I343" s="26"/>
      <c r="J343" s="26"/>
      <c r="K343" s="1374"/>
      <c r="L343" s="27" t="s">
        <v>14</v>
      </c>
      <c r="M343" s="27">
        <v>0</v>
      </c>
      <c r="N343" s="27">
        <v>0</v>
      </c>
      <c r="O343" s="27">
        <v>0</v>
      </c>
      <c r="P343" s="27">
        <v>0</v>
      </c>
      <c r="Q343" s="27">
        <v>0</v>
      </c>
    </row>
    <row r="344" spans="1:19" s="4" customFormat="1" ht="117.75" x14ac:dyDescent="0.25">
      <c r="A344" s="1416"/>
      <c r="B344" s="23" t="s">
        <v>1416</v>
      </c>
      <c r="C344" s="23"/>
      <c r="D344" s="23"/>
      <c r="E344" s="892" t="s">
        <v>1964</v>
      </c>
      <c r="F344" s="24">
        <f>SUM(F345:F351)</f>
        <v>38208.199999999997</v>
      </c>
      <c r="G344" s="24">
        <f>SUM(G345:G351)</f>
        <v>48548.7</v>
      </c>
      <c r="H344" s="24">
        <f>SUM(H345:H351)</f>
        <v>48332.2</v>
      </c>
      <c r="I344" s="24">
        <f>SUM(I345:I351)</f>
        <v>48332.4</v>
      </c>
      <c r="J344" s="24">
        <f>SUM(J345:J351)</f>
        <v>48958.7</v>
      </c>
      <c r="K344" s="143" t="s">
        <v>297</v>
      </c>
      <c r="L344" s="27" t="s">
        <v>25</v>
      </c>
      <c r="M344" s="27">
        <v>23</v>
      </c>
      <c r="N344" s="27">
        <v>23</v>
      </c>
      <c r="O344" s="27">
        <v>23</v>
      </c>
      <c r="P344" s="27">
        <v>23</v>
      </c>
      <c r="Q344" s="27">
        <v>23</v>
      </c>
    </row>
    <row r="345" spans="1:19" s="4" customFormat="1" ht="30" x14ac:dyDescent="0.25">
      <c r="A345" s="1416"/>
      <c r="B345" s="556"/>
      <c r="C345" s="22" t="s">
        <v>17</v>
      </c>
      <c r="D345" s="22"/>
      <c r="E345" s="387" t="s">
        <v>286</v>
      </c>
      <c r="F345" s="26">
        <v>18479.400000000001</v>
      </c>
      <c r="G345" s="28">
        <v>28819.9</v>
      </c>
      <c r="H345" s="28">
        <v>28250.799999999999</v>
      </c>
      <c r="I345" s="28">
        <v>28251</v>
      </c>
      <c r="J345" s="28">
        <v>28386.799999999999</v>
      </c>
      <c r="K345" s="387" t="s">
        <v>298</v>
      </c>
      <c r="L345" s="34" t="s">
        <v>12</v>
      </c>
      <c r="M345" s="27">
        <v>73</v>
      </c>
      <c r="N345" s="27">
        <v>73</v>
      </c>
      <c r="O345" s="27">
        <v>73</v>
      </c>
      <c r="P345" s="27">
        <v>73</v>
      </c>
      <c r="Q345" s="27">
        <v>73</v>
      </c>
    </row>
    <row r="346" spans="1:19" s="4" customFormat="1" ht="30" x14ac:dyDescent="0.25">
      <c r="A346" s="1416"/>
      <c r="B346" s="556"/>
      <c r="C346" s="22" t="s">
        <v>18</v>
      </c>
      <c r="D346" s="22"/>
      <c r="E346" s="387" t="s">
        <v>287</v>
      </c>
      <c r="F346" s="26">
        <v>17252.400000000001</v>
      </c>
      <c r="G346" s="26">
        <v>17252.400000000001</v>
      </c>
      <c r="H346" s="26">
        <v>16761.900000000001</v>
      </c>
      <c r="I346" s="26">
        <v>16761.900000000001</v>
      </c>
      <c r="J346" s="26">
        <v>17252.400000000001</v>
      </c>
      <c r="K346" s="387" t="s">
        <v>298</v>
      </c>
      <c r="L346" s="34" t="s">
        <v>12</v>
      </c>
      <c r="M346" s="27">
        <v>73</v>
      </c>
      <c r="N346" s="27">
        <v>73</v>
      </c>
      <c r="O346" s="27">
        <v>73</v>
      </c>
      <c r="P346" s="27">
        <v>73</v>
      </c>
      <c r="Q346" s="27">
        <v>73</v>
      </c>
    </row>
    <row r="347" spans="1:19" s="4" customFormat="1" ht="30" x14ac:dyDescent="0.25">
      <c r="A347" s="1416"/>
      <c r="B347" s="556"/>
      <c r="C347" s="22" t="s">
        <v>16</v>
      </c>
      <c r="D347" s="22"/>
      <c r="E347" s="387" t="s">
        <v>288</v>
      </c>
      <c r="F347" s="26">
        <v>796.2</v>
      </c>
      <c r="G347" s="26">
        <v>796.2</v>
      </c>
      <c r="H347" s="26">
        <v>787.9</v>
      </c>
      <c r="I347" s="26">
        <v>787.9</v>
      </c>
      <c r="J347" s="26">
        <v>787.9</v>
      </c>
      <c r="K347" s="387" t="s">
        <v>299</v>
      </c>
      <c r="L347" s="34" t="s">
        <v>12</v>
      </c>
      <c r="M347" s="30">
        <v>18</v>
      </c>
      <c r="N347" s="30">
        <v>18</v>
      </c>
      <c r="O347" s="30">
        <v>18</v>
      </c>
      <c r="P347" s="30">
        <v>18</v>
      </c>
      <c r="Q347" s="30">
        <v>18</v>
      </c>
    </row>
    <row r="348" spans="1:19" s="4" customFormat="1" ht="210" x14ac:dyDescent="0.25">
      <c r="A348" s="1416"/>
      <c r="B348" s="556"/>
      <c r="C348" s="22" t="s">
        <v>19</v>
      </c>
      <c r="D348" s="22"/>
      <c r="E348" s="387" t="s">
        <v>289</v>
      </c>
      <c r="F348" s="26">
        <v>216.6</v>
      </c>
      <c r="G348" s="26">
        <v>216.6</v>
      </c>
      <c r="H348" s="26">
        <v>218</v>
      </c>
      <c r="I348" s="26">
        <v>218</v>
      </c>
      <c r="J348" s="26">
        <v>218</v>
      </c>
      <c r="K348" s="387" t="s">
        <v>300</v>
      </c>
      <c r="L348" s="34" t="s">
        <v>12</v>
      </c>
      <c r="M348" s="34">
        <v>4</v>
      </c>
      <c r="N348" s="34">
        <v>4</v>
      </c>
      <c r="O348" s="34">
        <v>4</v>
      </c>
      <c r="P348" s="34">
        <v>4</v>
      </c>
      <c r="Q348" s="34">
        <v>4</v>
      </c>
    </row>
    <row r="349" spans="1:19" s="4" customFormat="1" ht="45" x14ac:dyDescent="0.25">
      <c r="A349" s="1416"/>
      <c r="B349" s="556"/>
      <c r="C349" s="22" t="s">
        <v>20</v>
      </c>
      <c r="D349" s="22"/>
      <c r="E349" s="387" t="s">
        <v>290</v>
      </c>
      <c r="F349" s="26">
        <v>1363.6</v>
      </c>
      <c r="G349" s="26">
        <v>1363.6</v>
      </c>
      <c r="H349" s="26">
        <v>2213.6</v>
      </c>
      <c r="I349" s="26">
        <v>2213.6</v>
      </c>
      <c r="J349" s="26">
        <v>2213.6</v>
      </c>
      <c r="K349" s="387" t="s">
        <v>1967</v>
      </c>
      <c r="L349" s="34" t="s">
        <v>12</v>
      </c>
      <c r="M349" s="34">
        <v>1</v>
      </c>
      <c r="N349" s="34">
        <v>0</v>
      </c>
      <c r="O349" s="34">
        <v>1</v>
      </c>
      <c r="P349" s="34">
        <v>0</v>
      </c>
      <c r="Q349" s="34">
        <v>1</v>
      </c>
    </row>
    <row r="350" spans="1:19" s="93" customFormat="1" ht="60" x14ac:dyDescent="0.25">
      <c r="A350" s="1416"/>
      <c r="B350" s="556"/>
      <c r="C350" s="22" t="s">
        <v>21</v>
      </c>
      <c r="D350" s="22"/>
      <c r="E350" s="387" t="s">
        <v>291</v>
      </c>
      <c r="F350" s="28">
        <v>0</v>
      </c>
      <c r="G350" s="26">
        <v>0</v>
      </c>
      <c r="H350" s="26">
        <v>0</v>
      </c>
      <c r="I350" s="26">
        <v>0</v>
      </c>
      <c r="J350" s="26">
        <v>0</v>
      </c>
      <c r="K350" s="387" t="s">
        <v>1966</v>
      </c>
      <c r="L350" s="34" t="s">
        <v>12</v>
      </c>
      <c r="M350" s="34">
        <v>0</v>
      </c>
      <c r="N350" s="34">
        <v>1</v>
      </c>
      <c r="O350" s="34">
        <v>0</v>
      </c>
      <c r="P350" s="34">
        <v>1</v>
      </c>
      <c r="Q350" s="34">
        <v>0</v>
      </c>
    </row>
    <row r="351" spans="1:19" s="93" customFormat="1" ht="45" x14ac:dyDescent="0.25">
      <c r="A351" s="1416"/>
      <c r="B351" s="556"/>
      <c r="C351" s="22" t="s">
        <v>22</v>
      </c>
      <c r="D351" s="22"/>
      <c r="E351" s="387" t="s">
        <v>292</v>
      </c>
      <c r="F351" s="28">
        <v>100</v>
      </c>
      <c r="G351" s="28">
        <v>100</v>
      </c>
      <c r="H351" s="26">
        <v>100</v>
      </c>
      <c r="I351" s="26">
        <v>100</v>
      </c>
      <c r="J351" s="26">
        <f>I351</f>
        <v>100</v>
      </c>
      <c r="K351" s="387" t="s">
        <v>1965</v>
      </c>
      <c r="L351" s="34" t="s">
        <v>12</v>
      </c>
      <c r="M351" s="34">
        <v>2</v>
      </c>
      <c r="N351" s="34">
        <v>2</v>
      </c>
      <c r="O351" s="34">
        <v>2</v>
      </c>
      <c r="P351" s="34">
        <v>2</v>
      </c>
      <c r="Q351" s="34">
        <v>2</v>
      </c>
    </row>
    <row r="352" spans="1:19" s="93" customFormat="1" ht="71.25" x14ac:dyDescent="0.25">
      <c r="A352" s="1416"/>
      <c r="B352" s="23" t="s">
        <v>1417</v>
      </c>
      <c r="C352" s="23"/>
      <c r="D352" s="23"/>
      <c r="E352" s="388" t="s">
        <v>907</v>
      </c>
      <c r="F352" s="24">
        <f>+F355+F353+F354</f>
        <v>50</v>
      </c>
      <c r="G352" s="24">
        <f t="shared" ref="G352:J352" si="48">+G355+G353+G354</f>
        <v>50</v>
      </c>
      <c r="H352" s="24">
        <f t="shared" si="48"/>
        <v>1342.2</v>
      </c>
      <c r="I352" s="24">
        <f t="shared" si="48"/>
        <v>1342.2</v>
      </c>
      <c r="J352" s="24">
        <f t="shared" si="48"/>
        <v>1342.2</v>
      </c>
      <c r="K352" s="389" t="s">
        <v>301</v>
      </c>
      <c r="L352" s="27" t="s">
        <v>12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S352" s="93" t="s">
        <v>307</v>
      </c>
    </row>
    <row r="353" spans="1:17" s="93" customFormat="1" ht="45" x14ac:dyDescent="0.25">
      <c r="A353" s="1416"/>
      <c r="B353" s="340"/>
      <c r="C353" s="22" t="s">
        <v>17</v>
      </c>
      <c r="D353" s="22"/>
      <c r="E353" s="387" t="s">
        <v>293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K353" s="387" t="s">
        <v>302</v>
      </c>
      <c r="L353" s="34" t="s">
        <v>25</v>
      </c>
      <c r="M353" s="34">
        <v>100</v>
      </c>
      <c r="N353" s="34">
        <v>100</v>
      </c>
      <c r="O353" s="34">
        <v>100</v>
      </c>
      <c r="P353" s="34">
        <v>100</v>
      </c>
      <c r="Q353" s="34">
        <v>100</v>
      </c>
    </row>
    <row r="354" spans="1:17" s="6" customFormat="1" ht="45" x14ac:dyDescent="0.25">
      <c r="A354" s="1416"/>
      <c r="B354" s="340"/>
      <c r="C354" s="22" t="s">
        <v>18</v>
      </c>
      <c r="D354" s="22"/>
      <c r="E354" s="387" t="s">
        <v>294</v>
      </c>
      <c r="F354" s="26">
        <v>0</v>
      </c>
      <c r="G354" s="26">
        <v>0</v>
      </c>
      <c r="H354" s="26">
        <v>1292.2</v>
      </c>
      <c r="I354" s="26">
        <v>1292.2</v>
      </c>
      <c r="J354" s="26">
        <v>1292.2</v>
      </c>
      <c r="K354" s="387" t="s">
        <v>303</v>
      </c>
      <c r="L354" s="34" t="s">
        <v>25</v>
      </c>
      <c r="M354" s="34">
        <v>560</v>
      </c>
      <c r="N354" s="34">
        <v>560</v>
      </c>
      <c r="O354" s="34">
        <v>560</v>
      </c>
      <c r="P354" s="34">
        <v>560</v>
      </c>
      <c r="Q354" s="34">
        <v>560</v>
      </c>
    </row>
    <row r="355" spans="1:17" ht="45" x14ac:dyDescent="0.25">
      <c r="A355" s="1416"/>
      <c r="B355" s="340"/>
      <c r="C355" s="22" t="s">
        <v>16</v>
      </c>
      <c r="D355" s="22"/>
      <c r="E355" s="387" t="s">
        <v>295</v>
      </c>
      <c r="F355" s="26">
        <v>50</v>
      </c>
      <c r="G355" s="26">
        <v>50</v>
      </c>
      <c r="H355" s="26">
        <v>50</v>
      </c>
      <c r="I355" s="26">
        <v>50</v>
      </c>
      <c r="J355" s="26">
        <v>50</v>
      </c>
      <c r="K355" s="387" t="s">
        <v>304</v>
      </c>
      <c r="L355" s="34" t="s">
        <v>305</v>
      </c>
      <c r="M355" s="34" t="s">
        <v>306</v>
      </c>
      <c r="N355" s="34" t="s">
        <v>306</v>
      </c>
      <c r="O355" s="34" t="s">
        <v>306</v>
      </c>
      <c r="P355" s="34" t="s">
        <v>306</v>
      </c>
      <c r="Q355" s="34" t="s">
        <v>306</v>
      </c>
    </row>
    <row r="356" spans="1:17" x14ac:dyDescent="0.25">
      <c r="A356" s="1144" t="s">
        <v>15</v>
      </c>
      <c r="B356" s="1144"/>
      <c r="C356" s="1144"/>
      <c r="D356" s="1144"/>
      <c r="E356" s="1145"/>
      <c r="F356" s="31">
        <f>F341+F344+F352</f>
        <v>50542.6</v>
      </c>
      <c r="G356" s="31">
        <f t="shared" ref="G356:J356" si="49">G341+G344+G352</f>
        <v>60883.1</v>
      </c>
      <c r="H356" s="31">
        <f t="shared" si="49"/>
        <v>62039.899999999994</v>
      </c>
      <c r="I356" s="31">
        <f t="shared" si="49"/>
        <v>62674.399999999994</v>
      </c>
      <c r="J356" s="31">
        <f t="shared" si="49"/>
        <v>63300.7</v>
      </c>
      <c r="K356" s="390"/>
      <c r="L356" s="390"/>
      <c r="M356" s="390"/>
      <c r="N356" s="390"/>
      <c r="O356" s="390"/>
      <c r="P356" s="390"/>
      <c r="Q356" s="390"/>
    </row>
    <row r="357" spans="1:17" s="6" customFormat="1" x14ac:dyDescent="0.25">
      <c r="A357" s="1362" t="s">
        <v>1983</v>
      </c>
      <c r="B357" s="1363"/>
      <c r="C357" s="1363"/>
      <c r="D357" s="1363"/>
      <c r="E357" s="1363"/>
      <c r="F357" s="1363"/>
      <c r="G357" s="1363"/>
      <c r="H357" s="1363"/>
      <c r="I357" s="1363"/>
      <c r="J357" s="1363"/>
      <c r="K357" s="1363"/>
      <c r="L357" s="1363"/>
      <c r="M357" s="1363"/>
      <c r="N357" s="1363"/>
      <c r="O357" s="1363"/>
      <c r="P357" s="1363"/>
      <c r="Q357" s="1364"/>
    </row>
    <row r="358" spans="1:17" s="6" customFormat="1" ht="133.5" x14ac:dyDescent="0.25">
      <c r="A358" s="1346">
        <v>28</v>
      </c>
      <c r="B358" s="391" t="s">
        <v>729</v>
      </c>
      <c r="C358" s="392"/>
      <c r="D358" s="392"/>
      <c r="E358" s="502" t="s">
        <v>1968</v>
      </c>
      <c r="F358" s="557">
        <f>F359+F366</f>
        <v>63068.1</v>
      </c>
      <c r="G358" s="393">
        <f>G359+G366</f>
        <v>148385.70000000001</v>
      </c>
      <c r="H358" s="393">
        <f>H359+H366</f>
        <v>150320.6</v>
      </c>
      <c r="I358" s="393">
        <f>I359+I366</f>
        <v>151453.79999999999</v>
      </c>
      <c r="J358" s="393">
        <f>J359+J366</f>
        <v>152572.1</v>
      </c>
      <c r="K358" s="394"/>
      <c r="L358" s="395"/>
      <c r="M358" s="395"/>
      <c r="N358" s="394"/>
      <c r="O358" s="396"/>
      <c r="P358" s="396"/>
      <c r="Q358" s="396"/>
    </row>
    <row r="359" spans="1:17" s="6" customFormat="1" ht="30" customHeight="1" x14ac:dyDescent="0.25">
      <c r="A359" s="1347"/>
      <c r="B359" s="1408"/>
      <c r="C359" s="1313" t="s">
        <v>17</v>
      </c>
      <c r="D359" s="1396"/>
      <c r="E359" s="1172" t="s">
        <v>1198</v>
      </c>
      <c r="F359" s="1417">
        <v>0</v>
      </c>
      <c r="G359" s="1375">
        <v>87947.8</v>
      </c>
      <c r="H359" s="1375">
        <v>88867.5</v>
      </c>
      <c r="I359" s="1375">
        <v>89372</v>
      </c>
      <c r="J359" s="1375">
        <v>89870</v>
      </c>
      <c r="K359" s="126" t="s">
        <v>730</v>
      </c>
      <c r="L359" s="122" t="s">
        <v>14</v>
      </c>
      <c r="M359" s="122"/>
      <c r="N359" s="122">
        <v>100</v>
      </c>
      <c r="O359" s="122">
        <v>100</v>
      </c>
      <c r="P359" s="122">
        <v>100</v>
      </c>
      <c r="Q359" s="122">
        <v>100</v>
      </c>
    </row>
    <row r="360" spans="1:17" s="6" customFormat="1" ht="30" x14ac:dyDescent="0.25">
      <c r="A360" s="1347"/>
      <c r="B360" s="1409"/>
      <c r="C360" s="1334"/>
      <c r="D360" s="1397"/>
      <c r="E360" s="1341"/>
      <c r="F360" s="1373"/>
      <c r="G360" s="1376"/>
      <c r="H360" s="1376"/>
      <c r="I360" s="1376"/>
      <c r="J360" s="1376"/>
      <c r="K360" s="126" t="s">
        <v>731</v>
      </c>
      <c r="L360" s="122" t="s">
        <v>14</v>
      </c>
      <c r="M360" s="397"/>
      <c r="N360" s="397">
        <v>100</v>
      </c>
      <c r="O360" s="397">
        <v>100</v>
      </c>
      <c r="P360" s="397">
        <v>100</v>
      </c>
      <c r="Q360" s="122">
        <v>100</v>
      </c>
    </row>
    <row r="361" spans="1:17" s="6" customFormat="1" ht="60" x14ac:dyDescent="0.25">
      <c r="A361" s="1347"/>
      <c r="B361" s="1409"/>
      <c r="C361" s="1334"/>
      <c r="D361" s="1397"/>
      <c r="E361" s="1341"/>
      <c r="F361" s="1373"/>
      <c r="G361" s="1376"/>
      <c r="H361" s="1376"/>
      <c r="I361" s="1376"/>
      <c r="J361" s="1376"/>
      <c r="K361" s="126" t="s">
        <v>1321</v>
      </c>
      <c r="L361" s="122"/>
      <c r="M361" s="397"/>
      <c r="N361" s="397">
        <v>100</v>
      </c>
      <c r="O361" s="397">
        <v>100</v>
      </c>
      <c r="P361" s="397">
        <v>100</v>
      </c>
      <c r="Q361" s="122">
        <v>100</v>
      </c>
    </row>
    <row r="362" spans="1:17" s="6" customFormat="1" ht="75" x14ac:dyDescent="0.25">
      <c r="A362" s="1347"/>
      <c r="B362" s="1409"/>
      <c r="C362" s="1334"/>
      <c r="D362" s="1397"/>
      <c r="E362" s="1341"/>
      <c r="F362" s="1373"/>
      <c r="G362" s="1376"/>
      <c r="H362" s="1376"/>
      <c r="I362" s="1376"/>
      <c r="J362" s="1376"/>
      <c r="K362" s="126" t="s">
        <v>732</v>
      </c>
      <c r="L362" s="122" t="s">
        <v>14</v>
      </c>
      <c r="M362" s="397"/>
      <c r="N362" s="397">
        <v>100</v>
      </c>
      <c r="O362" s="397">
        <v>100</v>
      </c>
      <c r="P362" s="397">
        <v>100</v>
      </c>
      <c r="Q362" s="122">
        <v>100</v>
      </c>
    </row>
    <row r="363" spans="1:17" s="6" customFormat="1" ht="45" x14ac:dyDescent="0.25">
      <c r="A363" s="1347"/>
      <c r="B363" s="1409"/>
      <c r="C363" s="1334"/>
      <c r="D363" s="1397"/>
      <c r="E363" s="1341"/>
      <c r="F363" s="1373"/>
      <c r="G363" s="1376"/>
      <c r="H363" s="1376"/>
      <c r="I363" s="1376"/>
      <c r="J363" s="1376"/>
      <c r="K363" s="126" t="s">
        <v>733</v>
      </c>
      <c r="L363" s="122" t="s">
        <v>14</v>
      </c>
      <c r="M363" s="397"/>
      <c r="N363" s="397">
        <v>100</v>
      </c>
      <c r="O363" s="397">
        <v>100</v>
      </c>
      <c r="P363" s="397">
        <v>100</v>
      </c>
      <c r="Q363" s="122">
        <v>100</v>
      </c>
    </row>
    <row r="364" spans="1:17" s="6" customFormat="1" ht="35.450000000000003" customHeight="1" x14ac:dyDescent="0.25">
      <c r="A364" s="1347"/>
      <c r="B364" s="1409"/>
      <c r="C364" s="1334"/>
      <c r="D364" s="1397"/>
      <c r="E364" s="1341"/>
      <c r="F364" s="1373"/>
      <c r="G364" s="1376"/>
      <c r="H364" s="1376"/>
      <c r="I364" s="1376"/>
      <c r="J364" s="1376"/>
      <c r="K364" s="1530" t="s">
        <v>734</v>
      </c>
      <c r="L364" s="1392" t="s">
        <v>14</v>
      </c>
      <c r="M364" s="397"/>
      <c r="N364" s="1392">
        <v>100</v>
      </c>
      <c r="O364" s="1392">
        <v>100</v>
      </c>
      <c r="P364" s="1392">
        <v>100</v>
      </c>
      <c r="Q364" s="1392">
        <v>100</v>
      </c>
    </row>
    <row r="365" spans="1:17" s="6" customFormat="1" x14ac:dyDescent="0.25">
      <c r="A365" s="1347"/>
      <c r="B365" s="1091"/>
      <c r="C365" s="1314"/>
      <c r="D365" s="1398"/>
      <c r="E365" s="1173"/>
      <c r="F365" s="1122"/>
      <c r="G365" s="1377"/>
      <c r="H365" s="1377"/>
      <c r="I365" s="1377"/>
      <c r="J365" s="1377"/>
      <c r="K365" s="1126"/>
      <c r="L365" s="1128"/>
      <c r="M365" s="283"/>
      <c r="N365" s="1128"/>
      <c r="O365" s="1128"/>
      <c r="P365" s="1128"/>
      <c r="Q365" s="1128"/>
    </row>
    <row r="366" spans="1:17" s="6" customFormat="1" ht="45" customHeight="1" x14ac:dyDescent="0.25">
      <c r="A366" s="1347"/>
      <c r="B366" s="1091"/>
      <c r="C366" s="1204" t="s">
        <v>18</v>
      </c>
      <c r="D366" s="398"/>
      <c r="E366" s="1172" t="s">
        <v>1197</v>
      </c>
      <c r="F366" s="1417">
        <v>63068.1</v>
      </c>
      <c r="G366" s="1375">
        <v>60437.9</v>
      </c>
      <c r="H366" s="1375">
        <v>61453.1</v>
      </c>
      <c r="I366" s="1375">
        <v>62081.8</v>
      </c>
      <c r="J366" s="1375">
        <v>62702.1</v>
      </c>
      <c r="K366" s="399" t="s">
        <v>735</v>
      </c>
      <c r="L366" s="1531" t="s">
        <v>14</v>
      </c>
      <c r="M366" s="400">
        <v>100</v>
      </c>
      <c r="N366" s="401">
        <v>100</v>
      </c>
      <c r="O366" s="122">
        <v>100</v>
      </c>
      <c r="P366" s="122">
        <v>100</v>
      </c>
      <c r="Q366" s="122">
        <v>100</v>
      </c>
    </row>
    <row r="367" spans="1:17" s="6" customFormat="1" x14ac:dyDescent="0.25">
      <c r="A367" s="1347"/>
      <c r="B367" s="402"/>
      <c r="C367" s="1476"/>
      <c r="D367" s="398"/>
      <c r="E367" s="1341"/>
      <c r="F367" s="1373"/>
      <c r="G367" s="1376"/>
      <c r="H367" s="1376"/>
      <c r="I367" s="1376"/>
      <c r="J367" s="1376"/>
      <c r="K367" s="1533" t="s">
        <v>736</v>
      </c>
      <c r="L367" s="1532"/>
      <c r="M367" s="1390">
        <v>0</v>
      </c>
      <c r="N367" s="1392">
        <v>30</v>
      </c>
      <c r="O367" s="1392">
        <v>30</v>
      </c>
      <c r="P367" s="1392">
        <v>30</v>
      </c>
      <c r="Q367" s="1392">
        <v>30</v>
      </c>
    </row>
    <row r="368" spans="1:17" s="6" customFormat="1" x14ac:dyDescent="0.25">
      <c r="A368" s="1347"/>
      <c r="B368" s="403"/>
      <c r="C368" s="1128"/>
      <c r="D368" s="404"/>
      <c r="E368" s="1173"/>
      <c r="F368" s="1122"/>
      <c r="G368" s="1122"/>
      <c r="H368" s="1122"/>
      <c r="I368" s="1122"/>
      <c r="J368" s="1122"/>
      <c r="K368" s="1534"/>
      <c r="L368" s="1520"/>
      <c r="M368" s="1391"/>
      <c r="N368" s="1092"/>
      <c r="O368" s="1092"/>
      <c r="P368" s="1092"/>
      <c r="Q368" s="1092"/>
    </row>
    <row r="369" spans="1:17" s="6" customFormat="1" ht="118.5" x14ac:dyDescent="0.25">
      <c r="A369" s="1347"/>
      <c r="B369" s="405" t="s">
        <v>737</v>
      </c>
      <c r="C369" s="406"/>
      <c r="D369" s="406"/>
      <c r="E369" s="502" t="s">
        <v>911</v>
      </c>
      <c r="F369" s="558">
        <f>F370+F371+F372+F374+F376+F377+F378+F379+F380+F381+F382+F383+F384+F385+F386+F387+F388+F389+F390+F391+F392+F393</f>
        <v>76072.999999999985</v>
      </c>
      <c r="G369" s="407">
        <f>G370+G371+G372+G374+G376+G377+G378+G379+G380+G381+G382+G383+G384+G385+G386+G387+G388+G389+G390</f>
        <v>98923.4</v>
      </c>
      <c r="H369" s="407">
        <f>H370+H371+H372+H374+H376+H377+H378+H379+H380+H381+H382+H383+H384+H385+H386+H387+H388+H389+H390</f>
        <v>94950</v>
      </c>
      <c r="I369" s="407">
        <f>I370+I371+I372+I374+I376+I377+I378+I379+I380+I381+I382+I383+I384+I385+I386+I387+I388+I389+I390</f>
        <v>96325.4</v>
      </c>
      <c r="J369" s="408">
        <f>J370+J371+J372+J374+J376+J377+J378+J379+J380+J381+J382+J383+J384+J385+J386+J387+J388+J389+J390</f>
        <v>97683.15</v>
      </c>
      <c r="K369" s="395"/>
      <c r="L369" s="395"/>
      <c r="M369" s="395"/>
      <c r="N369" s="394"/>
      <c r="O369" s="396"/>
      <c r="P369" s="396"/>
      <c r="Q369" s="396"/>
    </row>
    <row r="370" spans="1:17" s="6" customFormat="1" ht="120" x14ac:dyDescent="0.25">
      <c r="A370" s="1347"/>
      <c r="B370" s="1349"/>
      <c r="C370" s="406" t="s">
        <v>17</v>
      </c>
      <c r="D370" s="406"/>
      <c r="E370" s="409" t="s">
        <v>912</v>
      </c>
      <c r="F370" s="46">
        <v>30129.200000000001</v>
      </c>
      <c r="G370" s="537">
        <v>3241.45</v>
      </c>
      <c r="H370" s="537">
        <v>3241.5</v>
      </c>
      <c r="I370" s="537">
        <v>3241.45</v>
      </c>
      <c r="J370" s="537">
        <v>3241.45</v>
      </c>
      <c r="K370" s="126" t="s">
        <v>738</v>
      </c>
      <c r="L370" s="122" t="s">
        <v>12</v>
      </c>
      <c r="M370" s="122"/>
      <c r="N370" s="412" t="s">
        <v>739</v>
      </c>
      <c r="O370" s="412" t="s">
        <v>739</v>
      </c>
      <c r="P370" s="412" t="s">
        <v>739</v>
      </c>
      <c r="Q370" s="412" t="s">
        <v>739</v>
      </c>
    </row>
    <row r="371" spans="1:17" s="6" customFormat="1" ht="45" x14ac:dyDescent="0.25">
      <c r="A371" s="1347"/>
      <c r="B371" s="1350"/>
      <c r="C371" s="406" t="s">
        <v>18</v>
      </c>
      <c r="D371" s="406"/>
      <c r="E371" s="413" t="s">
        <v>1969</v>
      </c>
      <c r="F371" s="46">
        <v>0</v>
      </c>
      <c r="G371" s="537">
        <v>3241.5</v>
      </c>
      <c r="H371" s="537">
        <v>3241.5</v>
      </c>
      <c r="I371" s="537">
        <v>3241.45</v>
      </c>
      <c r="J371" s="414">
        <v>3241.4</v>
      </c>
      <c r="K371" s="1080" t="s">
        <v>740</v>
      </c>
      <c r="L371" s="416" t="s">
        <v>12</v>
      </c>
      <c r="M371" s="416"/>
      <c r="N371" s="417">
        <v>2</v>
      </c>
      <c r="O371" s="417">
        <v>2</v>
      </c>
      <c r="P371" s="418">
        <v>2</v>
      </c>
      <c r="Q371" s="418">
        <v>2</v>
      </c>
    </row>
    <row r="372" spans="1:17" s="6" customFormat="1" x14ac:dyDescent="0.25">
      <c r="A372" s="1347"/>
      <c r="B372" s="1350"/>
      <c r="C372" s="1396" t="s">
        <v>16</v>
      </c>
      <c r="D372" s="1396"/>
      <c r="E372" s="1172" t="s">
        <v>913</v>
      </c>
      <c r="F372" s="1279">
        <v>15800.5</v>
      </c>
      <c r="G372" s="1375">
        <v>10237.5</v>
      </c>
      <c r="H372" s="1375">
        <v>8250.5</v>
      </c>
      <c r="I372" s="1375">
        <v>8938.5</v>
      </c>
      <c r="J372" s="1539">
        <v>8997.2000000000007</v>
      </c>
      <c r="K372" s="1541" t="s">
        <v>1971</v>
      </c>
      <c r="L372" s="1516" t="s">
        <v>14</v>
      </c>
      <c r="M372" s="1516">
        <v>107</v>
      </c>
      <c r="N372" s="1279">
        <v>103.1</v>
      </c>
      <c r="O372" s="1279">
        <v>106.3</v>
      </c>
      <c r="P372" s="1279">
        <v>105.9</v>
      </c>
      <c r="Q372" s="1279">
        <v>111.1</v>
      </c>
    </row>
    <row r="373" spans="1:17" s="6" customFormat="1" x14ac:dyDescent="0.25">
      <c r="A373" s="1347"/>
      <c r="B373" s="1350"/>
      <c r="C373" s="1398"/>
      <c r="D373" s="1398"/>
      <c r="E373" s="1173"/>
      <c r="F373" s="1538"/>
      <c r="G373" s="1377"/>
      <c r="H373" s="1377"/>
      <c r="I373" s="1377"/>
      <c r="J373" s="1540"/>
      <c r="K373" s="1542"/>
      <c r="L373" s="1128"/>
      <c r="M373" s="1517"/>
      <c r="N373" s="1122"/>
      <c r="O373" s="1122"/>
      <c r="P373" s="1122"/>
      <c r="Q373" s="1122"/>
    </row>
    <row r="374" spans="1:17" s="6" customFormat="1" x14ac:dyDescent="0.25">
      <c r="A374" s="1347"/>
      <c r="B374" s="1350"/>
      <c r="C374" s="1396" t="s">
        <v>19</v>
      </c>
      <c r="D374" s="1396"/>
      <c r="E374" s="1172" t="s">
        <v>914</v>
      </c>
      <c r="F374" s="535">
        <v>0</v>
      </c>
      <c r="G374" s="1375">
        <v>2579.25</v>
      </c>
      <c r="H374" s="1375">
        <v>2579.3000000000002</v>
      </c>
      <c r="I374" s="1375">
        <v>2579.1999999999998</v>
      </c>
      <c r="J374" s="1539">
        <v>2579.3000000000002</v>
      </c>
      <c r="K374" s="420" t="s">
        <v>741</v>
      </c>
      <c r="L374" s="397" t="s">
        <v>12</v>
      </c>
      <c r="M374" s="397" t="s">
        <v>309</v>
      </c>
      <c r="N374" s="122">
        <v>1</v>
      </c>
      <c r="O374" s="122">
        <v>1</v>
      </c>
      <c r="P374" s="122">
        <v>1</v>
      </c>
      <c r="Q374" s="122">
        <v>1</v>
      </c>
    </row>
    <row r="375" spans="1:17" s="6" customFormat="1" x14ac:dyDescent="0.25">
      <c r="A375" s="1347"/>
      <c r="B375" s="1350"/>
      <c r="C375" s="1398"/>
      <c r="D375" s="1398"/>
      <c r="E375" s="1173"/>
      <c r="F375" s="559"/>
      <c r="G375" s="1377"/>
      <c r="H375" s="1377"/>
      <c r="I375" s="1377"/>
      <c r="J375" s="1540"/>
      <c r="K375" s="420" t="s">
        <v>742</v>
      </c>
      <c r="L375" s="397" t="s">
        <v>12</v>
      </c>
      <c r="M375" s="397" t="s">
        <v>309</v>
      </c>
      <c r="N375" s="401">
        <v>5</v>
      </c>
      <c r="O375" s="401">
        <v>5</v>
      </c>
      <c r="P375" s="401">
        <v>5</v>
      </c>
      <c r="Q375" s="401">
        <v>5</v>
      </c>
    </row>
    <row r="376" spans="1:17" s="6" customFormat="1" ht="45" x14ac:dyDescent="0.25">
      <c r="A376" s="1347"/>
      <c r="B376" s="1350"/>
      <c r="C376" s="392" t="s">
        <v>20</v>
      </c>
      <c r="D376" s="392"/>
      <c r="E376" s="413" t="s">
        <v>915</v>
      </c>
      <c r="F376" s="559">
        <v>0</v>
      </c>
      <c r="G376" s="537">
        <v>2579.1999999999998</v>
      </c>
      <c r="H376" s="537">
        <v>2579.3000000000002</v>
      </c>
      <c r="I376" s="537">
        <v>2579.1999999999998</v>
      </c>
      <c r="J376" s="414">
        <v>2579.3000000000002</v>
      </c>
      <c r="K376" s="411" t="s">
        <v>743</v>
      </c>
      <c r="L376" s="122" t="s">
        <v>12</v>
      </c>
      <c r="M376" s="122" t="s">
        <v>309</v>
      </c>
      <c r="N376" s="412">
        <v>1</v>
      </c>
      <c r="O376" s="412">
        <v>1</v>
      </c>
      <c r="P376" s="412">
        <v>1</v>
      </c>
      <c r="Q376" s="400">
        <v>1</v>
      </c>
    </row>
    <row r="377" spans="1:17" s="6" customFormat="1" ht="60" x14ac:dyDescent="0.25">
      <c r="A377" s="1347"/>
      <c r="B377" s="1350"/>
      <c r="C377" s="392" t="s">
        <v>21</v>
      </c>
      <c r="D377" s="392"/>
      <c r="E377" s="140" t="s">
        <v>916</v>
      </c>
      <c r="F377" s="46">
        <v>0</v>
      </c>
      <c r="G377" s="537">
        <v>5247.9</v>
      </c>
      <c r="H377" s="537">
        <v>5247.9</v>
      </c>
      <c r="I377" s="537">
        <v>5247.9</v>
      </c>
      <c r="J377" s="537">
        <v>5247.9</v>
      </c>
      <c r="K377" s="411" t="s">
        <v>744</v>
      </c>
      <c r="L377" s="122" t="s">
        <v>14</v>
      </c>
      <c r="M377" s="122" t="s">
        <v>309</v>
      </c>
      <c r="N377" s="421" t="s">
        <v>745</v>
      </c>
      <c r="O377" s="421" t="s">
        <v>745</v>
      </c>
      <c r="P377" s="422" t="s">
        <v>745</v>
      </c>
      <c r="Q377" s="422" t="s">
        <v>745</v>
      </c>
    </row>
    <row r="378" spans="1:17" s="6" customFormat="1" ht="135" x14ac:dyDescent="0.25">
      <c r="A378" s="1347"/>
      <c r="B378" s="1350"/>
      <c r="C378" s="436" t="s">
        <v>22</v>
      </c>
      <c r="D378" s="436"/>
      <c r="E378" s="431" t="s">
        <v>917</v>
      </c>
      <c r="F378" s="535">
        <v>0</v>
      </c>
      <c r="G378" s="529">
        <v>4054.1</v>
      </c>
      <c r="H378" s="512">
        <v>4054.1</v>
      </c>
      <c r="I378" s="512">
        <v>4054.1</v>
      </c>
      <c r="J378" s="513">
        <v>4054.1</v>
      </c>
      <c r="K378" s="139" t="s">
        <v>746</v>
      </c>
      <c r="L378" s="280" t="s">
        <v>12</v>
      </c>
      <c r="M378" s="280" t="s">
        <v>309</v>
      </c>
      <c r="N378" s="280">
        <v>5</v>
      </c>
      <c r="O378" s="280">
        <v>5</v>
      </c>
      <c r="P378" s="280">
        <v>5</v>
      </c>
      <c r="Q378" s="280">
        <v>5</v>
      </c>
    </row>
    <row r="379" spans="1:17" s="6" customFormat="1" ht="60" x14ac:dyDescent="0.25">
      <c r="A379" s="1347"/>
      <c r="B379" s="1350"/>
      <c r="C379" s="423" t="s">
        <v>23</v>
      </c>
      <c r="D379" s="423"/>
      <c r="E379" s="424" t="s">
        <v>918</v>
      </c>
      <c r="F379" s="560">
        <v>0</v>
      </c>
      <c r="G379" s="425">
        <v>5646.4</v>
      </c>
      <c r="H379" s="425">
        <v>5646.4</v>
      </c>
      <c r="I379" s="425">
        <v>5646.4</v>
      </c>
      <c r="J379" s="426">
        <v>5646.4</v>
      </c>
      <c r="K379" s="1083" t="s">
        <v>747</v>
      </c>
      <c r="L379" s="428" t="s">
        <v>12</v>
      </c>
      <c r="M379" s="428" t="s">
        <v>309</v>
      </c>
      <c r="N379" s="429">
        <v>1</v>
      </c>
      <c r="O379" s="429">
        <v>1</v>
      </c>
      <c r="P379" s="430">
        <v>1</v>
      </c>
      <c r="Q379" s="430">
        <v>1</v>
      </c>
    </row>
    <row r="380" spans="1:17" s="6" customFormat="1" ht="75" x14ac:dyDescent="0.25">
      <c r="A380" s="1347"/>
      <c r="B380" s="1350"/>
      <c r="C380" s="406" t="s">
        <v>27</v>
      </c>
      <c r="D380" s="406"/>
      <c r="E380" s="431" t="s">
        <v>919</v>
      </c>
      <c r="F380" s="535">
        <v>0</v>
      </c>
      <c r="G380" s="529">
        <v>5119.6000000000004</v>
      </c>
      <c r="H380" s="529">
        <v>5119.6000000000004</v>
      </c>
      <c r="I380" s="529">
        <v>5119.6000000000004</v>
      </c>
      <c r="J380" s="529">
        <v>5119.6000000000004</v>
      </c>
      <c r="K380" s="420" t="s">
        <v>748</v>
      </c>
      <c r="L380" s="433" t="s">
        <v>14</v>
      </c>
      <c r="M380" s="400" t="s">
        <v>309</v>
      </c>
      <c r="N380" s="400">
        <v>40</v>
      </c>
      <c r="O380" s="400">
        <v>40</v>
      </c>
      <c r="P380" s="400">
        <v>40</v>
      </c>
      <c r="Q380" s="400">
        <v>40</v>
      </c>
    </row>
    <row r="381" spans="1:17" s="6" customFormat="1" ht="60" x14ac:dyDescent="0.25">
      <c r="A381" s="1347"/>
      <c r="B381" s="1350"/>
      <c r="C381" s="392" t="s">
        <v>28</v>
      </c>
      <c r="D381" s="392"/>
      <c r="E381" s="413" t="s">
        <v>920</v>
      </c>
      <c r="F381" s="46">
        <v>0</v>
      </c>
      <c r="G381" s="537">
        <v>4054.2</v>
      </c>
      <c r="H381" s="537">
        <v>4054.2</v>
      </c>
      <c r="I381" s="537">
        <v>4054.2</v>
      </c>
      <c r="J381" s="537">
        <v>4054.2</v>
      </c>
      <c r="K381" s="126" t="s">
        <v>740</v>
      </c>
      <c r="L381" s="433" t="s">
        <v>12</v>
      </c>
      <c r="M381" s="400" t="s">
        <v>309</v>
      </c>
      <c r="N381" s="418">
        <v>6</v>
      </c>
      <c r="O381" s="418">
        <v>6</v>
      </c>
      <c r="P381" s="418">
        <v>6</v>
      </c>
      <c r="Q381" s="400">
        <v>6</v>
      </c>
    </row>
    <row r="382" spans="1:17" s="6" customFormat="1" ht="165.75" customHeight="1" x14ac:dyDescent="0.25">
      <c r="A382" s="1347"/>
      <c r="B382" s="1350"/>
      <c r="C382" s="392" t="s">
        <v>512</v>
      </c>
      <c r="D382" s="392"/>
      <c r="E382" s="413" t="s">
        <v>921</v>
      </c>
      <c r="F382" s="46">
        <v>0</v>
      </c>
      <c r="G382" s="537">
        <v>8385.7999999999993</v>
      </c>
      <c r="H382" s="537">
        <v>6399.1</v>
      </c>
      <c r="I382" s="537">
        <v>7086.8</v>
      </c>
      <c r="J382" s="537">
        <v>8385.7999999999993</v>
      </c>
      <c r="K382" s="126" t="s">
        <v>746</v>
      </c>
      <c r="L382" s="433" t="s">
        <v>12</v>
      </c>
      <c r="M382" s="400" t="s">
        <v>309</v>
      </c>
      <c r="N382" s="418">
        <v>7</v>
      </c>
      <c r="O382" s="418">
        <v>7</v>
      </c>
      <c r="P382" s="418">
        <v>7</v>
      </c>
      <c r="Q382" s="400">
        <v>7</v>
      </c>
    </row>
    <row r="383" spans="1:17" s="6" customFormat="1" ht="60" x14ac:dyDescent="0.25">
      <c r="A383" s="1347"/>
      <c r="B383" s="1350"/>
      <c r="C383" s="392" t="s">
        <v>29</v>
      </c>
      <c r="D383" s="392"/>
      <c r="E383" s="413" t="s">
        <v>922</v>
      </c>
      <c r="F383" s="46">
        <v>0</v>
      </c>
      <c r="G383" s="537">
        <v>3748.5</v>
      </c>
      <c r="H383" s="537">
        <v>3748.5</v>
      </c>
      <c r="I383" s="537">
        <v>3748.5</v>
      </c>
      <c r="J383" s="537">
        <v>3748.5</v>
      </c>
      <c r="K383" s="126" t="s">
        <v>749</v>
      </c>
      <c r="L383" s="433" t="s">
        <v>12</v>
      </c>
      <c r="M383" s="434" t="s">
        <v>309</v>
      </c>
      <c r="N383" s="418">
        <v>6</v>
      </c>
      <c r="O383" s="418">
        <v>6</v>
      </c>
      <c r="P383" s="418">
        <v>6</v>
      </c>
      <c r="Q383" s="400">
        <v>6</v>
      </c>
    </row>
    <row r="384" spans="1:17" s="6" customFormat="1" ht="75" x14ac:dyDescent="0.25">
      <c r="A384" s="1347"/>
      <c r="B384" s="1350"/>
      <c r="C384" s="392" t="s">
        <v>231</v>
      </c>
      <c r="D384" s="392"/>
      <c r="E384" s="413" t="s">
        <v>923</v>
      </c>
      <c r="F384" s="46">
        <v>0</v>
      </c>
      <c r="G384" s="537">
        <v>3748.5</v>
      </c>
      <c r="H384" s="537">
        <v>3748.5</v>
      </c>
      <c r="I384" s="537">
        <v>3748.5</v>
      </c>
      <c r="J384" s="537">
        <v>3748.5</v>
      </c>
      <c r="K384" s="126" t="s">
        <v>750</v>
      </c>
      <c r="L384" s="400" t="s">
        <v>12</v>
      </c>
      <c r="M384" s="400" t="s">
        <v>309</v>
      </c>
      <c r="N384" s="400">
        <v>3</v>
      </c>
      <c r="O384" s="400">
        <v>3</v>
      </c>
      <c r="P384" s="400">
        <v>3</v>
      </c>
      <c r="Q384" s="400">
        <v>3</v>
      </c>
    </row>
    <row r="385" spans="1:17" s="6" customFormat="1" ht="30" x14ac:dyDescent="0.25">
      <c r="A385" s="1347"/>
      <c r="B385" s="1350"/>
      <c r="C385" s="392" t="s">
        <v>518</v>
      </c>
      <c r="D385" s="392"/>
      <c r="E385" s="413" t="s">
        <v>924</v>
      </c>
      <c r="F385" s="46">
        <v>4231.6000000000004</v>
      </c>
      <c r="G385" s="537">
        <v>5444.8</v>
      </c>
      <c r="H385" s="537">
        <v>5444.8</v>
      </c>
      <c r="I385" s="537">
        <v>5444.8</v>
      </c>
      <c r="J385" s="537">
        <v>5444.8</v>
      </c>
      <c r="K385" s="411" t="s">
        <v>1970</v>
      </c>
      <c r="L385" s="400" t="s">
        <v>14</v>
      </c>
      <c r="M385" s="400">
        <v>100</v>
      </c>
      <c r="N385" s="400">
        <v>100</v>
      </c>
      <c r="O385" s="400">
        <v>100</v>
      </c>
      <c r="P385" s="400">
        <v>100</v>
      </c>
      <c r="Q385" s="400">
        <v>100</v>
      </c>
    </row>
    <row r="386" spans="1:17" s="6" customFormat="1" ht="75" x14ac:dyDescent="0.25">
      <c r="A386" s="1347"/>
      <c r="B386" s="1350"/>
      <c r="C386" s="392" t="s">
        <v>521</v>
      </c>
      <c r="D386" s="392"/>
      <c r="E386" s="413" t="s">
        <v>925</v>
      </c>
      <c r="F386" s="46">
        <v>0</v>
      </c>
      <c r="G386" s="537">
        <v>4413.75</v>
      </c>
      <c r="H386" s="537">
        <v>4413.8</v>
      </c>
      <c r="I386" s="537">
        <v>4413.8</v>
      </c>
      <c r="J386" s="537">
        <v>4413.75</v>
      </c>
      <c r="K386" s="411" t="s">
        <v>751</v>
      </c>
      <c r="L386" s="400" t="s">
        <v>12</v>
      </c>
      <c r="M386" s="400" t="s">
        <v>309</v>
      </c>
      <c r="N386" s="400">
        <v>4</v>
      </c>
      <c r="O386" s="400">
        <v>4</v>
      </c>
      <c r="P386" s="400">
        <v>4</v>
      </c>
      <c r="Q386" s="400">
        <v>4</v>
      </c>
    </row>
    <row r="387" spans="1:17" s="6" customFormat="1" ht="116.45" customHeight="1" x14ac:dyDescent="0.25">
      <c r="A387" s="1347"/>
      <c r="B387" s="1350"/>
      <c r="C387" s="392" t="s">
        <v>524</v>
      </c>
      <c r="D387" s="392"/>
      <c r="E387" s="413" t="s">
        <v>926</v>
      </c>
      <c r="F387" s="46">
        <v>0</v>
      </c>
      <c r="G387" s="537">
        <v>4413.75</v>
      </c>
      <c r="H387" s="537">
        <v>4413.8</v>
      </c>
      <c r="I387" s="537">
        <v>4413.8</v>
      </c>
      <c r="J387" s="537">
        <v>4413.75</v>
      </c>
      <c r="K387" s="411" t="s">
        <v>1381</v>
      </c>
      <c r="L387" s="400" t="s">
        <v>12</v>
      </c>
      <c r="M387" s="400" t="s">
        <v>309</v>
      </c>
      <c r="N387" s="400">
        <v>2</v>
      </c>
      <c r="O387" s="400">
        <v>2</v>
      </c>
      <c r="P387" s="400">
        <v>2</v>
      </c>
      <c r="Q387" s="400">
        <v>2</v>
      </c>
    </row>
    <row r="388" spans="1:17" s="6" customFormat="1" ht="30" x14ac:dyDescent="0.25">
      <c r="A388" s="1347"/>
      <c r="B388" s="1350"/>
      <c r="C388" s="392" t="s">
        <v>462</v>
      </c>
      <c r="D388" s="392"/>
      <c r="E388" s="413" t="s">
        <v>927</v>
      </c>
      <c r="F388" s="46">
        <v>5657.1</v>
      </c>
      <c r="G388" s="537">
        <v>8590</v>
      </c>
      <c r="H388" s="537">
        <v>8590</v>
      </c>
      <c r="I388" s="537">
        <v>8590</v>
      </c>
      <c r="J388" s="537">
        <v>8590</v>
      </c>
      <c r="K388" s="411" t="s">
        <v>752</v>
      </c>
      <c r="L388" s="122" t="s">
        <v>36</v>
      </c>
      <c r="M388" s="122" t="s">
        <v>309</v>
      </c>
      <c r="N388" s="400">
        <v>5000</v>
      </c>
      <c r="O388" s="400">
        <v>7000</v>
      </c>
      <c r="P388" s="400">
        <v>8000</v>
      </c>
      <c r="Q388" s="400">
        <v>8000</v>
      </c>
    </row>
    <row r="389" spans="1:17" s="6" customFormat="1" ht="45" x14ac:dyDescent="0.25">
      <c r="A389" s="1347"/>
      <c r="B389" s="1350"/>
      <c r="C389" s="392" t="s">
        <v>627</v>
      </c>
      <c r="D389" s="392"/>
      <c r="E389" s="413" t="s">
        <v>928</v>
      </c>
      <c r="F389" s="46">
        <v>0</v>
      </c>
      <c r="G389" s="537">
        <v>8630.7999999999993</v>
      </c>
      <c r="H389" s="537">
        <v>8630.7999999999993</v>
      </c>
      <c r="I389" s="537">
        <v>8630.7999999999993</v>
      </c>
      <c r="J389" s="537">
        <v>8630.7999999999993</v>
      </c>
      <c r="K389" s="411" t="s">
        <v>753</v>
      </c>
      <c r="L389" s="400" t="s">
        <v>14</v>
      </c>
      <c r="M389" s="400" t="s">
        <v>309</v>
      </c>
      <c r="N389" s="400">
        <v>105.4</v>
      </c>
      <c r="O389" s="400">
        <v>105.4</v>
      </c>
      <c r="P389" s="400">
        <v>106</v>
      </c>
      <c r="Q389" s="400">
        <v>105.5</v>
      </c>
    </row>
    <row r="390" spans="1:17" s="6" customFormat="1" ht="45" x14ac:dyDescent="0.25">
      <c r="A390" s="1347"/>
      <c r="B390" s="1350"/>
      <c r="C390" s="392" t="s">
        <v>463</v>
      </c>
      <c r="D390" s="392"/>
      <c r="E390" s="413" t="s">
        <v>929</v>
      </c>
      <c r="F390" s="46">
        <v>0</v>
      </c>
      <c r="G390" s="537">
        <v>5546.4</v>
      </c>
      <c r="H390" s="537">
        <v>5546.4</v>
      </c>
      <c r="I390" s="537">
        <v>5546.4</v>
      </c>
      <c r="J390" s="537">
        <v>5546.4</v>
      </c>
      <c r="K390" s="126" t="s">
        <v>754</v>
      </c>
      <c r="L390" s="400" t="s">
        <v>12</v>
      </c>
      <c r="M390" s="400" t="s">
        <v>309</v>
      </c>
      <c r="N390" s="400">
        <v>1</v>
      </c>
      <c r="O390" s="400">
        <v>1</v>
      </c>
      <c r="P390" s="400">
        <v>1</v>
      </c>
      <c r="Q390" s="400">
        <v>1</v>
      </c>
    </row>
    <row r="391" spans="1:17" s="6" customFormat="1" ht="57" hidden="1" customHeight="1" x14ac:dyDescent="0.25">
      <c r="A391" s="1347"/>
      <c r="B391" s="1350"/>
      <c r="C391" s="392"/>
      <c r="D391" s="392"/>
      <c r="E391" s="413" t="s">
        <v>755</v>
      </c>
      <c r="F391" s="46">
        <v>5337</v>
      </c>
      <c r="G391" s="537">
        <v>0</v>
      </c>
      <c r="H391" s="537">
        <v>0</v>
      </c>
      <c r="I391" s="537">
        <v>0</v>
      </c>
      <c r="J391" s="537">
        <v>0</v>
      </c>
      <c r="K391" s="411" t="s">
        <v>756</v>
      </c>
      <c r="L391" s="400" t="s">
        <v>757</v>
      </c>
      <c r="M391" s="400">
        <v>70</v>
      </c>
      <c r="N391" s="400" t="s">
        <v>309</v>
      </c>
      <c r="O391" s="400" t="s">
        <v>309</v>
      </c>
      <c r="P391" s="400" t="s">
        <v>309</v>
      </c>
      <c r="Q391" s="400" t="s">
        <v>309</v>
      </c>
    </row>
    <row r="392" spans="1:17" s="6" customFormat="1" ht="29.25" hidden="1" customHeight="1" x14ac:dyDescent="0.25">
      <c r="A392" s="1347"/>
      <c r="B392" s="1350"/>
      <c r="C392" s="392"/>
      <c r="D392" s="392"/>
      <c r="E392" s="413" t="s">
        <v>758</v>
      </c>
      <c r="F392" s="46">
        <v>11309.9</v>
      </c>
      <c r="G392" s="537">
        <v>0</v>
      </c>
      <c r="H392" s="537">
        <v>0</v>
      </c>
      <c r="I392" s="537">
        <v>0</v>
      </c>
      <c r="J392" s="537">
        <v>0</v>
      </c>
      <c r="K392" s="411" t="s">
        <v>759</v>
      </c>
      <c r="L392" s="400" t="s">
        <v>760</v>
      </c>
      <c r="M392" s="400">
        <v>698.4</v>
      </c>
      <c r="N392" s="400" t="s">
        <v>309</v>
      </c>
      <c r="O392" s="400" t="s">
        <v>309</v>
      </c>
      <c r="P392" s="400" t="s">
        <v>309</v>
      </c>
      <c r="Q392" s="400" t="s">
        <v>309</v>
      </c>
    </row>
    <row r="393" spans="1:17" s="6" customFormat="1" ht="48.75" hidden="1" customHeight="1" x14ac:dyDescent="0.25">
      <c r="A393" s="1347"/>
      <c r="B393" s="1351"/>
      <c r="C393" s="392"/>
      <c r="D393" s="392"/>
      <c r="E393" s="413" t="s">
        <v>761</v>
      </c>
      <c r="F393" s="46">
        <v>3607.7</v>
      </c>
      <c r="G393" s="537">
        <v>0</v>
      </c>
      <c r="H393" s="537">
        <v>0</v>
      </c>
      <c r="I393" s="537">
        <v>0</v>
      </c>
      <c r="J393" s="537">
        <v>0</v>
      </c>
      <c r="K393" s="411" t="s">
        <v>762</v>
      </c>
      <c r="L393" s="400" t="s">
        <v>14</v>
      </c>
      <c r="M393" s="400">
        <v>5</v>
      </c>
      <c r="N393" s="400" t="s">
        <v>309</v>
      </c>
      <c r="O393" s="400" t="s">
        <v>309</v>
      </c>
      <c r="P393" s="400" t="s">
        <v>309</v>
      </c>
      <c r="Q393" s="400" t="s">
        <v>309</v>
      </c>
    </row>
    <row r="394" spans="1:17" s="6" customFormat="1" ht="117.75" x14ac:dyDescent="0.25">
      <c r="A394" s="1347"/>
      <c r="B394" s="391" t="s">
        <v>737</v>
      </c>
      <c r="C394" s="392"/>
      <c r="D394" s="392"/>
      <c r="E394" s="435" t="s">
        <v>1972</v>
      </c>
      <c r="F394" s="381">
        <f>F395+F397+F398+F399+F400+F401+F404+F407+F408+F412+F413+F419+F420+F422+F418</f>
        <v>120436.59999999998</v>
      </c>
      <c r="G394" s="393">
        <f>G395+G397+G398+G399+G400+G401+G404+G407+G408+G412+G413+G418+G420+G422</f>
        <v>282008.8</v>
      </c>
      <c r="H394" s="393">
        <f>H395+H397+H398+H399+H400+H401+H404+H407+H408+H412+H413+H418+H420+H422</f>
        <v>323833.49999999994</v>
      </c>
      <c r="I394" s="393">
        <f>I395+I397+I398+I399+I400+I401+I404+I407+I408+I412+I413+I418+I420+I422</f>
        <v>327703.2</v>
      </c>
      <c r="J394" s="393">
        <f>J395+J397+J398+J399+J400+J401+J404+J407+J408+J412+J413+J418++J420+J422</f>
        <v>331531.93</v>
      </c>
      <c r="K394" s="395"/>
      <c r="L394" s="395"/>
      <c r="M394" s="395"/>
      <c r="N394" s="394"/>
      <c r="O394" s="396"/>
      <c r="P394" s="396"/>
      <c r="Q394" s="396"/>
    </row>
    <row r="395" spans="1:17" s="6" customFormat="1" ht="30" x14ac:dyDescent="0.25">
      <c r="A395" s="1347"/>
      <c r="B395" s="1349"/>
      <c r="C395" s="1369" t="s">
        <v>17</v>
      </c>
      <c r="D395" s="1369"/>
      <c r="E395" s="1543" t="s">
        <v>930</v>
      </c>
      <c r="F395" s="1279">
        <v>23901.7</v>
      </c>
      <c r="G395" s="1371">
        <v>24050.1</v>
      </c>
      <c r="H395" s="1371">
        <v>26481.8</v>
      </c>
      <c r="I395" s="1371">
        <v>26752.6</v>
      </c>
      <c r="J395" s="1371">
        <v>27020</v>
      </c>
      <c r="K395" s="411" t="s">
        <v>763</v>
      </c>
      <c r="L395" s="122" t="s">
        <v>12</v>
      </c>
      <c r="M395" s="122">
        <v>7186</v>
      </c>
      <c r="N395" s="412">
        <v>7922</v>
      </c>
      <c r="O395" s="412">
        <v>7922</v>
      </c>
      <c r="P395" s="412">
        <v>8318</v>
      </c>
      <c r="Q395" s="412">
        <v>8733</v>
      </c>
    </row>
    <row r="396" spans="1:17" s="6" customFormat="1" ht="30" x14ac:dyDescent="0.25">
      <c r="A396" s="1347"/>
      <c r="B396" s="1351"/>
      <c r="C396" s="1369"/>
      <c r="D396" s="1369"/>
      <c r="E396" s="1544"/>
      <c r="F396" s="1122"/>
      <c r="G396" s="1371"/>
      <c r="H396" s="1371"/>
      <c r="I396" s="1371"/>
      <c r="J396" s="1371"/>
      <c r="K396" s="411" t="s">
        <v>764</v>
      </c>
      <c r="L396" s="122" t="s">
        <v>12</v>
      </c>
      <c r="M396" s="122">
        <v>99494</v>
      </c>
      <c r="N396" s="412">
        <v>109691</v>
      </c>
      <c r="O396" s="412">
        <v>109691</v>
      </c>
      <c r="P396" s="412">
        <v>115175</v>
      </c>
      <c r="Q396" s="412">
        <v>120933</v>
      </c>
    </row>
    <row r="397" spans="1:17" s="6" customFormat="1" ht="90" x14ac:dyDescent="0.25">
      <c r="A397" s="1347"/>
      <c r="B397" s="574"/>
      <c r="C397" s="392" t="s">
        <v>18</v>
      </c>
      <c r="D397" s="392"/>
      <c r="E397" s="413" t="s">
        <v>931</v>
      </c>
      <c r="F397" s="46">
        <v>17403.3</v>
      </c>
      <c r="G397" s="537">
        <v>17403</v>
      </c>
      <c r="H397" s="537">
        <v>17724.2</v>
      </c>
      <c r="I397" s="537">
        <v>17905.400000000001</v>
      </c>
      <c r="J397" s="537">
        <v>18084.400000000001</v>
      </c>
      <c r="K397" s="411" t="s">
        <v>765</v>
      </c>
      <c r="L397" s="122" t="s">
        <v>760</v>
      </c>
      <c r="M397" s="122">
        <v>6534.4</v>
      </c>
      <c r="N397" s="412">
        <v>7500</v>
      </c>
      <c r="O397" s="412">
        <v>7500</v>
      </c>
      <c r="P397" s="400">
        <v>7725</v>
      </c>
      <c r="Q397" s="400">
        <v>7596</v>
      </c>
    </row>
    <row r="398" spans="1:17" s="6" customFormat="1" ht="60" x14ac:dyDescent="0.25">
      <c r="A398" s="1347"/>
      <c r="B398" s="574"/>
      <c r="C398" s="392" t="s">
        <v>16</v>
      </c>
      <c r="D398" s="392"/>
      <c r="E398" s="413" t="s">
        <v>1973</v>
      </c>
      <c r="F398" s="46">
        <v>5919.7</v>
      </c>
      <c r="G398" s="537">
        <v>7996.5</v>
      </c>
      <c r="H398" s="537">
        <v>8148.4</v>
      </c>
      <c r="I398" s="537">
        <v>8231.7999999999993</v>
      </c>
      <c r="J398" s="537">
        <v>8314.0300000000007</v>
      </c>
      <c r="K398" s="411" t="s">
        <v>1974</v>
      </c>
      <c r="L398" s="412" t="s">
        <v>25</v>
      </c>
      <c r="M398" s="412">
        <v>12</v>
      </c>
      <c r="N398" s="412">
        <v>14</v>
      </c>
      <c r="O398" s="412">
        <v>14</v>
      </c>
      <c r="P398" s="412">
        <v>14</v>
      </c>
      <c r="Q398" s="412">
        <v>14</v>
      </c>
    </row>
    <row r="399" spans="1:17" s="6" customFormat="1" ht="45" hidden="1" customHeight="1" x14ac:dyDescent="0.25">
      <c r="A399" s="1347"/>
      <c r="B399" s="574"/>
      <c r="C399" s="392"/>
      <c r="D399" s="392"/>
      <c r="E399" s="413" t="s">
        <v>766</v>
      </c>
      <c r="F399" s="46">
        <v>7468.8</v>
      </c>
      <c r="G399" s="537">
        <v>0</v>
      </c>
      <c r="H399" s="537">
        <v>0</v>
      </c>
      <c r="I399" s="537">
        <v>0</v>
      </c>
      <c r="J399" s="537">
        <v>0</v>
      </c>
      <c r="K399" s="411" t="s">
        <v>767</v>
      </c>
      <c r="L399" s="412" t="s">
        <v>14</v>
      </c>
      <c r="M399" s="412">
        <v>60</v>
      </c>
      <c r="N399" s="412" t="s">
        <v>309</v>
      </c>
      <c r="O399" s="412" t="s">
        <v>309</v>
      </c>
      <c r="P399" s="412" t="s">
        <v>309</v>
      </c>
      <c r="Q399" s="412" t="s">
        <v>309</v>
      </c>
    </row>
    <row r="400" spans="1:17" s="6" customFormat="1" ht="30" x14ac:dyDescent="0.25">
      <c r="A400" s="1347"/>
      <c r="B400" s="574"/>
      <c r="C400" s="392" t="s">
        <v>19</v>
      </c>
      <c r="D400" s="392"/>
      <c r="E400" s="413" t="s">
        <v>932</v>
      </c>
      <c r="F400" s="46">
        <v>14416.2</v>
      </c>
      <c r="G400" s="537">
        <v>15417.4</v>
      </c>
      <c r="H400" s="537">
        <v>17023.900000000001</v>
      </c>
      <c r="I400" s="537">
        <v>17421.3</v>
      </c>
      <c r="J400" s="537">
        <v>17717.5</v>
      </c>
      <c r="K400" s="126" t="s">
        <v>768</v>
      </c>
      <c r="L400" s="122" t="s">
        <v>12</v>
      </c>
      <c r="M400" s="122"/>
      <c r="N400" s="122">
        <v>163</v>
      </c>
      <c r="O400" s="122">
        <v>163</v>
      </c>
      <c r="P400" s="122">
        <v>165</v>
      </c>
      <c r="Q400" s="122">
        <v>170</v>
      </c>
    </row>
    <row r="401" spans="1:17" s="6" customFormat="1" ht="60" x14ac:dyDescent="0.25">
      <c r="A401" s="1347"/>
      <c r="B401" s="1349"/>
      <c r="C401" s="1313" t="s">
        <v>20</v>
      </c>
      <c r="D401" s="1369"/>
      <c r="E401" s="1172" t="s">
        <v>933</v>
      </c>
      <c r="F401" s="1279">
        <v>35494.1</v>
      </c>
      <c r="G401" s="1371">
        <v>26706.2</v>
      </c>
      <c r="H401" s="1371">
        <v>29227.200000000001</v>
      </c>
      <c r="I401" s="1371">
        <v>29860.7</v>
      </c>
      <c r="J401" s="1371">
        <v>30591.200000000001</v>
      </c>
      <c r="K401" s="411" t="s">
        <v>769</v>
      </c>
      <c r="L401" s="122" t="s">
        <v>12</v>
      </c>
      <c r="M401" s="122">
        <v>7</v>
      </c>
      <c r="N401" s="412">
        <v>8</v>
      </c>
      <c r="O401" s="412">
        <v>8</v>
      </c>
      <c r="P401" s="412">
        <v>8</v>
      </c>
      <c r="Q401" s="400">
        <v>8</v>
      </c>
    </row>
    <row r="402" spans="1:17" s="6" customFormat="1" ht="120" x14ac:dyDescent="0.25">
      <c r="A402" s="1347"/>
      <c r="B402" s="1350"/>
      <c r="C402" s="1091"/>
      <c r="D402" s="1370"/>
      <c r="E402" s="1088"/>
      <c r="F402" s="1373"/>
      <c r="G402" s="1372"/>
      <c r="H402" s="1372"/>
      <c r="I402" s="1372"/>
      <c r="J402" s="1372"/>
      <c r="K402" s="432" t="s">
        <v>770</v>
      </c>
      <c r="L402" s="397" t="s">
        <v>12</v>
      </c>
      <c r="M402" s="397">
        <v>17</v>
      </c>
      <c r="N402" s="419">
        <v>17</v>
      </c>
      <c r="O402" s="419">
        <v>17</v>
      </c>
      <c r="P402" s="419">
        <v>17</v>
      </c>
      <c r="Q402" s="433">
        <v>18</v>
      </c>
    </row>
    <row r="403" spans="1:17" s="6" customFormat="1" ht="60" x14ac:dyDescent="0.25">
      <c r="A403" s="1347"/>
      <c r="B403" s="1351"/>
      <c r="C403" s="1092"/>
      <c r="D403" s="1370"/>
      <c r="E403" s="1089"/>
      <c r="F403" s="1122"/>
      <c r="G403" s="1372"/>
      <c r="H403" s="1372"/>
      <c r="I403" s="1372"/>
      <c r="J403" s="1372"/>
      <c r="K403" s="411" t="s">
        <v>771</v>
      </c>
      <c r="L403" s="122" t="s">
        <v>12</v>
      </c>
      <c r="M403" s="122">
        <v>6</v>
      </c>
      <c r="N403" s="412">
        <v>6</v>
      </c>
      <c r="O403" s="412">
        <v>6</v>
      </c>
      <c r="P403" s="412">
        <v>6</v>
      </c>
      <c r="Q403" s="400">
        <v>5</v>
      </c>
    </row>
    <row r="404" spans="1:17" s="6" customFormat="1" ht="45" x14ac:dyDescent="0.25">
      <c r="A404" s="1347"/>
      <c r="B404" s="1349"/>
      <c r="C404" s="1313" t="s">
        <v>21</v>
      </c>
      <c r="D404" s="1369"/>
      <c r="E404" s="1324" t="s">
        <v>1238</v>
      </c>
      <c r="F404" s="1279">
        <v>0</v>
      </c>
      <c r="G404" s="1371">
        <v>41767.300000000003</v>
      </c>
      <c r="H404" s="1371">
        <v>57155.3</v>
      </c>
      <c r="I404" s="1371">
        <v>57739.9</v>
      </c>
      <c r="J404" s="1371">
        <v>58316.800000000003</v>
      </c>
      <c r="K404" s="411" t="s">
        <v>772</v>
      </c>
      <c r="L404" s="122" t="s">
        <v>12</v>
      </c>
      <c r="M404" s="122"/>
      <c r="N404" s="46" t="s">
        <v>773</v>
      </c>
      <c r="O404" s="412" t="s">
        <v>773</v>
      </c>
      <c r="P404" s="122" t="s">
        <v>773</v>
      </c>
      <c r="Q404" s="122" t="s">
        <v>773</v>
      </c>
    </row>
    <row r="405" spans="1:17" s="6" customFormat="1" ht="45" x14ac:dyDescent="0.25">
      <c r="A405" s="1347"/>
      <c r="B405" s="1350"/>
      <c r="C405" s="1091"/>
      <c r="D405" s="1370"/>
      <c r="E405" s="1374"/>
      <c r="F405" s="1373"/>
      <c r="G405" s="1372"/>
      <c r="H405" s="1372"/>
      <c r="I405" s="1372"/>
      <c r="J405" s="1372"/>
      <c r="K405" s="411" t="s">
        <v>774</v>
      </c>
      <c r="L405" s="122" t="s">
        <v>12</v>
      </c>
      <c r="M405" s="122"/>
      <c r="N405" s="46" t="s">
        <v>773</v>
      </c>
      <c r="O405" s="412" t="s">
        <v>773</v>
      </c>
      <c r="P405" s="122" t="s">
        <v>773</v>
      </c>
      <c r="Q405" s="122" t="s">
        <v>773</v>
      </c>
    </row>
    <row r="406" spans="1:17" s="6" customFormat="1" ht="60" x14ac:dyDescent="0.25">
      <c r="A406" s="1347"/>
      <c r="B406" s="1351"/>
      <c r="C406" s="1092"/>
      <c r="D406" s="1370"/>
      <c r="E406" s="1374"/>
      <c r="F406" s="1122"/>
      <c r="G406" s="1372"/>
      <c r="H406" s="1372"/>
      <c r="I406" s="1372"/>
      <c r="J406" s="1372"/>
      <c r="K406" s="411" t="s">
        <v>775</v>
      </c>
      <c r="L406" s="122" t="s">
        <v>12</v>
      </c>
      <c r="M406" s="122"/>
      <c r="N406" s="46" t="s">
        <v>773</v>
      </c>
      <c r="O406" s="412" t="s">
        <v>773</v>
      </c>
      <c r="P406" s="122" t="s">
        <v>773</v>
      </c>
      <c r="Q406" s="122" t="s">
        <v>773</v>
      </c>
    </row>
    <row r="407" spans="1:17" s="6" customFormat="1" ht="90" x14ac:dyDescent="0.25">
      <c r="A407" s="1347"/>
      <c r="B407" s="574"/>
      <c r="C407" s="1079" t="s">
        <v>22</v>
      </c>
      <c r="D407" s="436"/>
      <c r="E407" s="437" t="s">
        <v>280</v>
      </c>
      <c r="F407" s="535">
        <v>0</v>
      </c>
      <c r="G407" s="529">
        <v>16159</v>
      </c>
      <c r="H407" s="512">
        <v>18335.8</v>
      </c>
      <c r="I407" s="512">
        <v>18523.3</v>
      </c>
      <c r="J407" s="513">
        <v>18708.3</v>
      </c>
      <c r="K407" s="438" t="s">
        <v>776</v>
      </c>
      <c r="L407" s="27" t="s">
        <v>12</v>
      </c>
      <c r="M407" s="27"/>
      <c r="N407" s="27" t="s">
        <v>777</v>
      </c>
      <c r="O407" s="27" t="s">
        <v>777</v>
      </c>
      <c r="P407" s="27" t="s">
        <v>778</v>
      </c>
      <c r="Q407" s="27" t="s">
        <v>778</v>
      </c>
    </row>
    <row r="408" spans="1:17" s="6" customFormat="1" ht="75" x14ac:dyDescent="0.25">
      <c r="A408" s="1347"/>
      <c r="B408" s="1349"/>
      <c r="C408" s="1387" t="s">
        <v>23</v>
      </c>
      <c r="D408" s="1352"/>
      <c r="E408" s="1356" t="s">
        <v>934</v>
      </c>
      <c r="F408" s="1399">
        <v>0</v>
      </c>
      <c r="G408" s="1400">
        <v>78695.100000000006</v>
      </c>
      <c r="H408" s="1400">
        <v>87595.3</v>
      </c>
      <c r="I408" s="1400">
        <v>88491.199999999997</v>
      </c>
      <c r="J408" s="1400">
        <v>89375.4</v>
      </c>
      <c r="K408" s="427" t="s">
        <v>779</v>
      </c>
      <c r="L408" s="428"/>
      <c r="M408" s="428"/>
      <c r="N408" s="439">
        <v>1900</v>
      </c>
      <c r="O408" s="439">
        <v>1900</v>
      </c>
      <c r="P408" s="440">
        <v>2000</v>
      </c>
      <c r="Q408" s="440">
        <v>1900</v>
      </c>
    </row>
    <row r="409" spans="1:17" s="6" customFormat="1" ht="45" x14ac:dyDescent="0.25">
      <c r="A409" s="1347"/>
      <c r="B409" s="1350"/>
      <c r="C409" s="1388"/>
      <c r="D409" s="1353"/>
      <c r="E409" s="1357"/>
      <c r="F409" s="1373"/>
      <c r="G409" s="1401"/>
      <c r="H409" s="1401"/>
      <c r="I409" s="1401"/>
      <c r="J409" s="1401"/>
      <c r="K409" s="427" t="s">
        <v>780</v>
      </c>
      <c r="L409" s="428"/>
      <c r="M409" s="428"/>
      <c r="N409" s="439">
        <v>676</v>
      </c>
      <c r="O409" s="439">
        <v>676</v>
      </c>
      <c r="P409" s="440">
        <v>697.5</v>
      </c>
      <c r="Q409" s="440">
        <v>676</v>
      </c>
    </row>
    <row r="410" spans="1:17" s="6" customFormat="1" ht="30" x14ac:dyDescent="0.25">
      <c r="A410" s="1347"/>
      <c r="B410" s="1350"/>
      <c r="C410" s="1091"/>
      <c r="D410" s="1354"/>
      <c r="E410" s="1088"/>
      <c r="F410" s="1373"/>
      <c r="G410" s="1373"/>
      <c r="H410" s="1373"/>
      <c r="I410" s="1373"/>
      <c r="J410" s="1373"/>
      <c r="K410" s="441" t="s">
        <v>781</v>
      </c>
      <c r="L410" s="442"/>
      <c r="M410" s="442"/>
      <c r="N410" s="439">
        <v>200</v>
      </c>
      <c r="O410" s="439">
        <v>200</v>
      </c>
      <c r="P410" s="440">
        <v>200</v>
      </c>
      <c r="Q410" s="440">
        <v>200</v>
      </c>
    </row>
    <row r="411" spans="1:17" s="6" customFormat="1" ht="30" x14ac:dyDescent="0.25">
      <c r="A411" s="1347"/>
      <c r="B411" s="1351"/>
      <c r="C411" s="1092"/>
      <c r="D411" s="1355"/>
      <c r="E411" s="1089"/>
      <c r="F411" s="1122"/>
      <c r="G411" s="1122"/>
      <c r="H411" s="1122"/>
      <c r="I411" s="1122"/>
      <c r="J411" s="1122"/>
      <c r="K411" s="441" t="s">
        <v>782</v>
      </c>
      <c r="L411" s="442"/>
      <c r="M411" s="442"/>
      <c r="N411" s="439">
        <v>200</v>
      </c>
      <c r="O411" s="439">
        <v>200</v>
      </c>
      <c r="P411" s="440">
        <v>200</v>
      </c>
      <c r="Q411" s="440">
        <v>200</v>
      </c>
    </row>
    <row r="412" spans="1:17" s="6" customFormat="1" ht="45" x14ac:dyDescent="0.25">
      <c r="A412" s="1347"/>
      <c r="B412" s="574"/>
      <c r="C412" s="406" t="s">
        <v>27</v>
      </c>
      <c r="D412" s="406"/>
      <c r="E412" s="431" t="s">
        <v>935</v>
      </c>
      <c r="F412" s="561">
        <v>0</v>
      </c>
      <c r="G412" s="529">
        <v>7400</v>
      </c>
      <c r="H412" s="529">
        <v>7540.6</v>
      </c>
      <c r="I412" s="529">
        <v>7617.7</v>
      </c>
      <c r="J412" s="536">
        <v>7693.8</v>
      </c>
      <c r="K412" s="420" t="s">
        <v>782</v>
      </c>
      <c r="L412" s="433"/>
      <c r="M412" s="433"/>
      <c r="N412" s="443">
        <v>200</v>
      </c>
      <c r="O412" s="443">
        <v>200</v>
      </c>
      <c r="P412" s="444">
        <v>200</v>
      </c>
      <c r="Q412" s="444">
        <v>200</v>
      </c>
    </row>
    <row r="413" spans="1:17" s="6" customFormat="1" x14ac:dyDescent="0.25">
      <c r="A413" s="1347"/>
      <c r="B413" s="1349"/>
      <c r="C413" s="1313" t="s">
        <v>28</v>
      </c>
      <c r="D413" s="1396"/>
      <c r="E413" s="1172" t="s">
        <v>936</v>
      </c>
      <c r="F413" s="1527">
        <v>0</v>
      </c>
      <c r="G413" s="1375">
        <v>21256.9</v>
      </c>
      <c r="H413" s="1375">
        <v>22691.8</v>
      </c>
      <c r="I413" s="1375">
        <v>22923.8</v>
      </c>
      <c r="J413" s="1375">
        <v>23152.9</v>
      </c>
      <c r="K413" s="411" t="s">
        <v>1975</v>
      </c>
      <c r="L413" s="400" t="s">
        <v>783</v>
      </c>
      <c r="M413" s="400"/>
      <c r="N413" s="445">
        <v>18.5</v>
      </c>
      <c r="O413" s="445">
        <v>18.5</v>
      </c>
      <c r="P413" s="446">
        <v>19.3</v>
      </c>
      <c r="Q413" s="445">
        <v>19.88</v>
      </c>
    </row>
    <row r="414" spans="1:17" s="6" customFormat="1" x14ac:dyDescent="0.25">
      <c r="A414" s="1347"/>
      <c r="B414" s="1350"/>
      <c r="C414" s="1091"/>
      <c r="D414" s="1354"/>
      <c r="E414" s="1341"/>
      <c r="F414" s="1528"/>
      <c r="G414" s="1373"/>
      <c r="H414" s="1373"/>
      <c r="I414" s="1373"/>
      <c r="J414" s="1373"/>
      <c r="K414" s="411" t="s">
        <v>784</v>
      </c>
      <c r="L414" s="400" t="s">
        <v>783</v>
      </c>
      <c r="M414" s="400"/>
      <c r="N414" s="445">
        <v>18.600000000000001</v>
      </c>
      <c r="O414" s="445">
        <v>18.600000000000001</v>
      </c>
      <c r="P414" s="446">
        <v>19.7</v>
      </c>
      <c r="Q414" s="445">
        <v>0</v>
      </c>
    </row>
    <row r="415" spans="1:17" s="6" customFormat="1" ht="45" x14ac:dyDescent="0.25">
      <c r="A415" s="1347"/>
      <c r="B415" s="1350"/>
      <c r="C415" s="1091"/>
      <c r="D415" s="1354"/>
      <c r="E415" s="1341"/>
      <c r="F415" s="1528"/>
      <c r="G415" s="1373"/>
      <c r="H415" s="1373"/>
      <c r="I415" s="1373"/>
      <c r="J415" s="1373"/>
      <c r="K415" s="411" t="s">
        <v>785</v>
      </c>
      <c r="L415" s="400" t="s">
        <v>783</v>
      </c>
      <c r="M415" s="400"/>
      <c r="N415" s="445">
        <v>1.39</v>
      </c>
      <c r="O415" s="445">
        <v>1.39</v>
      </c>
      <c r="P415" s="446">
        <v>1.46</v>
      </c>
      <c r="Q415" s="445">
        <v>1.5</v>
      </c>
    </row>
    <row r="416" spans="1:17" s="6" customFormat="1" ht="30" x14ac:dyDescent="0.25">
      <c r="A416" s="1347"/>
      <c r="B416" s="1350"/>
      <c r="C416" s="1091"/>
      <c r="D416" s="1354"/>
      <c r="E416" s="1341"/>
      <c r="F416" s="1528"/>
      <c r="G416" s="1373"/>
      <c r="H416" s="1373"/>
      <c r="I416" s="1373"/>
      <c r="J416" s="1373"/>
      <c r="K416" s="411" t="s">
        <v>786</v>
      </c>
      <c r="L416" s="400" t="s">
        <v>783</v>
      </c>
      <c r="M416" s="400"/>
      <c r="N416" s="444">
        <v>126</v>
      </c>
      <c r="O416" s="444">
        <v>126</v>
      </c>
      <c r="P416" s="447">
        <v>132</v>
      </c>
      <c r="Q416" s="445">
        <v>135.96</v>
      </c>
    </row>
    <row r="417" spans="1:17" s="6" customFormat="1" ht="30" x14ac:dyDescent="0.25">
      <c r="A417" s="1347"/>
      <c r="B417" s="1351"/>
      <c r="C417" s="1092"/>
      <c r="D417" s="1355"/>
      <c r="E417" s="1173"/>
      <c r="F417" s="1529"/>
      <c r="G417" s="1122"/>
      <c r="H417" s="1122"/>
      <c r="I417" s="1122"/>
      <c r="J417" s="1122"/>
      <c r="K417" s="411" t="s">
        <v>787</v>
      </c>
      <c r="L417" s="400" t="s">
        <v>12</v>
      </c>
      <c r="M417" s="400"/>
      <c r="N417" s="448">
        <v>145</v>
      </c>
      <c r="O417" s="448">
        <v>145</v>
      </c>
      <c r="P417" s="449">
        <v>150</v>
      </c>
      <c r="Q417" s="448">
        <v>155</v>
      </c>
    </row>
    <row r="418" spans="1:17" s="6" customFormat="1" x14ac:dyDescent="0.25">
      <c r="A418" s="1347"/>
      <c r="B418" s="1349"/>
      <c r="C418" s="1313" t="s">
        <v>512</v>
      </c>
      <c r="D418" s="1396"/>
      <c r="E418" s="1172" t="s">
        <v>937</v>
      </c>
      <c r="F418" s="561"/>
      <c r="G418" s="1375">
        <v>2849.6</v>
      </c>
      <c r="H418" s="1375">
        <v>2903.7</v>
      </c>
      <c r="I418" s="1375">
        <v>2933.4</v>
      </c>
      <c r="J418" s="1375">
        <v>2962.8</v>
      </c>
      <c r="K418" s="411" t="s">
        <v>788</v>
      </c>
      <c r="L418" s="400" t="s">
        <v>36</v>
      </c>
      <c r="M418" s="400"/>
      <c r="N418" s="444">
        <v>40.4</v>
      </c>
      <c r="O418" s="444">
        <v>40.4</v>
      </c>
      <c r="P418" s="447">
        <v>42.4</v>
      </c>
      <c r="Q418" s="445">
        <v>43.67</v>
      </c>
    </row>
    <row r="419" spans="1:17" s="6" customFormat="1" ht="30" x14ac:dyDescent="0.25">
      <c r="A419" s="1347"/>
      <c r="B419" s="1351"/>
      <c r="C419" s="1092"/>
      <c r="D419" s="1355"/>
      <c r="E419" s="1089"/>
      <c r="F419" s="562">
        <v>0</v>
      </c>
      <c r="G419" s="1122"/>
      <c r="H419" s="1122"/>
      <c r="I419" s="1122"/>
      <c r="J419" s="1122"/>
      <c r="K419" s="411" t="s">
        <v>789</v>
      </c>
      <c r="L419" s="400" t="s">
        <v>12</v>
      </c>
      <c r="M419" s="400"/>
      <c r="N419" s="448">
        <v>680</v>
      </c>
      <c r="O419" s="448">
        <v>680</v>
      </c>
      <c r="P419" s="449">
        <v>710</v>
      </c>
      <c r="Q419" s="448">
        <v>731</v>
      </c>
    </row>
    <row r="420" spans="1:17" s="6" customFormat="1" x14ac:dyDescent="0.25">
      <c r="A420" s="1347"/>
      <c r="B420" s="1349"/>
      <c r="C420" s="1090"/>
      <c r="D420" s="1361"/>
      <c r="E420" s="1120" t="s">
        <v>938</v>
      </c>
      <c r="F420" s="1121">
        <v>11314.4</v>
      </c>
      <c r="G420" s="1121">
        <v>13307.7</v>
      </c>
      <c r="H420" s="1121">
        <v>17235.400000000001</v>
      </c>
      <c r="I420" s="1121">
        <v>17411.599999999999</v>
      </c>
      <c r="J420" s="1121">
        <v>17585.599999999999</v>
      </c>
      <c r="K420" s="411" t="s">
        <v>790</v>
      </c>
      <c r="L420" s="400" t="s">
        <v>12</v>
      </c>
      <c r="M420" s="400">
        <v>8</v>
      </c>
      <c r="N420" s="448">
        <v>20</v>
      </c>
      <c r="O420" s="448">
        <v>20</v>
      </c>
      <c r="P420" s="449">
        <v>20</v>
      </c>
      <c r="Q420" s="448">
        <v>20</v>
      </c>
    </row>
    <row r="421" spans="1:17" s="6" customFormat="1" ht="45" x14ac:dyDescent="0.25">
      <c r="A421" s="1347"/>
      <c r="B421" s="1351"/>
      <c r="C421" s="1092"/>
      <c r="D421" s="1355"/>
      <c r="E421" s="1089"/>
      <c r="F421" s="1122"/>
      <c r="G421" s="1122"/>
      <c r="H421" s="1122"/>
      <c r="I421" s="1122"/>
      <c r="J421" s="1122"/>
      <c r="K421" s="411" t="s">
        <v>791</v>
      </c>
      <c r="L421" s="400" t="s">
        <v>36</v>
      </c>
      <c r="M421" s="400">
        <v>10</v>
      </c>
      <c r="N421" s="448">
        <v>97</v>
      </c>
      <c r="O421" s="448">
        <v>61</v>
      </c>
      <c r="P421" s="449">
        <v>61</v>
      </c>
      <c r="Q421" s="448">
        <v>61</v>
      </c>
    </row>
    <row r="422" spans="1:17" s="6" customFormat="1" ht="120" x14ac:dyDescent="0.25">
      <c r="A422" s="1347"/>
      <c r="B422" s="574"/>
      <c r="C422" s="422" t="s">
        <v>29</v>
      </c>
      <c r="D422" s="392"/>
      <c r="E422" s="413" t="s">
        <v>939</v>
      </c>
      <c r="F422" s="46">
        <v>4518.3999999999996</v>
      </c>
      <c r="G422" s="537">
        <v>9000</v>
      </c>
      <c r="H422" s="537">
        <v>11770.1</v>
      </c>
      <c r="I422" s="537">
        <v>11890.5</v>
      </c>
      <c r="J422" s="537">
        <v>12009.2</v>
      </c>
      <c r="K422" s="126" t="s">
        <v>792</v>
      </c>
      <c r="L422" s="400" t="s">
        <v>12</v>
      </c>
      <c r="M422" s="400">
        <v>1</v>
      </c>
      <c r="N422" s="448">
        <v>2</v>
      </c>
      <c r="O422" s="448">
        <v>3</v>
      </c>
      <c r="P422" s="449">
        <v>3</v>
      </c>
      <c r="Q422" s="448">
        <v>3</v>
      </c>
    </row>
    <row r="423" spans="1:17" s="6" customFormat="1" ht="30" x14ac:dyDescent="0.25">
      <c r="A423" s="1348"/>
      <c r="B423" s="391" t="s">
        <v>1200</v>
      </c>
      <c r="C423" s="391" t="s">
        <v>658</v>
      </c>
      <c r="D423" s="391"/>
      <c r="E423" s="413" t="s">
        <v>794</v>
      </c>
      <c r="F423" s="563"/>
      <c r="G423" s="537"/>
      <c r="H423" s="537">
        <v>688860</v>
      </c>
      <c r="I423" s="537">
        <v>1572500</v>
      </c>
      <c r="J423" s="414">
        <v>1615000</v>
      </c>
      <c r="K423" s="415"/>
      <c r="L423" s="418"/>
      <c r="M423" s="418"/>
      <c r="N423" s="449"/>
      <c r="O423" s="449"/>
      <c r="P423" s="449"/>
      <c r="Q423" s="448"/>
    </row>
    <row r="424" spans="1:17" s="6" customFormat="1" x14ac:dyDescent="0.25">
      <c r="A424" s="1143" t="s">
        <v>15</v>
      </c>
      <c r="B424" s="1144"/>
      <c r="C424" s="1144"/>
      <c r="D424" s="1144"/>
      <c r="E424" s="1145"/>
      <c r="F424" s="450">
        <f>F394+F369+F358</f>
        <v>259577.69999999998</v>
      </c>
      <c r="G424" s="451">
        <f>G394+G369+G358</f>
        <v>529317.89999999991</v>
      </c>
      <c r="H424" s="451">
        <f>H394+H369+H358+H423</f>
        <v>1257964.1000000001</v>
      </c>
      <c r="I424" s="451">
        <f>I394+I369+I358+I423</f>
        <v>2147982.4</v>
      </c>
      <c r="J424" s="451">
        <f>J394+J369+J358+J423</f>
        <v>2196787.1799999997</v>
      </c>
      <c r="K424" s="452"/>
      <c r="L424" s="453"/>
      <c r="M424" s="453"/>
      <c r="N424" s="454"/>
      <c r="O424" s="454"/>
      <c r="P424" s="454"/>
      <c r="Q424" s="455"/>
    </row>
    <row r="425" spans="1:17" x14ac:dyDescent="0.25">
      <c r="A425" s="1385" t="s">
        <v>1239</v>
      </c>
      <c r="B425" s="1386"/>
      <c r="C425" s="1386"/>
      <c r="D425" s="1386"/>
      <c r="E425" s="1386"/>
      <c r="F425" s="1386"/>
      <c r="G425" s="1386"/>
      <c r="H425" s="1386"/>
      <c r="I425" s="1386"/>
      <c r="J425" s="1386"/>
      <c r="K425" s="1386"/>
      <c r="L425" s="1386"/>
      <c r="M425" s="1386"/>
      <c r="N425" s="1386"/>
      <c r="O425" s="1386"/>
      <c r="P425" s="1386"/>
      <c r="Q425" s="1386"/>
    </row>
    <row r="426" spans="1:17" ht="74.25" x14ac:dyDescent="0.25">
      <c r="A426" s="1108">
        <v>29</v>
      </c>
      <c r="B426" s="334">
        <v>1</v>
      </c>
      <c r="C426" s="456"/>
      <c r="D426" s="29"/>
      <c r="E426" s="534" t="s">
        <v>1976</v>
      </c>
      <c r="F426" s="463"/>
      <c r="G426" s="463">
        <v>21551.200000000001</v>
      </c>
      <c r="H426" s="463">
        <v>21960.7</v>
      </c>
      <c r="I426" s="463">
        <v>22185.3</v>
      </c>
      <c r="J426" s="463">
        <v>22407</v>
      </c>
      <c r="K426" s="1084" t="s">
        <v>1322</v>
      </c>
      <c r="L426" s="457" t="s">
        <v>25</v>
      </c>
      <c r="M426" s="34">
        <v>4</v>
      </c>
      <c r="N426" s="34">
        <v>6</v>
      </c>
      <c r="O426" s="34">
        <v>15</v>
      </c>
      <c r="P426" s="34">
        <v>15</v>
      </c>
      <c r="Q426" s="34">
        <v>15</v>
      </c>
    </row>
    <row r="427" spans="1:17" ht="30" x14ac:dyDescent="0.25">
      <c r="A427" s="1109"/>
      <c r="B427" s="34"/>
      <c r="C427" s="729" t="s">
        <v>17</v>
      </c>
      <c r="D427" s="533"/>
      <c r="E427" s="522" t="s">
        <v>1202</v>
      </c>
      <c r="F427" s="524"/>
      <c r="G427" s="531">
        <v>21551.200000000001</v>
      </c>
      <c r="H427" s="531">
        <v>21960.7</v>
      </c>
      <c r="I427" s="531">
        <v>22185.3</v>
      </c>
      <c r="J427" s="531">
        <v>22407</v>
      </c>
      <c r="K427" s="530"/>
      <c r="L427" s="505"/>
      <c r="M427" s="505"/>
      <c r="N427" s="505"/>
      <c r="O427" s="505"/>
      <c r="P427" s="505"/>
      <c r="Q427" s="505"/>
    </row>
    <row r="428" spans="1:17" x14ac:dyDescent="0.25">
      <c r="A428" s="1143" t="s">
        <v>15</v>
      </c>
      <c r="B428" s="1144"/>
      <c r="C428" s="1144"/>
      <c r="D428" s="1144"/>
      <c r="E428" s="1145"/>
      <c r="F428" s="458">
        <f>F426</f>
        <v>0</v>
      </c>
      <c r="G428" s="458">
        <f>G426</f>
        <v>21551.200000000001</v>
      </c>
      <c r="H428" s="458">
        <f>H426</f>
        <v>21960.7</v>
      </c>
      <c r="I428" s="458">
        <f>I426</f>
        <v>22185.3</v>
      </c>
      <c r="J428" s="458">
        <f>J426</f>
        <v>22407</v>
      </c>
      <c r="K428" s="60"/>
      <c r="L428" s="302"/>
      <c r="M428" s="302"/>
      <c r="N428" s="302"/>
      <c r="O428" s="302"/>
      <c r="P428" s="302"/>
      <c r="Q428" s="302"/>
    </row>
    <row r="429" spans="1:17" x14ac:dyDescent="0.25">
      <c r="A429" s="1362" t="s">
        <v>1982</v>
      </c>
      <c r="B429" s="1383"/>
      <c r="C429" s="1383"/>
      <c r="D429" s="1383"/>
      <c r="E429" s="1383"/>
      <c r="F429" s="1383"/>
      <c r="G429" s="1383"/>
      <c r="H429" s="1383"/>
      <c r="I429" s="1383"/>
      <c r="J429" s="1383"/>
      <c r="K429" s="1383"/>
      <c r="L429" s="1383"/>
      <c r="M429" s="1383"/>
      <c r="N429" s="1383"/>
      <c r="O429" s="1383"/>
      <c r="P429" s="1383"/>
      <c r="Q429" s="1384"/>
    </row>
    <row r="430" spans="1:17" ht="73.5" x14ac:dyDescent="0.25">
      <c r="A430" s="1157">
        <v>35</v>
      </c>
      <c r="B430" s="459">
        <v>1</v>
      </c>
      <c r="C430" s="460"/>
      <c r="D430" s="461"/>
      <c r="E430" s="462" t="s">
        <v>1323</v>
      </c>
      <c r="F430" s="463">
        <f>F431</f>
        <v>77086.7</v>
      </c>
      <c r="G430" s="463">
        <f t="shared" ref="G430:I430" si="50">G431</f>
        <v>65194.8</v>
      </c>
      <c r="H430" s="463">
        <f t="shared" si="50"/>
        <v>84201.4</v>
      </c>
      <c r="I430" s="463">
        <f t="shared" si="50"/>
        <v>71979.5</v>
      </c>
      <c r="J430" s="463">
        <f>J431</f>
        <v>85603.5</v>
      </c>
      <c r="K430" s="141" t="s">
        <v>9</v>
      </c>
      <c r="L430" s="464" t="s">
        <v>14</v>
      </c>
      <c r="M430" s="117">
        <v>68.099999999999994</v>
      </c>
      <c r="N430" s="117">
        <v>68.5</v>
      </c>
      <c r="O430" s="117">
        <v>69</v>
      </c>
      <c r="P430" s="117">
        <v>69</v>
      </c>
      <c r="Q430" s="117">
        <v>69</v>
      </c>
    </row>
    <row r="431" spans="1:17" ht="13.9" customHeight="1" x14ac:dyDescent="0.25">
      <c r="A431" s="1104"/>
      <c r="B431" s="1358"/>
      <c r="C431" s="1343" t="s">
        <v>17</v>
      </c>
      <c r="D431" s="1343"/>
      <c r="E431" s="1093" t="s">
        <v>10</v>
      </c>
      <c r="F431" s="1279">
        <f>26829.3+50257.4</f>
        <v>77086.7</v>
      </c>
      <c r="G431" s="1279">
        <f>26829.3+38365.5</f>
        <v>65194.8</v>
      </c>
      <c r="H431" s="1279">
        <v>84201.4</v>
      </c>
      <c r="I431" s="1279">
        <v>71979.5</v>
      </c>
      <c r="J431" s="1279">
        <v>85603.5</v>
      </c>
      <c r="K431" s="1412" t="s">
        <v>308</v>
      </c>
      <c r="L431" s="1414" t="s">
        <v>12</v>
      </c>
      <c r="M431" s="1402">
        <v>0</v>
      </c>
      <c r="N431" s="1402">
        <v>1</v>
      </c>
      <c r="O431" s="1402">
        <v>0</v>
      </c>
      <c r="P431" s="1402">
        <v>0</v>
      </c>
      <c r="Q431" s="1410">
        <v>0</v>
      </c>
    </row>
    <row r="432" spans="1:17" ht="55.5" customHeight="1" x14ac:dyDescent="0.25">
      <c r="A432" s="1104"/>
      <c r="B432" s="1359"/>
      <c r="C432" s="1344"/>
      <c r="D432" s="1344"/>
      <c r="E432" s="1094"/>
      <c r="F432" s="1337"/>
      <c r="G432" s="1337"/>
      <c r="H432" s="1337"/>
      <c r="I432" s="1337"/>
      <c r="J432" s="1337"/>
      <c r="K432" s="1413"/>
      <c r="L432" s="1415"/>
      <c r="M432" s="1403"/>
      <c r="N432" s="1403"/>
      <c r="O432" s="1403"/>
      <c r="P432" s="1403"/>
      <c r="Q432" s="1411"/>
    </row>
    <row r="433" spans="1:17" ht="56.25" customHeight="1" x14ac:dyDescent="0.25">
      <c r="A433" s="1104"/>
      <c r="B433" s="1359"/>
      <c r="C433" s="1344"/>
      <c r="D433" s="1344"/>
      <c r="E433" s="1094"/>
      <c r="F433" s="1337"/>
      <c r="G433" s="1337"/>
      <c r="H433" s="1337"/>
      <c r="I433" s="1337"/>
      <c r="J433" s="1337"/>
      <c r="K433" s="141" t="s">
        <v>310</v>
      </c>
      <c r="L433" s="464" t="s">
        <v>12</v>
      </c>
      <c r="M433" s="465">
        <v>108</v>
      </c>
      <c r="N433" s="466">
        <v>10</v>
      </c>
      <c r="O433" s="466">
        <v>10</v>
      </c>
      <c r="P433" s="466">
        <v>10</v>
      </c>
      <c r="Q433" s="117">
        <v>10</v>
      </c>
    </row>
    <row r="434" spans="1:17" ht="54" customHeight="1" x14ac:dyDescent="0.25">
      <c r="A434" s="1104"/>
      <c r="B434" s="1359"/>
      <c r="C434" s="1344"/>
      <c r="D434" s="1344"/>
      <c r="E434" s="1094"/>
      <c r="F434" s="1337"/>
      <c r="G434" s="1337"/>
      <c r="H434" s="1337"/>
      <c r="I434" s="1337"/>
      <c r="J434" s="1337"/>
      <c r="K434" s="467" t="s">
        <v>311</v>
      </c>
      <c r="L434" s="464" t="s">
        <v>12</v>
      </c>
      <c r="M434" s="465">
        <v>0</v>
      </c>
      <c r="N434" s="465">
        <v>12</v>
      </c>
      <c r="O434" s="465">
        <v>12</v>
      </c>
      <c r="P434" s="465">
        <v>0</v>
      </c>
      <c r="Q434" s="117">
        <v>0</v>
      </c>
    </row>
    <row r="435" spans="1:17" ht="90" hidden="1" customHeight="1" x14ac:dyDescent="0.25">
      <c r="A435" s="1104"/>
      <c r="B435" s="1359"/>
      <c r="C435" s="1344"/>
      <c r="D435" s="1344"/>
      <c r="E435" s="1094"/>
      <c r="F435" s="1337"/>
      <c r="G435" s="1337"/>
      <c r="H435" s="1337"/>
      <c r="I435" s="1337"/>
      <c r="J435" s="1337"/>
      <c r="K435" s="467" t="s">
        <v>312</v>
      </c>
      <c r="L435" s="464" t="s">
        <v>12</v>
      </c>
      <c r="M435" s="465" t="s">
        <v>309</v>
      </c>
      <c r="N435" s="466" t="s">
        <v>309</v>
      </c>
      <c r="O435" s="466" t="s">
        <v>309</v>
      </c>
      <c r="P435" s="466" t="s">
        <v>309</v>
      </c>
      <c r="Q435" s="117" t="s">
        <v>309</v>
      </c>
    </row>
    <row r="436" spans="1:17" ht="52.5" customHeight="1" x14ac:dyDescent="0.25">
      <c r="A436" s="1104"/>
      <c r="B436" s="1359"/>
      <c r="C436" s="1344"/>
      <c r="D436" s="1344"/>
      <c r="E436" s="1094"/>
      <c r="F436" s="1337"/>
      <c r="G436" s="1337"/>
      <c r="H436" s="1337"/>
      <c r="I436" s="1337"/>
      <c r="J436" s="1337"/>
      <c r="K436" s="141" t="s">
        <v>313</v>
      </c>
      <c r="L436" s="464" t="s">
        <v>12</v>
      </c>
      <c r="M436" s="465">
        <v>1</v>
      </c>
      <c r="N436" s="466">
        <v>1</v>
      </c>
      <c r="O436" s="466">
        <v>0</v>
      </c>
      <c r="P436" s="466">
        <v>0</v>
      </c>
      <c r="Q436" s="117">
        <v>0</v>
      </c>
    </row>
    <row r="437" spans="1:17" ht="30" x14ac:dyDescent="0.25">
      <c r="A437" s="1104"/>
      <c r="B437" s="1359"/>
      <c r="C437" s="1344"/>
      <c r="D437" s="1344"/>
      <c r="E437" s="1094"/>
      <c r="F437" s="1337"/>
      <c r="G437" s="1337"/>
      <c r="H437" s="1337"/>
      <c r="I437" s="1337"/>
      <c r="J437" s="1337"/>
      <c r="K437" s="141" t="s">
        <v>314</v>
      </c>
      <c r="L437" s="117" t="s">
        <v>315</v>
      </c>
      <c r="M437" s="117">
        <v>6</v>
      </c>
      <c r="N437" s="117">
        <v>0</v>
      </c>
      <c r="O437" s="117">
        <v>2</v>
      </c>
      <c r="P437" s="117">
        <v>2</v>
      </c>
      <c r="Q437" s="117">
        <v>2</v>
      </c>
    </row>
    <row r="438" spans="1:17" ht="45" x14ac:dyDescent="0.25">
      <c r="A438" s="1104"/>
      <c r="B438" s="1359"/>
      <c r="C438" s="1344"/>
      <c r="D438" s="1344"/>
      <c r="E438" s="1094"/>
      <c r="F438" s="1337"/>
      <c r="G438" s="1337"/>
      <c r="H438" s="1337"/>
      <c r="I438" s="1337"/>
      <c r="J438" s="1337"/>
      <c r="K438" s="467" t="s">
        <v>316</v>
      </c>
      <c r="L438" s="464" t="s">
        <v>12</v>
      </c>
      <c r="M438" s="465">
        <v>0</v>
      </c>
      <c r="N438" s="465">
        <v>1</v>
      </c>
      <c r="O438" s="465">
        <v>0</v>
      </c>
      <c r="P438" s="465">
        <v>0</v>
      </c>
      <c r="Q438" s="117">
        <v>0</v>
      </c>
    </row>
    <row r="439" spans="1:17" ht="30" x14ac:dyDescent="0.25">
      <c r="A439" s="1104"/>
      <c r="B439" s="1359"/>
      <c r="C439" s="1344"/>
      <c r="D439" s="1344"/>
      <c r="E439" s="1094"/>
      <c r="F439" s="1337"/>
      <c r="G439" s="1337"/>
      <c r="H439" s="1337"/>
      <c r="I439" s="1337"/>
      <c r="J439" s="1337"/>
      <c r="K439" s="467" t="s">
        <v>317</v>
      </c>
      <c r="L439" s="464" t="s">
        <v>12</v>
      </c>
      <c r="M439" s="465">
        <v>1</v>
      </c>
      <c r="N439" s="465">
        <v>1</v>
      </c>
      <c r="O439" s="465">
        <v>1</v>
      </c>
      <c r="P439" s="465">
        <v>2</v>
      </c>
      <c r="Q439" s="117">
        <v>2</v>
      </c>
    </row>
    <row r="440" spans="1:17" ht="45" x14ac:dyDescent="0.25">
      <c r="A440" s="1104"/>
      <c r="B440" s="1359"/>
      <c r="C440" s="1344"/>
      <c r="D440" s="1344"/>
      <c r="E440" s="1094"/>
      <c r="F440" s="1337"/>
      <c r="G440" s="1337"/>
      <c r="H440" s="1337"/>
      <c r="I440" s="1337"/>
      <c r="J440" s="1337"/>
      <c r="K440" s="467" t="s">
        <v>318</v>
      </c>
      <c r="L440" s="464" t="s">
        <v>12</v>
      </c>
      <c r="M440" s="465">
        <v>0</v>
      </c>
      <c r="N440" s="465">
        <v>0</v>
      </c>
      <c r="O440" s="465">
        <v>1</v>
      </c>
      <c r="P440" s="465">
        <v>0</v>
      </c>
      <c r="Q440" s="117">
        <v>0</v>
      </c>
    </row>
    <row r="441" spans="1:17" x14ac:dyDescent="0.25">
      <c r="A441" s="1104"/>
      <c r="B441" s="1359"/>
      <c r="C441" s="1344"/>
      <c r="D441" s="1344"/>
      <c r="E441" s="1094"/>
      <c r="F441" s="1337"/>
      <c r="G441" s="1337"/>
      <c r="H441" s="1337"/>
      <c r="I441" s="1337"/>
      <c r="J441" s="1337"/>
      <c r="K441" s="467" t="s">
        <v>319</v>
      </c>
      <c r="L441" s="464" t="s">
        <v>12</v>
      </c>
      <c r="M441" s="465">
        <v>1</v>
      </c>
      <c r="N441" s="465">
        <v>1</v>
      </c>
      <c r="O441" s="465">
        <v>1</v>
      </c>
      <c r="P441" s="465">
        <v>1</v>
      </c>
      <c r="Q441" s="117">
        <v>1</v>
      </c>
    </row>
    <row r="442" spans="1:17" ht="60" hidden="1" customHeight="1" x14ac:dyDescent="0.25">
      <c r="A442" s="1104"/>
      <c r="B442" s="1360"/>
      <c r="C442" s="1344"/>
      <c r="D442" s="1344"/>
      <c r="E442" s="1094"/>
      <c r="F442" s="1337"/>
      <c r="G442" s="1337"/>
      <c r="H442" s="1337"/>
      <c r="I442" s="1337"/>
      <c r="J442" s="1337"/>
      <c r="K442" s="141" t="s">
        <v>320</v>
      </c>
      <c r="L442" s="122" t="s">
        <v>12</v>
      </c>
      <c r="M442" s="117" t="s">
        <v>309</v>
      </c>
      <c r="N442" s="117" t="s">
        <v>309</v>
      </c>
      <c r="O442" s="117">
        <v>5</v>
      </c>
      <c r="P442" s="117" t="s">
        <v>309</v>
      </c>
      <c r="Q442" s="117">
        <v>5</v>
      </c>
    </row>
    <row r="443" spans="1:17" ht="60" x14ac:dyDescent="0.25">
      <c r="A443" s="1104"/>
      <c r="B443" s="577"/>
      <c r="C443" s="1345"/>
      <c r="D443" s="1345"/>
      <c r="E443" s="1095"/>
      <c r="F443" s="1280"/>
      <c r="G443" s="1280"/>
      <c r="H443" s="1280"/>
      <c r="I443" s="1280"/>
      <c r="J443" s="1280"/>
      <c r="K443" s="474" t="s">
        <v>320</v>
      </c>
      <c r="L443" s="464" t="s">
        <v>12</v>
      </c>
      <c r="M443" s="138">
        <v>0</v>
      </c>
      <c r="N443" s="138">
        <v>0</v>
      </c>
      <c r="O443" s="138">
        <v>5</v>
      </c>
      <c r="P443" s="138">
        <v>0</v>
      </c>
      <c r="Q443" s="138">
        <v>5</v>
      </c>
    </row>
    <row r="444" spans="1:17" ht="71.25" x14ac:dyDescent="0.25">
      <c r="A444" s="1104"/>
      <c r="B444" s="468">
        <v>352</v>
      </c>
      <c r="C444" s="469"/>
      <c r="D444" s="357"/>
      <c r="E444" s="394" t="s">
        <v>321</v>
      </c>
      <c r="F444" s="463">
        <f>F445+F459+F474</f>
        <v>55667.600000000006</v>
      </c>
      <c r="G444" s="463">
        <f>G445+G459+G474</f>
        <v>62669.5</v>
      </c>
      <c r="H444" s="463">
        <f>H445+H459+H474</f>
        <v>69223.899999999994</v>
      </c>
      <c r="I444" s="463">
        <f>I445+I459+I474</f>
        <v>81889.899999999994</v>
      </c>
      <c r="J444" s="463">
        <f>J445+J459+J474</f>
        <v>68704.3</v>
      </c>
      <c r="K444" s="470"/>
      <c r="L444" s="471"/>
      <c r="M444" s="471"/>
      <c r="N444" s="471"/>
      <c r="O444" s="471"/>
      <c r="P444" s="471"/>
      <c r="Q444" s="138"/>
    </row>
    <row r="445" spans="1:17" ht="30" x14ac:dyDescent="0.25">
      <c r="A445" s="1104"/>
      <c r="B445" s="1389"/>
      <c r="C445" s="1301" t="s">
        <v>17</v>
      </c>
      <c r="D445" s="1327"/>
      <c r="E445" s="1275" t="s">
        <v>322</v>
      </c>
      <c r="F445" s="1279">
        <f>3522.1+3664.9</f>
        <v>7187</v>
      </c>
      <c r="G445" s="1279">
        <f>3522.1+3728.7</f>
        <v>7250.7999999999993</v>
      </c>
      <c r="H445" s="1279">
        <v>10778.8</v>
      </c>
      <c r="I445" s="1279">
        <v>10865</v>
      </c>
      <c r="J445" s="1279">
        <v>10950.5</v>
      </c>
      <c r="K445" s="141" t="s">
        <v>323</v>
      </c>
      <c r="L445" s="19" t="s">
        <v>12</v>
      </c>
      <c r="M445" s="19">
        <v>32</v>
      </c>
      <c r="N445" s="19">
        <v>3</v>
      </c>
      <c r="O445" s="19">
        <v>3</v>
      </c>
      <c r="P445" s="19">
        <v>3</v>
      </c>
      <c r="Q445" s="117">
        <v>3</v>
      </c>
    </row>
    <row r="446" spans="1:17" ht="105" hidden="1" customHeight="1" x14ac:dyDescent="0.25">
      <c r="A446" s="1104"/>
      <c r="B446" s="1389"/>
      <c r="C446" s="1301"/>
      <c r="D446" s="1327"/>
      <c r="E446" s="1545"/>
      <c r="F446" s="1337"/>
      <c r="G446" s="1337"/>
      <c r="H446" s="1337"/>
      <c r="I446" s="1337"/>
      <c r="J446" s="1337"/>
      <c r="K446" s="141" t="s">
        <v>324</v>
      </c>
      <c r="L446" s="19" t="s">
        <v>12</v>
      </c>
      <c r="M446" s="19" t="s">
        <v>309</v>
      </c>
      <c r="N446" s="19" t="s">
        <v>309</v>
      </c>
      <c r="O446" s="19" t="s">
        <v>309</v>
      </c>
      <c r="P446" s="19">
        <v>1</v>
      </c>
      <c r="Q446" s="117" t="s">
        <v>309</v>
      </c>
    </row>
    <row r="447" spans="1:17" ht="105" x14ac:dyDescent="0.25">
      <c r="A447" s="1104"/>
      <c r="B447" s="1389"/>
      <c r="C447" s="1301"/>
      <c r="D447" s="1327"/>
      <c r="E447" s="1545"/>
      <c r="F447" s="1337"/>
      <c r="G447" s="1337"/>
      <c r="H447" s="1337"/>
      <c r="I447" s="1337"/>
      <c r="J447" s="1337"/>
      <c r="K447" s="141" t="s">
        <v>324</v>
      </c>
      <c r="L447" s="19" t="s">
        <v>12</v>
      </c>
      <c r="M447" s="19">
        <v>0</v>
      </c>
      <c r="N447" s="19">
        <v>0</v>
      </c>
      <c r="O447" s="19">
        <v>0</v>
      </c>
      <c r="P447" s="19">
        <v>1</v>
      </c>
      <c r="Q447" s="117">
        <v>0</v>
      </c>
    </row>
    <row r="448" spans="1:17" ht="45" x14ac:dyDescent="0.25">
      <c r="A448" s="1104"/>
      <c r="B448" s="1389"/>
      <c r="C448" s="1301"/>
      <c r="D448" s="1327"/>
      <c r="E448" s="1545"/>
      <c r="F448" s="1337"/>
      <c r="G448" s="1337"/>
      <c r="H448" s="1337"/>
      <c r="I448" s="1337"/>
      <c r="J448" s="1337"/>
      <c r="K448" s="383" t="s">
        <v>325</v>
      </c>
      <c r="L448" s="19" t="s">
        <v>12</v>
      </c>
      <c r="M448" s="19">
        <v>3</v>
      </c>
      <c r="N448" s="19">
        <v>1</v>
      </c>
      <c r="O448" s="19">
        <v>1</v>
      </c>
      <c r="P448" s="19">
        <v>1</v>
      </c>
      <c r="Q448" s="117">
        <v>1</v>
      </c>
    </row>
    <row r="449" spans="1:17" ht="135" x14ac:dyDescent="0.25">
      <c r="A449" s="1104"/>
      <c r="B449" s="1389"/>
      <c r="C449" s="1301"/>
      <c r="D449" s="1327"/>
      <c r="E449" s="1545"/>
      <c r="F449" s="1337"/>
      <c r="G449" s="1337"/>
      <c r="H449" s="1337"/>
      <c r="I449" s="1337"/>
      <c r="J449" s="1337"/>
      <c r="K449" s="141" t="s">
        <v>326</v>
      </c>
      <c r="L449" s="19" t="s">
        <v>12</v>
      </c>
      <c r="M449" s="19">
        <v>0</v>
      </c>
      <c r="N449" s="19">
        <v>0</v>
      </c>
      <c r="O449" s="19">
        <v>1</v>
      </c>
      <c r="P449" s="19">
        <v>1</v>
      </c>
      <c r="Q449" s="117">
        <v>1</v>
      </c>
    </row>
    <row r="450" spans="1:17" ht="60" hidden="1" customHeight="1" x14ac:dyDescent="0.25">
      <c r="A450" s="1104"/>
      <c r="B450" s="1389"/>
      <c r="C450" s="1301"/>
      <c r="D450" s="1327"/>
      <c r="E450" s="1545"/>
      <c r="F450" s="1337"/>
      <c r="G450" s="1337"/>
      <c r="H450" s="1337"/>
      <c r="I450" s="1337"/>
      <c r="J450" s="1337"/>
      <c r="K450" s="141" t="s">
        <v>327</v>
      </c>
      <c r="L450" s="19" t="s">
        <v>12</v>
      </c>
      <c r="M450" s="19" t="s">
        <v>309</v>
      </c>
      <c r="N450" s="19" t="s">
        <v>309</v>
      </c>
      <c r="O450" s="19" t="s">
        <v>309</v>
      </c>
      <c r="P450" s="19" t="s">
        <v>309</v>
      </c>
      <c r="Q450" s="117">
        <v>1</v>
      </c>
    </row>
    <row r="451" spans="1:17" ht="60" hidden="1" customHeight="1" x14ac:dyDescent="0.25">
      <c r="A451" s="1104"/>
      <c r="B451" s="1389"/>
      <c r="C451" s="1301"/>
      <c r="D451" s="1327"/>
      <c r="E451" s="1545"/>
      <c r="F451" s="1337"/>
      <c r="G451" s="1337"/>
      <c r="H451" s="1337"/>
      <c r="I451" s="1337"/>
      <c r="J451" s="1337"/>
      <c r="K451" s="141" t="s">
        <v>328</v>
      </c>
      <c r="L451" s="19" t="s">
        <v>12</v>
      </c>
      <c r="M451" s="19" t="s">
        <v>309</v>
      </c>
      <c r="N451" s="19" t="s">
        <v>309</v>
      </c>
      <c r="O451" s="19" t="s">
        <v>309</v>
      </c>
      <c r="P451" s="19" t="s">
        <v>309</v>
      </c>
      <c r="Q451" s="117">
        <v>1</v>
      </c>
    </row>
    <row r="452" spans="1:17" ht="60" x14ac:dyDescent="0.25">
      <c r="A452" s="1104"/>
      <c r="B452" s="1389"/>
      <c r="C452" s="1301"/>
      <c r="D452" s="1327"/>
      <c r="E452" s="1545"/>
      <c r="F452" s="1337"/>
      <c r="G452" s="1337"/>
      <c r="H452" s="1337"/>
      <c r="I452" s="1337"/>
      <c r="J452" s="1337"/>
      <c r="K452" s="141" t="s">
        <v>327</v>
      </c>
      <c r="L452" s="19" t="s">
        <v>12</v>
      </c>
      <c r="M452" s="19">
        <v>0</v>
      </c>
      <c r="N452" s="19">
        <v>0</v>
      </c>
      <c r="O452" s="19">
        <v>0</v>
      </c>
      <c r="P452" s="19">
        <v>0</v>
      </c>
      <c r="Q452" s="117">
        <v>1</v>
      </c>
    </row>
    <row r="453" spans="1:17" ht="60" x14ac:dyDescent="0.25">
      <c r="A453" s="1104"/>
      <c r="B453" s="1389"/>
      <c r="C453" s="1301"/>
      <c r="D453" s="1327"/>
      <c r="E453" s="1545"/>
      <c r="F453" s="1337"/>
      <c r="G453" s="1337"/>
      <c r="H453" s="1337"/>
      <c r="I453" s="1337"/>
      <c r="J453" s="1337"/>
      <c r="K453" s="141" t="s">
        <v>328</v>
      </c>
      <c r="L453" s="19" t="s">
        <v>12</v>
      </c>
      <c r="M453" s="19">
        <v>0</v>
      </c>
      <c r="N453" s="19">
        <v>0</v>
      </c>
      <c r="O453" s="19">
        <v>0</v>
      </c>
      <c r="P453" s="19">
        <v>0</v>
      </c>
      <c r="Q453" s="117">
        <v>1</v>
      </c>
    </row>
    <row r="454" spans="1:17" ht="60" x14ac:dyDescent="0.25">
      <c r="A454" s="1104"/>
      <c r="B454" s="1389"/>
      <c r="C454" s="1301"/>
      <c r="D454" s="1327"/>
      <c r="E454" s="1545"/>
      <c r="F454" s="1337"/>
      <c r="G454" s="1337"/>
      <c r="H454" s="1337"/>
      <c r="I454" s="1337"/>
      <c r="J454" s="1337"/>
      <c r="K454" s="141" t="s">
        <v>329</v>
      </c>
      <c r="L454" s="117" t="s">
        <v>12</v>
      </c>
      <c r="M454" s="117">
        <v>8</v>
      </c>
      <c r="N454" s="117">
        <v>3</v>
      </c>
      <c r="O454" s="117">
        <v>3</v>
      </c>
      <c r="P454" s="117">
        <v>3</v>
      </c>
      <c r="Q454" s="117">
        <v>3</v>
      </c>
    </row>
    <row r="455" spans="1:17" ht="45" x14ac:dyDescent="0.25">
      <c r="A455" s="1104"/>
      <c r="B455" s="1389"/>
      <c r="C455" s="1301"/>
      <c r="D455" s="1327"/>
      <c r="E455" s="1545"/>
      <c r="F455" s="1337"/>
      <c r="G455" s="1337"/>
      <c r="H455" s="1337"/>
      <c r="I455" s="1337"/>
      <c r="J455" s="1337"/>
      <c r="K455" s="141" t="s">
        <v>330</v>
      </c>
      <c r="L455" s="19" t="s">
        <v>12</v>
      </c>
      <c r="M455" s="19">
        <v>0</v>
      </c>
      <c r="N455" s="19">
        <v>1</v>
      </c>
      <c r="O455" s="19">
        <v>0</v>
      </c>
      <c r="P455" s="19">
        <v>0</v>
      </c>
      <c r="Q455" s="117">
        <v>0</v>
      </c>
    </row>
    <row r="456" spans="1:17" ht="75" hidden="1" customHeight="1" x14ac:dyDescent="0.25">
      <c r="A456" s="1104"/>
      <c r="B456" s="1389"/>
      <c r="C456" s="1301"/>
      <c r="D456" s="1327"/>
      <c r="E456" s="1545"/>
      <c r="F456" s="1337"/>
      <c r="G456" s="1337"/>
      <c r="H456" s="1337"/>
      <c r="I456" s="1337"/>
      <c r="J456" s="1337"/>
      <c r="K456" s="141" t="s">
        <v>331</v>
      </c>
      <c r="L456" s="117" t="s">
        <v>12</v>
      </c>
      <c r="M456" s="117" t="s">
        <v>309</v>
      </c>
      <c r="N456" s="117" t="s">
        <v>309</v>
      </c>
      <c r="O456" s="117" t="s">
        <v>309</v>
      </c>
      <c r="P456" s="117">
        <v>1</v>
      </c>
      <c r="Q456" s="117" t="s">
        <v>309</v>
      </c>
    </row>
    <row r="457" spans="1:17" ht="75" x14ac:dyDescent="0.25">
      <c r="A457" s="1104"/>
      <c r="B457" s="1389"/>
      <c r="C457" s="1301"/>
      <c r="D457" s="1327"/>
      <c r="E457" s="1545"/>
      <c r="F457" s="1337"/>
      <c r="G457" s="1337"/>
      <c r="H457" s="1337"/>
      <c r="I457" s="1337"/>
      <c r="J457" s="1337"/>
      <c r="K457" s="141" t="s">
        <v>331</v>
      </c>
      <c r="L457" s="19" t="s">
        <v>12</v>
      </c>
      <c r="M457" s="117">
        <v>0</v>
      </c>
      <c r="N457" s="117">
        <v>0</v>
      </c>
      <c r="O457" s="117">
        <v>0</v>
      </c>
      <c r="P457" s="117">
        <v>1</v>
      </c>
      <c r="Q457" s="117">
        <v>0</v>
      </c>
    </row>
    <row r="458" spans="1:17" ht="75" x14ac:dyDescent="0.25">
      <c r="A458" s="1104"/>
      <c r="B458" s="1389"/>
      <c r="C458" s="1301"/>
      <c r="D458" s="1327"/>
      <c r="E458" s="1276"/>
      <c r="F458" s="1280"/>
      <c r="G458" s="1280"/>
      <c r="H458" s="1280"/>
      <c r="I458" s="1280"/>
      <c r="J458" s="1280"/>
      <c r="K458" s="141" t="s">
        <v>332</v>
      </c>
      <c r="L458" s="117" t="s">
        <v>12</v>
      </c>
      <c r="M458" s="117">
        <v>77</v>
      </c>
      <c r="N458" s="117">
        <v>80</v>
      </c>
      <c r="O458" s="117">
        <v>80</v>
      </c>
      <c r="P458" s="117">
        <v>80</v>
      </c>
      <c r="Q458" s="117">
        <v>80</v>
      </c>
    </row>
    <row r="459" spans="1:17" ht="105" x14ac:dyDescent="0.25">
      <c r="A459" s="1104"/>
      <c r="B459" s="1358"/>
      <c r="C459" s="1546" t="s">
        <v>18</v>
      </c>
      <c r="D459" s="1327"/>
      <c r="E459" s="1172" t="s">
        <v>333</v>
      </c>
      <c r="F459" s="1279">
        <f>9966.7+9489.2</f>
        <v>19455.900000000001</v>
      </c>
      <c r="G459" s="1279">
        <f>9966.7+9553</f>
        <v>19519.7</v>
      </c>
      <c r="H459" s="1279">
        <v>19402</v>
      </c>
      <c r="I459" s="1279">
        <v>19557.2</v>
      </c>
      <c r="J459" s="1279">
        <v>19710.7</v>
      </c>
      <c r="K459" s="383" t="s">
        <v>334</v>
      </c>
      <c r="L459" s="472" t="s">
        <v>12</v>
      </c>
      <c r="M459" s="472">
        <v>0</v>
      </c>
      <c r="N459" s="472">
        <v>0</v>
      </c>
      <c r="O459" s="472">
        <v>1</v>
      </c>
      <c r="P459" s="472">
        <v>0</v>
      </c>
      <c r="Q459" s="473">
        <v>0</v>
      </c>
    </row>
    <row r="460" spans="1:17" ht="75" x14ac:dyDescent="0.25">
      <c r="A460" s="1104"/>
      <c r="B460" s="1359"/>
      <c r="C460" s="1547"/>
      <c r="D460" s="1327"/>
      <c r="E460" s="1341"/>
      <c r="F460" s="1337"/>
      <c r="G460" s="1337"/>
      <c r="H460" s="1337"/>
      <c r="I460" s="1337"/>
      <c r="J460" s="1337"/>
      <c r="K460" s="141" t="s">
        <v>335</v>
      </c>
      <c r="L460" s="19" t="s">
        <v>12</v>
      </c>
      <c r="M460" s="19">
        <v>0</v>
      </c>
      <c r="N460" s="19">
        <v>0</v>
      </c>
      <c r="O460" s="19">
        <v>1</v>
      </c>
      <c r="P460" s="19">
        <v>0</v>
      </c>
      <c r="Q460" s="117">
        <v>0</v>
      </c>
    </row>
    <row r="461" spans="1:17" ht="158.25" customHeight="1" x14ac:dyDescent="0.25">
      <c r="A461" s="1104"/>
      <c r="B461" s="1359"/>
      <c r="C461" s="1547"/>
      <c r="D461" s="1327"/>
      <c r="E461" s="1341"/>
      <c r="F461" s="1337"/>
      <c r="G461" s="1337"/>
      <c r="H461" s="1337"/>
      <c r="I461" s="1337"/>
      <c r="J461" s="1337"/>
      <c r="K461" s="141" t="s">
        <v>336</v>
      </c>
      <c r="L461" s="19" t="s">
        <v>12</v>
      </c>
      <c r="M461" s="19">
        <v>0</v>
      </c>
      <c r="N461" s="19">
        <v>0</v>
      </c>
      <c r="O461" s="19">
        <v>1</v>
      </c>
      <c r="P461" s="19">
        <v>0</v>
      </c>
      <c r="Q461" s="117">
        <v>0</v>
      </c>
    </row>
    <row r="462" spans="1:17" ht="30" x14ac:dyDescent="0.25">
      <c r="A462" s="1104"/>
      <c r="B462" s="1359"/>
      <c r="C462" s="1547"/>
      <c r="D462" s="1327"/>
      <c r="E462" s="1341"/>
      <c r="F462" s="1337"/>
      <c r="G462" s="1337"/>
      <c r="H462" s="1337"/>
      <c r="I462" s="1337"/>
      <c r="J462" s="1337"/>
      <c r="K462" s="141" t="s">
        <v>337</v>
      </c>
      <c r="L462" s="19" t="s">
        <v>12</v>
      </c>
      <c r="M462" s="19">
        <v>0</v>
      </c>
      <c r="N462" s="19">
        <v>0</v>
      </c>
      <c r="O462" s="19">
        <v>1</v>
      </c>
      <c r="P462" s="19">
        <v>0</v>
      </c>
      <c r="Q462" s="117">
        <v>0</v>
      </c>
    </row>
    <row r="463" spans="1:17" ht="30" x14ac:dyDescent="0.25">
      <c r="A463" s="1104"/>
      <c r="B463" s="1359"/>
      <c r="C463" s="1547"/>
      <c r="D463" s="1327"/>
      <c r="E463" s="1341"/>
      <c r="F463" s="1337"/>
      <c r="G463" s="1337"/>
      <c r="H463" s="1337"/>
      <c r="I463" s="1337"/>
      <c r="J463" s="1337"/>
      <c r="K463" s="141" t="s">
        <v>338</v>
      </c>
      <c r="L463" s="19" t="s">
        <v>12</v>
      </c>
      <c r="M463" s="19">
        <v>0</v>
      </c>
      <c r="N463" s="19">
        <v>3</v>
      </c>
      <c r="O463" s="19">
        <v>0</v>
      </c>
      <c r="P463" s="19">
        <v>0</v>
      </c>
      <c r="Q463" s="117">
        <v>0</v>
      </c>
    </row>
    <row r="464" spans="1:17" ht="30" x14ac:dyDescent="0.25">
      <c r="A464" s="1104"/>
      <c r="B464" s="1359"/>
      <c r="C464" s="1547"/>
      <c r="D464" s="1327"/>
      <c r="E464" s="1341"/>
      <c r="F464" s="1337"/>
      <c r="G464" s="1337"/>
      <c r="H464" s="1337"/>
      <c r="I464" s="1337"/>
      <c r="J464" s="1337"/>
      <c r="K464" s="141" t="s">
        <v>339</v>
      </c>
      <c r="L464" s="19" t="s">
        <v>12</v>
      </c>
      <c r="M464" s="19">
        <v>31</v>
      </c>
      <c r="N464" s="19">
        <v>4</v>
      </c>
      <c r="O464" s="19">
        <v>7</v>
      </c>
      <c r="P464" s="19">
        <v>7</v>
      </c>
      <c r="Q464" s="117">
        <v>8</v>
      </c>
    </row>
    <row r="465" spans="1:17" ht="60" x14ac:dyDescent="0.25">
      <c r="A465" s="1104"/>
      <c r="B465" s="1359"/>
      <c r="C465" s="1547"/>
      <c r="D465" s="1327"/>
      <c r="E465" s="1341"/>
      <c r="F465" s="1337"/>
      <c r="G465" s="1337"/>
      <c r="H465" s="1337"/>
      <c r="I465" s="1337"/>
      <c r="J465" s="1337"/>
      <c r="K465" s="141" t="s">
        <v>340</v>
      </c>
      <c r="L465" s="19" t="s">
        <v>12</v>
      </c>
      <c r="M465" s="19">
        <v>0</v>
      </c>
      <c r="N465" s="19">
        <v>2</v>
      </c>
      <c r="O465" s="19">
        <v>0</v>
      </c>
      <c r="P465" s="19">
        <v>0</v>
      </c>
      <c r="Q465" s="117">
        <v>0</v>
      </c>
    </row>
    <row r="466" spans="1:17" ht="33" customHeight="1" x14ac:dyDescent="0.25">
      <c r="A466" s="1104"/>
      <c r="B466" s="1359"/>
      <c r="C466" s="1547"/>
      <c r="D466" s="1327"/>
      <c r="E466" s="1341"/>
      <c r="F466" s="1337"/>
      <c r="G466" s="1337"/>
      <c r="H466" s="1337"/>
      <c r="I466" s="1337"/>
      <c r="J466" s="1337"/>
      <c r="K466" s="141" t="s">
        <v>341</v>
      </c>
      <c r="L466" s="19" t="s">
        <v>12</v>
      </c>
      <c r="M466" s="33" t="s">
        <v>170</v>
      </c>
      <c r="N466" s="33" t="s">
        <v>342</v>
      </c>
      <c r="O466" s="33" t="s">
        <v>170</v>
      </c>
      <c r="P466" s="33" t="s">
        <v>170</v>
      </c>
      <c r="Q466" s="117">
        <v>0</v>
      </c>
    </row>
    <row r="467" spans="1:17" ht="60" hidden="1" customHeight="1" x14ac:dyDescent="0.25">
      <c r="A467" s="1104"/>
      <c r="B467" s="1359"/>
      <c r="C467" s="1547"/>
      <c r="D467" s="1327"/>
      <c r="E467" s="1341"/>
      <c r="F467" s="1337"/>
      <c r="G467" s="1337"/>
      <c r="H467" s="1337"/>
      <c r="I467" s="1337"/>
      <c r="J467" s="1337"/>
      <c r="K467" s="141" t="s">
        <v>343</v>
      </c>
      <c r="L467" s="165" t="s">
        <v>12</v>
      </c>
      <c r="M467" s="165" t="s">
        <v>309</v>
      </c>
      <c r="N467" s="165" t="s">
        <v>309</v>
      </c>
      <c r="O467" s="165" t="s">
        <v>309</v>
      </c>
      <c r="P467" s="165" t="s">
        <v>309</v>
      </c>
      <c r="Q467" s="138">
        <v>1</v>
      </c>
    </row>
    <row r="468" spans="1:17" ht="75" hidden="1" customHeight="1" x14ac:dyDescent="0.25">
      <c r="A468" s="1104"/>
      <c r="B468" s="1359"/>
      <c r="C468" s="1547"/>
      <c r="D468" s="1327"/>
      <c r="E468" s="1341"/>
      <c r="F468" s="1337"/>
      <c r="G468" s="1337"/>
      <c r="H468" s="1337"/>
      <c r="I468" s="1337"/>
      <c r="J468" s="1337"/>
      <c r="K468" s="141" t="s">
        <v>344</v>
      </c>
      <c r="L468" s="165" t="s">
        <v>12</v>
      </c>
      <c r="M468" s="165"/>
      <c r="N468" s="165">
        <v>1</v>
      </c>
      <c r="O468" s="165" t="s">
        <v>309</v>
      </c>
      <c r="P468" s="165" t="s">
        <v>309</v>
      </c>
      <c r="Q468" s="138" t="s">
        <v>309</v>
      </c>
    </row>
    <row r="469" spans="1:17" ht="105" hidden="1" customHeight="1" x14ac:dyDescent="0.25">
      <c r="A469" s="1104"/>
      <c r="B469" s="1359"/>
      <c r="C469" s="1547"/>
      <c r="D469" s="1327"/>
      <c r="E469" s="1341"/>
      <c r="F469" s="1337"/>
      <c r="G469" s="1337"/>
      <c r="H469" s="1337"/>
      <c r="I469" s="1337"/>
      <c r="J469" s="1337"/>
      <c r="K469" s="141" t="s">
        <v>345</v>
      </c>
      <c r="L469" s="19" t="s">
        <v>12</v>
      </c>
      <c r="M469" s="19" t="s">
        <v>309</v>
      </c>
      <c r="N469" s="19" t="s">
        <v>309</v>
      </c>
      <c r="O469" s="19">
        <v>1</v>
      </c>
      <c r="P469" s="19" t="s">
        <v>309</v>
      </c>
      <c r="Q469" s="117" t="s">
        <v>309</v>
      </c>
    </row>
    <row r="470" spans="1:17" ht="45" x14ac:dyDescent="0.25">
      <c r="A470" s="1104"/>
      <c r="B470" s="1359"/>
      <c r="C470" s="1547"/>
      <c r="D470" s="1327"/>
      <c r="E470" s="1341"/>
      <c r="F470" s="1337"/>
      <c r="G470" s="1337"/>
      <c r="H470" s="1337"/>
      <c r="I470" s="1337"/>
      <c r="J470" s="1337"/>
      <c r="K470" s="141" t="s">
        <v>1324</v>
      </c>
      <c r="L470" s="19" t="s">
        <v>12</v>
      </c>
      <c r="M470" s="19">
        <v>0</v>
      </c>
      <c r="N470" s="19">
        <v>0</v>
      </c>
      <c r="O470" s="19">
        <v>0</v>
      </c>
      <c r="P470" s="19">
        <v>0</v>
      </c>
      <c r="Q470" s="117">
        <v>1</v>
      </c>
    </row>
    <row r="471" spans="1:17" ht="105" x14ac:dyDescent="0.25">
      <c r="A471" s="1104"/>
      <c r="B471" s="1359"/>
      <c r="C471" s="1547"/>
      <c r="D471" s="1327"/>
      <c r="E471" s="1341"/>
      <c r="F471" s="1337"/>
      <c r="G471" s="1337"/>
      <c r="H471" s="1337"/>
      <c r="I471" s="1337"/>
      <c r="J471" s="1337"/>
      <c r="K471" s="141" t="s">
        <v>1325</v>
      </c>
      <c r="L471" s="19" t="s">
        <v>12</v>
      </c>
      <c r="M471" s="19">
        <v>0</v>
      </c>
      <c r="N471" s="19">
        <v>0</v>
      </c>
      <c r="O471" s="19">
        <v>1</v>
      </c>
      <c r="P471" s="19">
        <v>0</v>
      </c>
      <c r="Q471" s="117">
        <v>0</v>
      </c>
    </row>
    <row r="472" spans="1:17" ht="60" x14ac:dyDescent="0.25">
      <c r="A472" s="1104"/>
      <c r="B472" s="1359"/>
      <c r="C472" s="1547"/>
      <c r="D472" s="1327"/>
      <c r="E472" s="1341"/>
      <c r="F472" s="1337"/>
      <c r="G472" s="1337"/>
      <c r="H472" s="1337"/>
      <c r="I472" s="1337"/>
      <c r="J472" s="1337"/>
      <c r="K472" s="141" t="s">
        <v>346</v>
      </c>
      <c r="L472" s="117" t="s">
        <v>12</v>
      </c>
      <c r="M472" s="117">
        <v>0</v>
      </c>
      <c r="N472" s="117">
        <v>1</v>
      </c>
      <c r="O472" s="117">
        <v>2</v>
      </c>
      <c r="P472" s="117">
        <v>3</v>
      </c>
      <c r="Q472" s="117">
        <v>1</v>
      </c>
    </row>
    <row r="473" spans="1:17" ht="90" x14ac:dyDescent="0.25">
      <c r="A473" s="1104"/>
      <c r="B473" s="1360"/>
      <c r="C473" s="1548"/>
      <c r="D473" s="1327"/>
      <c r="E473" s="1173"/>
      <c r="F473" s="1280"/>
      <c r="G473" s="1280"/>
      <c r="H473" s="1280"/>
      <c r="I473" s="1280"/>
      <c r="J473" s="1280"/>
      <c r="K473" s="141" t="s">
        <v>347</v>
      </c>
      <c r="L473" s="19" t="s">
        <v>12</v>
      </c>
      <c r="M473" s="472">
        <v>0</v>
      </c>
      <c r="N473" s="472">
        <v>1</v>
      </c>
      <c r="O473" s="472">
        <v>1</v>
      </c>
      <c r="P473" s="472">
        <v>1</v>
      </c>
      <c r="Q473" s="473">
        <v>1</v>
      </c>
    </row>
    <row r="474" spans="1:17" ht="45" x14ac:dyDescent="0.25">
      <c r="A474" s="1104"/>
      <c r="B474" s="1358"/>
      <c r="C474" s="1313" t="s">
        <v>16</v>
      </c>
      <c r="D474" s="1338"/>
      <c r="E474" s="1172" t="s">
        <v>348</v>
      </c>
      <c r="F474" s="1279">
        <f>11745.8+17278.9</f>
        <v>29024.7</v>
      </c>
      <c r="G474" s="1279">
        <v>35899</v>
      </c>
      <c r="H474" s="1279">
        <v>39043.1</v>
      </c>
      <c r="I474" s="1279">
        <v>51467.7</v>
      </c>
      <c r="J474" s="1279">
        <v>38043.1</v>
      </c>
      <c r="K474" s="474" t="s">
        <v>349</v>
      </c>
      <c r="L474" s="165" t="s">
        <v>12</v>
      </c>
      <c r="M474" s="165">
        <v>15</v>
      </c>
      <c r="N474" s="165">
        <v>3</v>
      </c>
      <c r="O474" s="165">
        <v>3</v>
      </c>
      <c r="P474" s="165">
        <v>3</v>
      </c>
      <c r="Q474" s="138">
        <v>3</v>
      </c>
    </row>
    <row r="475" spans="1:17" ht="45" x14ac:dyDescent="0.25">
      <c r="A475" s="1104"/>
      <c r="B475" s="1359"/>
      <c r="C475" s="1334"/>
      <c r="D475" s="1339"/>
      <c r="E475" s="1341"/>
      <c r="F475" s="1337"/>
      <c r="G475" s="1337"/>
      <c r="H475" s="1337"/>
      <c r="I475" s="1337"/>
      <c r="J475" s="1337"/>
      <c r="K475" s="141" t="s">
        <v>350</v>
      </c>
      <c r="L475" s="19" t="s">
        <v>12</v>
      </c>
      <c r="M475" s="19">
        <v>6</v>
      </c>
      <c r="N475" s="19">
        <v>0</v>
      </c>
      <c r="O475" s="19">
        <v>2</v>
      </c>
      <c r="P475" s="19">
        <v>2</v>
      </c>
      <c r="Q475" s="117">
        <v>2</v>
      </c>
    </row>
    <row r="476" spans="1:17" ht="30" x14ac:dyDescent="0.25">
      <c r="A476" s="1104"/>
      <c r="B476" s="1359"/>
      <c r="C476" s="1334"/>
      <c r="D476" s="1339"/>
      <c r="E476" s="1341"/>
      <c r="F476" s="1337"/>
      <c r="G476" s="1337"/>
      <c r="H476" s="1337"/>
      <c r="I476" s="1337"/>
      <c r="J476" s="1337"/>
      <c r="K476" s="141" t="s">
        <v>351</v>
      </c>
      <c r="L476" s="117" t="s">
        <v>12</v>
      </c>
      <c r="M476" s="117">
        <v>0</v>
      </c>
      <c r="N476" s="117">
        <v>1</v>
      </c>
      <c r="O476" s="117" t="s">
        <v>309</v>
      </c>
      <c r="P476" s="117">
        <v>1</v>
      </c>
      <c r="Q476" s="117">
        <v>0</v>
      </c>
    </row>
    <row r="477" spans="1:17" ht="90" x14ac:dyDescent="0.25">
      <c r="A477" s="1104"/>
      <c r="B477" s="1359"/>
      <c r="C477" s="1334"/>
      <c r="D477" s="1339"/>
      <c r="E477" s="1341"/>
      <c r="F477" s="1337"/>
      <c r="G477" s="1337"/>
      <c r="H477" s="1337"/>
      <c r="I477" s="1337"/>
      <c r="J477" s="1337"/>
      <c r="K477" s="141" t="s">
        <v>352</v>
      </c>
      <c r="L477" s="117" t="s">
        <v>12</v>
      </c>
      <c r="M477" s="117">
        <v>0</v>
      </c>
      <c r="N477" s="117">
        <v>1</v>
      </c>
      <c r="O477" s="117">
        <v>0</v>
      </c>
      <c r="P477" s="117">
        <v>0</v>
      </c>
      <c r="Q477" s="117">
        <v>0</v>
      </c>
    </row>
    <row r="478" spans="1:17" x14ac:dyDescent="0.25">
      <c r="A478" s="1104"/>
      <c r="B478" s="1359"/>
      <c r="C478" s="1334"/>
      <c r="D478" s="1339"/>
      <c r="E478" s="1341"/>
      <c r="F478" s="1337"/>
      <c r="G478" s="1337"/>
      <c r="H478" s="1337"/>
      <c r="I478" s="1337"/>
      <c r="J478" s="1337"/>
      <c r="K478" s="1335" t="s">
        <v>1326</v>
      </c>
      <c r="L478" s="1336" t="s">
        <v>12</v>
      </c>
      <c r="M478" s="1336">
        <v>0</v>
      </c>
      <c r="N478" s="1336">
        <v>8</v>
      </c>
      <c r="O478" s="1336">
        <v>8</v>
      </c>
      <c r="P478" s="1336">
        <v>8</v>
      </c>
      <c r="Q478" s="1336">
        <v>8</v>
      </c>
    </row>
    <row r="479" spans="1:17" ht="37.5" customHeight="1" x14ac:dyDescent="0.25">
      <c r="A479" s="1104"/>
      <c r="B479" s="1360"/>
      <c r="C479" s="1314"/>
      <c r="D479" s="1340"/>
      <c r="E479" s="1173"/>
      <c r="F479" s="1280"/>
      <c r="G479" s="1280"/>
      <c r="H479" s="1280"/>
      <c r="I479" s="1280"/>
      <c r="J479" s="1280"/>
      <c r="K479" s="1335"/>
      <c r="L479" s="1336"/>
      <c r="M479" s="1336"/>
      <c r="N479" s="1336"/>
      <c r="O479" s="1336"/>
      <c r="P479" s="1336"/>
      <c r="Q479" s="1336"/>
    </row>
    <row r="480" spans="1:17" ht="42.75" x14ac:dyDescent="0.25">
      <c r="A480" s="1104"/>
      <c r="B480" s="475">
        <v>3</v>
      </c>
      <c r="C480" s="476"/>
      <c r="D480" s="477"/>
      <c r="E480" s="39" t="s">
        <v>1327</v>
      </c>
      <c r="F480" s="41">
        <f>F481+F482</f>
        <v>4590.3999999999996</v>
      </c>
      <c r="G480" s="41">
        <f t="shared" ref="G480:J480" si="51">G481+G482</f>
        <v>4718.5</v>
      </c>
      <c r="H480" s="41">
        <f t="shared" si="51"/>
        <v>0</v>
      </c>
      <c r="I480" s="41">
        <f t="shared" si="51"/>
        <v>0</v>
      </c>
      <c r="J480" s="41">
        <f t="shared" si="51"/>
        <v>0</v>
      </c>
      <c r="K480" s="141"/>
      <c r="L480" s="117"/>
      <c r="M480" s="117"/>
      <c r="N480" s="117"/>
      <c r="O480" s="117"/>
      <c r="P480" s="117"/>
      <c r="Q480" s="117"/>
    </row>
    <row r="481" spans="1:17" ht="30" x14ac:dyDescent="0.25">
      <c r="A481" s="1104"/>
      <c r="B481" s="475"/>
      <c r="C481" s="476" t="s">
        <v>17</v>
      </c>
      <c r="D481" s="477"/>
      <c r="E481" s="478" t="s">
        <v>353</v>
      </c>
      <c r="F481" s="559">
        <f>1432.9+1389.3</f>
        <v>2822.2</v>
      </c>
      <c r="G481" s="559">
        <f>1432.8+1453.7</f>
        <v>2886.5</v>
      </c>
      <c r="H481" s="559">
        <v>0</v>
      </c>
      <c r="I481" s="559">
        <v>0</v>
      </c>
      <c r="J481" s="559">
        <v>0</v>
      </c>
      <c r="K481" s="479" t="s">
        <v>354</v>
      </c>
      <c r="L481" s="19" t="s">
        <v>12</v>
      </c>
      <c r="M481" s="480">
        <v>0</v>
      </c>
      <c r="N481" s="480">
        <v>1</v>
      </c>
      <c r="O481" s="480">
        <v>0</v>
      </c>
      <c r="P481" s="481">
        <v>0</v>
      </c>
      <c r="Q481" s="117">
        <v>0</v>
      </c>
    </row>
    <row r="482" spans="1:17" ht="45" x14ac:dyDescent="0.25">
      <c r="A482" s="1104"/>
      <c r="B482" s="482"/>
      <c r="C482" s="576" t="s">
        <v>18</v>
      </c>
      <c r="D482" s="483"/>
      <c r="E482" s="484" t="s">
        <v>355</v>
      </c>
      <c r="F482" s="559">
        <f>811.3+956.9</f>
        <v>1768.1999999999998</v>
      </c>
      <c r="G482" s="559">
        <f>811.3+1020.7</f>
        <v>1832</v>
      </c>
      <c r="H482" s="559">
        <v>0</v>
      </c>
      <c r="I482" s="559">
        <v>0</v>
      </c>
      <c r="J482" s="559">
        <v>0</v>
      </c>
      <c r="K482" s="479" t="s">
        <v>356</v>
      </c>
      <c r="L482" s="19" t="s">
        <v>12</v>
      </c>
      <c r="M482" s="480">
        <v>4</v>
      </c>
      <c r="N482" s="480">
        <v>4</v>
      </c>
      <c r="O482" s="480">
        <v>0</v>
      </c>
      <c r="P482" s="481">
        <v>0</v>
      </c>
      <c r="Q482" s="117">
        <v>0</v>
      </c>
    </row>
    <row r="483" spans="1:17" x14ac:dyDescent="0.25">
      <c r="A483" s="1342" t="s">
        <v>357</v>
      </c>
      <c r="B483" s="1342"/>
      <c r="C483" s="1342"/>
      <c r="D483" s="1342"/>
      <c r="E483" s="1342"/>
      <c r="F483" s="575">
        <f>F474+F459+F445+F431+F481+F482</f>
        <v>137344.70000000001</v>
      </c>
      <c r="G483" s="575">
        <f>G474+G459+G445+G431+G481+G482</f>
        <v>132582.79999999999</v>
      </c>
      <c r="H483" s="575">
        <f>H474+H459+H445+H431</f>
        <v>153425.29999999999</v>
      </c>
      <c r="I483" s="575">
        <f>I474+I459+I445+I431</f>
        <v>153869.4</v>
      </c>
      <c r="J483" s="575">
        <f>J474+J459+J445+J431</f>
        <v>154307.79999999999</v>
      </c>
      <c r="K483" s="485"/>
      <c r="L483" s="60"/>
      <c r="M483" s="60"/>
      <c r="N483" s="60"/>
      <c r="O483" s="60"/>
      <c r="P483" s="60"/>
      <c r="Q483" s="60"/>
    </row>
    <row r="484" spans="1:17" x14ac:dyDescent="0.25">
      <c r="A484" s="1331" t="s">
        <v>1981</v>
      </c>
      <c r="B484" s="1332" t="s">
        <v>35</v>
      </c>
      <c r="C484" s="1332"/>
      <c r="D484" s="1332"/>
      <c r="E484" s="1332"/>
      <c r="F484" s="1332"/>
      <c r="G484" s="1332"/>
      <c r="H484" s="1332"/>
      <c r="I484" s="1332"/>
      <c r="J484" s="1332"/>
      <c r="K484" s="1332"/>
      <c r="L484" s="1332"/>
      <c r="M484" s="1332"/>
      <c r="N484" s="1332"/>
      <c r="O484" s="1333"/>
      <c r="P484" s="486"/>
      <c r="Q484" s="486"/>
    </row>
    <row r="485" spans="1:17" ht="88.5" x14ac:dyDescent="0.25">
      <c r="A485" s="1283">
        <v>38</v>
      </c>
      <c r="B485" s="391" t="s">
        <v>8</v>
      </c>
      <c r="C485" s="391"/>
      <c r="D485" s="391"/>
      <c r="E485" s="68" t="s">
        <v>1199</v>
      </c>
      <c r="F485" s="69">
        <v>581301.1</v>
      </c>
      <c r="G485" s="69">
        <v>669198.9</v>
      </c>
      <c r="H485" s="69">
        <v>991022.7</v>
      </c>
      <c r="I485" s="69">
        <v>826377.60000000009</v>
      </c>
      <c r="J485" s="69">
        <v>829571.5</v>
      </c>
      <c r="K485" s="70"/>
      <c r="L485" s="74"/>
      <c r="M485" s="74"/>
      <c r="N485" s="74"/>
      <c r="O485" s="74"/>
      <c r="P485" s="74"/>
      <c r="Q485" s="74"/>
    </row>
    <row r="486" spans="1:17" ht="30" x14ac:dyDescent="0.25">
      <c r="A486" s="1283"/>
      <c r="B486" s="422"/>
      <c r="C486" s="422" t="s">
        <v>17</v>
      </c>
      <c r="D486" s="422"/>
      <c r="E486" s="75" t="s">
        <v>814</v>
      </c>
      <c r="F486" s="71">
        <v>26590.2</v>
      </c>
      <c r="G486" s="71">
        <v>58827.8</v>
      </c>
      <c r="H486" s="71">
        <v>148930.19999999998</v>
      </c>
      <c r="I486" s="71">
        <v>68339.799999999988</v>
      </c>
      <c r="J486" s="71">
        <v>68339.799999999988</v>
      </c>
      <c r="K486" s="70"/>
      <c r="L486" s="74"/>
      <c r="M486" s="74"/>
      <c r="N486" s="74"/>
      <c r="O486" s="74"/>
      <c r="P486" s="74"/>
      <c r="Q486" s="74"/>
    </row>
    <row r="487" spans="1:17" ht="30" x14ac:dyDescent="0.25">
      <c r="A487" s="1283"/>
      <c r="B487" s="422"/>
      <c r="C487" s="422" t="s">
        <v>18</v>
      </c>
      <c r="D487" s="422"/>
      <c r="E487" s="75" t="s">
        <v>815</v>
      </c>
      <c r="F487" s="71">
        <v>554710.9</v>
      </c>
      <c r="G487" s="71">
        <v>610371.1</v>
      </c>
      <c r="H487" s="71">
        <v>842092.5</v>
      </c>
      <c r="I487" s="71">
        <v>758037.8</v>
      </c>
      <c r="J487" s="71">
        <v>761231.7</v>
      </c>
      <c r="K487" s="70"/>
      <c r="L487" s="74"/>
      <c r="M487" s="74"/>
      <c r="N487" s="74"/>
      <c r="O487" s="74"/>
      <c r="P487" s="74"/>
      <c r="Q487" s="74"/>
    </row>
    <row r="488" spans="1:17" ht="193.5" x14ac:dyDescent="0.25">
      <c r="A488" s="1283"/>
      <c r="B488" s="391" t="s">
        <v>1432</v>
      </c>
      <c r="C488" s="391"/>
      <c r="D488" s="391"/>
      <c r="E488" s="68" t="s">
        <v>1980</v>
      </c>
      <c r="F488" s="69">
        <v>8645946.4000000022</v>
      </c>
      <c r="G488" s="69">
        <v>11898735.299999999</v>
      </c>
      <c r="H488" s="69">
        <v>14654645</v>
      </c>
      <c r="I488" s="69">
        <v>14969986.299999999</v>
      </c>
      <c r="J488" s="69">
        <v>15166302.6</v>
      </c>
      <c r="K488" s="70"/>
      <c r="L488" s="74"/>
      <c r="M488" s="74"/>
      <c r="N488" s="74"/>
      <c r="O488" s="74"/>
      <c r="P488" s="74"/>
      <c r="Q488" s="74"/>
    </row>
    <row r="489" spans="1:17" ht="60" x14ac:dyDescent="0.25">
      <c r="A489" s="1283"/>
      <c r="B489" s="1313"/>
      <c r="C489" s="1313" t="s">
        <v>17</v>
      </c>
      <c r="D489" s="1313"/>
      <c r="E489" s="1223" t="s">
        <v>816</v>
      </c>
      <c r="F489" s="1326">
        <v>4425134.3</v>
      </c>
      <c r="G489" s="1326">
        <v>4540323.7</v>
      </c>
      <c r="H489" s="1326">
        <v>6834159.5</v>
      </c>
      <c r="I489" s="1326">
        <v>7149500.7999999998</v>
      </c>
      <c r="J489" s="1326">
        <v>7345817.0999999996</v>
      </c>
      <c r="K489" s="75" t="s">
        <v>1328</v>
      </c>
      <c r="L489" s="74" t="s">
        <v>437</v>
      </c>
      <c r="M489" s="84">
        <v>4000</v>
      </c>
      <c r="N489" s="84">
        <v>4000</v>
      </c>
      <c r="O489" s="84">
        <v>4000</v>
      </c>
      <c r="P489" s="84">
        <v>4000</v>
      </c>
      <c r="Q489" s="84">
        <v>4000</v>
      </c>
    </row>
    <row r="490" spans="1:17" ht="90" x14ac:dyDescent="0.25">
      <c r="A490" s="1283"/>
      <c r="B490" s="1334"/>
      <c r="C490" s="1334"/>
      <c r="D490" s="1334"/>
      <c r="E490" s="1207"/>
      <c r="F490" s="1326"/>
      <c r="G490" s="1326"/>
      <c r="H490" s="1326"/>
      <c r="I490" s="1326"/>
      <c r="J490" s="1326"/>
      <c r="K490" s="75" t="s">
        <v>1329</v>
      </c>
      <c r="L490" s="74" t="s">
        <v>14</v>
      </c>
      <c r="M490" s="74" t="s">
        <v>817</v>
      </c>
      <c r="N490" s="84">
        <v>100</v>
      </c>
      <c r="O490" s="84">
        <v>110</v>
      </c>
      <c r="P490" s="84">
        <v>110</v>
      </c>
      <c r="Q490" s="84">
        <v>110</v>
      </c>
    </row>
    <row r="491" spans="1:17" ht="60" x14ac:dyDescent="0.25">
      <c r="A491" s="1283"/>
      <c r="B491" s="1334"/>
      <c r="C491" s="1334"/>
      <c r="D491" s="1314"/>
      <c r="E491" s="1207"/>
      <c r="F491" s="1326"/>
      <c r="G491" s="1326"/>
      <c r="H491" s="1326"/>
      <c r="I491" s="1326"/>
      <c r="J491" s="1326"/>
      <c r="K491" s="75" t="s">
        <v>818</v>
      </c>
      <c r="L491" s="74" t="s">
        <v>14</v>
      </c>
      <c r="M491" s="84">
        <v>100</v>
      </c>
      <c r="N491" s="84">
        <v>100</v>
      </c>
      <c r="O491" s="84">
        <v>110</v>
      </c>
      <c r="P491" s="84">
        <v>110</v>
      </c>
      <c r="Q491" s="84">
        <v>110</v>
      </c>
    </row>
    <row r="492" spans="1:17" ht="45" x14ac:dyDescent="0.25">
      <c r="A492" s="1283"/>
      <c r="B492" s="1313"/>
      <c r="C492" s="1313" t="s">
        <v>18</v>
      </c>
      <c r="D492" s="1313"/>
      <c r="E492" s="1223" t="s">
        <v>819</v>
      </c>
      <c r="F492" s="1328">
        <v>4182628</v>
      </c>
      <c r="G492" s="1328">
        <v>7311505.8999999994</v>
      </c>
      <c r="H492" s="1328">
        <v>7742311.5999999996</v>
      </c>
      <c r="I492" s="1328">
        <v>7742311.5999999996</v>
      </c>
      <c r="J492" s="1328">
        <v>7742311.5999999996</v>
      </c>
      <c r="K492" s="75" t="s">
        <v>1977</v>
      </c>
      <c r="L492" s="74" t="s">
        <v>14</v>
      </c>
      <c r="M492" s="74">
        <v>113.6</v>
      </c>
      <c r="N492" s="74">
        <v>151.5</v>
      </c>
      <c r="O492" s="74">
        <v>151.5</v>
      </c>
      <c r="P492" s="74">
        <v>151.5</v>
      </c>
      <c r="Q492" s="74">
        <v>151.5</v>
      </c>
    </row>
    <row r="493" spans="1:17" ht="60" x14ac:dyDescent="0.25">
      <c r="A493" s="1283"/>
      <c r="B493" s="1334"/>
      <c r="C493" s="1334"/>
      <c r="D493" s="1334"/>
      <c r="E493" s="1207"/>
      <c r="F493" s="1329"/>
      <c r="G493" s="1329"/>
      <c r="H493" s="1329"/>
      <c r="I493" s="1329"/>
      <c r="J493" s="1329"/>
      <c r="K493" s="75" t="s">
        <v>1978</v>
      </c>
      <c r="L493" s="74" t="s">
        <v>14</v>
      </c>
      <c r="M493" s="74" t="s">
        <v>820</v>
      </c>
      <c r="N493" s="74" t="s">
        <v>821</v>
      </c>
      <c r="O493" s="74" t="s">
        <v>821</v>
      </c>
      <c r="P493" s="74" t="s">
        <v>821</v>
      </c>
      <c r="Q493" s="74" t="s">
        <v>821</v>
      </c>
    </row>
    <row r="494" spans="1:17" ht="60" x14ac:dyDescent="0.25">
      <c r="A494" s="1283"/>
      <c r="B494" s="1334"/>
      <c r="C494" s="1334"/>
      <c r="D494" s="1334"/>
      <c r="E494" s="1207"/>
      <c r="F494" s="1329"/>
      <c r="G494" s="1329"/>
      <c r="H494" s="1329"/>
      <c r="I494" s="1329"/>
      <c r="J494" s="1329"/>
      <c r="K494" s="75" t="s">
        <v>822</v>
      </c>
      <c r="L494" s="74" t="s">
        <v>14</v>
      </c>
      <c r="M494" s="74" t="s">
        <v>823</v>
      </c>
      <c r="N494" s="74" t="s">
        <v>824</v>
      </c>
      <c r="O494" s="74" t="s">
        <v>824</v>
      </c>
      <c r="P494" s="74" t="s">
        <v>824</v>
      </c>
      <c r="Q494" s="74" t="s">
        <v>824</v>
      </c>
    </row>
    <row r="495" spans="1:17" ht="45" x14ac:dyDescent="0.25">
      <c r="A495" s="1283"/>
      <c r="B495" s="1314"/>
      <c r="C495" s="1314"/>
      <c r="D495" s="1314"/>
      <c r="E495" s="1208"/>
      <c r="F495" s="1329"/>
      <c r="G495" s="1330"/>
      <c r="H495" s="1330"/>
      <c r="I495" s="1330"/>
      <c r="J495" s="1330"/>
      <c r="K495" s="75" t="s">
        <v>825</v>
      </c>
      <c r="L495" s="84" t="s">
        <v>826</v>
      </c>
      <c r="M495" s="74">
        <v>37</v>
      </c>
      <c r="N495" s="74">
        <v>37</v>
      </c>
      <c r="O495" s="74">
        <v>37</v>
      </c>
      <c r="P495" s="74">
        <v>37</v>
      </c>
      <c r="Q495" s="74">
        <v>37</v>
      </c>
    </row>
    <row r="496" spans="1:17" ht="30" x14ac:dyDescent="0.25">
      <c r="A496" s="1283"/>
      <c r="B496" s="1313"/>
      <c r="C496" s="1313" t="s">
        <v>16</v>
      </c>
      <c r="D496" s="1313"/>
      <c r="E496" s="1223" t="s">
        <v>827</v>
      </c>
      <c r="F496" s="1549">
        <v>10515.300000000001</v>
      </c>
      <c r="G496" s="1549">
        <v>18500</v>
      </c>
      <c r="H496" s="1549">
        <v>19712.099999999999</v>
      </c>
      <c r="I496" s="1549">
        <v>19712.099999999999</v>
      </c>
      <c r="J496" s="1549">
        <v>19712.099999999999</v>
      </c>
      <c r="K496" s="72" t="s">
        <v>828</v>
      </c>
      <c r="L496" s="84" t="s">
        <v>829</v>
      </c>
      <c r="M496" s="84">
        <v>7</v>
      </c>
      <c r="N496" s="84">
        <v>7</v>
      </c>
      <c r="O496" s="84">
        <v>7</v>
      </c>
      <c r="P496" s="84">
        <v>7</v>
      </c>
      <c r="Q496" s="84">
        <v>7</v>
      </c>
    </row>
    <row r="497" spans="1:17" ht="30" x14ac:dyDescent="0.25">
      <c r="A497" s="1283"/>
      <c r="B497" s="1314"/>
      <c r="C497" s="1314"/>
      <c r="D497" s="1314"/>
      <c r="E497" s="1208"/>
      <c r="F497" s="1550"/>
      <c r="G497" s="1550"/>
      <c r="H497" s="1550"/>
      <c r="I497" s="1550"/>
      <c r="J497" s="1550"/>
      <c r="K497" s="72" t="s">
        <v>830</v>
      </c>
      <c r="L497" s="84" t="s">
        <v>829</v>
      </c>
      <c r="M497" s="84">
        <v>14</v>
      </c>
      <c r="N497" s="84">
        <v>12</v>
      </c>
      <c r="O497" s="84">
        <v>12</v>
      </c>
      <c r="P497" s="84">
        <v>12</v>
      </c>
      <c r="Q497" s="84">
        <v>12</v>
      </c>
    </row>
    <row r="498" spans="1:17" ht="45" x14ac:dyDescent="0.25">
      <c r="A498" s="1283"/>
      <c r="B498" s="514"/>
      <c r="C498" s="514" t="s">
        <v>19</v>
      </c>
      <c r="D498" s="514"/>
      <c r="E498" s="73" t="s">
        <v>831</v>
      </c>
      <c r="F498" s="565">
        <v>1880</v>
      </c>
      <c r="G498" s="565">
        <v>2500</v>
      </c>
      <c r="H498" s="565">
        <v>2500</v>
      </c>
      <c r="I498" s="565">
        <v>2500</v>
      </c>
      <c r="J498" s="565">
        <v>2500</v>
      </c>
      <c r="K498" s="72" t="s">
        <v>832</v>
      </c>
      <c r="L498" s="84" t="s">
        <v>564</v>
      </c>
      <c r="M498" s="84">
        <v>100</v>
      </c>
      <c r="N498" s="84">
        <v>100</v>
      </c>
      <c r="O498" s="84">
        <v>100</v>
      </c>
      <c r="P498" s="84">
        <v>100</v>
      </c>
      <c r="Q498" s="84">
        <v>100</v>
      </c>
    </row>
    <row r="499" spans="1:17" ht="30" x14ac:dyDescent="0.25">
      <c r="A499" s="1283"/>
      <c r="B499" s="1313"/>
      <c r="C499" s="1313" t="s">
        <v>20</v>
      </c>
      <c r="D499" s="1313"/>
      <c r="E499" s="1223" t="s">
        <v>833</v>
      </c>
      <c r="F499" s="1549">
        <v>20503.900000000001</v>
      </c>
      <c r="G499" s="1549">
        <v>20757.099999999999</v>
      </c>
      <c r="H499" s="1549">
        <v>48520</v>
      </c>
      <c r="I499" s="1549">
        <v>48520</v>
      </c>
      <c r="J499" s="1549">
        <v>48520</v>
      </c>
      <c r="K499" s="72" t="s">
        <v>834</v>
      </c>
      <c r="L499" s="84" t="s">
        <v>564</v>
      </c>
      <c r="M499" s="84">
        <v>75</v>
      </c>
      <c r="N499" s="84">
        <v>50</v>
      </c>
      <c r="O499" s="84">
        <v>50</v>
      </c>
      <c r="P499" s="84">
        <v>50</v>
      </c>
      <c r="Q499" s="84">
        <v>50</v>
      </c>
    </row>
    <row r="500" spans="1:17" ht="30" x14ac:dyDescent="0.25">
      <c r="A500" s="1283"/>
      <c r="B500" s="1314"/>
      <c r="C500" s="1314"/>
      <c r="D500" s="1314"/>
      <c r="E500" s="1208"/>
      <c r="F500" s="1550"/>
      <c r="G500" s="1550"/>
      <c r="H500" s="1550"/>
      <c r="I500" s="1550"/>
      <c r="J500" s="1550"/>
      <c r="K500" s="72" t="s">
        <v>835</v>
      </c>
      <c r="L500" s="84" t="s">
        <v>564</v>
      </c>
      <c r="M500" s="84">
        <v>160</v>
      </c>
      <c r="N500" s="84">
        <v>180</v>
      </c>
      <c r="O500" s="84">
        <v>180</v>
      </c>
      <c r="P500" s="84">
        <v>180</v>
      </c>
      <c r="Q500" s="84">
        <v>180</v>
      </c>
    </row>
    <row r="501" spans="1:17" ht="60" x14ac:dyDescent="0.25">
      <c r="A501" s="1283"/>
      <c r="B501" s="422"/>
      <c r="C501" s="422" t="s">
        <v>21</v>
      </c>
      <c r="D501" s="422"/>
      <c r="E501" s="75" t="s">
        <v>836</v>
      </c>
      <c r="F501" s="74">
        <v>2468.8000000000002</v>
      </c>
      <c r="G501" s="74">
        <v>2100</v>
      </c>
      <c r="H501" s="74">
        <v>2100</v>
      </c>
      <c r="I501" s="74">
        <v>2100</v>
      </c>
      <c r="J501" s="74">
        <v>2100</v>
      </c>
      <c r="K501" s="72" t="s">
        <v>837</v>
      </c>
      <c r="L501" s="74" t="s">
        <v>564</v>
      </c>
      <c r="M501" s="74">
        <v>18</v>
      </c>
      <c r="N501" s="74">
        <v>18</v>
      </c>
      <c r="O501" s="74">
        <v>18</v>
      </c>
      <c r="P501" s="74">
        <v>18</v>
      </c>
      <c r="Q501" s="74">
        <v>18</v>
      </c>
    </row>
    <row r="502" spans="1:17" ht="45" x14ac:dyDescent="0.25">
      <c r="A502" s="1283"/>
      <c r="B502" s="422"/>
      <c r="C502" s="422" t="s">
        <v>22</v>
      </c>
      <c r="D502" s="422"/>
      <c r="E502" s="75" t="s">
        <v>838</v>
      </c>
      <c r="F502" s="74">
        <v>2816.1</v>
      </c>
      <c r="G502" s="74">
        <v>3048.6</v>
      </c>
      <c r="H502" s="74">
        <v>5341.7999999999993</v>
      </c>
      <c r="I502" s="74">
        <v>5341.7999999999993</v>
      </c>
      <c r="J502" s="74">
        <v>5341.7999999999993</v>
      </c>
      <c r="K502" s="72" t="s">
        <v>839</v>
      </c>
      <c r="L502" s="84" t="s">
        <v>840</v>
      </c>
      <c r="M502" s="84">
        <v>1340</v>
      </c>
      <c r="N502" s="84">
        <v>1610</v>
      </c>
      <c r="O502" s="84">
        <v>1850</v>
      </c>
      <c r="P502" s="84">
        <v>1950</v>
      </c>
      <c r="Q502" s="84">
        <v>2050</v>
      </c>
    </row>
    <row r="503" spans="1:17" ht="148.5" x14ac:dyDescent="0.25">
      <c r="A503" s="1283"/>
      <c r="B503" s="515" t="s">
        <v>1433</v>
      </c>
      <c r="C503" s="515"/>
      <c r="D503" s="515"/>
      <c r="E503" s="75" t="s">
        <v>940</v>
      </c>
      <c r="F503" s="564">
        <v>1108057.1000000001</v>
      </c>
      <c r="G503" s="564">
        <v>1258963.5999999999</v>
      </c>
      <c r="H503" s="564">
        <f>2503798.5+5000</f>
        <v>2508798.5</v>
      </c>
      <c r="I503" s="564">
        <v>2503829.6999999997</v>
      </c>
      <c r="J503" s="564">
        <v>2504083.1999999997</v>
      </c>
      <c r="K503" s="75"/>
      <c r="L503" s="74"/>
      <c r="M503" s="74"/>
      <c r="N503" s="74"/>
      <c r="O503" s="74"/>
      <c r="P503" s="74"/>
      <c r="Q503" s="74"/>
    </row>
    <row r="504" spans="1:17" ht="30" x14ac:dyDescent="0.25">
      <c r="A504" s="1283"/>
      <c r="B504" s="1301"/>
      <c r="C504" s="1301" t="s">
        <v>17</v>
      </c>
      <c r="D504" s="1301"/>
      <c r="E504" s="1222" t="s">
        <v>841</v>
      </c>
      <c r="F504" s="1551">
        <v>45964.4</v>
      </c>
      <c r="G504" s="1551">
        <v>55943.9</v>
      </c>
      <c r="H504" s="1551">
        <v>92168.4</v>
      </c>
      <c r="I504" s="1551">
        <v>92168.4</v>
      </c>
      <c r="J504" s="1551">
        <v>92168.4</v>
      </c>
      <c r="K504" s="72" t="s">
        <v>842</v>
      </c>
      <c r="L504" s="74" t="s">
        <v>843</v>
      </c>
      <c r="M504" s="74">
        <v>1</v>
      </c>
      <c r="N504" s="74">
        <v>1</v>
      </c>
      <c r="O504" s="74">
        <v>1</v>
      </c>
      <c r="P504" s="74">
        <v>1</v>
      </c>
      <c r="Q504" s="74">
        <v>1</v>
      </c>
    </row>
    <row r="505" spans="1:17" ht="60" x14ac:dyDescent="0.25">
      <c r="A505" s="1283"/>
      <c r="B505" s="1301"/>
      <c r="C505" s="1301"/>
      <c r="D505" s="1301"/>
      <c r="E505" s="1222"/>
      <c r="F505" s="1551"/>
      <c r="G505" s="1551"/>
      <c r="H505" s="1551"/>
      <c r="I505" s="1551"/>
      <c r="J505" s="1551"/>
      <c r="K505" s="72" t="s">
        <v>844</v>
      </c>
      <c r="L505" s="74" t="s">
        <v>845</v>
      </c>
      <c r="M505" s="74">
        <v>10</v>
      </c>
      <c r="N505" s="74">
        <v>10</v>
      </c>
      <c r="O505" s="74">
        <v>10</v>
      </c>
      <c r="P505" s="74">
        <v>10</v>
      </c>
      <c r="Q505" s="74">
        <v>10</v>
      </c>
    </row>
    <row r="506" spans="1:17" ht="30" x14ac:dyDescent="0.25">
      <c r="A506" s="1283"/>
      <c r="B506" s="1313"/>
      <c r="C506" s="1313" t="s">
        <v>18</v>
      </c>
      <c r="D506" s="1313"/>
      <c r="E506" s="1223" t="s">
        <v>846</v>
      </c>
      <c r="F506" s="1549">
        <v>8184.9</v>
      </c>
      <c r="G506" s="1549">
        <v>13424</v>
      </c>
      <c r="H506" s="1549">
        <v>20876.599999999999</v>
      </c>
      <c r="I506" s="1549">
        <v>20876.599999999999</v>
      </c>
      <c r="J506" s="1549">
        <v>20876.599999999999</v>
      </c>
      <c r="K506" s="75" t="s">
        <v>847</v>
      </c>
      <c r="L506" s="74" t="s">
        <v>564</v>
      </c>
      <c r="M506" s="74">
        <v>276</v>
      </c>
      <c r="N506" s="74">
        <v>600</v>
      </c>
      <c r="O506" s="74">
        <v>600</v>
      </c>
      <c r="P506" s="74">
        <v>600</v>
      </c>
      <c r="Q506" s="74">
        <v>600</v>
      </c>
    </row>
    <row r="507" spans="1:17" x14ac:dyDescent="0.25">
      <c r="A507" s="1283"/>
      <c r="B507" s="1314"/>
      <c r="C507" s="1314"/>
      <c r="D507" s="1314"/>
      <c r="E507" s="1208"/>
      <c r="F507" s="1550"/>
      <c r="G507" s="1550"/>
      <c r="H507" s="1550"/>
      <c r="I507" s="1550"/>
      <c r="J507" s="1550"/>
      <c r="K507" s="75" t="s">
        <v>848</v>
      </c>
      <c r="L507" s="74" t="s">
        <v>845</v>
      </c>
      <c r="M507" s="74">
        <v>2</v>
      </c>
      <c r="N507" s="74">
        <v>2</v>
      </c>
      <c r="O507" s="74">
        <v>2</v>
      </c>
      <c r="P507" s="74">
        <v>2</v>
      </c>
      <c r="Q507" s="74">
        <v>2</v>
      </c>
    </row>
    <row r="508" spans="1:17" x14ac:dyDescent="0.25">
      <c r="A508" s="1283"/>
      <c r="B508" s="1301"/>
      <c r="C508" s="1301" t="s">
        <v>16</v>
      </c>
      <c r="D508" s="1301"/>
      <c r="E508" s="1222" t="s">
        <v>849</v>
      </c>
      <c r="F508" s="1551">
        <v>394308.6</v>
      </c>
      <c r="G508" s="1551">
        <v>512192.39999999997</v>
      </c>
      <c r="H508" s="1551">
        <v>757822.3</v>
      </c>
      <c r="I508" s="1551">
        <v>747853.5</v>
      </c>
      <c r="J508" s="1551">
        <v>748107</v>
      </c>
      <c r="K508" s="75" t="s">
        <v>1330</v>
      </c>
      <c r="L508" s="74" t="s">
        <v>564</v>
      </c>
      <c r="M508" s="74">
        <v>2400</v>
      </c>
      <c r="N508" s="74">
        <v>2726</v>
      </c>
      <c r="O508" s="74">
        <v>2726</v>
      </c>
      <c r="P508" s="74">
        <v>2726</v>
      </c>
      <c r="Q508" s="74">
        <v>2726</v>
      </c>
    </row>
    <row r="509" spans="1:17" ht="30" x14ac:dyDescent="0.25">
      <c r="A509" s="1283"/>
      <c r="B509" s="1301"/>
      <c r="C509" s="1301"/>
      <c r="D509" s="1301"/>
      <c r="E509" s="1222"/>
      <c r="F509" s="1551"/>
      <c r="G509" s="1551"/>
      <c r="H509" s="1551"/>
      <c r="I509" s="1551"/>
      <c r="J509" s="1551"/>
      <c r="K509" s="76" t="s">
        <v>1341</v>
      </c>
      <c r="L509" s="74" t="s">
        <v>432</v>
      </c>
      <c r="M509" s="567">
        <v>378486.3</v>
      </c>
      <c r="N509" s="567">
        <v>502654.49999999994</v>
      </c>
      <c r="O509" s="567">
        <v>746597</v>
      </c>
      <c r="P509" s="567">
        <v>736597</v>
      </c>
      <c r="Q509" s="567">
        <v>736597</v>
      </c>
    </row>
    <row r="510" spans="1:17" ht="30" x14ac:dyDescent="0.25">
      <c r="A510" s="1283"/>
      <c r="B510" s="1301"/>
      <c r="C510" s="1301"/>
      <c r="D510" s="1301"/>
      <c r="E510" s="1222"/>
      <c r="F510" s="1551"/>
      <c r="G510" s="1551"/>
      <c r="H510" s="1551"/>
      <c r="I510" s="1551"/>
      <c r="J510" s="1551"/>
      <c r="K510" s="75" t="s">
        <v>1331</v>
      </c>
      <c r="L510" s="74" t="s">
        <v>432</v>
      </c>
      <c r="M510" s="74">
        <v>13.141885416666666</v>
      </c>
      <c r="N510" s="74">
        <v>15.366058327219369</v>
      </c>
      <c r="O510" s="74">
        <v>22.823337001711909</v>
      </c>
      <c r="P510" s="74">
        <v>22.517638786989483</v>
      </c>
      <c r="Q510" s="74">
        <v>22.517638786989483</v>
      </c>
    </row>
    <row r="511" spans="1:17" ht="30" x14ac:dyDescent="0.25">
      <c r="A511" s="1283"/>
      <c r="B511" s="1301"/>
      <c r="C511" s="1301" t="s">
        <v>19</v>
      </c>
      <c r="D511" s="1301"/>
      <c r="E511" s="1222" t="s">
        <v>850</v>
      </c>
      <c r="F511" s="1551">
        <v>15879.200000000003</v>
      </c>
      <c r="G511" s="1551">
        <v>22394.2</v>
      </c>
      <c r="H511" s="1551">
        <v>22394.2</v>
      </c>
      <c r="I511" s="1551">
        <v>22394.2</v>
      </c>
      <c r="J511" s="1551">
        <v>22394.2</v>
      </c>
      <c r="K511" s="75" t="s">
        <v>1332</v>
      </c>
      <c r="L511" s="74" t="s">
        <v>843</v>
      </c>
      <c r="M511" s="74">
        <v>0</v>
      </c>
      <c r="N511" s="74">
        <v>0</v>
      </c>
      <c r="O511" s="74">
        <v>1</v>
      </c>
      <c r="P511" s="74">
        <v>0</v>
      </c>
      <c r="Q511" s="74">
        <v>0</v>
      </c>
    </row>
    <row r="512" spans="1:17" ht="30" x14ac:dyDescent="0.25">
      <c r="A512" s="1283"/>
      <c r="B512" s="1301"/>
      <c r="C512" s="1301"/>
      <c r="D512" s="1301"/>
      <c r="E512" s="1222"/>
      <c r="F512" s="1551"/>
      <c r="G512" s="1551"/>
      <c r="H512" s="1551"/>
      <c r="I512" s="1551"/>
      <c r="J512" s="1551"/>
      <c r="K512" s="75" t="s">
        <v>1333</v>
      </c>
      <c r="L512" s="74" t="s">
        <v>845</v>
      </c>
      <c r="M512" s="74">
        <v>400</v>
      </c>
      <c r="N512" s="74">
        <v>400</v>
      </c>
      <c r="O512" s="74">
        <v>400</v>
      </c>
      <c r="P512" s="74">
        <v>500</v>
      </c>
      <c r="Q512" s="74">
        <v>500</v>
      </c>
    </row>
    <row r="513" spans="1:17" ht="45" x14ac:dyDescent="0.25">
      <c r="A513" s="1283"/>
      <c r="B513" s="1301"/>
      <c r="C513" s="1301"/>
      <c r="D513" s="1301"/>
      <c r="E513" s="1222"/>
      <c r="F513" s="1551"/>
      <c r="G513" s="1551"/>
      <c r="H513" s="1551"/>
      <c r="I513" s="1551"/>
      <c r="J513" s="1551"/>
      <c r="K513" s="75" t="s">
        <v>1334</v>
      </c>
      <c r="L513" s="74" t="s">
        <v>845</v>
      </c>
      <c r="M513" s="74">
        <v>250</v>
      </c>
      <c r="N513" s="74">
        <v>300</v>
      </c>
      <c r="O513" s="74">
        <v>300</v>
      </c>
      <c r="P513" s="74">
        <v>400</v>
      </c>
      <c r="Q513" s="74">
        <v>400</v>
      </c>
    </row>
    <row r="514" spans="1:17" ht="45" x14ac:dyDescent="0.25">
      <c r="A514" s="1283"/>
      <c r="B514" s="1301"/>
      <c r="C514" s="1301" t="s">
        <v>20</v>
      </c>
      <c r="D514" s="1301"/>
      <c r="E514" s="1223" t="s">
        <v>851</v>
      </c>
      <c r="F514" s="1552">
        <v>93678</v>
      </c>
      <c r="G514" s="1552">
        <v>79750</v>
      </c>
      <c r="H514" s="1552">
        <v>123969.60000000001</v>
      </c>
      <c r="I514" s="1552">
        <v>123969.60000000001</v>
      </c>
      <c r="J514" s="1552">
        <v>123969.60000000001</v>
      </c>
      <c r="K514" s="75" t="s">
        <v>1335</v>
      </c>
      <c r="L514" s="74" t="s">
        <v>14</v>
      </c>
      <c r="M514" s="74">
        <v>50</v>
      </c>
      <c r="N514" s="74">
        <v>60</v>
      </c>
      <c r="O514" s="74">
        <v>60</v>
      </c>
      <c r="P514" s="74">
        <v>70</v>
      </c>
      <c r="Q514" s="74">
        <v>80</v>
      </c>
    </row>
    <row r="515" spans="1:17" x14ac:dyDescent="0.25">
      <c r="A515" s="1283"/>
      <c r="B515" s="1301"/>
      <c r="C515" s="1301"/>
      <c r="D515" s="1301"/>
      <c r="E515" s="1207"/>
      <c r="F515" s="1552"/>
      <c r="G515" s="1552"/>
      <c r="H515" s="1552"/>
      <c r="I515" s="1552"/>
      <c r="J515" s="1552"/>
      <c r="K515" s="75" t="s">
        <v>1336</v>
      </c>
      <c r="L515" s="74" t="s">
        <v>845</v>
      </c>
      <c r="M515" s="74">
        <v>0</v>
      </c>
      <c r="N515" s="74">
        <v>0</v>
      </c>
      <c r="O515" s="74">
        <v>4</v>
      </c>
      <c r="P515" s="74">
        <v>2</v>
      </c>
      <c r="Q515" s="74">
        <v>2</v>
      </c>
    </row>
    <row r="516" spans="1:17" ht="30" x14ac:dyDescent="0.25">
      <c r="A516" s="1283"/>
      <c r="B516" s="1301"/>
      <c r="C516" s="1301"/>
      <c r="D516" s="1301"/>
      <c r="E516" s="1208"/>
      <c r="F516" s="1552"/>
      <c r="G516" s="1552"/>
      <c r="H516" s="1552"/>
      <c r="I516" s="1552"/>
      <c r="J516" s="1552"/>
      <c r="K516" s="75" t="s">
        <v>1337</v>
      </c>
      <c r="L516" s="74" t="s">
        <v>13</v>
      </c>
      <c r="M516" s="74">
        <v>2700</v>
      </c>
      <c r="N516" s="74">
        <v>2700</v>
      </c>
      <c r="O516" s="74">
        <v>2700</v>
      </c>
      <c r="P516" s="74">
        <v>2700</v>
      </c>
      <c r="Q516" s="74">
        <v>2700</v>
      </c>
    </row>
    <row r="517" spans="1:17" hidden="1" x14ac:dyDescent="0.25">
      <c r="A517" s="1283"/>
      <c r="B517" s="1313"/>
      <c r="C517" s="1313" t="s">
        <v>21</v>
      </c>
      <c r="D517" s="1313"/>
      <c r="E517" s="1223" t="s">
        <v>852</v>
      </c>
      <c r="F517" s="1553">
        <v>55848.3</v>
      </c>
      <c r="G517" s="1553">
        <v>90000</v>
      </c>
      <c r="H517" s="1553">
        <f>90000+5000</f>
        <v>95000</v>
      </c>
      <c r="I517" s="1553">
        <v>90000</v>
      </c>
      <c r="J517" s="1553">
        <v>90000</v>
      </c>
      <c r="K517" s="75"/>
      <c r="L517" s="74">
        <v>0</v>
      </c>
      <c r="M517" s="74">
        <v>0</v>
      </c>
      <c r="N517" s="74">
        <v>0</v>
      </c>
      <c r="O517" s="74">
        <v>0</v>
      </c>
      <c r="P517" s="74">
        <v>0</v>
      </c>
      <c r="Q517" s="74">
        <v>0</v>
      </c>
    </row>
    <row r="518" spans="1:17" ht="45" x14ac:dyDescent="0.25">
      <c r="A518" s="1283"/>
      <c r="B518" s="1334"/>
      <c r="C518" s="1334"/>
      <c r="D518" s="1334"/>
      <c r="E518" s="1207"/>
      <c r="F518" s="1554"/>
      <c r="G518" s="1554"/>
      <c r="H518" s="1554"/>
      <c r="I518" s="1554"/>
      <c r="J518" s="1554"/>
      <c r="K518" s="75" t="s">
        <v>1338</v>
      </c>
      <c r="L518" s="74" t="s">
        <v>14</v>
      </c>
      <c r="M518" s="74">
        <v>25</v>
      </c>
      <c r="N518" s="74">
        <v>40</v>
      </c>
      <c r="O518" s="74">
        <v>50</v>
      </c>
      <c r="P518" s="74">
        <v>60</v>
      </c>
      <c r="Q518" s="74">
        <v>70</v>
      </c>
    </row>
    <row r="519" spans="1:17" ht="45" x14ac:dyDescent="0.25">
      <c r="A519" s="1283"/>
      <c r="B519" s="1314"/>
      <c r="C519" s="1314"/>
      <c r="D519" s="1314"/>
      <c r="E519" s="1208"/>
      <c r="F519" s="1555"/>
      <c r="G519" s="1555"/>
      <c r="H519" s="1555"/>
      <c r="I519" s="1555"/>
      <c r="J519" s="1555"/>
      <c r="K519" s="75" t="s">
        <v>1339</v>
      </c>
      <c r="L519" s="74" t="s">
        <v>14</v>
      </c>
      <c r="M519" s="74">
        <v>0</v>
      </c>
      <c r="N519" s="74">
        <v>30</v>
      </c>
      <c r="O519" s="74">
        <v>50</v>
      </c>
      <c r="P519" s="74">
        <v>70</v>
      </c>
      <c r="Q519" s="74">
        <v>80</v>
      </c>
    </row>
    <row r="520" spans="1:17" ht="30" x14ac:dyDescent="0.25">
      <c r="A520" s="1283"/>
      <c r="B520" s="1301"/>
      <c r="C520" s="1301" t="s">
        <v>22</v>
      </c>
      <c r="D520" s="1301"/>
      <c r="E520" s="1222" t="s">
        <v>853</v>
      </c>
      <c r="F520" s="1549">
        <v>494193.7</v>
      </c>
      <c r="G520" s="1549">
        <v>485259.1</v>
      </c>
      <c r="H520" s="1552">
        <v>1396567.4</v>
      </c>
      <c r="I520" s="1552">
        <v>1406567.4</v>
      </c>
      <c r="J520" s="1552">
        <v>1406567.4</v>
      </c>
      <c r="K520" s="76" t="s">
        <v>854</v>
      </c>
      <c r="L520" s="74" t="s">
        <v>845</v>
      </c>
      <c r="M520" s="74">
        <v>8000</v>
      </c>
      <c r="N520" s="74">
        <v>8200</v>
      </c>
      <c r="O520" s="74">
        <v>8200</v>
      </c>
      <c r="P520" s="74">
        <v>8200</v>
      </c>
      <c r="Q520" s="74">
        <v>8200</v>
      </c>
    </row>
    <row r="521" spans="1:17" ht="45" x14ac:dyDescent="0.25">
      <c r="A521" s="1283"/>
      <c r="B521" s="1301"/>
      <c r="C521" s="1301"/>
      <c r="D521" s="1301"/>
      <c r="E521" s="1222"/>
      <c r="F521" s="1550"/>
      <c r="G521" s="1550"/>
      <c r="H521" s="1552"/>
      <c r="I521" s="1552"/>
      <c r="J521" s="1552"/>
      <c r="K521" s="76" t="s">
        <v>855</v>
      </c>
      <c r="L521" s="74" t="s">
        <v>845</v>
      </c>
      <c r="M521" s="74">
        <v>0</v>
      </c>
      <c r="N521" s="74">
        <v>6000</v>
      </c>
      <c r="O521" s="74">
        <v>7000</v>
      </c>
      <c r="P521" s="74">
        <v>7000</v>
      </c>
      <c r="Q521" s="74">
        <v>8000</v>
      </c>
    </row>
    <row r="522" spans="1:17" ht="148.15" customHeight="1" x14ac:dyDescent="0.25">
      <c r="A522" s="1283"/>
      <c r="B522" s="391" t="s">
        <v>1434</v>
      </c>
      <c r="C522" s="391"/>
      <c r="D522" s="391"/>
      <c r="E522" s="68" t="s">
        <v>941</v>
      </c>
      <c r="F522" s="566">
        <v>1045023.6000000001</v>
      </c>
      <c r="G522" s="566">
        <v>990641.9</v>
      </c>
      <c r="H522" s="566">
        <v>945018.89999999991</v>
      </c>
      <c r="I522" s="566">
        <v>936521.6</v>
      </c>
      <c r="J522" s="566">
        <v>934521.8</v>
      </c>
      <c r="K522" s="70"/>
      <c r="L522" s="74"/>
      <c r="M522" s="74"/>
      <c r="N522" s="74"/>
      <c r="O522" s="74"/>
      <c r="P522" s="74"/>
      <c r="Q522" s="74"/>
    </row>
    <row r="523" spans="1:17" ht="45" x14ac:dyDescent="0.25">
      <c r="A523" s="1283"/>
      <c r="B523" s="1313"/>
      <c r="C523" s="1313" t="s">
        <v>17</v>
      </c>
      <c r="D523" s="1313"/>
      <c r="E523" s="1223" t="s">
        <v>856</v>
      </c>
      <c r="F523" s="1553">
        <v>999606.00000000012</v>
      </c>
      <c r="G523" s="1553">
        <v>958492</v>
      </c>
      <c r="H523" s="1553">
        <v>915897.7</v>
      </c>
      <c r="I523" s="1553">
        <v>908349.4</v>
      </c>
      <c r="J523" s="1553">
        <v>906606.5</v>
      </c>
      <c r="K523" s="75" t="s">
        <v>857</v>
      </c>
      <c r="L523" s="74" t="s">
        <v>437</v>
      </c>
      <c r="M523" s="84" t="s">
        <v>858</v>
      </c>
      <c r="N523" s="84" t="s">
        <v>858</v>
      </c>
      <c r="O523" s="84" t="s">
        <v>858</v>
      </c>
      <c r="P523" s="84" t="s">
        <v>858</v>
      </c>
      <c r="Q523" s="84" t="s">
        <v>858</v>
      </c>
    </row>
    <row r="524" spans="1:17" x14ac:dyDescent="0.25">
      <c r="A524" s="1283"/>
      <c r="B524" s="1314"/>
      <c r="C524" s="1314"/>
      <c r="D524" s="1314"/>
      <c r="E524" s="1208"/>
      <c r="F524" s="1555"/>
      <c r="G524" s="1555"/>
      <c r="H524" s="1555"/>
      <c r="I524" s="1555"/>
      <c r="J524" s="1555"/>
      <c r="K524" s="75" t="s">
        <v>859</v>
      </c>
      <c r="L524" s="74" t="s">
        <v>437</v>
      </c>
      <c r="M524" s="74">
        <v>3000</v>
      </c>
      <c r="N524" s="74">
        <v>3000</v>
      </c>
      <c r="O524" s="74">
        <v>3000</v>
      </c>
      <c r="P524" s="74">
        <v>3000</v>
      </c>
      <c r="Q524" s="74">
        <v>3000</v>
      </c>
    </row>
    <row r="525" spans="1:17" x14ac:dyDescent="0.25">
      <c r="A525" s="1283"/>
      <c r="B525" s="1313"/>
      <c r="C525" s="1313" t="s">
        <v>18</v>
      </c>
      <c r="D525" s="1313"/>
      <c r="E525" s="1223" t="s">
        <v>860</v>
      </c>
      <c r="F525" s="1553">
        <v>33762.700000000004</v>
      </c>
      <c r="G525" s="1553">
        <v>20549.899999999998</v>
      </c>
      <c r="H525" s="1553">
        <v>17161.2</v>
      </c>
      <c r="I525" s="1553">
        <v>16212.2</v>
      </c>
      <c r="J525" s="1553">
        <v>15955.3</v>
      </c>
      <c r="K525" s="75" t="s">
        <v>861</v>
      </c>
      <c r="L525" s="74" t="s">
        <v>437</v>
      </c>
      <c r="M525" s="84" t="s">
        <v>862</v>
      </c>
      <c r="N525" s="84" t="s">
        <v>862</v>
      </c>
      <c r="O525" s="84" t="s">
        <v>862</v>
      </c>
      <c r="P525" s="84" t="s">
        <v>862</v>
      </c>
      <c r="Q525" s="84" t="s">
        <v>862</v>
      </c>
    </row>
    <row r="526" spans="1:17" ht="30" x14ac:dyDescent="0.25">
      <c r="A526" s="1283"/>
      <c r="B526" s="1314"/>
      <c r="C526" s="1314"/>
      <c r="D526" s="1314"/>
      <c r="E526" s="1208"/>
      <c r="F526" s="1555"/>
      <c r="G526" s="1555"/>
      <c r="H526" s="1555"/>
      <c r="I526" s="1555"/>
      <c r="J526" s="1555"/>
      <c r="K526" s="75" t="s">
        <v>863</v>
      </c>
      <c r="L526" s="74" t="s">
        <v>437</v>
      </c>
      <c r="M526" s="84" t="s">
        <v>864</v>
      </c>
      <c r="N526" s="84" t="s">
        <v>865</v>
      </c>
      <c r="O526" s="84" t="s">
        <v>865</v>
      </c>
      <c r="P526" s="84" t="s">
        <v>865</v>
      </c>
      <c r="Q526" s="84" t="s">
        <v>865</v>
      </c>
    </row>
    <row r="527" spans="1:17" ht="30" x14ac:dyDescent="0.25">
      <c r="A527" s="1283"/>
      <c r="B527" s="422"/>
      <c r="C527" s="422" t="s">
        <v>18</v>
      </c>
      <c r="D527" s="422"/>
      <c r="E527" s="75" t="s">
        <v>866</v>
      </c>
      <c r="F527" s="567">
        <v>11654.9</v>
      </c>
      <c r="G527" s="567">
        <v>11600</v>
      </c>
      <c r="H527" s="567">
        <v>11960</v>
      </c>
      <c r="I527" s="567">
        <v>11960</v>
      </c>
      <c r="J527" s="567">
        <v>11960</v>
      </c>
      <c r="K527" s="75" t="s">
        <v>867</v>
      </c>
      <c r="L527" s="74" t="s">
        <v>437</v>
      </c>
      <c r="M527" s="84" t="s">
        <v>868</v>
      </c>
      <c r="N527" s="84" t="s">
        <v>868</v>
      </c>
      <c r="O527" s="84" t="s">
        <v>868</v>
      </c>
      <c r="P527" s="84" t="s">
        <v>868</v>
      </c>
      <c r="Q527" s="84" t="s">
        <v>868</v>
      </c>
    </row>
    <row r="528" spans="1:17" ht="148.5" x14ac:dyDescent="0.25">
      <c r="A528" s="1283"/>
      <c r="B528" s="391" t="s">
        <v>902</v>
      </c>
      <c r="C528" s="391"/>
      <c r="D528" s="391"/>
      <c r="E528" s="68" t="s">
        <v>1979</v>
      </c>
      <c r="F528" s="566">
        <v>452775.1</v>
      </c>
      <c r="G528" s="566">
        <v>511964.25</v>
      </c>
      <c r="H528" s="566">
        <v>581673.70000000007</v>
      </c>
      <c r="I528" s="566">
        <v>559923.70000000007</v>
      </c>
      <c r="J528" s="566">
        <v>559923.70000000007</v>
      </c>
      <c r="K528" s="70"/>
      <c r="L528" s="74"/>
      <c r="M528" s="74"/>
      <c r="N528" s="74"/>
      <c r="O528" s="74"/>
      <c r="P528" s="74"/>
      <c r="Q528" s="74"/>
    </row>
    <row r="529" spans="1:17" x14ac:dyDescent="0.25">
      <c r="A529" s="1283"/>
      <c r="B529" s="1313"/>
      <c r="C529" s="1313" t="s">
        <v>17</v>
      </c>
      <c r="D529" s="1313"/>
      <c r="E529" s="1223" t="s">
        <v>869</v>
      </c>
      <c r="F529" s="1553">
        <v>95107.400000000009</v>
      </c>
      <c r="G529" s="1553">
        <v>118882.1</v>
      </c>
      <c r="H529" s="1553">
        <v>179382.1</v>
      </c>
      <c r="I529" s="1553">
        <v>157632.1</v>
      </c>
      <c r="J529" s="1553">
        <v>157632.1</v>
      </c>
      <c r="K529" s="77" t="s">
        <v>870</v>
      </c>
      <c r="L529" s="78" t="s">
        <v>845</v>
      </c>
      <c r="M529" s="78">
        <v>170</v>
      </c>
      <c r="N529" s="78">
        <v>210</v>
      </c>
      <c r="O529" s="78">
        <v>674</v>
      </c>
      <c r="P529" s="78">
        <v>708</v>
      </c>
      <c r="Q529" s="78">
        <v>778</v>
      </c>
    </row>
    <row r="530" spans="1:17" ht="60" x14ac:dyDescent="0.25">
      <c r="A530" s="1283"/>
      <c r="B530" s="1334"/>
      <c r="C530" s="1334"/>
      <c r="D530" s="1334"/>
      <c r="E530" s="1207"/>
      <c r="F530" s="1554"/>
      <c r="G530" s="1554"/>
      <c r="H530" s="1554"/>
      <c r="I530" s="1554"/>
      <c r="J530" s="1554"/>
      <c r="K530" s="77" t="s">
        <v>871</v>
      </c>
      <c r="L530" s="78" t="s">
        <v>14</v>
      </c>
      <c r="M530" s="78">
        <v>54.3</v>
      </c>
      <c r="N530" s="78">
        <v>60</v>
      </c>
      <c r="O530" s="78">
        <v>65</v>
      </c>
      <c r="P530" s="78">
        <v>70</v>
      </c>
      <c r="Q530" s="78">
        <v>70</v>
      </c>
    </row>
    <row r="531" spans="1:17" ht="45" x14ac:dyDescent="0.25">
      <c r="A531" s="1283"/>
      <c r="B531" s="1334"/>
      <c r="C531" s="1334"/>
      <c r="D531" s="1334"/>
      <c r="E531" s="1207"/>
      <c r="F531" s="1554"/>
      <c r="G531" s="1554"/>
      <c r="H531" s="1554"/>
      <c r="I531" s="1554"/>
      <c r="J531" s="1554"/>
      <c r="K531" s="77" t="s">
        <v>872</v>
      </c>
      <c r="L531" s="78" t="s">
        <v>873</v>
      </c>
      <c r="M531" s="78">
        <v>15.395</v>
      </c>
      <c r="N531" s="78">
        <v>16.2</v>
      </c>
      <c r="O531" s="78">
        <v>17.047999999999998</v>
      </c>
      <c r="P531" s="78">
        <v>17.818999999999999</v>
      </c>
      <c r="Q531" s="78">
        <v>18.571999999999999</v>
      </c>
    </row>
    <row r="532" spans="1:17" ht="45" x14ac:dyDescent="0.25">
      <c r="A532" s="1283"/>
      <c r="B532" s="1314"/>
      <c r="C532" s="1314"/>
      <c r="D532" s="1314"/>
      <c r="E532" s="1208"/>
      <c r="F532" s="1555"/>
      <c r="G532" s="1555"/>
      <c r="H532" s="1555"/>
      <c r="I532" s="1555"/>
      <c r="J532" s="1555"/>
      <c r="K532" s="77" t="s">
        <v>874</v>
      </c>
      <c r="L532" s="78" t="s">
        <v>873</v>
      </c>
      <c r="M532" s="78">
        <v>0</v>
      </c>
      <c r="N532" s="78">
        <v>0</v>
      </c>
      <c r="O532" s="78">
        <v>4</v>
      </c>
      <c r="P532" s="78">
        <v>0</v>
      </c>
      <c r="Q532" s="78">
        <v>0</v>
      </c>
    </row>
    <row r="533" spans="1:17" ht="45" x14ac:dyDescent="0.25">
      <c r="A533" s="1283"/>
      <c r="B533" s="1313"/>
      <c r="C533" s="1313" t="s">
        <v>18</v>
      </c>
      <c r="D533" s="1313"/>
      <c r="E533" s="1223" t="s">
        <v>875</v>
      </c>
      <c r="F533" s="1558">
        <v>21156.699999999997</v>
      </c>
      <c r="G533" s="1558">
        <v>38799.75</v>
      </c>
      <c r="H533" s="1558">
        <v>49409.200000000004</v>
      </c>
      <c r="I533" s="1558">
        <v>49409.200000000004</v>
      </c>
      <c r="J533" s="1558">
        <v>49409.200000000004</v>
      </c>
      <c r="K533" s="75" t="s">
        <v>876</v>
      </c>
      <c r="L533" s="74" t="s">
        <v>845</v>
      </c>
      <c r="M533" s="74">
        <v>601</v>
      </c>
      <c r="N533" s="74">
        <v>650</v>
      </c>
      <c r="O533" s="74">
        <v>700</v>
      </c>
      <c r="P533" s="74">
        <v>700</v>
      </c>
      <c r="Q533" s="74">
        <v>750</v>
      </c>
    </row>
    <row r="534" spans="1:17" ht="21.75" customHeight="1" x14ac:dyDescent="0.25">
      <c r="A534" s="1283"/>
      <c r="B534" s="1314"/>
      <c r="C534" s="1314"/>
      <c r="D534" s="1314"/>
      <c r="E534" s="1208"/>
      <c r="F534" s="1559"/>
      <c r="G534" s="1559"/>
      <c r="H534" s="1559"/>
      <c r="I534" s="1559"/>
      <c r="J534" s="1559"/>
      <c r="K534" s="75" t="s">
        <v>877</v>
      </c>
      <c r="L534" s="74" t="s">
        <v>873</v>
      </c>
      <c r="M534" s="74">
        <v>10</v>
      </c>
      <c r="N534" s="74">
        <v>15</v>
      </c>
      <c r="O534" s="74">
        <v>20</v>
      </c>
      <c r="P534" s="74">
        <v>22</v>
      </c>
      <c r="Q534" s="74">
        <v>24</v>
      </c>
    </row>
    <row r="535" spans="1:17" ht="60" x14ac:dyDescent="0.25">
      <c r="A535" s="1283"/>
      <c r="B535" s="1313"/>
      <c r="C535" s="1313" t="s">
        <v>16</v>
      </c>
      <c r="D535" s="1313"/>
      <c r="E535" s="1223" t="s">
        <v>878</v>
      </c>
      <c r="F535" s="1553">
        <v>336510.99999999994</v>
      </c>
      <c r="G535" s="1553">
        <v>354282.4</v>
      </c>
      <c r="H535" s="1553">
        <v>352882.4</v>
      </c>
      <c r="I535" s="1553">
        <v>352882.4</v>
      </c>
      <c r="J535" s="1553">
        <v>352882.4</v>
      </c>
      <c r="K535" s="75" t="s">
        <v>879</v>
      </c>
      <c r="L535" s="74" t="s">
        <v>14</v>
      </c>
      <c r="M535" s="74">
        <v>106.4</v>
      </c>
      <c r="N535" s="74">
        <v>107.5</v>
      </c>
      <c r="O535" s="74">
        <v>108.6</v>
      </c>
      <c r="P535" s="74">
        <v>108.6</v>
      </c>
      <c r="Q535" s="74">
        <v>109.7</v>
      </c>
    </row>
    <row r="536" spans="1:17" ht="60" x14ac:dyDescent="0.25">
      <c r="A536" s="1283"/>
      <c r="B536" s="1314"/>
      <c r="C536" s="1314"/>
      <c r="D536" s="1314"/>
      <c r="E536" s="1208"/>
      <c r="F536" s="1555"/>
      <c r="G536" s="1555"/>
      <c r="H536" s="1555"/>
      <c r="I536" s="1555"/>
      <c r="J536" s="1555"/>
      <c r="K536" s="75" t="s">
        <v>880</v>
      </c>
      <c r="L536" s="74" t="s">
        <v>14</v>
      </c>
      <c r="M536" s="84">
        <v>39.9</v>
      </c>
      <c r="N536" s="84">
        <v>38.200000000000003</v>
      </c>
      <c r="O536" s="84">
        <v>37.799999999999997</v>
      </c>
      <c r="P536" s="84">
        <v>37.4</v>
      </c>
      <c r="Q536" s="84">
        <v>37.1</v>
      </c>
    </row>
    <row r="537" spans="1:17" ht="73.5" x14ac:dyDescent="0.25">
      <c r="A537" s="1283"/>
      <c r="B537" s="391" t="s">
        <v>901</v>
      </c>
      <c r="C537" s="391"/>
      <c r="D537" s="391"/>
      <c r="E537" s="68" t="s">
        <v>1340</v>
      </c>
      <c r="F537" s="566">
        <v>2592.5000000000014</v>
      </c>
      <c r="G537" s="566">
        <v>11285.8</v>
      </c>
      <c r="H537" s="566">
        <v>10073.700000000001</v>
      </c>
      <c r="I537" s="566">
        <v>10073.700000000001</v>
      </c>
      <c r="J537" s="566">
        <v>10073.700000000001</v>
      </c>
      <c r="K537" s="70"/>
      <c r="L537" s="74"/>
      <c r="M537" s="74"/>
      <c r="N537" s="74"/>
      <c r="O537" s="74"/>
      <c r="P537" s="74"/>
      <c r="Q537" s="74"/>
    </row>
    <row r="538" spans="1:17" ht="75" x14ac:dyDescent="0.25">
      <c r="A538" s="1283"/>
      <c r="B538" s="514"/>
      <c r="C538" s="422" t="s">
        <v>17</v>
      </c>
      <c r="D538" s="422"/>
      <c r="E538" s="75" t="s">
        <v>881</v>
      </c>
      <c r="F538" s="74">
        <v>2592.5000000000014</v>
      </c>
      <c r="G538" s="565">
        <v>7863.3</v>
      </c>
      <c r="H538" s="74">
        <v>6651.2</v>
      </c>
      <c r="I538" s="74">
        <v>6651.2</v>
      </c>
      <c r="J538" s="74">
        <v>6651.2</v>
      </c>
      <c r="K538" s="75" t="s">
        <v>882</v>
      </c>
      <c r="L538" s="74" t="s">
        <v>14</v>
      </c>
      <c r="M538" s="74">
        <v>30</v>
      </c>
      <c r="N538" s="74">
        <v>30</v>
      </c>
      <c r="O538" s="74">
        <v>30</v>
      </c>
      <c r="P538" s="74">
        <v>40</v>
      </c>
      <c r="Q538" s="74">
        <v>45</v>
      </c>
    </row>
    <row r="539" spans="1:17" ht="60" x14ac:dyDescent="0.25">
      <c r="A539" s="1283"/>
      <c r="B539" s="422"/>
      <c r="C539" s="422" t="s">
        <v>18</v>
      </c>
      <c r="D539" s="422"/>
      <c r="E539" s="75" t="s">
        <v>883</v>
      </c>
      <c r="F539" s="74">
        <v>0</v>
      </c>
      <c r="G539" s="74">
        <v>3422.5</v>
      </c>
      <c r="H539" s="74">
        <v>3422.5</v>
      </c>
      <c r="I539" s="74">
        <v>3422.5</v>
      </c>
      <c r="J539" s="74">
        <v>3422.5</v>
      </c>
      <c r="K539" s="72" t="s">
        <v>884</v>
      </c>
      <c r="L539" s="74" t="s">
        <v>885</v>
      </c>
      <c r="M539" s="74">
        <v>0</v>
      </c>
      <c r="N539" s="74">
        <v>1</v>
      </c>
      <c r="O539" s="74">
        <v>1</v>
      </c>
      <c r="P539" s="74">
        <v>1</v>
      </c>
      <c r="Q539" s="74">
        <v>1</v>
      </c>
    </row>
    <row r="540" spans="1:17" x14ac:dyDescent="0.25">
      <c r="A540" s="1319" t="s">
        <v>15</v>
      </c>
      <c r="B540" s="1320"/>
      <c r="C540" s="1320"/>
      <c r="D540" s="1320"/>
      <c r="E540" s="1321"/>
      <c r="F540" s="568">
        <v>11835695.800000001</v>
      </c>
      <c r="G540" s="568">
        <v>15340789.75</v>
      </c>
      <c r="H540" s="568">
        <f>H485+H488+H503+H522+H528+H537</f>
        <v>19691232.499999996</v>
      </c>
      <c r="I540" s="568">
        <v>19806712.600000001</v>
      </c>
      <c r="J540" s="568">
        <v>20004476.5</v>
      </c>
      <c r="K540" s="487"/>
      <c r="L540" s="1322"/>
      <c r="M540" s="1322"/>
      <c r="N540" s="1322"/>
      <c r="O540" s="1322"/>
      <c r="P540" s="1322"/>
      <c r="Q540" s="1322"/>
    </row>
    <row r="541" spans="1:17" x14ac:dyDescent="0.25">
      <c r="A541" s="1331" t="s">
        <v>1984</v>
      </c>
      <c r="B541" s="1332" t="s">
        <v>35</v>
      </c>
      <c r="C541" s="1332"/>
      <c r="D541" s="1332"/>
      <c r="E541" s="1332"/>
      <c r="F541" s="1332"/>
      <c r="G541" s="1332"/>
      <c r="H541" s="1332"/>
      <c r="I541" s="1332"/>
      <c r="J541" s="1332"/>
      <c r="K541" s="1332"/>
      <c r="L541" s="1332"/>
      <c r="M541" s="1332"/>
      <c r="N541" s="1332"/>
      <c r="O541" s="1333"/>
      <c r="P541" s="486"/>
      <c r="Q541" s="486"/>
    </row>
    <row r="542" spans="1:17" ht="59.25" x14ac:dyDescent="0.25">
      <c r="A542" s="1560">
        <v>39</v>
      </c>
      <c r="B542" s="20" t="s">
        <v>8</v>
      </c>
      <c r="C542" s="20"/>
      <c r="D542" s="20"/>
      <c r="E542" s="488" t="s">
        <v>1342</v>
      </c>
      <c r="F542" s="79">
        <f>F543</f>
        <v>14840.7</v>
      </c>
      <c r="G542" s="79">
        <f t="shared" ref="G542:J542" si="52">G543</f>
        <v>23241.9</v>
      </c>
      <c r="H542" s="79">
        <f t="shared" si="52"/>
        <v>27455.599999999999</v>
      </c>
      <c r="I542" s="79">
        <f t="shared" si="52"/>
        <v>27611</v>
      </c>
      <c r="J542" s="79">
        <f t="shared" si="52"/>
        <v>27699.8</v>
      </c>
      <c r="K542" s="80"/>
      <c r="L542" s="80"/>
      <c r="M542" s="80"/>
      <c r="N542" s="80"/>
      <c r="O542" s="80"/>
      <c r="P542" s="80"/>
      <c r="Q542" s="80"/>
    </row>
    <row r="543" spans="1:17" ht="71.25" x14ac:dyDescent="0.25">
      <c r="A543" s="1561"/>
      <c r="B543" s="23"/>
      <c r="C543" s="43" t="s">
        <v>17</v>
      </c>
      <c r="D543" s="38"/>
      <c r="E543" s="489" t="s">
        <v>10</v>
      </c>
      <c r="F543" s="83">
        <v>14840.7</v>
      </c>
      <c r="G543" s="83">
        <v>23241.9</v>
      </c>
      <c r="H543" s="83">
        <v>27455.599999999999</v>
      </c>
      <c r="I543" s="83">
        <v>27611</v>
      </c>
      <c r="J543" s="83">
        <v>27699.8</v>
      </c>
      <c r="K543" s="488" t="s">
        <v>31</v>
      </c>
      <c r="L543" s="80" t="s">
        <v>14</v>
      </c>
      <c r="M543" s="490">
        <v>0.47499999999999998</v>
      </c>
      <c r="N543" s="490">
        <v>0.55000000000000004</v>
      </c>
      <c r="O543" s="490">
        <v>0.55000000000000004</v>
      </c>
      <c r="P543" s="490">
        <v>0.55000000000000004</v>
      </c>
      <c r="Q543" s="490">
        <v>0.55000000000000004</v>
      </c>
    </row>
    <row r="544" spans="1:17" ht="117" x14ac:dyDescent="0.25">
      <c r="A544" s="1561"/>
      <c r="B544" s="23" t="s">
        <v>1435</v>
      </c>
      <c r="C544" s="43"/>
      <c r="D544" s="43"/>
      <c r="E544" s="491" t="s">
        <v>908</v>
      </c>
      <c r="F544" s="80">
        <f>F545+F546</f>
        <v>27793.100000000002</v>
      </c>
      <c r="G544" s="80">
        <f t="shared" ref="G544:J544" si="53">G545+G546</f>
        <v>38036.5</v>
      </c>
      <c r="H544" s="80">
        <f t="shared" si="53"/>
        <v>41660.9</v>
      </c>
      <c r="I544" s="80">
        <f t="shared" si="53"/>
        <v>41793.5</v>
      </c>
      <c r="J544" s="80">
        <f t="shared" si="53"/>
        <v>41869.300000000003</v>
      </c>
      <c r="K544" s="492" t="s">
        <v>886</v>
      </c>
      <c r="L544" s="83"/>
      <c r="M544" s="83"/>
      <c r="N544" s="83"/>
      <c r="O544" s="83"/>
      <c r="P544" s="83"/>
      <c r="Q544" s="83"/>
    </row>
    <row r="545" spans="1:17" ht="30" x14ac:dyDescent="0.25">
      <c r="A545" s="1561"/>
      <c r="B545" s="23"/>
      <c r="C545" s="43" t="s">
        <v>17</v>
      </c>
      <c r="D545" s="43"/>
      <c r="E545" s="493" t="s">
        <v>887</v>
      </c>
      <c r="F545" s="83">
        <v>6130.7</v>
      </c>
      <c r="G545" s="83">
        <v>25642.400000000001</v>
      </c>
      <c r="H545" s="83">
        <v>11088.1</v>
      </c>
      <c r="I545" s="83">
        <v>11145.7</v>
      </c>
      <c r="J545" s="83">
        <v>11178.7</v>
      </c>
      <c r="K545" s="493" t="s">
        <v>888</v>
      </c>
      <c r="L545" s="83" t="s">
        <v>26</v>
      </c>
      <c r="M545" s="83">
        <v>1227</v>
      </c>
      <c r="N545" s="83">
        <v>1136</v>
      </c>
      <c r="O545" s="83">
        <v>1136</v>
      </c>
      <c r="P545" s="83">
        <v>1136</v>
      </c>
      <c r="Q545" s="83">
        <v>1136</v>
      </c>
    </row>
    <row r="546" spans="1:17" ht="60" x14ac:dyDescent="0.25">
      <c r="A546" s="1561"/>
      <c r="B546" s="23"/>
      <c r="C546" s="43" t="s">
        <v>18</v>
      </c>
      <c r="D546" s="43"/>
      <c r="E546" s="493" t="s">
        <v>889</v>
      </c>
      <c r="F546" s="83">
        <v>21662.400000000001</v>
      </c>
      <c r="G546" s="83">
        <v>12394.1</v>
      </c>
      <c r="H546" s="83">
        <v>30572.799999999999</v>
      </c>
      <c r="I546" s="83">
        <v>30647.8</v>
      </c>
      <c r="J546" s="83">
        <v>30690.6</v>
      </c>
      <c r="K546" s="493" t="s">
        <v>890</v>
      </c>
      <c r="L546" s="83" t="s">
        <v>14</v>
      </c>
      <c r="M546" s="83">
        <v>0</v>
      </c>
      <c r="N546" s="83">
        <v>0</v>
      </c>
      <c r="O546" s="83">
        <v>0</v>
      </c>
      <c r="P546" s="83">
        <v>0</v>
      </c>
      <c r="Q546" s="83">
        <v>0</v>
      </c>
    </row>
    <row r="547" spans="1:17" ht="102.75" x14ac:dyDescent="0.25">
      <c r="A547" s="1561"/>
      <c r="B547" s="23" t="s">
        <v>1436</v>
      </c>
      <c r="C547" s="43"/>
      <c r="D547" s="43"/>
      <c r="E547" s="491" t="s">
        <v>909</v>
      </c>
      <c r="F547" s="80">
        <v>3225.7</v>
      </c>
      <c r="G547" s="80">
        <v>3747.9</v>
      </c>
      <c r="H547" s="80">
        <f>H548</f>
        <v>9770.5</v>
      </c>
      <c r="I547" s="80">
        <v>9771.1</v>
      </c>
      <c r="J547" s="80">
        <v>9891.4</v>
      </c>
      <c r="K547" s="492" t="s">
        <v>891</v>
      </c>
      <c r="L547" s="83" t="s">
        <v>14</v>
      </c>
      <c r="M547" s="83">
        <v>1</v>
      </c>
      <c r="N547" s="494" t="s">
        <v>892</v>
      </c>
      <c r="O547" s="494" t="s">
        <v>892</v>
      </c>
      <c r="P547" s="494" t="s">
        <v>892</v>
      </c>
      <c r="Q547" s="494" t="s">
        <v>892</v>
      </c>
    </row>
    <row r="548" spans="1:17" ht="45" x14ac:dyDescent="0.25">
      <c r="A548" s="1561"/>
      <c r="B548" s="23"/>
      <c r="C548" s="43" t="s">
        <v>17</v>
      </c>
      <c r="D548" s="43"/>
      <c r="E548" s="495" t="s">
        <v>893</v>
      </c>
      <c r="F548" s="83">
        <v>3225.7</v>
      </c>
      <c r="G548" s="83">
        <v>3747.9</v>
      </c>
      <c r="H548" s="83">
        <v>9770.5</v>
      </c>
      <c r="I548" s="83">
        <v>9771.1</v>
      </c>
      <c r="J548" s="83">
        <v>9891.4</v>
      </c>
      <c r="K548" s="493" t="s">
        <v>894</v>
      </c>
      <c r="L548" s="83" t="s">
        <v>26</v>
      </c>
      <c r="M548" s="83">
        <v>446</v>
      </c>
      <c r="N548" s="83">
        <v>595</v>
      </c>
      <c r="O548" s="83">
        <v>595</v>
      </c>
      <c r="P548" s="83">
        <v>595</v>
      </c>
      <c r="Q548" s="83">
        <v>595</v>
      </c>
    </row>
    <row r="549" spans="1:17" ht="117" x14ac:dyDescent="0.25">
      <c r="A549" s="1561"/>
      <c r="B549" s="23" t="s">
        <v>1904</v>
      </c>
      <c r="C549" s="43"/>
      <c r="D549" s="43"/>
      <c r="E549" s="491" t="s">
        <v>942</v>
      </c>
      <c r="F549" s="80">
        <f>F550</f>
        <v>62871.5</v>
      </c>
      <c r="G549" s="80">
        <f>G550</f>
        <v>59447.4</v>
      </c>
      <c r="H549" s="80"/>
      <c r="I549" s="80"/>
      <c r="J549" s="80"/>
      <c r="K549" s="492" t="s">
        <v>895</v>
      </c>
      <c r="L549" s="83" t="s">
        <v>14</v>
      </c>
      <c r="M549" s="83">
        <v>0</v>
      </c>
      <c r="N549" s="83">
        <v>0</v>
      </c>
      <c r="O549" s="83">
        <v>0</v>
      </c>
      <c r="P549" s="83">
        <v>0</v>
      </c>
      <c r="Q549" s="83">
        <v>0</v>
      </c>
    </row>
    <row r="550" spans="1:17" ht="60" x14ac:dyDescent="0.25">
      <c r="A550" s="1561"/>
      <c r="B550" s="23"/>
      <c r="C550" s="43" t="s">
        <v>17</v>
      </c>
      <c r="D550" s="43"/>
      <c r="E550" s="493" t="s">
        <v>896</v>
      </c>
      <c r="F550" s="83">
        <v>62871.5</v>
      </c>
      <c r="G550" s="83">
        <v>59447.4</v>
      </c>
      <c r="H550" s="83"/>
      <c r="I550" s="83"/>
      <c r="J550" s="83"/>
      <c r="K550" s="493" t="s">
        <v>897</v>
      </c>
      <c r="L550" s="83" t="s">
        <v>14</v>
      </c>
      <c r="M550" s="83">
        <v>0</v>
      </c>
      <c r="N550" s="83">
        <v>0</v>
      </c>
      <c r="O550" s="83">
        <v>0</v>
      </c>
      <c r="P550" s="83">
        <v>0</v>
      </c>
      <c r="Q550" s="83">
        <v>0</v>
      </c>
    </row>
    <row r="551" spans="1:17" x14ac:dyDescent="0.25">
      <c r="A551" s="1319" t="s">
        <v>15</v>
      </c>
      <c r="B551" s="1320"/>
      <c r="C551" s="1320"/>
      <c r="D551" s="1320"/>
      <c r="E551" s="1321"/>
      <c r="F551" s="517">
        <f>F542+F544+F547+F549</f>
        <v>108731</v>
      </c>
      <c r="G551" s="517">
        <f t="shared" ref="G551:J551" si="54">G542+G544+G547+G549</f>
        <v>124473.70000000001</v>
      </c>
      <c r="H551" s="517">
        <f t="shared" si="54"/>
        <v>78887</v>
      </c>
      <c r="I551" s="517">
        <f t="shared" si="54"/>
        <v>79175.600000000006</v>
      </c>
      <c r="J551" s="517">
        <f t="shared" si="54"/>
        <v>79460.5</v>
      </c>
      <c r="K551" s="487"/>
      <c r="L551" s="1322"/>
      <c r="M551" s="1322"/>
      <c r="N551" s="1322"/>
      <c r="O551" s="1322"/>
      <c r="P551" s="1322"/>
      <c r="Q551" s="1322"/>
    </row>
    <row r="552" spans="1:17" x14ac:dyDescent="0.25">
      <c r="A552" s="1315" t="s">
        <v>1985</v>
      </c>
      <c r="B552" s="1316"/>
      <c r="C552" s="1316"/>
      <c r="D552" s="1316"/>
      <c r="E552" s="1316"/>
      <c r="F552" s="1316"/>
      <c r="G552" s="1316"/>
      <c r="H552" s="1316"/>
      <c r="I552" s="1316"/>
      <c r="J552" s="1316"/>
      <c r="K552" s="1316"/>
      <c r="L552" s="1316"/>
      <c r="M552" s="1316"/>
      <c r="N552" s="1316"/>
      <c r="O552" s="1316"/>
      <c r="P552" s="1316"/>
      <c r="Q552" s="1316"/>
    </row>
    <row r="553" spans="1:17" ht="42.75" x14ac:dyDescent="0.25">
      <c r="A553" s="1317">
        <v>40</v>
      </c>
      <c r="B553" s="780" t="s">
        <v>1444</v>
      </c>
      <c r="C553" s="781"/>
      <c r="D553" s="782"/>
      <c r="E553" s="783" t="s">
        <v>1445</v>
      </c>
      <c r="F553" s="784">
        <v>739.4</v>
      </c>
      <c r="G553" s="784">
        <v>500</v>
      </c>
      <c r="H553" s="784">
        <f>H554</f>
        <v>739.4</v>
      </c>
      <c r="I553" s="784">
        <f>I554</f>
        <v>739.4</v>
      </c>
      <c r="J553" s="784">
        <f>J554</f>
        <v>739.4</v>
      </c>
      <c r="K553" s="785" t="s">
        <v>235</v>
      </c>
      <c r="L553" s="785" t="s">
        <v>235</v>
      </c>
      <c r="M553" s="785" t="s">
        <v>235</v>
      </c>
      <c r="N553" s="785" t="s">
        <v>235</v>
      </c>
      <c r="O553" s="785" t="s">
        <v>235</v>
      </c>
      <c r="P553" s="785" t="s">
        <v>235</v>
      </c>
      <c r="Q553" s="785" t="s">
        <v>235</v>
      </c>
    </row>
    <row r="554" spans="1:17" ht="75" x14ac:dyDescent="0.25">
      <c r="A554" s="1318"/>
      <c r="B554" s="786"/>
      <c r="C554" s="787" t="s">
        <v>17</v>
      </c>
      <c r="D554" s="788"/>
      <c r="E554" s="789" t="s">
        <v>1446</v>
      </c>
      <c r="F554" s="578">
        <v>739.4</v>
      </c>
      <c r="G554" s="578">
        <v>500</v>
      </c>
      <c r="H554" s="578">
        <v>739.4</v>
      </c>
      <c r="I554" s="578">
        <v>739.4</v>
      </c>
      <c r="J554" s="578">
        <v>739.4</v>
      </c>
      <c r="K554" s="789" t="s">
        <v>1447</v>
      </c>
      <c r="L554" s="790" t="s">
        <v>14</v>
      </c>
      <c r="M554" s="791">
        <v>99.86</v>
      </c>
      <c r="N554" s="791">
        <v>100</v>
      </c>
      <c r="O554" s="791">
        <v>100</v>
      </c>
      <c r="P554" s="791">
        <v>100</v>
      </c>
      <c r="Q554" s="791">
        <v>100</v>
      </c>
    </row>
    <row r="555" spans="1:17" x14ac:dyDescent="0.25">
      <c r="A555" s="1319" t="s">
        <v>15</v>
      </c>
      <c r="B555" s="1320"/>
      <c r="C555" s="1320"/>
      <c r="D555" s="1320"/>
      <c r="E555" s="1321"/>
      <c r="F555" s="792">
        <f>F553</f>
        <v>739.4</v>
      </c>
      <c r="G555" s="792">
        <f>G553</f>
        <v>500</v>
      </c>
      <c r="H555" s="792">
        <f>H553</f>
        <v>739.4</v>
      </c>
      <c r="I555" s="792">
        <f>I553</f>
        <v>739.4</v>
      </c>
      <c r="J555" s="792">
        <f>J553</f>
        <v>739.4</v>
      </c>
      <c r="K555" s="487"/>
      <c r="L555" s="1322"/>
      <c r="M555" s="1322"/>
      <c r="N555" s="1322"/>
      <c r="O555" s="1322"/>
      <c r="P555" s="1322"/>
      <c r="Q555" s="1322"/>
    </row>
    <row r="556" spans="1:17" x14ac:dyDescent="0.25">
      <c r="A556" s="1113" t="s">
        <v>1448</v>
      </c>
      <c r="B556" s="1113" t="s">
        <v>35</v>
      </c>
      <c r="C556" s="1113"/>
      <c r="D556" s="1113"/>
      <c r="E556" s="1113"/>
      <c r="F556" s="1113"/>
      <c r="G556" s="1113"/>
      <c r="H556" s="1113"/>
      <c r="I556" s="1113"/>
      <c r="J556" s="1113"/>
      <c r="K556" s="1113"/>
      <c r="L556" s="1113"/>
      <c r="M556" s="1113"/>
      <c r="N556" s="1113"/>
      <c r="O556" s="1113"/>
      <c r="P556" s="793"/>
      <c r="Q556" s="793"/>
    </row>
    <row r="557" spans="1:17" ht="57" x14ac:dyDescent="0.25">
      <c r="A557" s="763" t="s">
        <v>197</v>
      </c>
      <c r="B557" s="763" t="s">
        <v>17</v>
      </c>
      <c r="C557" s="763"/>
      <c r="D557" s="763"/>
      <c r="E557" s="394" t="s">
        <v>1449</v>
      </c>
      <c r="F557" s="41">
        <v>0</v>
      </c>
      <c r="G557" s="41">
        <v>0</v>
      </c>
      <c r="H557" s="41">
        <v>198073.9</v>
      </c>
      <c r="I557" s="41">
        <v>198073.9</v>
      </c>
      <c r="J557" s="41">
        <v>198551</v>
      </c>
      <c r="K557" s="42" t="s">
        <v>1079</v>
      </c>
      <c r="L557" s="40" t="s">
        <v>14</v>
      </c>
      <c r="M557" s="41">
        <v>88.1</v>
      </c>
      <c r="N557" s="41">
        <v>88.2</v>
      </c>
      <c r="O557" s="41">
        <v>88.5</v>
      </c>
      <c r="P557" s="41">
        <v>88.5</v>
      </c>
      <c r="Q557" s="41">
        <v>88.5</v>
      </c>
    </row>
    <row r="558" spans="1:17" ht="60" x14ac:dyDescent="0.25">
      <c r="A558" s="1323"/>
      <c r="B558" s="1323"/>
      <c r="C558" s="1323" t="s">
        <v>17</v>
      </c>
      <c r="D558" s="1323"/>
      <c r="E558" s="1324" t="s">
        <v>1450</v>
      </c>
      <c r="F558" s="1325">
        <v>0</v>
      </c>
      <c r="G558" s="1325">
        <v>0</v>
      </c>
      <c r="H558" s="1325">
        <v>62896.4</v>
      </c>
      <c r="I558" s="1325">
        <v>62896.4</v>
      </c>
      <c r="J558" s="1325">
        <v>63373.5</v>
      </c>
      <c r="K558" s="141" t="s">
        <v>1080</v>
      </c>
      <c r="L558" s="44" t="s">
        <v>14</v>
      </c>
      <c r="M558" s="410">
        <v>52</v>
      </c>
      <c r="N558" s="410">
        <v>70</v>
      </c>
      <c r="O558" s="410">
        <v>75</v>
      </c>
      <c r="P558" s="410">
        <v>80</v>
      </c>
      <c r="Q558" s="410">
        <v>85</v>
      </c>
    </row>
    <row r="559" spans="1:17" ht="75" x14ac:dyDescent="0.25">
      <c r="A559" s="1323"/>
      <c r="B559" s="1323"/>
      <c r="C559" s="1323"/>
      <c r="D559" s="1323"/>
      <c r="E559" s="1324"/>
      <c r="F559" s="1325"/>
      <c r="G559" s="1325"/>
      <c r="H559" s="1325"/>
      <c r="I559" s="1325"/>
      <c r="J559" s="1325"/>
      <c r="K559" s="141" t="s">
        <v>1451</v>
      </c>
      <c r="L559" s="44" t="s">
        <v>14</v>
      </c>
      <c r="M559" s="19">
        <v>35</v>
      </c>
      <c r="N559" s="19">
        <v>75</v>
      </c>
      <c r="O559" s="410">
        <v>80</v>
      </c>
      <c r="P559" s="410">
        <v>85</v>
      </c>
      <c r="Q559" s="410">
        <v>90</v>
      </c>
    </row>
    <row r="560" spans="1:17" ht="45" x14ac:dyDescent="0.25">
      <c r="A560" s="1323"/>
      <c r="B560" s="1323"/>
      <c r="C560" s="1323"/>
      <c r="D560" s="1323"/>
      <c r="E560" s="1324"/>
      <c r="F560" s="1325"/>
      <c r="G560" s="1325"/>
      <c r="H560" s="1325"/>
      <c r="I560" s="1325"/>
      <c r="J560" s="1325"/>
      <c r="K560" s="141" t="s">
        <v>1452</v>
      </c>
      <c r="L560" s="117" t="s">
        <v>14</v>
      </c>
      <c r="M560" s="117">
        <v>58</v>
      </c>
      <c r="N560" s="117">
        <v>70</v>
      </c>
      <c r="O560" s="410">
        <v>80</v>
      </c>
      <c r="P560" s="410">
        <v>90</v>
      </c>
      <c r="Q560" s="410">
        <v>100</v>
      </c>
    </row>
    <row r="561" spans="1:17" x14ac:dyDescent="0.25">
      <c r="A561" s="161" t="s">
        <v>197</v>
      </c>
      <c r="B561" s="161" t="s">
        <v>1453</v>
      </c>
      <c r="C561" s="700"/>
      <c r="D561" s="700"/>
      <c r="E561" s="42" t="s">
        <v>1454</v>
      </c>
      <c r="F561" s="41">
        <v>0</v>
      </c>
      <c r="G561" s="41">
        <v>0</v>
      </c>
      <c r="H561" s="41">
        <v>135177.5</v>
      </c>
      <c r="I561" s="41">
        <v>135177.5</v>
      </c>
      <c r="J561" s="41">
        <v>135177.5</v>
      </c>
      <c r="K561" s="42"/>
      <c r="L561" s="39"/>
      <c r="M561" s="794"/>
      <c r="N561" s="794"/>
      <c r="O561" s="794"/>
      <c r="P561" s="794"/>
      <c r="Q561" s="794"/>
    </row>
    <row r="562" spans="1:17" x14ac:dyDescent="0.25">
      <c r="A562" s="700"/>
      <c r="B562" s="700"/>
      <c r="C562" s="700" t="s">
        <v>17</v>
      </c>
      <c r="D562" s="700"/>
      <c r="E562" s="140" t="s">
        <v>1986</v>
      </c>
      <c r="F562" s="44">
        <v>0</v>
      </c>
      <c r="G562" s="44">
        <v>0</v>
      </c>
      <c r="H562" s="44">
        <v>135177.5</v>
      </c>
      <c r="I562" s="44">
        <v>135177.5</v>
      </c>
      <c r="J562" s="44">
        <v>135177.5</v>
      </c>
      <c r="K562" s="140"/>
      <c r="L562" s="111"/>
      <c r="M562" s="795"/>
      <c r="N562" s="795"/>
      <c r="O562" s="795"/>
      <c r="P562" s="795"/>
      <c r="Q562" s="795"/>
    </row>
    <row r="563" spans="1:17" ht="128.25" x14ac:dyDescent="0.25">
      <c r="A563" s="99">
        <v>42</v>
      </c>
      <c r="B563" s="38" t="s">
        <v>1455</v>
      </c>
      <c r="C563" s="38"/>
      <c r="D563" s="99"/>
      <c r="E563" s="202" t="s">
        <v>1456</v>
      </c>
      <c r="F563" s="41">
        <v>0</v>
      </c>
      <c r="G563" s="41">
        <v>0</v>
      </c>
      <c r="H563" s="41">
        <v>104279.5</v>
      </c>
      <c r="I563" s="41">
        <v>109521.59999999999</v>
      </c>
      <c r="J563" s="41">
        <v>109760.59999999999</v>
      </c>
      <c r="K563" s="502" t="s">
        <v>1457</v>
      </c>
      <c r="L563" s="395" t="s">
        <v>564</v>
      </c>
      <c r="M563" s="40" t="s">
        <v>1458</v>
      </c>
      <c r="N563" s="40" t="s">
        <v>1459</v>
      </c>
      <c r="O563" s="40" t="s">
        <v>1460</v>
      </c>
      <c r="P563" s="40" t="s">
        <v>1461</v>
      </c>
      <c r="Q563" s="40" t="s">
        <v>1462</v>
      </c>
    </row>
    <row r="564" spans="1:17" ht="60" x14ac:dyDescent="0.25">
      <c r="A564" s="138"/>
      <c r="B564" s="729"/>
      <c r="C564" s="729" t="s">
        <v>17</v>
      </c>
      <c r="D564" s="729"/>
      <c r="E564" s="796" t="s">
        <v>1463</v>
      </c>
      <c r="F564" s="535">
        <v>0</v>
      </c>
      <c r="G564" s="535">
        <v>0</v>
      </c>
      <c r="H564" s="535">
        <v>23670.5</v>
      </c>
      <c r="I564" s="535">
        <v>23912.6</v>
      </c>
      <c r="J564" s="535">
        <v>24151.599999999999</v>
      </c>
      <c r="K564" s="474" t="s">
        <v>1464</v>
      </c>
      <c r="L564" s="397" t="s">
        <v>564</v>
      </c>
      <c r="M564" s="397">
        <v>47</v>
      </c>
      <c r="N564" s="397">
        <v>36</v>
      </c>
      <c r="O564" s="397">
        <v>40</v>
      </c>
      <c r="P564" s="397">
        <v>45</v>
      </c>
      <c r="Q564" s="397">
        <v>59</v>
      </c>
    </row>
    <row r="565" spans="1:17" ht="45" x14ac:dyDescent="0.25">
      <c r="A565" s="117"/>
      <c r="B565" s="43"/>
      <c r="C565" s="43" t="s">
        <v>18</v>
      </c>
      <c r="D565" s="43"/>
      <c r="E565" s="682" t="s">
        <v>1465</v>
      </c>
      <c r="F565" s="46">
        <v>0</v>
      </c>
      <c r="G565" s="46">
        <v>0</v>
      </c>
      <c r="H565" s="46">
        <v>39305</v>
      </c>
      <c r="I565" s="46">
        <v>44305.2</v>
      </c>
      <c r="J565" s="46">
        <v>44305.2</v>
      </c>
      <c r="K565" s="141" t="s">
        <v>1466</v>
      </c>
      <c r="L565" s="122" t="s">
        <v>564</v>
      </c>
      <c r="M565" s="122">
        <v>0</v>
      </c>
      <c r="N565" s="19">
        <v>164</v>
      </c>
      <c r="O565" s="19">
        <v>205</v>
      </c>
      <c r="P565" s="19">
        <v>243</v>
      </c>
      <c r="Q565" s="19">
        <v>268</v>
      </c>
    </row>
    <row r="566" spans="1:17" ht="60" x14ac:dyDescent="0.25">
      <c r="A566" s="117"/>
      <c r="B566" s="43"/>
      <c r="C566" s="43" t="s">
        <v>16</v>
      </c>
      <c r="D566" s="43"/>
      <c r="E566" s="126" t="s">
        <v>1467</v>
      </c>
      <c r="F566" s="46">
        <v>0</v>
      </c>
      <c r="G566" s="46">
        <v>0</v>
      </c>
      <c r="H566" s="46">
        <v>41304</v>
      </c>
      <c r="I566" s="46">
        <v>41303.800000000003</v>
      </c>
      <c r="J566" s="46">
        <v>41303.800000000003</v>
      </c>
      <c r="K566" s="141" t="s">
        <v>1468</v>
      </c>
      <c r="L566" s="122" t="s">
        <v>564</v>
      </c>
      <c r="M566" s="19" t="s">
        <v>1469</v>
      </c>
      <c r="N566" s="19" t="s">
        <v>1470</v>
      </c>
      <c r="O566" s="19" t="s">
        <v>1471</v>
      </c>
      <c r="P566" s="19" t="s">
        <v>1472</v>
      </c>
      <c r="Q566" s="19" t="s">
        <v>1473</v>
      </c>
    </row>
    <row r="567" spans="1:17" x14ac:dyDescent="0.25">
      <c r="A567" s="1319" t="s">
        <v>15</v>
      </c>
      <c r="B567" s="1320"/>
      <c r="C567" s="1320"/>
      <c r="D567" s="1320"/>
      <c r="E567" s="1321"/>
      <c r="F567" s="792">
        <v>0</v>
      </c>
      <c r="G567" s="792">
        <v>0</v>
      </c>
      <c r="H567" s="63">
        <v>302353.40000000002</v>
      </c>
      <c r="I567" s="63">
        <v>307595.5</v>
      </c>
      <c r="J567" s="63">
        <v>308311.59999999998</v>
      </c>
      <c r="K567" s="487"/>
      <c r="L567" s="1322"/>
      <c r="M567" s="1322"/>
      <c r="N567" s="1322"/>
      <c r="O567" s="1322"/>
      <c r="P567" s="1322"/>
      <c r="Q567" s="1322"/>
    </row>
    <row r="568" spans="1:17" x14ac:dyDescent="0.25">
      <c r="A568" s="1113" t="s">
        <v>1987</v>
      </c>
      <c r="B568" s="1113" t="s">
        <v>35</v>
      </c>
      <c r="C568" s="1113"/>
      <c r="D568" s="1113"/>
      <c r="E568" s="1113"/>
      <c r="F568" s="1113"/>
      <c r="G568" s="1113"/>
      <c r="H568" s="1113"/>
      <c r="I568" s="1113"/>
      <c r="J568" s="1113"/>
      <c r="K568" s="1113"/>
      <c r="L568" s="1113"/>
      <c r="M568" s="1113"/>
      <c r="N568" s="1113"/>
      <c r="O568" s="1113"/>
      <c r="P568" s="793"/>
      <c r="Q568" s="793"/>
    </row>
    <row r="569" spans="1:17" ht="59.25" x14ac:dyDescent="0.25">
      <c r="A569" s="1115" t="s">
        <v>804</v>
      </c>
      <c r="B569" s="23" t="s">
        <v>8</v>
      </c>
      <c r="C569" s="22"/>
      <c r="D569" s="22"/>
      <c r="E569" s="491" t="s">
        <v>1474</v>
      </c>
      <c r="F569" s="352">
        <v>93053.9</v>
      </c>
      <c r="G569" s="352">
        <v>163799.1</v>
      </c>
      <c r="H569" s="352">
        <v>273784.2</v>
      </c>
      <c r="I569" s="352">
        <v>246197.7</v>
      </c>
      <c r="J569" s="352">
        <v>250718.09999999998</v>
      </c>
      <c r="K569" s="495" t="s">
        <v>1475</v>
      </c>
      <c r="L569" s="270" t="s">
        <v>33</v>
      </c>
      <c r="M569" s="270">
        <v>42.7</v>
      </c>
      <c r="N569" s="790">
        <v>55</v>
      </c>
      <c r="O569" s="790">
        <v>60</v>
      </c>
      <c r="P569" s="790">
        <v>65</v>
      </c>
      <c r="Q569" s="790">
        <v>65</v>
      </c>
    </row>
    <row r="570" spans="1:17" ht="30" x14ac:dyDescent="0.25">
      <c r="A570" s="1116"/>
      <c r="B570" s="22"/>
      <c r="C570" s="22" t="s">
        <v>17</v>
      </c>
      <c r="D570" s="22"/>
      <c r="E570" s="489" t="s">
        <v>10</v>
      </c>
      <c r="F570" s="83">
        <v>52089.599999999999</v>
      </c>
      <c r="G570" s="83">
        <v>50598.8</v>
      </c>
      <c r="H570" s="83">
        <v>84236.800000000003</v>
      </c>
      <c r="I570" s="83">
        <v>56650.3</v>
      </c>
      <c r="J570" s="83">
        <v>57170.7</v>
      </c>
      <c r="K570" s="493" t="s">
        <v>235</v>
      </c>
      <c r="L570" s="493"/>
      <c r="M570" s="493"/>
      <c r="N570" s="493"/>
      <c r="O570" s="493"/>
      <c r="P570" s="493"/>
      <c r="Q570" s="493"/>
    </row>
    <row r="571" spans="1:17" x14ac:dyDescent="0.25">
      <c r="A571" s="1116"/>
      <c r="B571" s="22"/>
      <c r="C571" s="22" t="s">
        <v>18</v>
      </c>
      <c r="D571" s="22"/>
      <c r="E571" s="489" t="s">
        <v>11</v>
      </c>
      <c r="F571" s="83">
        <v>40964.300000000003</v>
      </c>
      <c r="G571" s="83">
        <v>113200.3</v>
      </c>
      <c r="H571" s="83">
        <v>189547.4</v>
      </c>
      <c r="I571" s="83">
        <v>189547.4</v>
      </c>
      <c r="J571" s="83">
        <v>193547.4</v>
      </c>
      <c r="K571" s="493"/>
      <c r="L571" s="493"/>
      <c r="M571" s="493"/>
      <c r="N571" s="493"/>
      <c r="O571" s="493"/>
      <c r="P571" s="493"/>
      <c r="Q571" s="493"/>
    </row>
    <row r="572" spans="1:17" ht="132.75" x14ac:dyDescent="0.25">
      <c r="A572" s="1116"/>
      <c r="B572" s="23" t="s">
        <v>1476</v>
      </c>
      <c r="C572" s="22"/>
      <c r="D572" s="22"/>
      <c r="E572" s="491" t="s">
        <v>1477</v>
      </c>
      <c r="F572" s="352">
        <v>1578506.3</v>
      </c>
      <c r="G572" s="352">
        <v>1698149.2999999998</v>
      </c>
      <c r="H572" s="80">
        <f>H573+H580+H581+H584+H587+H590</f>
        <v>3107038.3000000003</v>
      </c>
      <c r="I572" s="80">
        <v>3135404.5000000005</v>
      </c>
      <c r="J572" s="80">
        <v>3163320.0000000005</v>
      </c>
      <c r="K572" s="495" t="s">
        <v>1478</v>
      </c>
      <c r="L572" s="270" t="s">
        <v>14</v>
      </c>
      <c r="M572" s="270">
        <v>20</v>
      </c>
      <c r="N572" s="790">
        <v>30</v>
      </c>
      <c r="O572" s="790">
        <v>35</v>
      </c>
      <c r="P572" s="790">
        <v>37</v>
      </c>
      <c r="Q572" s="790">
        <v>40</v>
      </c>
    </row>
    <row r="573" spans="1:17" ht="45" x14ac:dyDescent="0.25">
      <c r="A573" s="1116"/>
      <c r="B573" s="1099"/>
      <c r="C573" s="1098" t="s">
        <v>17</v>
      </c>
      <c r="D573" s="1098"/>
      <c r="E573" s="1097" t="s">
        <v>1479</v>
      </c>
      <c r="F573" s="1096">
        <v>984867.20000000007</v>
      </c>
      <c r="G573" s="1096">
        <v>1218587.7</v>
      </c>
      <c r="H573" s="1096">
        <f>1175493.7+967875.2+115974.7+4000</f>
        <v>2263343.6</v>
      </c>
      <c r="I573" s="1096">
        <v>2283363.4</v>
      </c>
      <c r="J573" s="1096">
        <v>2303041.2000000002</v>
      </c>
      <c r="K573" s="493" t="s">
        <v>1480</v>
      </c>
      <c r="L573" s="270" t="s">
        <v>1481</v>
      </c>
      <c r="M573" s="270">
        <v>368.255</v>
      </c>
      <c r="N573" s="790">
        <v>800</v>
      </c>
      <c r="O573" s="790">
        <v>820</v>
      </c>
      <c r="P573" s="790">
        <v>850</v>
      </c>
      <c r="Q573" s="790">
        <v>900</v>
      </c>
    </row>
    <row r="574" spans="1:17" ht="45" x14ac:dyDescent="0.25">
      <c r="A574" s="1116"/>
      <c r="B574" s="1099"/>
      <c r="C574" s="1098"/>
      <c r="D574" s="1098"/>
      <c r="E574" s="1097"/>
      <c r="F574" s="1096"/>
      <c r="G574" s="1096"/>
      <c r="H574" s="1096"/>
      <c r="I574" s="1096"/>
      <c r="J574" s="1096"/>
      <c r="K574" s="493" t="s">
        <v>1482</v>
      </c>
      <c r="L574" s="270" t="s">
        <v>12</v>
      </c>
      <c r="M574" s="270">
        <v>1165</v>
      </c>
      <c r="N574" s="790">
        <v>2000</v>
      </c>
      <c r="O574" s="790">
        <v>2100</v>
      </c>
      <c r="P574" s="790">
        <v>2200</v>
      </c>
      <c r="Q574" s="790">
        <v>2300</v>
      </c>
    </row>
    <row r="575" spans="1:17" ht="30" x14ac:dyDescent="0.25">
      <c r="A575" s="1116"/>
      <c r="B575" s="1099"/>
      <c r="C575" s="1098"/>
      <c r="D575" s="1098"/>
      <c r="E575" s="1097"/>
      <c r="F575" s="1096"/>
      <c r="G575" s="1096"/>
      <c r="H575" s="1096"/>
      <c r="I575" s="1096"/>
      <c r="J575" s="1096"/>
      <c r="K575" s="493" t="s">
        <v>1483</v>
      </c>
      <c r="L575" s="270" t="s">
        <v>1481</v>
      </c>
      <c r="M575" s="797">
        <v>6654.4</v>
      </c>
      <c r="N575" s="797">
        <v>6654.9</v>
      </c>
      <c r="O575" s="797">
        <v>6655.4</v>
      </c>
      <c r="P575" s="797">
        <v>6655.9</v>
      </c>
      <c r="Q575" s="797">
        <v>6656.4</v>
      </c>
    </row>
    <row r="576" spans="1:17" ht="30" x14ac:dyDescent="0.25">
      <c r="A576" s="1116"/>
      <c r="B576" s="1099"/>
      <c r="C576" s="1098"/>
      <c r="D576" s="1098"/>
      <c r="E576" s="1097"/>
      <c r="F576" s="1096"/>
      <c r="G576" s="1096"/>
      <c r="H576" s="1096"/>
      <c r="I576" s="1096"/>
      <c r="J576" s="1096"/>
      <c r="K576" s="493" t="s">
        <v>1484</v>
      </c>
      <c r="L576" s="83" t="s">
        <v>25</v>
      </c>
      <c r="M576" s="83">
        <v>462</v>
      </c>
      <c r="N576" s="759">
        <v>500</v>
      </c>
      <c r="O576" s="759">
        <v>550</v>
      </c>
      <c r="P576" s="759">
        <v>600</v>
      </c>
      <c r="Q576" s="759">
        <v>650</v>
      </c>
    </row>
    <row r="577" spans="1:17" x14ac:dyDescent="0.25">
      <c r="A577" s="1116"/>
      <c r="B577" s="1099"/>
      <c r="C577" s="1098"/>
      <c r="D577" s="1098"/>
      <c r="E577" s="1097"/>
      <c r="F577" s="1096"/>
      <c r="G577" s="1096"/>
      <c r="H577" s="1096"/>
      <c r="I577" s="1096"/>
      <c r="J577" s="1096"/>
      <c r="K577" s="1312" t="s">
        <v>1485</v>
      </c>
      <c r="L577" s="1096" t="s">
        <v>12</v>
      </c>
      <c r="M577" s="1096">
        <v>34767</v>
      </c>
      <c r="N577" s="1096">
        <v>34823</v>
      </c>
      <c r="O577" s="1096">
        <v>34878</v>
      </c>
      <c r="P577" s="1096">
        <v>34928</v>
      </c>
      <c r="Q577" s="1096">
        <v>34978</v>
      </c>
    </row>
    <row r="578" spans="1:17" x14ac:dyDescent="0.25">
      <c r="A578" s="1116"/>
      <c r="B578" s="1099"/>
      <c r="C578" s="1098"/>
      <c r="D578" s="1098"/>
      <c r="E578" s="1097"/>
      <c r="F578" s="1096"/>
      <c r="G578" s="1096"/>
      <c r="H578" s="1096"/>
      <c r="I578" s="1096"/>
      <c r="J578" s="1096"/>
      <c r="K578" s="1312"/>
      <c r="L578" s="1096"/>
      <c r="M578" s="1096"/>
      <c r="N578" s="1096"/>
      <c r="O578" s="1096"/>
      <c r="P578" s="1096"/>
      <c r="Q578" s="1096"/>
    </row>
    <row r="579" spans="1:17" ht="45" x14ac:dyDescent="0.25">
      <c r="A579" s="1116"/>
      <c r="B579" s="1099"/>
      <c r="C579" s="1098"/>
      <c r="D579" s="1098"/>
      <c r="E579" s="1097"/>
      <c r="F579" s="1096"/>
      <c r="G579" s="1096"/>
      <c r="H579" s="1096"/>
      <c r="I579" s="1096"/>
      <c r="J579" s="1096"/>
      <c r="K579" s="493" t="s">
        <v>1486</v>
      </c>
      <c r="L579" s="83" t="s">
        <v>1487</v>
      </c>
      <c r="M579" s="83">
        <v>12</v>
      </c>
      <c r="N579" s="83">
        <v>13</v>
      </c>
      <c r="O579" s="83">
        <v>14</v>
      </c>
      <c r="P579" s="83">
        <v>15</v>
      </c>
      <c r="Q579" s="83">
        <v>15</v>
      </c>
    </row>
    <row r="580" spans="1:17" ht="45" hidden="1" x14ac:dyDescent="0.25">
      <c r="A580" s="1116"/>
      <c r="B580" s="556"/>
      <c r="C580" s="340"/>
      <c r="D580" s="1098"/>
      <c r="E580" s="495"/>
      <c r="F580" s="83">
        <v>0</v>
      </c>
      <c r="G580" s="83">
        <v>4000</v>
      </c>
      <c r="H580" s="83">
        <v>4000</v>
      </c>
      <c r="I580" s="83">
        <v>4000</v>
      </c>
      <c r="J580" s="83">
        <v>4000</v>
      </c>
      <c r="K580" s="493" t="s">
        <v>1486</v>
      </c>
      <c r="L580" s="83" t="s">
        <v>1487</v>
      </c>
      <c r="M580" s="790">
        <v>12</v>
      </c>
      <c r="N580" s="790">
        <v>13</v>
      </c>
      <c r="O580" s="790">
        <v>14</v>
      </c>
      <c r="P580" s="790">
        <v>15</v>
      </c>
      <c r="Q580" s="790">
        <v>15</v>
      </c>
    </row>
    <row r="581" spans="1:17" ht="60" x14ac:dyDescent="0.25">
      <c r="A581" s="1116"/>
      <c r="B581" s="1098"/>
      <c r="C581" s="1098" t="s">
        <v>18</v>
      </c>
      <c r="D581" s="1098"/>
      <c r="E581" s="1097" t="s">
        <v>1488</v>
      </c>
      <c r="F581" s="1286">
        <v>2947.5</v>
      </c>
      <c r="G581" s="1286">
        <v>1998.5</v>
      </c>
      <c r="H581" s="1286">
        <v>15234.6</v>
      </c>
      <c r="I581" s="1286">
        <v>15234.6</v>
      </c>
      <c r="J581" s="1286">
        <v>15234.6</v>
      </c>
      <c r="K581" s="493" t="s">
        <v>1489</v>
      </c>
      <c r="L581" s="83" t="s">
        <v>14</v>
      </c>
      <c r="M581" s="83">
        <v>5</v>
      </c>
      <c r="N581" s="759">
        <v>10</v>
      </c>
      <c r="O581" s="759">
        <v>15</v>
      </c>
      <c r="P581" s="759">
        <v>20</v>
      </c>
      <c r="Q581" s="759">
        <v>25</v>
      </c>
    </row>
    <row r="582" spans="1:17" ht="60" x14ac:dyDescent="0.25">
      <c r="A582" s="1116"/>
      <c r="B582" s="1098"/>
      <c r="C582" s="1098"/>
      <c r="D582" s="1098"/>
      <c r="E582" s="1097"/>
      <c r="F582" s="1308"/>
      <c r="G582" s="1308"/>
      <c r="H582" s="1308"/>
      <c r="I582" s="1308"/>
      <c r="J582" s="1308"/>
      <c r="K582" s="493" t="s">
        <v>1490</v>
      </c>
      <c r="L582" s="83" t="s">
        <v>14</v>
      </c>
      <c r="M582" s="83">
        <v>2</v>
      </c>
      <c r="N582" s="759">
        <v>2</v>
      </c>
      <c r="O582" s="759">
        <v>3</v>
      </c>
      <c r="P582" s="759">
        <v>5</v>
      </c>
      <c r="Q582" s="759">
        <v>6</v>
      </c>
    </row>
    <row r="583" spans="1:17" ht="60" x14ac:dyDescent="0.25">
      <c r="A583" s="1116"/>
      <c r="B583" s="1098"/>
      <c r="C583" s="1098"/>
      <c r="D583" s="1098"/>
      <c r="E583" s="1097"/>
      <c r="F583" s="1287"/>
      <c r="G583" s="1287"/>
      <c r="H583" s="1287"/>
      <c r="I583" s="1287"/>
      <c r="J583" s="1287"/>
      <c r="K583" s="493" t="s">
        <v>1491</v>
      </c>
      <c r="L583" s="83" t="s">
        <v>14</v>
      </c>
      <c r="M583" s="83">
        <v>4</v>
      </c>
      <c r="N583" s="759">
        <v>4</v>
      </c>
      <c r="O583" s="759">
        <v>8</v>
      </c>
      <c r="P583" s="759">
        <v>12</v>
      </c>
      <c r="Q583" s="759">
        <v>15</v>
      </c>
    </row>
    <row r="584" spans="1:17" ht="45" x14ac:dyDescent="0.25">
      <c r="A584" s="1116"/>
      <c r="B584" s="1098"/>
      <c r="C584" s="1236" t="s">
        <v>16</v>
      </c>
      <c r="D584" s="1098"/>
      <c r="E584" s="1097" t="s">
        <v>1492</v>
      </c>
      <c r="F584" s="1286">
        <v>87659</v>
      </c>
      <c r="G584" s="1286">
        <v>85156.2</v>
      </c>
      <c r="H584" s="1286">
        <v>316214.2</v>
      </c>
      <c r="I584" s="1286">
        <v>319369.40000000002</v>
      </c>
      <c r="J584" s="1286">
        <v>322483.3</v>
      </c>
      <c r="K584" s="493" t="s">
        <v>1493</v>
      </c>
      <c r="L584" s="83" t="s">
        <v>14</v>
      </c>
      <c r="M584" s="83">
        <v>27</v>
      </c>
      <c r="N584" s="759">
        <v>27</v>
      </c>
      <c r="O584" s="759">
        <v>28</v>
      </c>
      <c r="P584" s="759">
        <v>29</v>
      </c>
      <c r="Q584" s="759">
        <v>30</v>
      </c>
    </row>
    <row r="585" spans="1:17" ht="75" x14ac:dyDescent="0.25">
      <c r="A585" s="1116"/>
      <c r="B585" s="1098"/>
      <c r="C585" s="1236"/>
      <c r="D585" s="1098"/>
      <c r="E585" s="1097"/>
      <c r="F585" s="1308"/>
      <c r="G585" s="1308"/>
      <c r="H585" s="1308"/>
      <c r="I585" s="1308"/>
      <c r="J585" s="1308"/>
      <c r="K585" s="493" t="s">
        <v>1494</v>
      </c>
      <c r="L585" s="83" t="s">
        <v>12</v>
      </c>
      <c r="M585" s="83">
        <v>7</v>
      </c>
      <c r="N585" s="759">
        <v>9</v>
      </c>
      <c r="O585" s="759">
        <v>7</v>
      </c>
      <c r="P585" s="759">
        <v>7</v>
      </c>
      <c r="Q585" s="759">
        <v>7</v>
      </c>
    </row>
    <row r="586" spans="1:17" ht="75" x14ac:dyDescent="0.25">
      <c r="A586" s="1116"/>
      <c r="B586" s="1098"/>
      <c r="C586" s="1236"/>
      <c r="D586" s="1098"/>
      <c r="E586" s="1097"/>
      <c r="F586" s="1287"/>
      <c r="G586" s="1287"/>
      <c r="H586" s="1287"/>
      <c r="I586" s="1287"/>
      <c r="J586" s="1287"/>
      <c r="K586" s="493" t="s">
        <v>1495</v>
      </c>
      <c r="L586" s="83" t="s">
        <v>14</v>
      </c>
      <c r="M586" s="83">
        <v>8</v>
      </c>
      <c r="N586" s="759">
        <v>10</v>
      </c>
      <c r="O586" s="759">
        <v>12</v>
      </c>
      <c r="P586" s="759">
        <v>13</v>
      </c>
      <c r="Q586" s="759">
        <v>14</v>
      </c>
    </row>
    <row r="587" spans="1:17" ht="120" x14ac:dyDescent="0.25">
      <c r="A587" s="1116"/>
      <c r="B587" s="1098"/>
      <c r="C587" s="1098" t="s">
        <v>19</v>
      </c>
      <c r="D587" s="1098"/>
      <c r="E587" s="1097" t="s">
        <v>1496</v>
      </c>
      <c r="F587" s="1286">
        <v>482831.9</v>
      </c>
      <c r="G587" s="1286">
        <v>368206.2</v>
      </c>
      <c r="H587" s="1286">
        <v>478481.10000000003</v>
      </c>
      <c r="I587" s="1286">
        <v>483367.9</v>
      </c>
      <c r="J587" s="1286">
        <v>488191.2</v>
      </c>
      <c r="K587" s="493" t="s">
        <v>1988</v>
      </c>
      <c r="L587" s="270" t="s">
        <v>12</v>
      </c>
      <c r="M587" s="270">
        <v>60</v>
      </c>
      <c r="N587" s="790">
        <v>70</v>
      </c>
      <c r="O587" s="790">
        <v>100</v>
      </c>
      <c r="P587" s="790">
        <v>120</v>
      </c>
      <c r="Q587" s="790">
        <v>130</v>
      </c>
    </row>
    <row r="588" spans="1:17" ht="75" x14ac:dyDescent="0.25">
      <c r="A588" s="1116"/>
      <c r="B588" s="1098"/>
      <c r="C588" s="1098"/>
      <c r="D588" s="1098"/>
      <c r="E588" s="1097"/>
      <c r="F588" s="1308"/>
      <c r="G588" s="1308"/>
      <c r="H588" s="1308"/>
      <c r="I588" s="1308"/>
      <c r="J588" s="1308"/>
      <c r="K588" s="493" t="s">
        <v>1497</v>
      </c>
      <c r="L588" s="270" t="s">
        <v>12</v>
      </c>
      <c r="M588" s="270">
        <v>20</v>
      </c>
      <c r="N588" s="790">
        <v>40</v>
      </c>
      <c r="O588" s="790">
        <v>50</v>
      </c>
      <c r="P588" s="790">
        <v>55</v>
      </c>
      <c r="Q588" s="790">
        <v>60</v>
      </c>
    </row>
    <row r="589" spans="1:17" ht="60" x14ac:dyDescent="0.25">
      <c r="A589" s="1116"/>
      <c r="B589" s="1098"/>
      <c r="C589" s="1098"/>
      <c r="D589" s="1098"/>
      <c r="E589" s="1097"/>
      <c r="F589" s="1287"/>
      <c r="G589" s="1287"/>
      <c r="H589" s="1287"/>
      <c r="I589" s="1287"/>
      <c r="J589" s="1287"/>
      <c r="K589" s="493" t="s">
        <v>1498</v>
      </c>
      <c r="L589" s="270" t="s">
        <v>14</v>
      </c>
      <c r="M589" s="270">
        <v>7</v>
      </c>
      <c r="N589" s="790">
        <v>12</v>
      </c>
      <c r="O589" s="790">
        <v>15</v>
      </c>
      <c r="P589" s="790">
        <v>17</v>
      </c>
      <c r="Q589" s="790">
        <v>20</v>
      </c>
    </row>
    <row r="590" spans="1:17" ht="60" x14ac:dyDescent="0.25">
      <c r="A590" s="1116"/>
      <c r="B590" s="43"/>
      <c r="C590" s="43" t="s">
        <v>20</v>
      </c>
      <c r="D590" s="43"/>
      <c r="E590" s="579" t="s">
        <v>1499</v>
      </c>
      <c r="F590" s="83">
        <v>20200.7</v>
      </c>
      <c r="G590" s="83">
        <v>20200.7</v>
      </c>
      <c r="H590" s="83">
        <v>29764.799999999999</v>
      </c>
      <c r="I590" s="83">
        <v>30069.200000000001</v>
      </c>
      <c r="J590" s="83">
        <v>30369.7</v>
      </c>
      <c r="K590" s="493" t="s">
        <v>1500</v>
      </c>
      <c r="L590" s="83" t="s">
        <v>25</v>
      </c>
      <c r="M590" s="83">
        <v>65520</v>
      </c>
      <c r="N590" s="759">
        <v>65600</v>
      </c>
      <c r="O590" s="759">
        <v>65680</v>
      </c>
      <c r="P590" s="759">
        <v>65780</v>
      </c>
      <c r="Q590" s="759">
        <v>65920</v>
      </c>
    </row>
    <row r="591" spans="1:17" ht="60" x14ac:dyDescent="0.25">
      <c r="A591" s="1116"/>
      <c r="B591" s="1115" t="s">
        <v>1501</v>
      </c>
      <c r="C591" s="1118"/>
      <c r="D591" s="1118"/>
      <c r="E591" s="1311" t="s">
        <v>1502</v>
      </c>
      <c r="F591" s="1238">
        <v>799082.3</v>
      </c>
      <c r="G591" s="1238">
        <v>804154.6</v>
      </c>
      <c r="H591" s="1291">
        <v>1394628.7879999997</v>
      </c>
      <c r="I591" s="1291">
        <v>1408268.6879999996</v>
      </c>
      <c r="J591" s="1291">
        <v>1421731.0879999995</v>
      </c>
      <c r="K591" s="493" t="s">
        <v>1503</v>
      </c>
      <c r="L591" s="83" t="s">
        <v>12</v>
      </c>
      <c r="M591" s="83">
        <v>39</v>
      </c>
      <c r="N591" s="759">
        <v>128</v>
      </c>
      <c r="O591" s="759">
        <v>204</v>
      </c>
      <c r="P591" s="759">
        <v>255</v>
      </c>
      <c r="Q591" s="759">
        <v>382</v>
      </c>
    </row>
    <row r="592" spans="1:17" ht="45" x14ac:dyDescent="0.25">
      <c r="A592" s="1116"/>
      <c r="B592" s="1117"/>
      <c r="C592" s="1119"/>
      <c r="D592" s="1119"/>
      <c r="E592" s="1311"/>
      <c r="F592" s="1239"/>
      <c r="G592" s="1239"/>
      <c r="H592" s="1291"/>
      <c r="I592" s="1291"/>
      <c r="J592" s="1291"/>
      <c r="K592" s="493" t="s">
        <v>1504</v>
      </c>
      <c r="L592" s="83" t="s">
        <v>14</v>
      </c>
      <c r="M592" s="83">
        <v>10</v>
      </c>
      <c r="N592" s="759">
        <v>12</v>
      </c>
      <c r="O592" s="759">
        <v>13</v>
      </c>
      <c r="P592" s="759">
        <v>14</v>
      </c>
      <c r="Q592" s="759">
        <v>15</v>
      </c>
    </row>
    <row r="593" spans="1:17" ht="75" x14ac:dyDescent="0.25">
      <c r="A593" s="1116"/>
      <c r="B593" s="1098"/>
      <c r="C593" s="1098" t="s">
        <v>17</v>
      </c>
      <c r="D593" s="1098"/>
      <c r="E593" s="1312" t="s">
        <v>1505</v>
      </c>
      <c r="F593" s="1286">
        <v>787325</v>
      </c>
      <c r="G593" s="1286">
        <v>788368</v>
      </c>
      <c r="H593" s="1286">
        <v>1373840.4</v>
      </c>
      <c r="I593" s="1286">
        <v>1388159.2879999997</v>
      </c>
      <c r="J593" s="1286">
        <v>1399621.6879999996</v>
      </c>
      <c r="K593" s="493" t="s">
        <v>1506</v>
      </c>
      <c r="L593" s="83" t="s">
        <v>14</v>
      </c>
      <c r="M593" s="83">
        <v>5</v>
      </c>
      <c r="N593" s="759">
        <v>5.2</v>
      </c>
      <c r="O593" s="759">
        <v>5.5</v>
      </c>
      <c r="P593" s="759">
        <v>5.7</v>
      </c>
      <c r="Q593" s="759">
        <v>6</v>
      </c>
    </row>
    <row r="594" spans="1:17" ht="60" x14ac:dyDescent="0.25">
      <c r="A594" s="1116"/>
      <c r="B594" s="1098"/>
      <c r="C594" s="1098"/>
      <c r="D594" s="1098"/>
      <c r="E594" s="1312"/>
      <c r="F594" s="1287"/>
      <c r="G594" s="1287"/>
      <c r="H594" s="1287"/>
      <c r="I594" s="1287"/>
      <c r="J594" s="1287"/>
      <c r="K594" s="493" t="s">
        <v>1507</v>
      </c>
      <c r="L594" s="83" t="s">
        <v>14</v>
      </c>
      <c r="M594" s="83">
        <v>0.1</v>
      </c>
      <c r="N594" s="759">
        <v>0.3</v>
      </c>
      <c r="O594" s="759">
        <v>0.5</v>
      </c>
      <c r="P594" s="759">
        <v>0.6</v>
      </c>
      <c r="Q594" s="759">
        <v>0.8</v>
      </c>
    </row>
    <row r="595" spans="1:17" ht="30" x14ac:dyDescent="0.25">
      <c r="A595" s="1116"/>
      <c r="B595" s="22"/>
      <c r="C595" s="22" t="s">
        <v>18</v>
      </c>
      <c r="D595" s="22"/>
      <c r="E595" s="579" t="s">
        <v>1508</v>
      </c>
      <c r="F595" s="83">
        <v>11757.3</v>
      </c>
      <c r="G595" s="83">
        <v>15786.6</v>
      </c>
      <c r="H595" s="83">
        <v>20788.400000000001</v>
      </c>
      <c r="I595" s="83">
        <v>20109.400000000001</v>
      </c>
      <c r="J595" s="83">
        <v>22109.4</v>
      </c>
      <c r="K595" s="798"/>
      <c r="L595" s="798"/>
      <c r="M595" s="798"/>
      <c r="N595" s="798"/>
      <c r="O595" s="798"/>
      <c r="P595" s="798"/>
      <c r="Q595" s="798"/>
    </row>
    <row r="596" spans="1:17" ht="44.25" x14ac:dyDescent="0.25">
      <c r="A596" s="1116"/>
      <c r="B596" s="38" t="s">
        <v>1509</v>
      </c>
      <c r="C596" s="22"/>
      <c r="D596" s="22"/>
      <c r="E596" s="491" t="s">
        <v>1510</v>
      </c>
      <c r="F596" s="80">
        <v>958676.4</v>
      </c>
      <c r="G596" s="80">
        <v>975900.2</v>
      </c>
      <c r="H596" s="80">
        <f>1451469.3+250000</f>
        <v>1701469.3</v>
      </c>
      <c r="I596" s="80">
        <v>1466204.9000000001</v>
      </c>
      <c r="J596" s="80">
        <v>1480748.7000000002</v>
      </c>
      <c r="K596" s="495"/>
      <c r="L596" s="270"/>
      <c r="M596" s="270"/>
      <c r="N596" s="790"/>
      <c r="O596" s="790"/>
      <c r="P596" s="790"/>
      <c r="Q596" s="790"/>
    </row>
    <row r="597" spans="1:17" ht="60" x14ac:dyDescent="0.25">
      <c r="A597" s="1116"/>
      <c r="B597" s="1236"/>
      <c r="C597" s="1098" t="s">
        <v>17</v>
      </c>
      <c r="D597" s="1098"/>
      <c r="E597" s="1309" t="s">
        <v>1511</v>
      </c>
      <c r="F597" s="1286">
        <v>958676.4</v>
      </c>
      <c r="G597" s="1286">
        <v>975900.20000000007</v>
      </c>
      <c r="H597" s="1096">
        <f>1451469.3+250000</f>
        <v>1701469.3</v>
      </c>
      <c r="I597" s="1096">
        <v>1466204.9000000001</v>
      </c>
      <c r="J597" s="1096">
        <v>1480748.7000000002</v>
      </c>
      <c r="K597" s="496" t="s">
        <v>1512</v>
      </c>
      <c r="L597" s="83" t="s">
        <v>1487</v>
      </c>
      <c r="M597" s="83">
        <v>1201</v>
      </c>
      <c r="N597" s="83">
        <v>1300</v>
      </c>
      <c r="O597" s="83">
        <v>1400</v>
      </c>
      <c r="P597" s="83">
        <v>1400</v>
      </c>
      <c r="Q597" s="83">
        <v>1400</v>
      </c>
    </row>
    <row r="598" spans="1:17" ht="30" x14ac:dyDescent="0.25">
      <c r="A598" s="1116"/>
      <c r="B598" s="1236"/>
      <c r="C598" s="1098"/>
      <c r="D598" s="1098"/>
      <c r="E598" s="1309"/>
      <c r="F598" s="1287"/>
      <c r="G598" s="1287"/>
      <c r="H598" s="1096"/>
      <c r="I598" s="1096"/>
      <c r="J598" s="1096"/>
      <c r="K598" s="495" t="s">
        <v>1513</v>
      </c>
      <c r="L598" s="270" t="s">
        <v>1487</v>
      </c>
      <c r="M598" s="790">
        <v>420</v>
      </c>
      <c r="N598" s="790">
        <v>460</v>
      </c>
      <c r="O598" s="790">
        <v>480</v>
      </c>
      <c r="P598" s="790">
        <v>495</v>
      </c>
      <c r="Q598" s="790">
        <v>520</v>
      </c>
    </row>
    <row r="599" spans="1:17" ht="59.25" x14ac:dyDescent="0.25">
      <c r="A599" s="1116"/>
      <c r="B599" s="38" t="s">
        <v>1514</v>
      </c>
      <c r="C599" s="22"/>
      <c r="D599" s="22"/>
      <c r="E599" s="799" t="s">
        <v>1515</v>
      </c>
      <c r="F599" s="80">
        <v>5334.2</v>
      </c>
      <c r="G599" s="80">
        <v>39947</v>
      </c>
      <c r="H599" s="80">
        <v>40708.6</v>
      </c>
      <c r="I599" s="80">
        <v>41125</v>
      </c>
      <c r="J599" s="80">
        <v>41536</v>
      </c>
      <c r="K599" s="799"/>
      <c r="L599" s="83"/>
      <c r="M599" s="790"/>
      <c r="N599" s="790"/>
      <c r="O599" s="790"/>
      <c r="P599" s="790"/>
      <c r="Q599" s="790"/>
    </row>
    <row r="600" spans="1:17" ht="60" x14ac:dyDescent="0.25">
      <c r="A600" s="1116"/>
      <c r="B600" s="1098"/>
      <c r="C600" s="1098" t="s">
        <v>17</v>
      </c>
      <c r="D600" s="1303"/>
      <c r="E600" s="1304" t="s">
        <v>1516</v>
      </c>
      <c r="F600" s="1305">
        <v>5334.2</v>
      </c>
      <c r="G600" s="1286">
        <v>39947</v>
      </c>
      <c r="H600" s="1096">
        <v>40708.6</v>
      </c>
      <c r="I600" s="1096">
        <v>41125</v>
      </c>
      <c r="J600" s="1096">
        <v>41536</v>
      </c>
      <c r="K600" s="789" t="s">
        <v>1517</v>
      </c>
      <c r="L600" s="83" t="s">
        <v>873</v>
      </c>
      <c r="M600" s="790">
        <v>0</v>
      </c>
      <c r="N600" s="790">
        <v>3700</v>
      </c>
      <c r="O600" s="790">
        <v>3900</v>
      </c>
      <c r="P600" s="790">
        <v>4100</v>
      </c>
      <c r="Q600" s="759">
        <v>4300</v>
      </c>
    </row>
    <row r="601" spans="1:17" ht="30" x14ac:dyDescent="0.25">
      <c r="A601" s="1116"/>
      <c r="B601" s="1098"/>
      <c r="C601" s="1098"/>
      <c r="D601" s="1303"/>
      <c r="E601" s="1304"/>
      <c r="F601" s="1306"/>
      <c r="G601" s="1308"/>
      <c r="H601" s="1096"/>
      <c r="I601" s="1096"/>
      <c r="J601" s="1096"/>
      <c r="K601" s="789" t="s">
        <v>1518</v>
      </c>
      <c r="L601" s="83" t="s">
        <v>14</v>
      </c>
      <c r="M601" s="790">
        <v>0</v>
      </c>
      <c r="N601" s="790">
        <v>4</v>
      </c>
      <c r="O601" s="790">
        <v>4.0999999999999996</v>
      </c>
      <c r="P601" s="790">
        <v>4.2</v>
      </c>
      <c r="Q601" s="759">
        <v>4.3</v>
      </c>
    </row>
    <row r="602" spans="1:17" ht="45" x14ac:dyDescent="0.25">
      <c r="A602" s="1116"/>
      <c r="B602" s="1098"/>
      <c r="C602" s="1098"/>
      <c r="D602" s="1303"/>
      <c r="E602" s="1304"/>
      <c r="F602" s="1306"/>
      <c r="G602" s="1308"/>
      <c r="H602" s="1096"/>
      <c r="I602" s="1096"/>
      <c r="J602" s="1096"/>
      <c r="K602" s="789" t="s">
        <v>1519</v>
      </c>
      <c r="L602" s="83" t="s">
        <v>1520</v>
      </c>
      <c r="M602" s="790">
        <v>0</v>
      </c>
      <c r="N602" s="790">
        <v>142.80000000000001</v>
      </c>
      <c r="O602" s="790">
        <v>143.1</v>
      </c>
      <c r="P602" s="790">
        <v>143.30000000000001</v>
      </c>
      <c r="Q602" s="759">
        <v>143.5</v>
      </c>
    </row>
    <row r="603" spans="1:17" ht="30" x14ac:dyDescent="0.25">
      <c r="A603" s="1117"/>
      <c r="B603" s="1098"/>
      <c r="C603" s="1098"/>
      <c r="D603" s="1303"/>
      <c r="E603" s="1304"/>
      <c r="F603" s="1307"/>
      <c r="G603" s="1287"/>
      <c r="H603" s="1096"/>
      <c r="I603" s="1096"/>
      <c r="J603" s="1096"/>
      <c r="K603" s="789" t="s">
        <v>1521</v>
      </c>
      <c r="L603" s="83" t="s">
        <v>1522</v>
      </c>
      <c r="M603" s="790">
        <v>0</v>
      </c>
      <c r="N603" s="790">
        <v>14820.8</v>
      </c>
      <c r="O603" s="790" t="s">
        <v>1523</v>
      </c>
      <c r="P603" s="790" t="s">
        <v>1524</v>
      </c>
      <c r="Q603" s="759" t="s">
        <v>1525</v>
      </c>
    </row>
    <row r="604" spans="1:17" x14ac:dyDescent="0.25">
      <c r="A604" s="1295" t="s">
        <v>15</v>
      </c>
      <c r="B604" s="1296"/>
      <c r="C604" s="1296"/>
      <c r="D604" s="1296"/>
      <c r="E604" s="1297"/>
      <c r="F604" s="109">
        <f>F569+F572+F591+F596+F599</f>
        <v>3434653.1</v>
      </c>
      <c r="G604" s="109">
        <f>G569+G572+G591+G596+G599</f>
        <v>3681950.2</v>
      </c>
      <c r="H604" s="109">
        <f>H569+H572+H591+H596+H599</f>
        <v>6517629.1880000001</v>
      </c>
      <c r="I604" s="109">
        <v>6297200.7879999997</v>
      </c>
      <c r="J604" s="109">
        <v>6358053.8880000003</v>
      </c>
      <c r="K604" s="497"/>
      <c r="L604" s="109"/>
      <c r="M604" s="109"/>
      <c r="N604" s="498"/>
      <c r="O604" s="498"/>
      <c r="P604" s="498"/>
      <c r="Q604" s="801"/>
    </row>
    <row r="605" spans="1:17" x14ac:dyDescent="0.25">
      <c r="A605" s="1132" t="s">
        <v>1989</v>
      </c>
      <c r="B605" s="1132" t="s">
        <v>35</v>
      </c>
      <c r="C605" s="1132"/>
      <c r="D605" s="1132"/>
      <c r="E605" s="1132"/>
      <c r="F605" s="1132"/>
      <c r="G605" s="1132"/>
      <c r="H605" s="1132"/>
      <c r="I605" s="1132"/>
      <c r="J605" s="1132"/>
      <c r="K605" s="1132"/>
      <c r="L605" s="1132"/>
      <c r="M605" s="1132"/>
      <c r="N605" s="1132"/>
      <c r="O605" s="1132"/>
      <c r="P605" s="802"/>
      <c r="Q605" s="802"/>
    </row>
    <row r="606" spans="1:17" ht="59.25" x14ac:dyDescent="0.25">
      <c r="A606" s="1298" t="s">
        <v>812</v>
      </c>
      <c r="B606" s="803" t="s">
        <v>8</v>
      </c>
      <c r="C606" s="803"/>
      <c r="D606" s="803"/>
      <c r="E606" s="68" t="s">
        <v>1301</v>
      </c>
      <c r="F606" s="81">
        <f>F607</f>
        <v>129171.63</v>
      </c>
      <c r="G606" s="81">
        <f t="shared" ref="G606:J606" si="55">G607</f>
        <v>129171.63</v>
      </c>
      <c r="H606" s="81">
        <f t="shared" si="55"/>
        <v>150977.60000000001</v>
      </c>
      <c r="I606" s="81">
        <f t="shared" si="55"/>
        <v>152487.37600000002</v>
      </c>
      <c r="J606" s="81">
        <f t="shared" si="55"/>
        <v>154012.24976000001</v>
      </c>
      <c r="K606" s="804" t="s">
        <v>9</v>
      </c>
      <c r="L606" s="805" t="s">
        <v>1526</v>
      </c>
      <c r="M606" s="110">
        <v>48.8</v>
      </c>
      <c r="N606" s="110">
        <v>44.1</v>
      </c>
      <c r="O606" s="110">
        <v>50</v>
      </c>
      <c r="P606" s="110">
        <v>50</v>
      </c>
      <c r="Q606" s="110">
        <v>50</v>
      </c>
    </row>
    <row r="607" spans="1:17" ht="30" x14ac:dyDescent="0.25">
      <c r="A607" s="1299"/>
      <c r="B607" s="806"/>
      <c r="C607" s="806" t="s">
        <v>17</v>
      </c>
      <c r="D607" s="803"/>
      <c r="E607" s="579" t="s">
        <v>10</v>
      </c>
      <c r="F607" s="82">
        <v>129171.63</v>
      </c>
      <c r="G607" s="83">
        <v>129171.63</v>
      </c>
      <c r="H607" s="83">
        <v>150977.60000000001</v>
      </c>
      <c r="I607" s="83">
        <v>152487.37600000002</v>
      </c>
      <c r="J607" s="84">
        <v>154012.24976000001</v>
      </c>
      <c r="K607" s="807" t="s">
        <v>9</v>
      </c>
      <c r="L607" s="808" t="s">
        <v>1526</v>
      </c>
      <c r="M607" s="808">
        <v>48.8</v>
      </c>
      <c r="N607" s="808">
        <v>44.1</v>
      </c>
      <c r="O607" s="808">
        <v>50</v>
      </c>
      <c r="P607" s="808">
        <v>50</v>
      </c>
      <c r="Q607" s="808">
        <v>50</v>
      </c>
    </row>
    <row r="608" spans="1:17" ht="87.6" customHeight="1" x14ac:dyDescent="0.25">
      <c r="A608" s="1299"/>
      <c r="B608" s="803" t="s">
        <v>1527</v>
      </c>
      <c r="C608" s="806"/>
      <c r="D608" s="806"/>
      <c r="E608" s="68" t="s">
        <v>1528</v>
      </c>
      <c r="F608" s="81">
        <f>F609+F611+F612</f>
        <v>1373639.9</v>
      </c>
      <c r="G608" s="81">
        <f t="shared" ref="G608:J608" si="56">G609+G611+G612</f>
        <v>922824.1</v>
      </c>
      <c r="H608" s="81">
        <f t="shared" si="56"/>
        <v>2099330.1</v>
      </c>
      <c r="I608" s="81">
        <f t="shared" si="56"/>
        <v>3368743.2930000001</v>
      </c>
      <c r="J608" s="81">
        <f t="shared" si="56"/>
        <v>3325128.1349300002</v>
      </c>
      <c r="K608" s="804" t="s">
        <v>1529</v>
      </c>
      <c r="L608" s="805" t="s">
        <v>14</v>
      </c>
      <c r="M608" s="110" t="s">
        <v>1530</v>
      </c>
      <c r="N608" s="110" t="s">
        <v>1531</v>
      </c>
      <c r="O608" s="110" t="s">
        <v>28</v>
      </c>
      <c r="P608" s="110" t="s">
        <v>28</v>
      </c>
      <c r="Q608" s="110" t="s">
        <v>28</v>
      </c>
    </row>
    <row r="609" spans="1:17" ht="60" x14ac:dyDescent="0.25">
      <c r="A609" s="1299"/>
      <c r="B609" s="1300"/>
      <c r="C609" s="1300" t="s">
        <v>17</v>
      </c>
      <c r="D609" s="1300"/>
      <c r="E609" s="1222" t="s">
        <v>1532</v>
      </c>
      <c r="F609" s="1294">
        <v>15211.4</v>
      </c>
      <c r="G609" s="1096">
        <v>15407.7</v>
      </c>
      <c r="H609" s="1292">
        <v>17732.3</v>
      </c>
      <c r="I609" s="1292">
        <v>20694.192999999999</v>
      </c>
      <c r="J609" s="1292">
        <v>20901.13493</v>
      </c>
      <c r="K609" s="807" t="s">
        <v>1533</v>
      </c>
      <c r="L609" s="808" t="s">
        <v>967</v>
      </c>
      <c r="M609" s="790">
        <v>1393</v>
      </c>
      <c r="N609" s="790">
        <v>2300</v>
      </c>
      <c r="O609" s="790">
        <v>2500</v>
      </c>
      <c r="P609" s="790">
        <v>2500</v>
      </c>
      <c r="Q609" s="790">
        <v>2500</v>
      </c>
    </row>
    <row r="610" spans="1:17" ht="30" x14ac:dyDescent="0.25">
      <c r="A610" s="1299"/>
      <c r="B610" s="1300"/>
      <c r="C610" s="1300"/>
      <c r="D610" s="1300"/>
      <c r="E610" s="1222"/>
      <c r="F610" s="1294"/>
      <c r="G610" s="1096"/>
      <c r="H610" s="1292"/>
      <c r="I610" s="1292"/>
      <c r="J610" s="1292"/>
      <c r="K610" s="807" t="s">
        <v>1534</v>
      </c>
      <c r="L610" s="808" t="s">
        <v>14</v>
      </c>
      <c r="M610" s="790" t="s">
        <v>1535</v>
      </c>
      <c r="N610" s="790" t="s">
        <v>1536</v>
      </c>
      <c r="O610" s="790" t="s">
        <v>1536</v>
      </c>
      <c r="P610" s="790" t="s">
        <v>1536</v>
      </c>
      <c r="Q610" s="790" t="s">
        <v>1536</v>
      </c>
    </row>
    <row r="611" spans="1:17" ht="45" x14ac:dyDescent="0.25">
      <c r="A611" s="1299"/>
      <c r="B611" s="806"/>
      <c r="C611" s="806" t="s">
        <v>18</v>
      </c>
      <c r="D611" s="803"/>
      <c r="E611" s="75" t="s">
        <v>1990</v>
      </c>
      <c r="F611" s="809">
        <v>1343255</v>
      </c>
      <c r="G611" s="83">
        <v>728248</v>
      </c>
      <c r="H611" s="84">
        <v>1901333.7</v>
      </c>
      <c r="I611" s="84">
        <v>3165997.5</v>
      </c>
      <c r="J611" s="84">
        <v>3120370</v>
      </c>
      <c r="K611" s="489" t="s">
        <v>1537</v>
      </c>
      <c r="L611" s="808" t="s">
        <v>14</v>
      </c>
      <c r="M611" s="83">
        <v>100</v>
      </c>
      <c r="N611" s="83">
        <v>92</v>
      </c>
      <c r="O611" s="83">
        <v>95</v>
      </c>
      <c r="P611" s="83">
        <v>95</v>
      </c>
      <c r="Q611" s="83">
        <v>95</v>
      </c>
    </row>
    <row r="612" spans="1:17" ht="60" x14ac:dyDescent="0.25">
      <c r="A612" s="1299"/>
      <c r="B612" s="806"/>
      <c r="C612" s="806" t="s">
        <v>16</v>
      </c>
      <c r="D612" s="803"/>
      <c r="E612" s="73" t="s">
        <v>1538</v>
      </c>
      <c r="F612" s="809">
        <v>15173.5</v>
      </c>
      <c r="G612" s="83">
        <v>179168.4</v>
      </c>
      <c r="H612" s="84">
        <f>35940.7+144323.4</f>
        <v>180264.09999999998</v>
      </c>
      <c r="I612" s="84">
        <v>182051.6</v>
      </c>
      <c r="J612" s="84">
        <v>183857</v>
      </c>
      <c r="K612" s="489" t="s">
        <v>1539</v>
      </c>
      <c r="L612" s="808" t="s">
        <v>1540</v>
      </c>
      <c r="M612" s="270">
        <v>7</v>
      </c>
      <c r="N612" s="270">
        <v>9</v>
      </c>
      <c r="O612" s="270">
        <v>10</v>
      </c>
      <c r="P612" s="270">
        <v>10</v>
      </c>
      <c r="Q612" s="270">
        <v>10</v>
      </c>
    </row>
    <row r="613" spans="1:17" ht="134.25" x14ac:dyDescent="0.25">
      <c r="A613" s="1299"/>
      <c r="B613" s="803" t="s">
        <v>1541</v>
      </c>
      <c r="C613" s="806"/>
      <c r="D613" s="806"/>
      <c r="E613" s="68" t="s">
        <v>1991</v>
      </c>
      <c r="F613" s="81">
        <f>F614+F616+F618</f>
        <v>1612773</v>
      </c>
      <c r="G613" s="81">
        <f t="shared" ref="G613:J613" si="57">G614+G616+G618</f>
        <v>1649147.9</v>
      </c>
      <c r="H613" s="81">
        <f t="shared" si="57"/>
        <v>2102111.1999999997</v>
      </c>
      <c r="I613" s="81">
        <f t="shared" si="57"/>
        <v>2110472.534</v>
      </c>
      <c r="J613" s="81">
        <f t="shared" si="57"/>
        <v>2131554.1233399999</v>
      </c>
      <c r="K613" s="804" t="s">
        <v>1542</v>
      </c>
      <c r="L613" s="805" t="s">
        <v>967</v>
      </c>
      <c r="M613" s="499" t="s">
        <v>1543</v>
      </c>
      <c r="N613" s="499" t="s">
        <v>1543</v>
      </c>
      <c r="O613" s="499" t="s">
        <v>1544</v>
      </c>
      <c r="P613" s="499" t="s">
        <v>1545</v>
      </c>
      <c r="Q613" s="499" t="s">
        <v>1546</v>
      </c>
    </row>
    <row r="614" spans="1:17" ht="45" x14ac:dyDescent="0.25">
      <c r="A614" s="1299"/>
      <c r="B614" s="1301"/>
      <c r="C614" s="1301" t="s">
        <v>17</v>
      </c>
      <c r="D614" s="1300"/>
      <c r="E614" s="1222" t="s">
        <v>1992</v>
      </c>
      <c r="F614" s="1302">
        <v>413935.6</v>
      </c>
      <c r="G614" s="1292">
        <v>364742.5</v>
      </c>
      <c r="H614" s="1292">
        <v>303672.59999999998</v>
      </c>
      <c r="I614" s="1292">
        <v>402345.82200000004</v>
      </c>
      <c r="J614" s="1292">
        <v>406369.28022000007</v>
      </c>
      <c r="K614" s="807" t="s">
        <v>1547</v>
      </c>
      <c r="L614" s="808" t="s">
        <v>967</v>
      </c>
      <c r="M614" s="811" t="s">
        <v>1548</v>
      </c>
      <c r="N614" s="811" t="s">
        <v>1548</v>
      </c>
      <c r="O614" s="811" t="s">
        <v>1549</v>
      </c>
      <c r="P614" s="811" t="s">
        <v>1550</v>
      </c>
      <c r="Q614" s="811" t="s">
        <v>1551</v>
      </c>
    </row>
    <row r="615" spans="1:17" ht="30" x14ac:dyDescent="0.25">
      <c r="A615" s="1299"/>
      <c r="B615" s="1301"/>
      <c r="C615" s="1301"/>
      <c r="D615" s="1300"/>
      <c r="E615" s="1222"/>
      <c r="F615" s="1302"/>
      <c r="G615" s="1292"/>
      <c r="H615" s="1292"/>
      <c r="I615" s="1292"/>
      <c r="J615" s="1292"/>
      <c r="K615" s="807" t="s">
        <v>2053</v>
      </c>
      <c r="L615" s="808" t="s">
        <v>967</v>
      </c>
      <c r="M615" s="811" t="s">
        <v>1552</v>
      </c>
      <c r="N615" s="811" t="s">
        <v>1552</v>
      </c>
      <c r="O615" s="811" t="s">
        <v>1553</v>
      </c>
      <c r="P615" s="811" t="s">
        <v>1554</v>
      </c>
      <c r="Q615" s="811" t="s">
        <v>1555</v>
      </c>
    </row>
    <row r="616" spans="1:17" ht="49.9" customHeight="1" x14ac:dyDescent="0.25">
      <c r="A616" s="1299"/>
      <c r="B616" s="1300"/>
      <c r="C616" s="1300" t="s">
        <v>18</v>
      </c>
      <c r="D616" s="1300"/>
      <c r="E616" s="1222" t="s">
        <v>1556</v>
      </c>
      <c r="F616" s="1294">
        <v>30115.599999999999</v>
      </c>
      <c r="G616" s="1310">
        <v>76429.100000000006</v>
      </c>
      <c r="H616" s="1292">
        <v>34027.199999999997</v>
      </c>
      <c r="I616" s="1292">
        <v>40593.112000000001</v>
      </c>
      <c r="J616" s="1292">
        <v>40999.043120000002</v>
      </c>
      <c r="K616" s="812" t="s">
        <v>1557</v>
      </c>
      <c r="L616" s="808" t="s">
        <v>14</v>
      </c>
      <c r="M616" s="811" t="s">
        <v>171</v>
      </c>
      <c r="N616" s="811" t="s">
        <v>172</v>
      </c>
      <c r="O616" s="811" t="s">
        <v>1558</v>
      </c>
      <c r="P616" s="811" t="s">
        <v>1558</v>
      </c>
      <c r="Q616" s="811" t="s">
        <v>1558</v>
      </c>
    </row>
    <row r="617" spans="1:17" ht="30" x14ac:dyDescent="0.25">
      <c r="A617" s="1299"/>
      <c r="B617" s="1300"/>
      <c r="C617" s="1300"/>
      <c r="D617" s="1300"/>
      <c r="E617" s="1222"/>
      <c r="F617" s="1294"/>
      <c r="G617" s="1310"/>
      <c r="H617" s="1292"/>
      <c r="I617" s="1292"/>
      <c r="J617" s="1292"/>
      <c r="K617" s="812" t="s">
        <v>1559</v>
      </c>
      <c r="L617" s="808" t="s">
        <v>967</v>
      </c>
      <c r="M617" s="790" t="s">
        <v>342</v>
      </c>
      <c r="N617" s="790" t="s">
        <v>1530</v>
      </c>
      <c r="O617" s="790" t="s">
        <v>1560</v>
      </c>
      <c r="P617" s="790" t="s">
        <v>1560</v>
      </c>
      <c r="Q617" s="790" t="s">
        <v>1561</v>
      </c>
    </row>
    <row r="618" spans="1:17" ht="60" x14ac:dyDescent="0.25">
      <c r="A618" s="1299"/>
      <c r="B618" s="806"/>
      <c r="C618" s="806" t="s">
        <v>16</v>
      </c>
      <c r="D618" s="806"/>
      <c r="E618" s="73" t="s">
        <v>1562</v>
      </c>
      <c r="F618" s="809">
        <v>1168721.8</v>
      </c>
      <c r="G618" s="83">
        <v>1207976.3</v>
      </c>
      <c r="H618" s="84">
        <v>1764411.4</v>
      </c>
      <c r="I618" s="84">
        <v>1667533.6</v>
      </c>
      <c r="J618" s="84">
        <v>1684185.8</v>
      </c>
      <c r="K618" s="75" t="s">
        <v>1563</v>
      </c>
      <c r="L618" s="790" t="s">
        <v>14</v>
      </c>
      <c r="M618" s="790" t="s">
        <v>1564</v>
      </c>
      <c r="N618" s="790" t="s">
        <v>1565</v>
      </c>
      <c r="O618" s="790" t="s">
        <v>1566</v>
      </c>
      <c r="P618" s="790" t="s">
        <v>1566</v>
      </c>
      <c r="Q618" s="790" t="s">
        <v>1566</v>
      </c>
    </row>
    <row r="619" spans="1:17" ht="132.75" x14ac:dyDescent="0.25">
      <c r="A619" s="1299"/>
      <c r="B619" s="803" t="s">
        <v>1567</v>
      </c>
      <c r="C619" s="806"/>
      <c r="D619" s="813"/>
      <c r="E619" s="68" t="s">
        <v>1993</v>
      </c>
      <c r="F619" s="81">
        <f>F620+F621</f>
        <v>28417.1</v>
      </c>
      <c r="G619" s="81">
        <f t="shared" ref="G619:J619" si="58">G620+G621</f>
        <v>27409.199999999997</v>
      </c>
      <c r="H619" s="81">
        <f t="shared" si="58"/>
        <v>35397.800000000003</v>
      </c>
      <c r="I619" s="81">
        <f t="shared" si="58"/>
        <v>46818.5</v>
      </c>
      <c r="J619" s="81">
        <f t="shared" si="58"/>
        <v>47564.100000000006</v>
      </c>
      <c r="K619" s="68" t="s">
        <v>1568</v>
      </c>
      <c r="L619" s="805" t="s">
        <v>967</v>
      </c>
      <c r="M619" s="80" t="s">
        <v>1569</v>
      </c>
      <c r="N619" s="80" t="s">
        <v>1570</v>
      </c>
      <c r="O619" s="80" t="s">
        <v>1571</v>
      </c>
      <c r="P619" s="80" t="s">
        <v>1572</v>
      </c>
      <c r="Q619" s="80" t="s">
        <v>1572</v>
      </c>
    </row>
    <row r="620" spans="1:17" ht="45" x14ac:dyDescent="0.25">
      <c r="A620" s="1299"/>
      <c r="B620" s="806"/>
      <c r="C620" s="806" t="s">
        <v>17</v>
      </c>
      <c r="D620" s="806"/>
      <c r="E620" s="73" t="s">
        <v>1994</v>
      </c>
      <c r="F620" s="809">
        <v>18179.599999999999</v>
      </c>
      <c r="G620" s="808">
        <v>18184.599999999999</v>
      </c>
      <c r="H620" s="84">
        <v>24312.5</v>
      </c>
      <c r="I620" s="84">
        <v>35062.300000000003</v>
      </c>
      <c r="J620" s="84">
        <v>35456.9</v>
      </c>
      <c r="K620" s="75" t="s">
        <v>1573</v>
      </c>
      <c r="L620" s="808" t="s">
        <v>967</v>
      </c>
      <c r="M620" s="790" t="s">
        <v>1574</v>
      </c>
      <c r="N620" s="790" t="s">
        <v>1575</v>
      </c>
      <c r="O620" s="790" t="s">
        <v>1576</v>
      </c>
      <c r="P620" s="790" t="s">
        <v>1577</v>
      </c>
      <c r="Q620" s="790" t="s">
        <v>1577</v>
      </c>
    </row>
    <row r="621" spans="1:17" ht="75" x14ac:dyDescent="0.25">
      <c r="A621" s="1299"/>
      <c r="B621" s="806"/>
      <c r="C621" s="806" t="s">
        <v>18</v>
      </c>
      <c r="D621" s="806"/>
      <c r="E621" s="73" t="s">
        <v>1995</v>
      </c>
      <c r="F621" s="82">
        <v>10237.5</v>
      </c>
      <c r="G621" s="808">
        <v>9224.6</v>
      </c>
      <c r="H621" s="84">
        <v>11085.3</v>
      </c>
      <c r="I621" s="84">
        <v>11756.2</v>
      </c>
      <c r="J621" s="84">
        <v>12107.2</v>
      </c>
      <c r="K621" s="75" t="s">
        <v>1578</v>
      </c>
      <c r="L621" s="808" t="s">
        <v>967</v>
      </c>
      <c r="M621" s="790" t="s">
        <v>582</v>
      </c>
      <c r="N621" s="790" t="s">
        <v>1579</v>
      </c>
      <c r="O621" s="790" t="s">
        <v>1558</v>
      </c>
      <c r="P621" s="790" t="s">
        <v>1558</v>
      </c>
      <c r="Q621" s="790" t="s">
        <v>1558</v>
      </c>
    </row>
    <row r="622" spans="1:17" ht="42.75" x14ac:dyDescent="0.25">
      <c r="A622" s="1299"/>
      <c r="B622" s="763" t="s">
        <v>1580</v>
      </c>
      <c r="C622" s="763"/>
      <c r="D622" s="763"/>
      <c r="E622" s="804" t="s">
        <v>1581</v>
      </c>
      <c r="F622" s="81">
        <f>F623+F624</f>
        <v>0</v>
      </c>
      <c r="G622" s="81">
        <f t="shared" ref="G622:J622" si="59">G623+G624</f>
        <v>460314</v>
      </c>
      <c r="H622" s="81">
        <f t="shared" si="59"/>
        <v>3123326.8</v>
      </c>
      <c r="I622" s="81">
        <f t="shared" si="59"/>
        <v>4264821.0999999996</v>
      </c>
      <c r="J622" s="81">
        <f t="shared" si="59"/>
        <v>4409441.3000000007</v>
      </c>
      <c r="K622" s="804" t="s">
        <v>1582</v>
      </c>
      <c r="L622" s="805" t="s">
        <v>967</v>
      </c>
      <c r="M622" s="110">
        <v>43.85</v>
      </c>
      <c r="N622" s="110">
        <v>43.1</v>
      </c>
      <c r="O622" s="110">
        <v>44.5</v>
      </c>
      <c r="P622" s="110">
        <v>89.8</v>
      </c>
      <c r="Q622" s="110">
        <v>90.699999999999989</v>
      </c>
    </row>
    <row r="623" spans="1:17" ht="45" x14ac:dyDescent="0.25">
      <c r="A623" s="1299"/>
      <c r="B623" s="421"/>
      <c r="C623" s="421" t="s">
        <v>17</v>
      </c>
      <c r="D623" s="421"/>
      <c r="E623" s="814" t="s">
        <v>1583</v>
      </c>
      <c r="F623" s="809">
        <v>0</v>
      </c>
      <c r="G623" s="809">
        <v>214229.2</v>
      </c>
      <c r="H623" s="809">
        <f>69559.2-3585.2</f>
        <v>65974</v>
      </c>
      <c r="I623" s="808">
        <v>70007.8</v>
      </c>
      <c r="J623" s="84">
        <v>70460.899999999994</v>
      </c>
      <c r="K623" s="807" t="s">
        <v>1582</v>
      </c>
      <c r="L623" s="808" t="s">
        <v>967</v>
      </c>
      <c r="M623" s="797">
        <v>43.85</v>
      </c>
      <c r="N623" s="797">
        <v>43.1</v>
      </c>
      <c r="O623" s="797">
        <v>44.5</v>
      </c>
      <c r="P623" s="797">
        <v>89.8</v>
      </c>
      <c r="Q623" s="797">
        <v>90.7</v>
      </c>
    </row>
    <row r="624" spans="1:17" ht="30" x14ac:dyDescent="0.25">
      <c r="A624" s="1299"/>
      <c r="B624" s="1221"/>
      <c r="C624" s="1221" t="s">
        <v>18</v>
      </c>
      <c r="D624" s="1221"/>
      <c r="E624" s="1293" t="s">
        <v>1584</v>
      </c>
      <c r="F624" s="1294">
        <v>0</v>
      </c>
      <c r="G624" s="1294">
        <v>246084.8</v>
      </c>
      <c r="H624" s="1294">
        <v>3057352.8</v>
      </c>
      <c r="I624" s="1294">
        <f>3194813.3+1000000</f>
        <v>4194813.3</v>
      </c>
      <c r="J624" s="1292">
        <f>3338980.4+1000000</f>
        <v>4338980.4000000004</v>
      </c>
      <c r="K624" s="75" t="s">
        <v>1585</v>
      </c>
      <c r="L624" s="808" t="s">
        <v>14</v>
      </c>
      <c r="M624" s="808">
        <v>38.700000000000003</v>
      </c>
      <c r="N624" s="808">
        <v>37.200000000000003</v>
      </c>
      <c r="O624" s="808">
        <v>40</v>
      </c>
      <c r="P624" s="808">
        <v>40.4</v>
      </c>
      <c r="Q624" s="808">
        <v>40.799999999999997</v>
      </c>
    </row>
    <row r="625" spans="1:17" ht="30" x14ac:dyDescent="0.25">
      <c r="A625" s="1299"/>
      <c r="B625" s="1221"/>
      <c r="C625" s="1221"/>
      <c r="D625" s="1221"/>
      <c r="E625" s="1293"/>
      <c r="F625" s="1294"/>
      <c r="G625" s="1294"/>
      <c r="H625" s="1294"/>
      <c r="I625" s="1294"/>
      <c r="J625" s="1292"/>
      <c r="K625" s="75" t="s">
        <v>1586</v>
      </c>
      <c r="L625" s="808" t="s">
        <v>14</v>
      </c>
      <c r="M625" s="808">
        <v>49</v>
      </c>
      <c r="N625" s="808">
        <v>49</v>
      </c>
      <c r="O625" s="808">
        <v>49</v>
      </c>
      <c r="P625" s="808">
        <v>49.4</v>
      </c>
      <c r="Q625" s="808">
        <v>49.9</v>
      </c>
    </row>
    <row r="626" spans="1:17" x14ac:dyDescent="0.25">
      <c r="A626" s="1270" t="s">
        <v>15</v>
      </c>
      <c r="B626" s="1270"/>
      <c r="C626" s="1270"/>
      <c r="D626" s="1270"/>
      <c r="E626" s="1270"/>
      <c r="F626" s="815">
        <f>F606+F608+F613+F619+F622</f>
        <v>3144001.63</v>
      </c>
      <c r="G626" s="815">
        <f t="shared" ref="G626:J626" si="60">G606+G608+G613+G619+G622</f>
        <v>3188866.83</v>
      </c>
      <c r="H626" s="815">
        <f>H606+H608+H613+H619+H622</f>
        <v>7511143.5</v>
      </c>
      <c r="I626" s="815">
        <f t="shared" si="60"/>
        <v>9943342.8029999994</v>
      </c>
      <c r="J626" s="815">
        <f t="shared" si="60"/>
        <v>10067699.90803</v>
      </c>
      <c r="K626" s="816"/>
      <c r="L626" s="1271"/>
      <c r="M626" s="1271"/>
      <c r="N626" s="1271"/>
      <c r="O626" s="1271"/>
      <c r="P626" s="1271"/>
      <c r="Q626" s="1271"/>
    </row>
    <row r="627" spans="1:17" x14ac:dyDescent="0.25">
      <c r="A627" s="1132" t="s">
        <v>1998</v>
      </c>
      <c r="B627" s="1132" t="s">
        <v>35</v>
      </c>
      <c r="C627" s="1132"/>
      <c r="D627" s="1132"/>
      <c r="E627" s="1132"/>
      <c r="F627" s="1132"/>
      <c r="G627" s="1132"/>
      <c r="H627" s="1132"/>
      <c r="I627" s="1132"/>
      <c r="J627" s="1132"/>
      <c r="K627" s="1132"/>
      <c r="L627" s="1132"/>
      <c r="M627" s="1132"/>
      <c r="N627" s="1132"/>
      <c r="O627" s="1132"/>
      <c r="P627" s="802"/>
      <c r="Q627" s="802"/>
    </row>
    <row r="628" spans="1:17" ht="59.25" x14ac:dyDescent="0.25">
      <c r="A628" s="1283">
        <v>46</v>
      </c>
      <c r="B628" s="763" t="s">
        <v>8</v>
      </c>
      <c r="C628" s="763"/>
      <c r="D628" s="763"/>
      <c r="E628" s="817" t="s">
        <v>1996</v>
      </c>
      <c r="F628" s="818">
        <f>F629</f>
        <v>3062.1</v>
      </c>
      <c r="G628" s="818">
        <f>G629</f>
        <v>3062.1</v>
      </c>
      <c r="H628" s="818">
        <f>H629</f>
        <v>3068.8</v>
      </c>
      <c r="I628" s="818">
        <f>I629</f>
        <v>2733.5</v>
      </c>
      <c r="J628" s="818">
        <f>J629</f>
        <v>2760.6</v>
      </c>
      <c r="K628" s="817" t="s">
        <v>9</v>
      </c>
      <c r="L628" s="818" t="s">
        <v>224</v>
      </c>
      <c r="M628" s="818">
        <v>1</v>
      </c>
      <c r="N628" s="818">
        <v>1</v>
      </c>
      <c r="O628" s="818">
        <v>1</v>
      </c>
      <c r="P628" s="818">
        <v>1</v>
      </c>
      <c r="Q628" s="818">
        <v>1</v>
      </c>
    </row>
    <row r="629" spans="1:17" ht="30" x14ac:dyDescent="0.25">
      <c r="A629" s="1283"/>
      <c r="B629" s="421"/>
      <c r="C629" s="421" t="s">
        <v>17</v>
      </c>
      <c r="D629" s="421"/>
      <c r="E629" s="819" t="s">
        <v>1662</v>
      </c>
      <c r="F629" s="84">
        <v>3062.1</v>
      </c>
      <c r="G629" s="84">
        <v>3062.1</v>
      </c>
      <c r="H629" s="84">
        <v>3068.8</v>
      </c>
      <c r="I629" s="84">
        <v>2733.5</v>
      </c>
      <c r="J629" s="84">
        <v>2760.6</v>
      </c>
      <c r="K629" s="820"/>
      <c r="L629" s="820"/>
      <c r="M629" s="820"/>
      <c r="N629" s="820"/>
      <c r="O629" s="820"/>
      <c r="P629" s="820"/>
      <c r="Q629" s="820"/>
    </row>
    <row r="630" spans="1:17" ht="57" x14ac:dyDescent="0.25">
      <c r="A630" s="1283"/>
      <c r="B630" s="763" t="s">
        <v>1587</v>
      </c>
      <c r="C630" s="821"/>
      <c r="D630" s="821"/>
      <c r="E630" s="817" t="s">
        <v>1588</v>
      </c>
      <c r="F630" s="818">
        <v>11273.4</v>
      </c>
      <c r="G630" s="818">
        <v>11273.4</v>
      </c>
      <c r="H630" s="818">
        <v>11373.3</v>
      </c>
      <c r="I630" s="818">
        <v>12029.3</v>
      </c>
      <c r="J630" s="818">
        <v>12149.8</v>
      </c>
      <c r="K630" s="819" t="s">
        <v>1589</v>
      </c>
      <c r="L630" s="820"/>
      <c r="M630" s="820"/>
      <c r="N630" s="820"/>
      <c r="O630" s="820"/>
      <c r="P630" s="820"/>
      <c r="Q630" s="820"/>
    </row>
    <row r="631" spans="1:17" ht="60" x14ac:dyDescent="0.25">
      <c r="A631" s="1283"/>
      <c r="B631" s="822"/>
      <c r="C631" s="421" t="s">
        <v>17</v>
      </c>
      <c r="D631" s="821"/>
      <c r="E631" s="819" t="s">
        <v>1588</v>
      </c>
      <c r="F631" s="84">
        <v>11273.4</v>
      </c>
      <c r="G631" s="84">
        <v>11273.4</v>
      </c>
      <c r="H631" s="84">
        <v>11544.6</v>
      </c>
      <c r="I631" s="84">
        <v>12029.3</v>
      </c>
      <c r="J631" s="84">
        <v>12149.8</v>
      </c>
      <c r="K631" s="819"/>
      <c r="L631" s="820"/>
      <c r="M631" s="820"/>
      <c r="N631" s="820"/>
      <c r="O631" s="820"/>
      <c r="P631" s="820"/>
      <c r="Q631" s="820"/>
    </row>
    <row r="632" spans="1:17" x14ac:dyDescent="0.25">
      <c r="A632" s="1270" t="s">
        <v>15</v>
      </c>
      <c r="B632" s="1270"/>
      <c r="C632" s="1270"/>
      <c r="D632" s="1270"/>
      <c r="E632" s="1270"/>
      <c r="F632" s="823">
        <v>14335.5</v>
      </c>
      <c r="G632" s="823">
        <v>14335.5</v>
      </c>
      <c r="H632" s="823">
        <v>14613.4</v>
      </c>
      <c r="I632" s="823">
        <v>14762.8</v>
      </c>
      <c r="J632" s="823">
        <v>14910.4</v>
      </c>
      <c r="K632" s="816"/>
      <c r="L632" s="1271"/>
      <c r="M632" s="1271"/>
      <c r="N632" s="1271"/>
      <c r="O632" s="1271"/>
      <c r="P632" s="1271"/>
      <c r="Q632" s="1271"/>
    </row>
    <row r="633" spans="1:17" x14ac:dyDescent="0.25">
      <c r="A633" s="1132" t="s">
        <v>1997</v>
      </c>
      <c r="B633" s="1132" t="s">
        <v>35</v>
      </c>
      <c r="C633" s="1132"/>
      <c r="D633" s="1132"/>
      <c r="E633" s="1132"/>
      <c r="F633" s="1132"/>
      <c r="G633" s="1132"/>
      <c r="H633" s="1132"/>
      <c r="I633" s="1132"/>
      <c r="J633" s="1132"/>
      <c r="K633" s="1132"/>
      <c r="L633" s="1132"/>
      <c r="M633" s="1132"/>
      <c r="N633" s="1132"/>
      <c r="O633" s="1132"/>
      <c r="P633" s="802"/>
      <c r="Q633" s="802"/>
    </row>
    <row r="634" spans="1:17" ht="87.75" x14ac:dyDescent="0.25">
      <c r="A634" s="1115">
        <v>49</v>
      </c>
      <c r="B634" s="38" t="s">
        <v>1590</v>
      </c>
      <c r="C634" s="43"/>
      <c r="D634" s="43"/>
      <c r="E634" s="488" t="s">
        <v>1591</v>
      </c>
      <c r="F634" s="80">
        <v>12032</v>
      </c>
      <c r="G634" s="80">
        <v>12371.599999999999</v>
      </c>
      <c r="H634" s="80">
        <v>14963</v>
      </c>
      <c r="I634" s="80">
        <f>I635+I637</f>
        <v>15116</v>
      </c>
      <c r="J634" s="80">
        <f>J635+J637</f>
        <v>15267</v>
      </c>
      <c r="K634" s="29"/>
      <c r="L634" s="34"/>
      <c r="M634" s="34"/>
      <c r="N634" s="34"/>
      <c r="O634" s="34"/>
      <c r="P634" s="34"/>
      <c r="Q634" s="34"/>
    </row>
    <row r="635" spans="1:17" ht="75" x14ac:dyDescent="0.25">
      <c r="A635" s="1116"/>
      <c r="B635" s="22"/>
      <c r="C635" s="65" t="s">
        <v>17</v>
      </c>
      <c r="D635" s="22"/>
      <c r="E635" s="819" t="s">
        <v>1592</v>
      </c>
      <c r="F635" s="270"/>
      <c r="G635" s="270"/>
      <c r="H635" s="270">
        <v>106</v>
      </c>
      <c r="I635" s="270">
        <v>4794.6000000000004</v>
      </c>
      <c r="J635" s="270">
        <v>4794.6000000000004</v>
      </c>
      <c r="K635" s="493" t="s">
        <v>1593</v>
      </c>
      <c r="L635" s="83" t="s">
        <v>564</v>
      </c>
      <c r="M635" s="83">
        <v>450</v>
      </c>
      <c r="N635" s="759">
        <v>450</v>
      </c>
      <c r="O635" s="759">
        <v>450</v>
      </c>
      <c r="P635" s="759">
        <v>450</v>
      </c>
      <c r="Q635" s="759">
        <v>450</v>
      </c>
    </row>
    <row r="636" spans="1:17" x14ac:dyDescent="0.25">
      <c r="A636" s="1116"/>
      <c r="B636" s="22"/>
      <c r="C636" s="65" t="s">
        <v>18</v>
      </c>
      <c r="D636" s="22"/>
      <c r="E636" s="819" t="s">
        <v>1594</v>
      </c>
      <c r="F636" s="270"/>
      <c r="G636" s="270"/>
      <c r="H636" s="270">
        <v>4688.6000000000004</v>
      </c>
      <c r="I636" s="270"/>
      <c r="J636" s="270"/>
      <c r="K636" s="1284" t="s">
        <v>1595</v>
      </c>
      <c r="L636" s="1286" t="s">
        <v>1596</v>
      </c>
      <c r="M636" s="1286" t="s">
        <v>1597</v>
      </c>
      <c r="N636" s="1286" t="s">
        <v>1598</v>
      </c>
      <c r="O636" s="1286" t="s">
        <v>1599</v>
      </c>
      <c r="P636" s="1286" t="s">
        <v>1600</v>
      </c>
      <c r="Q636" s="1286" t="s">
        <v>1601</v>
      </c>
    </row>
    <row r="637" spans="1:17" ht="45" x14ac:dyDescent="0.25">
      <c r="A637" s="1116"/>
      <c r="B637" s="22"/>
      <c r="C637" s="65" t="s">
        <v>16</v>
      </c>
      <c r="D637" s="22"/>
      <c r="E637" s="819" t="s">
        <v>1602</v>
      </c>
      <c r="F637" s="270"/>
      <c r="G637" s="270"/>
      <c r="H637" s="270">
        <v>10168.4</v>
      </c>
      <c r="I637" s="270">
        <v>10321.4</v>
      </c>
      <c r="J637" s="270">
        <v>10472.4</v>
      </c>
      <c r="K637" s="1285"/>
      <c r="L637" s="1287"/>
      <c r="M637" s="1287"/>
      <c r="N637" s="1287"/>
      <c r="O637" s="1287"/>
      <c r="P637" s="1287"/>
      <c r="Q637" s="1287"/>
    </row>
    <row r="638" spans="1:17" x14ac:dyDescent="0.25">
      <c r="A638" s="1116"/>
      <c r="B638" s="1235" t="s">
        <v>1603</v>
      </c>
      <c r="C638" s="1288"/>
      <c r="D638" s="1236"/>
      <c r="E638" s="1240" t="s">
        <v>1604</v>
      </c>
      <c r="F638" s="1291">
        <v>28008.5</v>
      </c>
      <c r="G638" s="1291">
        <v>38008.699999999997</v>
      </c>
      <c r="H638" s="1291">
        <v>38730.800000000003</v>
      </c>
      <c r="I638" s="1291">
        <f>I640+I641</f>
        <v>39127</v>
      </c>
      <c r="J638" s="1291">
        <f>J640+J641</f>
        <v>39518</v>
      </c>
      <c r="K638" s="1281"/>
      <c r="L638" s="1281"/>
      <c r="M638" s="1281"/>
      <c r="N638" s="1281"/>
      <c r="O638" s="1281"/>
      <c r="P638" s="1281"/>
      <c r="Q638" s="1281"/>
    </row>
    <row r="639" spans="1:17" x14ac:dyDescent="0.25">
      <c r="A639" s="1116"/>
      <c r="B639" s="1098"/>
      <c r="C639" s="1289"/>
      <c r="D639" s="1098"/>
      <c r="E639" s="1290"/>
      <c r="F639" s="1241"/>
      <c r="G639" s="1241"/>
      <c r="H639" s="1241"/>
      <c r="I639" s="1241"/>
      <c r="J639" s="1241"/>
      <c r="K639" s="1282"/>
      <c r="L639" s="1282"/>
      <c r="M639" s="1282"/>
      <c r="N639" s="1282"/>
      <c r="O639" s="1282"/>
      <c r="P639" s="1282"/>
      <c r="Q639" s="1282"/>
    </row>
    <row r="640" spans="1:17" ht="60" x14ac:dyDescent="0.25">
      <c r="A640" s="1116"/>
      <c r="B640" s="22"/>
      <c r="C640" s="755" t="s">
        <v>17</v>
      </c>
      <c r="D640" s="22"/>
      <c r="E640" s="819" t="s">
        <v>1605</v>
      </c>
      <c r="F640" s="270"/>
      <c r="G640" s="270"/>
      <c r="H640" s="270">
        <v>25037</v>
      </c>
      <c r="I640" s="270">
        <v>25100</v>
      </c>
      <c r="J640" s="270">
        <v>25351</v>
      </c>
      <c r="K640" s="489" t="s">
        <v>1606</v>
      </c>
      <c r="L640" s="83" t="s">
        <v>564</v>
      </c>
      <c r="M640" s="83">
        <v>182</v>
      </c>
      <c r="N640" s="83">
        <v>211</v>
      </c>
      <c r="O640" s="83">
        <v>323</v>
      </c>
      <c r="P640" s="83">
        <v>325</v>
      </c>
      <c r="Q640" s="83">
        <v>328</v>
      </c>
    </row>
    <row r="641" spans="1:17" ht="90" x14ac:dyDescent="0.25">
      <c r="A641" s="1117"/>
      <c r="B641" s="22"/>
      <c r="C641" s="755" t="s">
        <v>18</v>
      </c>
      <c r="D641" s="22"/>
      <c r="E641" s="819" t="s">
        <v>1607</v>
      </c>
      <c r="F641" s="270"/>
      <c r="G641" s="270"/>
      <c r="H641" s="270">
        <v>13693.8</v>
      </c>
      <c r="I641" s="270">
        <v>14027</v>
      </c>
      <c r="J641" s="270">
        <v>14167</v>
      </c>
      <c r="K641" s="489" t="s">
        <v>1608</v>
      </c>
      <c r="L641" s="83" t="s">
        <v>1609</v>
      </c>
      <c r="M641" s="83">
        <v>121956</v>
      </c>
      <c r="N641" s="83" t="s">
        <v>1610</v>
      </c>
      <c r="O641" s="83" t="s">
        <v>1611</v>
      </c>
      <c r="P641" s="83" t="s">
        <v>1612</v>
      </c>
      <c r="Q641" s="83" t="s">
        <v>1613</v>
      </c>
    </row>
    <row r="642" spans="1:17" x14ac:dyDescent="0.25">
      <c r="A642" s="1270" t="s">
        <v>15</v>
      </c>
      <c r="B642" s="1270"/>
      <c r="C642" s="1270"/>
      <c r="D642" s="1270"/>
      <c r="E642" s="1270"/>
      <c r="F642" s="823">
        <v>40040.5</v>
      </c>
      <c r="G642" s="823">
        <v>50380.299999999996</v>
      </c>
      <c r="H642" s="823">
        <v>53693.8</v>
      </c>
      <c r="I642" s="823">
        <f>I634+I638</f>
        <v>54243</v>
      </c>
      <c r="J642" s="823">
        <f>J634+J638</f>
        <v>54785</v>
      </c>
      <c r="K642" s="816"/>
      <c r="L642" s="1271"/>
      <c r="M642" s="1271"/>
      <c r="N642" s="1271"/>
      <c r="O642" s="1271"/>
      <c r="P642" s="1271"/>
      <c r="Q642" s="1271"/>
    </row>
    <row r="643" spans="1:17" x14ac:dyDescent="0.25">
      <c r="A643" s="1132" t="s">
        <v>2009</v>
      </c>
      <c r="B643" s="1132" t="s">
        <v>35</v>
      </c>
      <c r="C643" s="1132"/>
      <c r="D643" s="1132"/>
      <c r="E643" s="1132"/>
      <c r="F643" s="1132"/>
      <c r="G643" s="1132"/>
      <c r="H643" s="1132"/>
      <c r="I643" s="1132"/>
      <c r="J643" s="1132"/>
      <c r="K643" s="1132"/>
      <c r="L643" s="1132"/>
      <c r="M643" s="1132"/>
      <c r="N643" s="1132"/>
      <c r="O643" s="1132"/>
      <c r="P643" s="802"/>
      <c r="Q643" s="802"/>
    </row>
    <row r="644" spans="1:17" x14ac:dyDescent="0.25">
      <c r="A644" s="1185">
        <v>50</v>
      </c>
      <c r="B644" s="23" t="s">
        <v>8</v>
      </c>
      <c r="C644" s="23"/>
      <c r="D644" s="23"/>
      <c r="E644" s="143" t="s">
        <v>657</v>
      </c>
      <c r="F644" s="24">
        <v>17193.900000000001</v>
      </c>
      <c r="G644" s="24">
        <v>17193.900000000001</v>
      </c>
      <c r="H644" s="24">
        <v>15216.7</v>
      </c>
      <c r="I644" s="24">
        <v>15372.4</v>
      </c>
      <c r="J644" s="24">
        <v>15526</v>
      </c>
      <c r="K644" s="103" t="s">
        <v>9</v>
      </c>
      <c r="L644" s="27" t="s">
        <v>431</v>
      </c>
      <c r="M644" s="101">
        <v>100</v>
      </c>
      <c r="N644" s="824">
        <v>100</v>
      </c>
      <c r="O644" s="824">
        <v>100</v>
      </c>
      <c r="P644" s="824">
        <v>100</v>
      </c>
      <c r="Q644" s="824">
        <v>100</v>
      </c>
    </row>
    <row r="645" spans="1:17" ht="30" x14ac:dyDescent="0.25">
      <c r="A645" s="1193"/>
      <c r="B645" s="23"/>
      <c r="C645" s="22" t="s">
        <v>17</v>
      </c>
      <c r="D645" s="23"/>
      <c r="E645" s="103" t="s">
        <v>10</v>
      </c>
      <c r="F645" s="26">
        <v>17193.900000000001</v>
      </c>
      <c r="G645" s="26">
        <v>17193.900000000001</v>
      </c>
      <c r="H645" s="26">
        <v>15216.7</v>
      </c>
      <c r="I645" s="26">
        <v>15372.4</v>
      </c>
      <c r="J645" s="26">
        <v>15526</v>
      </c>
      <c r="K645" s="39"/>
      <c r="L645" s="39"/>
      <c r="M645" s="39"/>
      <c r="N645" s="39"/>
      <c r="O645" s="39"/>
      <c r="P645" s="39"/>
      <c r="Q645" s="39"/>
    </row>
    <row r="646" spans="1:17" ht="42.75" x14ac:dyDescent="0.25">
      <c r="A646" s="1193"/>
      <c r="B646" s="23" t="s">
        <v>1614</v>
      </c>
      <c r="C646" s="22"/>
      <c r="D646" s="23"/>
      <c r="E646" s="143" t="s">
        <v>1615</v>
      </c>
      <c r="F646" s="24">
        <v>3086.4</v>
      </c>
      <c r="G646" s="24">
        <v>6557.7</v>
      </c>
      <c r="H646" s="24">
        <f>H647</f>
        <v>20396.3</v>
      </c>
      <c r="I646" s="24">
        <f t="shared" ref="I646:J646" si="61">I647</f>
        <v>20897.8</v>
      </c>
      <c r="J646" s="24">
        <f t="shared" si="61"/>
        <v>21296.6</v>
      </c>
      <c r="K646" s="143" t="s">
        <v>1616</v>
      </c>
      <c r="L646" s="25" t="s">
        <v>564</v>
      </c>
      <c r="M646" s="25">
        <v>5187</v>
      </c>
      <c r="N646" s="62">
        <v>7000</v>
      </c>
      <c r="O646" s="62">
        <v>10000</v>
      </c>
      <c r="P646" s="62">
        <v>15000</v>
      </c>
      <c r="Q646" s="62">
        <v>20000</v>
      </c>
    </row>
    <row r="647" spans="1:17" ht="30" x14ac:dyDescent="0.25">
      <c r="A647" s="1186"/>
      <c r="B647" s="23"/>
      <c r="C647" s="22" t="s">
        <v>17</v>
      </c>
      <c r="D647" s="23"/>
      <c r="E647" s="103" t="s">
        <v>1615</v>
      </c>
      <c r="F647" s="26">
        <v>3086.4</v>
      </c>
      <c r="G647" s="26">
        <v>6557.7</v>
      </c>
      <c r="H647" s="26">
        <f>19696.3+700</f>
        <v>20396.3</v>
      </c>
      <c r="I647" s="26">
        <f>19897.8+1000</f>
        <v>20897.8</v>
      </c>
      <c r="J647" s="26">
        <f>20096.6+1200</f>
        <v>21296.6</v>
      </c>
      <c r="K647" s="143"/>
      <c r="L647" s="25"/>
      <c r="M647" s="25"/>
      <c r="N647" s="62"/>
      <c r="O647" s="62"/>
      <c r="P647" s="62"/>
      <c r="Q647" s="62"/>
    </row>
    <row r="648" spans="1:17" x14ac:dyDescent="0.25">
      <c r="A648" s="1270" t="s">
        <v>15</v>
      </c>
      <c r="B648" s="1270"/>
      <c r="C648" s="1270"/>
      <c r="D648" s="1270"/>
      <c r="E648" s="1270"/>
      <c r="F648" s="825">
        <v>26341.7</v>
      </c>
      <c r="G648" s="825">
        <v>31765.100000000002</v>
      </c>
      <c r="H648" s="825">
        <f>H644+H646</f>
        <v>35613</v>
      </c>
      <c r="I648" s="825">
        <f>I644+I646</f>
        <v>36270.199999999997</v>
      </c>
      <c r="J648" s="825">
        <f t="shared" ref="J648" si="62">J644+J646</f>
        <v>36822.6</v>
      </c>
      <c r="K648" s="753"/>
      <c r="L648" s="1271"/>
      <c r="M648" s="1271"/>
      <c r="N648" s="1271"/>
      <c r="O648" s="1271"/>
      <c r="P648" s="1271"/>
      <c r="Q648" s="1271"/>
    </row>
    <row r="649" spans="1:17" x14ac:dyDescent="0.25">
      <c r="A649" s="1272" t="s">
        <v>2008</v>
      </c>
      <c r="B649" s="1272"/>
      <c r="C649" s="1272"/>
      <c r="D649" s="1272"/>
      <c r="E649" s="1272"/>
      <c r="F649" s="1272"/>
      <c r="G649" s="1272"/>
      <c r="H649" s="1272"/>
      <c r="I649" s="1272"/>
      <c r="J649" s="1272"/>
      <c r="K649" s="1272"/>
      <c r="L649" s="1272"/>
      <c r="M649" s="1272"/>
      <c r="N649" s="1272"/>
      <c r="O649" s="1272"/>
      <c r="P649" s="1272"/>
      <c r="Q649" s="1272"/>
    </row>
    <row r="650" spans="1:17" x14ac:dyDescent="0.25">
      <c r="A650" s="1115" t="s">
        <v>1617</v>
      </c>
      <c r="B650" s="23" t="s">
        <v>8</v>
      </c>
      <c r="C650" s="23"/>
      <c r="D650" s="826"/>
      <c r="E650" s="142" t="s">
        <v>657</v>
      </c>
      <c r="F650" s="528">
        <f>F651</f>
        <v>44592.6</v>
      </c>
      <c r="G650" s="528">
        <f t="shared" ref="G650:J650" si="63">G651</f>
        <v>31137.200000000001</v>
      </c>
      <c r="H650" s="381">
        <v>37537.699999999997</v>
      </c>
      <c r="I650" s="528">
        <f t="shared" si="63"/>
        <v>38132.5</v>
      </c>
      <c r="J650" s="528">
        <f t="shared" si="63"/>
        <v>38711.5</v>
      </c>
      <c r="K650" s="29"/>
      <c r="L650" s="29"/>
      <c r="M650" s="29"/>
      <c r="N650" s="29"/>
      <c r="O650" s="29"/>
      <c r="P650" s="29"/>
      <c r="Q650" s="29"/>
    </row>
    <row r="651" spans="1:17" x14ac:dyDescent="0.25">
      <c r="A651" s="1116"/>
      <c r="B651" s="1118"/>
      <c r="C651" s="1118" t="s">
        <v>17</v>
      </c>
      <c r="D651" s="1273"/>
      <c r="E651" s="1275" t="s">
        <v>10</v>
      </c>
      <c r="F651" s="1277">
        <v>44592.6</v>
      </c>
      <c r="G651" s="1279">
        <v>31137.200000000001</v>
      </c>
      <c r="H651" s="1279">
        <v>37537.699999999997</v>
      </c>
      <c r="I651" s="1279">
        <f>26758.7+11373.8</f>
        <v>38132.5</v>
      </c>
      <c r="J651" s="1279">
        <f>27337.7+11373.8</f>
        <v>38711.5</v>
      </c>
      <c r="K651" s="474" t="s">
        <v>9</v>
      </c>
      <c r="L651" s="397" t="s">
        <v>431</v>
      </c>
      <c r="M651" s="138">
        <v>27.3</v>
      </c>
      <c r="N651" s="433">
        <v>30</v>
      </c>
      <c r="O651" s="433">
        <v>40</v>
      </c>
      <c r="P651" s="433">
        <v>50</v>
      </c>
      <c r="Q651" s="433">
        <v>60</v>
      </c>
    </row>
    <row r="652" spans="1:17" ht="60" x14ac:dyDescent="0.25">
      <c r="A652" s="1116"/>
      <c r="B652" s="1119"/>
      <c r="C652" s="1119"/>
      <c r="D652" s="1274"/>
      <c r="E652" s="1276"/>
      <c r="F652" s="1278"/>
      <c r="G652" s="1280"/>
      <c r="H652" s="1280"/>
      <c r="I652" s="1280"/>
      <c r="J652" s="1280"/>
      <c r="K652" s="141" t="s">
        <v>1618</v>
      </c>
      <c r="L652" s="122" t="s">
        <v>13</v>
      </c>
      <c r="M652" s="117"/>
      <c r="N652" s="400">
        <v>3</v>
      </c>
      <c r="O652" s="400">
        <v>10</v>
      </c>
      <c r="P652" s="400">
        <v>20</v>
      </c>
      <c r="Q652" s="400">
        <v>30</v>
      </c>
    </row>
    <row r="653" spans="1:17" ht="88.5" x14ac:dyDescent="0.25">
      <c r="A653" s="1116"/>
      <c r="B653" s="23" t="s">
        <v>1918</v>
      </c>
      <c r="C653" s="22"/>
      <c r="D653" s="22"/>
      <c r="E653" s="394" t="s">
        <v>1619</v>
      </c>
      <c r="F653" s="381">
        <f>F654+F656</f>
        <v>0</v>
      </c>
      <c r="G653" s="381">
        <f t="shared" ref="G653:J653" si="64">G654+G656</f>
        <v>19669.2</v>
      </c>
      <c r="H653" s="558">
        <v>20838.300000000003</v>
      </c>
      <c r="I653" s="381">
        <f t="shared" si="64"/>
        <v>20840.599999999999</v>
      </c>
      <c r="J653" s="381">
        <f t="shared" si="64"/>
        <v>20850.900000000001</v>
      </c>
      <c r="K653" s="140" t="s">
        <v>1620</v>
      </c>
      <c r="L653" s="122" t="s">
        <v>1621</v>
      </c>
      <c r="M653" s="444">
        <v>1</v>
      </c>
      <c r="N653" s="444">
        <v>0.6</v>
      </c>
      <c r="O653" s="444">
        <v>1.2</v>
      </c>
      <c r="P653" s="444">
        <v>1.5</v>
      </c>
      <c r="Q653" s="444">
        <v>1.7</v>
      </c>
    </row>
    <row r="654" spans="1:17" ht="30" x14ac:dyDescent="0.25">
      <c r="A654" s="1116"/>
      <c r="B654" s="1118"/>
      <c r="C654" s="1118" t="s">
        <v>17</v>
      </c>
      <c r="D654" s="1118"/>
      <c r="E654" s="1275" t="s">
        <v>1622</v>
      </c>
      <c r="F654" s="1279"/>
      <c r="G654" s="1279">
        <v>19669.2</v>
      </c>
      <c r="H654" s="1279">
        <v>16643.2</v>
      </c>
      <c r="I654" s="1279">
        <v>16645.5</v>
      </c>
      <c r="J654" s="1279">
        <v>16655.8</v>
      </c>
      <c r="K654" s="141" t="s">
        <v>1623</v>
      </c>
      <c r="L654" s="122" t="s">
        <v>12</v>
      </c>
      <c r="M654" s="827">
        <v>3</v>
      </c>
      <c r="N654" s="827">
        <v>2</v>
      </c>
      <c r="O654" s="827">
        <v>3</v>
      </c>
      <c r="P654" s="827">
        <v>3</v>
      </c>
      <c r="Q654" s="827">
        <v>5</v>
      </c>
    </row>
    <row r="655" spans="1:17" ht="30" x14ac:dyDescent="0.25">
      <c r="A655" s="1116"/>
      <c r="B655" s="1119"/>
      <c r="C655" s="1119"/>
      <c r="D655" s="1119"/>
      <c r="E655" s="1276"/>
      <c r="F655" s="1280"/>
      <c r="G655" s="1280"/>
      <c r="H655" s="1280"/>
      <c r="I655" s="1280"/>
      <c r="J655" s="1280"/>
      <c r="K655" s="141" t="s">
        <v>1624</v>
      </c>
      <c r="L655" s="122" t="s">
        <v>14</v>
      </c>
      <c r="M655" s="827">
        <v>55</v>
      </c>
      <c r="N655" s="827">
        <v>60</v>
      </c>
      <c r="O655" s="827">
        <v>70</v>
      </c>
      <c r="P655" s="827">
        <v>80</v>
      </c>
      <c r="Q655" s="827">
        <v>90</v>
      </c>
    </row>
    <row r="656" spans="1:17" ht="30" x14ac:dyDescent="0.25">
      <c r="A656" s="1117"/>
      <c r="B656" s="65"/>
      <c r="C656" s="729" t="s">
        <v>18</v>
      </c>
      <c r="D656" s="729"/>
      <c r="E656" s="420" t="s">
        <v>1625</v>
      </c>
      <c r="F656" s="535"/>
      <c r="G656" s="535"/>
      <c r="H656" s="535">
        <v>4195.1000000000004</v>
      </c>
      <c r="I656" s="535">
        <v>4195.1000000000004</v>
      </c>
      <c r="J656" s="535">
        <v>4195.1000000000004</v>
      </c>
      <c r="K656" s="141" t="s">
        <v>1626</v>
      </c>
      <c r="L656" s="122" t="s">
        <v>1621</v>
      </c>
      <c r="M656" s="19">
        <v>3.2</v>
      </c>
      <c r="N656" s="117">
        <v>11.7</v>
      </c>
      <c r="O656" s="117">
        <v>12</v>
      </c>
      <c r="P656" s="117">
        <v>12</v>
      </c>
      <c r="Q656" s="117">
        <v>12</v>
      </c>
    </row>
    <row r="657" spans="1:17" x14ac:dyDescent="0.25">
      <c r="A657" s="1176" t="s">
        <v>15</v>
      </c>
      <c r="B657" s="1177"/>
      <c r="C657" s="1177"/>
      <c r="D657" s="1177"/>
      <c r="E657" s="1178"/>
      <c r="F657" s="825">
        <f>F650+F653</f>
        <v>44592.6</v>
      </c>
      <c r="G657" s="825">
        <f>G650+G653</f>
        <v>50806.400000000001</v>
      </c>
      <c r="H657" s="825">
        <f>H650+H653</f>
        <v>58376</v>
      </c>
      <c r="I657" s="825">
        <f>I650+I653</f>
        <v>58973.1</v>
      </c>
      <c r="J657" s="825">
        <f>J650+J653</f>
        <v>59562.400000000001</v>
      </c>
      <c r="K657" s="1261"/>
      <c r="L657" s="1262"/>
      <c r="M657" s="1262"/>
      <c r="N657" s="1262"/>
      <c r="O657" s="1262"/>
      <c r="P657" s="1263"/>
      <c r="Q657" s="500"/>
    </row>
    <row r="658" spans="1:17" x14ac:dyDescent="0.25">
      <c r="A658" s="1227" t="s">
        <v>2007</v>
      </c>
      <c r="B658" s="1228"/>
      <c r="C658" s="1228"/>
      <c r="D658" s="1228"/>
      <c r="E658" s="1228"/>
      <c r="F658" s="1228"/>
      <c r="G658" s="1228"/>
      <c r="H658" s="1228"/>
      <c r="I658" s="1228"/>
      <c r="J658" s="1228"/>
      <c r="K658" s="1228"/>
      <c r="L658" s="1228"/>
      <c r="M658" s="1228"/>
      <c r="N658" s="1228"/>
      <c r="O658" s="1228"/>
      <c r="P658" s="1228"/>
      <c r="Q658" s="1229"/>
    </row>
    <row r="659" spans="1:17" ht="134.25" x14ac:dyDescent="0.25">
      <c r="A659" s="1232">
        <v>58</v>
      </c>
      <c r="B659" s="378" t="s">
        <v>8</v>
      </c>
      <c r="C659" s="38"/>
      <c r="D659" s="516"/>
      <c r="E659" s="68" t="s">
        <v>1627</v>
      </c>
      <c r="F659" s="828">
        <f>F660</f>
        <v>0</v>
      </c>
      <c r="G659" s="828">
        <v>19046</v>
      </c>
      <c r="H659" s="829">
        <v>19046</v>
      </c>
      <c r="I659" s="829">
        <v>19240.8</v>
      </c>
      <c r="J659" s="829">
        <v>19433.099999999999</v>
      </c>
      <c r="K659" s="783" t="s">
        <v>1628</v>
      </c>
      <c r="L659" s="791" t="s">
        <v>14</v>
      </c>
      <c r="M659" s="830">
        <v>0</v>
      </c>
      <c r="N659" s="270">
        <v>90</v>
      </c>
      <c r="O659" s="270">
        <v>100</v>
      </c>
      <c r="P659" s="270">
        <v>90</v>
      </c>
      <c r="Q659" s="270">
        <v>90</v>
      </c>
    </row>
    <row r="660" spans="1:17" ht="30" x14ac:dyDescent="0.25">
      <c r="A660" s="1234"/>
      <c r="B660" s="516"/>
      <c r="C660" s="359" t="s">
        <v>17</v>
      </c>
      <c r="D660" s="516"/>
      <c r="E660" s="831" t="s">
        <v>10</v>
      </c>
      <c r="F660" s="832"/>
      <c r="G660" s="832">
        <f>G659</f>
        <v>19046</v>
      </c>
      <c r="H660" s="833">
        <f>H659</f>
        <v>19046</v>
      </c>
      <c r="I660" s="830">
        <f>I659</f>
        <v>19240.8</v>
      </c>
      <c r="J660" s="830">
        <f>J659</f>
        <v>19433.099999999999</v>
      </c>
      <c r="K660" s="831"/>
      <c r="L660" s="791"/>
      <c r="M660" s="830"/>
      <c r="N660" s="270"/>
      <c r="O660" s="270"/>
      <c r="P660" s="270"/>
      <c r="Q660" s="270"/>
    </row>
    <row r="661" spans="1:17" x14ac:dyDescent="0.25">
      <c r="A661" s="1176" t="s">
        <v>15</v>
      </c>
      <c r="B661" s="1177"/>
      <c r="C661" s="1177"/>
      <c r="D661" s="1177"/>
      <c r="E661" s="1178"/>
      <c r="F661" s="501"/>
      <c r="G661" s="501">
        <f>G659</f>
        <v>19046</v>
      </c>
      <c r="H661" s="501">
        <f t="shared" ref="H661:J661" si="65">H659</f>
        <v>19046</v>
      </c>
      <c r="I661" s="501">
        <f t="shared" si="65"/>
        <v>19240.8</v>
      </c>
      <c r="J661" s="501">
        <f t="shared" si="65"/>
        <v>19433.099999999999</v>
      </c>
      <c r="K661" s="1261"/>
      <c r="L661" s="1262"/>
      <c r="M661" s="1262"/>
      <c r="N661" s="1262"/>
      <c r="O661" s="1262"/>
      <c r="P661" s="1263"/>
      <c r="Q661" s="500"/>
    </row>
    <row r="662" spans="1:17" x14ac:dyDescent="0.25">
      <c r="A662" s="1227" t="s">
        <v>2006</v>
      </c>
      <c r="B662" s="1244"/>
      <c r="C662" s="1244"/>
      <c r="D662" s="1244"/>
      <c r="E662" s="1228"/>
      <c r="F662" s="1228"/>
      <c r="G662" s="1228"/>
      <c r="H662" s="1228"/>
      <c r="I662" s="1228"/>
      <c r="J662" s="1228"/>
      <c r="K662" s="1228"/>
      <c r="L662" s="1228"/>
      <c r="M662" s="1228"/>
      <c r="N662" s="1228"/>
      <c r="O662" s="1228"/>
      <c r="P662" s="1228"/>
      <c r="Q662" s="1229"/>
    </row>
    <row r="663" spans="1:17" ht="59.25" x14ac:dyDescent="0.25">
      <c r="A663" s="1264" t="s">
        <v>1629</v>
      </c>
      <c r="B663" s="834" t="s">
        <v>8</v>
      </c>
      <c r="C663" s="835"/>
      <c r="D663" s="834"/>
      <c r="E663" s="836" t="s">
        <v>1630</v>
      </c>
      <c r="F663" s="837">
        <f>F664+F665</f>
        <v>54464</v>
      </c>
      <c r="G663" s="837">
        <f t="shared" ref="G663:J663" si="66">G664+G665</f>
        <v>54464</v>
      </c>
      <c r="H663" s="837">
        <f>H664+H665</f>
        <v>61758.1</v>
      </c>
      <c r="I663" s="837">
        <f t="shared" si="66"/>
        <v>62389.75222542898</v>
      </c>
      <c r="J663" s="837">
        <f t="shared" si="66"/>
        <v>63013.161781667179</v>
      </c>
      <c r="K663" s="838" t="s">
        <v>9</v>
      </c>
      <c r="L663" s="837" t="s">
        <v>14</v>
      </c>
      <c r="M663" s="837">
        <v>35.799999999999997</v>
      </c>
      <c r="N663" s="837">
        <v>35.9</v>
      </c>
      <c r="O663" s="837">
        <v>36</v>
      </c>
      <c r="P663" s="837">
        <v>36.1</v>
      </c>
      <c r="Q663" s="837">
        <v>36.200000000000003</v>
      </c>
    </row>
    <row r="664" spans="1:17" ht="75" x14ac:dyDescent="0.25">
      <c r="A664" s="1265"/>
      <c r="B664" s="839"/>
      <c r="C664" s="840" t="s">
        <v>17</v>
      </c>
      <c r="D664" s="840"/>
      <c r="E664" s="841" t="s">
        <v>1631</v>
      </c>
      <c r="F664" s="842">
        <v>29243.599999999999</v>
      </c>
      <c r="G664" s="842">
        <v>29243.599999999999</v>
      </c>
      <c r="H664" s="842">
        <f>460+616.5+1464.6+150+438.5+1667.9+1072.4+26338.4+3850.2</f>
        <v>36058.5</v>
      </c>
      <c r="I664" s="842">
        <f>H664*'[1]Смета 2023-2025 гг..'!$K$53</f>
        <v>36427.300720401545</v>
      </c>
      <c r="J664" s="842">
        <f>H664*'[1]Смета 2023-2025 гг..'!$K$60</f>
        <v>36791.288820482594</v>
      </c>
      <c r="K664" s="843" t="s">
        <v>1632</v>
      </c>
      <c r="L664" s="842" t="s">
        <v>14</v>
      </c>
      <c r="M664" s="842">
        <v>90</v>
      </c>
      <c r="N664" s="844">
        <v>91</v>
      </c>
      <c r="O664" s="842">
        <v>92</v>
      </c>
      <c r="P664" s="842">
        <v>93</v>
      </c>
      <c r="Q664" s="842">
        <v>94</v>
      </c>
    </row>
    <row r="665" spans="1:17" ht="75" x14ac:dyDescent="0.25">
      <c r="A665" s="1265"/>
      <c r="B665" s="839"/>
      <c r="C665" s="840" t="s">
        <v>18</v>
      </c>
      <c r="D665" s="840"/>
      <c r="E665" s="841" t="s">
        <v>1633</v>
      </c>
      <c r="F665" s="842">
        <v>25220.400000000001</v>
      </c>
      <c r="G665" s="842">
        <v>25220.400000000001</v>
      </c>
      <c r="H665" s="842">
        <v>25699.599999999999</v>
      </c>
      <c r="I665" s="842">
        <f>H665*'[1]Смета 2023-2025 гг..'!$K$53</f>
        <v>25962.451505027431</v>
      </c>
      <c r="J665" s="842">
        <f>H665*'[1]Смета 2023-2025 гг..'!$K$60</f>
        <v>26221.872961184588</v>
      </c>
      <c r="K665" s="843" t="s">
        <v>1632</v>
      </c>
      <c r="L665" s="842" t="s">
        <v>14</v>
      </c>
      <c r="M665" s="842">
        <v>90</v>
      </c>
      <c r="N665" s="842">
        <v>91</v>
      </c>
      <c r="O665" s="842">
        <v>92</v>
      </c>
      <c r="P665" s="842">
        <v>93</v>
      </c>
      <c r="Q665" s="842">
        <v>94</v>
      </c>
    </row>
    <row r="666" spans="1:17" ht="114" x14ac:dyDescent="0.25">
      <c r="A666" s="1265"/>
      <c r="B666" s="834" t="s">
        <v>1634</v>
      </c>
      <c r="C666" s="845"/>
      <c r="D666" s="840"/>
      <c r="E666" s="836" t="s">
        <v>1635</v>
      </c>
      <c r="F666" s="837">
        <f>F669+F670+F675+F667+F668</f>
        <v>13758.599999999999</v>
      </c>
      <c r="G666" s="837">
        <f>G669+G670+G675+G667+G668</f>
        <v>13758.599999999999</v>
      </c>
      <c r="H666" s="837">
        <f>H669+H670+H675+H667+H668</f>
        <v>20842.8</v>
      </c>
      <c r="I666" s="837">
        <f>I669+I670+I675+I667+I668</f>
        <v>21055.976911274331</v>
      </c>
      <c r="J666" s="837">
        <f>J669+J670+J675+J667+J668</f>
        <v>21266.371996271464</v>
      </c>
      <c r="K666" s="838" t="s">
        <v>1636</v>
      </c>
      <c r="L666" s="842" t="s">
        <v>14</v>
      </c>
      <c r="M666" s="842">
        <v>100</v>
      </c>
      <c r="N666" s="842">
        <v>100</v>
      </c>
      <c r="O666" s="842">
        <v>100</v>
      </c>
      <c r="P666" s="842">
        <v>100</v>
      </c>
      <c r="Q666" s="842">
        <v>100</v>
      </c>
    </row>
    <row r="667" spans="1:17" ht="45" x14ac:dyDescent="0.25">
      <c r="A667" s="1265"/>
      <c r="B667" s="846"/>
      <c r="C667" s="840" t="s">
        <v>18</v>
      </c>
      <c r="D667" s="845"/>
      <c r="E667" s="847" t="s">
        <v>1637</v>
      </c>
      <c r="F667" s="841">
        <v>2934.4</v>
      </c>
      <c r="G667" s="841">
        <v>2934.4</v>
      </c>
      <c r="H667" s="842">
        <f>100+52.4+41.2+116.8+75.2+2010.9+346.8</f>
        <v>2743.3</v>
      </c>
      <c r="I667" s="842">
        <f>H667*'[1]Смета 2023-2025 гг..'!$K$53</f>
        <v>2771.3580450178897</v>
      </c>
      <c r="J667" s="842">
        <f>H667*'[1]Смета 2023-2025 гг..'!$K$60</f>
        <v>2799.0499499765633</v>
      </c>
      <c r="K667" s="848" t="s">
        <v>1638</v>
      </c>
      <c r="L667" s="842" t="s">
        <v>14</v>
      </c>
      <c r="M667" s="842">
        <v>67.599999999999994</v>
      </c>
      <c r="N667" s="849">
        <v>67.8</v>
      </c>
      <c r="O667" s="849">
        <v>67.900000000000006</v>
      </c>
      <c r="P667" s="849">
        <v>68</v>
      </c>
      <c r="Q667" s="842">
        <v>68.099999999999994</v>
      </c>
    </row>
    <row r="668" spans="1:17" ht="45" x14ac:dyDescent="0.25">
      <c r="A668" s="1265"/>
      <c r="B668" s="850"/>
      <c r="C668" s="840" t="s">
        <v>19</v>
      </c>
      <c r="D668" s="845"/>
      <c r="E668" s="847" t="s">
        <v>1637</v>
      </c>
      <c r="F668" s="841">
        <v>2290.9</v>
      </c>
      <c r="G668" s="841">
        <v>2290.9</v>
      </c>
      <c r="H668" s="842">
        <f>100+52.4+41.2+116.8+75.2+1952.6+336.8</f>
        <v>2675</v>
      </c>
      <c r="I668" s="842">
        <f>H668*'[1]Смета 2023-2025 гг..'!$K$53</f>
        <v>2702.3594832584313</v>
      </c>
      <c r="J668" s="842">
        <f>H668*'[1]Смета 2023-2025 гг..'!$K$60</f>
        <v>2729.3619422546954</v>
      </c>
      <c r="K668" s="851" t="s">
        <v>1639</v>
      </c>
      <c r="L668" s="842" t="s">
        <v>14</v>
      </c>
      <c r="M668" s="842">
        <v>58.6</v>
      </c>
      <c r="N668" s="849">
        <v>58.7</v>
      </c>
      <c r="O668" s="849">
        <v>58</v>
      </c>
      <c r="P668" s="849">
        <v>3.7</v>
      </c>
      <c r="Q668" s="842">
        <v>68</v>
      </c>
    </row>
    <row r="669" spans="1:17" ht="60" x14ac:dyDescent="0.25">
      <c r="A669" s="1265"/>
      <c r="B669" s="850"/>
      <c r="C669" s="840" t="s">
        <v>20</v>
      </c>
      <c r="D669" s="845"/>
      <c r="E669" s="841" t="s">
        <v>1640</v>
      </c>
      <c r="F669" s="852">
        <v>3864.1</v>
      </c>
      <c r="G669" s="852">
        <f>F669</f>
        <v>3864.1</v>
      </c>
      <c r="H669" s="842">
        <f>100+200+62.2+175.4+700+112.8+160.7+3068.2+1272.6</f>
        <v>5851.9</v>
      </c>
      <c r="I669" s="842">
        <f>H669*'[1]Смета 2023-2025 гг..'!$K$53</f>
        <v>5911.7523215252386</v>
      </c>
      <c r="J669" s="842">
        <f>H669*'[1]Смета 2023-2025 гг..'!$K$60</f>
        <v>5970.8236074318702</v>
      </c>
      <c r="K669" s="848" t="s">
        <v>1641</v>
      </c>
      <c r="L669" s="842" t="s">
        <v>14</v>
      </c>
      <c r="M669" s="842">
        <v>99.1</v>
      </c>
      <c r="N669" s="842">
        <v>99.2</v>
      </c>
      <c r="O669" s="842">
        <v>99.3</v>
      </c>
      <c r="P669" s="842">
        <v>99.4</v>
      </c>
      <c r="Q669" s="842">
        <v>99.5</v>
      </c>
    </row>
    <row r="670" spans="1:17" ht="105" x14ac:dyDescent="0.25">
      <c r="A670" s="1265"/>
      <c r="B670" s="1252"/>
      <c r="C670" s="1267" t="s">
        <v>21</v>
      </c>
      <c r="D670" s="1268"/>
      <c r="E670" s="1258" t="s">
        <v>1642</v>
      </c>
      <c r="F670" s="1250">
        <v>2421</v>
      </c>
      <c r="G670" s="1250">
        <v>2421</v>
      </c>
      <c r="H670" s="1250">
        <f>100+60+41.2+116.8+3943+1931.2+333.1</f>
        <v>6525.3</v>
      </c>
      <c r="I670" s="1250">
        <f>H670*'[1]Смета 2023-2025 гг..'!$K$53</f>
        <v>6592.0397518154177</v>
      </c>
      <c r="J670" s="1250">
        <f>H670*'[1]Смета 2023-2025 гг..'!$K$60</f>
        <v>6657.908591325071</v>
      </c>
      <c r="K670" s="851" t="s">
        <v>1643</v>
      </c>
      <c r="L670" s="842" t="s">
        <v>14</v>
      </c>
      <c r="M670" s="842">
        <v>20</v>
      </c>
      <c r="N670" s="842">
        <v>50</v>
      </c>
      <c r="O670" s="842">
        <v>97</v>
      </c>
      <c r="P670" s="842">
        <v>98</v>
      </c>
      <c r="Q670" s="842">
        <v>100</v>
      </c>
    </row>
    <row r="671" spans="1:17" ht="105" x14ac:dyDescent="0.25">
      <c r="A671" s="1265"/>
      <c r="B671" s="1253"/>
      <c r="C671" s="1267"/>
      <c r="D671" s="1268"/>
      <c r="E671" s="1259"/>
      <c r="F671" s="1260"/>
      <c r="G671" s="1260"/>
      <c r="H671" s="1260"/>
      <c r="I671" s="1260"/>
      <c r="J671" s="1260"/>
      <c r="K671" s="851" t="s">
        <v>1644</v>
      </c>
      <c r="L671" s="853" t="s">
        <v>14</v>
      </c>
      <c r="M671" s="853" t="s">
        <v>309</v>
      </c>
      <c r="N671" s="853">
        <v>50</v>
      </c>
      <c r="O671" s="853">
        <v>80</v>
      </c>
      <c r="P671" s="853">
        <v>95</v>
      </c>
      <c r="Q671" s="853">
        <v>98</v>
      </c>
    </row>
    <row r="672" spans="1:17" ht="105" x14ac:dyDescent="0.25">
      <c r="A672" s="1265"/>
      <c r="B672" s="1253"/>
      <c r="C672" s="1267"/>
      <c r="D672" s="1268"/>
      <c r="E672" s="1259"/>
      <c r="F672" s="1260"/>
      <c r="G672" s="1260"/>
      <c r="H672" s="1260"/>
      <c r="I672" s="1260"/>
      <c r="J672" s="1260"/>
      <c r="K672" s="851" t="s">
        <v>1645</v>
      </c>
      <c r="L672" s="853" t="s">
        <v>14</v>
      </c>
      <c r="M672" s="853" t="s">
        <v>309</v>
      </c>
      <c r="N672" s="853" t="s">
        <v>309</v>
      </c>
      <c r="O672" s="853" t="s">
        <v>309</v>
      </c>
      <c r="P672" s="853">
        <v>30</v>
      </c>
      <c r="Q672" s="853">
        <v>80</v>
      </c>
    </row>
    <row r="673" spans="1:17" ht="105" x14ac:dyDescent="0.25">
      <c r="A673" s="1265"/>
      <c r="B673" s="1253"/>
      <c r="C673" s="1267"/>
      <c r="D673" s="1268"/>
      <c r="E673" s="1259"/>
      <c r="F673" s="1260"/>
      <c r="G673" s="1260"/>
      <c r="H673" s="1260"/>
      <c r="I673" s="1260"/>
      <c r="J673" s="1260"/>
      <c r="K673" s="848" t="s">
        <v>1646</v>
      </c>
      <c r="L673" s="853" t="s">
        <v>14</v>
      </c>
      <c r="M673" s="853">
        <v>92</v>
      </c>
      <c r="N673" s="853">
        <v>95</v>
      </c>
      <c r="O673" s="853">
        <v>100</v>
      </c>
      <c r="P673" s="853" t="s">
        <v>309</v>
      </c>
      <c r="Q673" s="853" t="s">
        <v>309</v>
      </c>
    </row>
    <row r="674" spans="1:17" ht="150" x14ac:dyDescent="0.25">
      <c r="A674" s="1265"/>
      <c r="B674" s="1254"/>
      <c r="C674" s="1267"/>
      <c r="D674" s="1268"/>
      <c r="E674" s="1269"/>
      <c r="F674" s="1251"/>
      <c r="G674" s="1251"/>
      <c r="H674" s="1251"/>
      <c r="I674" s="1251"/>
      <c r="J674" s="1251"/>
      <c r="K674" s="854" t="s">
        <v>1647</v>
      </c>
      <c r="L674" s="853" t="s">
        <v>14</v>
      </c>
      <c r="M674" s="853" t="s">
        <v>309</v>
      </c>
      <c r="N674" s="853">
        <v>30</v>
      </c>
      <c r="O674" s="853">
        <v>60</v>
      </c>
      <c r="P674" s="853">
        <v>80</v>
      </c>
      <c r="Q674" s="853">
        <v>98</v>
      </c>
    </row>
    <row r="675" spans="1:17" ht="45" x14ac:dyDescent="0.25">
      <c r="A675" s="1265"/>
      <c r="B675" s="1252"/>
      <c r="C675" s="1267" t="s">
        <v>23</v>
      </c>
      <c r="D675" s="1267"/>
      <c r="E675" s="1258" t="s">
        <v>1648</v>
      </c>
      <c r="F675" s="1250">
        <f>1996.2+100+50+102</f>
        <v>2248.1999999999998</v>
      </c>
      <c r="G675" s="1250">
        <f>1996.2+100+50+102</f>
        <v>2248.1999999999998</v>
      </c>
      <c r="H675" s="1250">
        <f>100+52.4+41.2+116.8+75.2+2270.1+391.6</f>
        <v>3047.2999999999997</v>
      </c>
      <c r="I675" s="1250">
        <f>H675*'[1]Смета 2023-2025 гг..'!$K$53</f>
        <v>3078.467309657352</v>
      </c>
      <c r="J675" s="1250">
        <f>H675*'[1]Смета 2023-2025 гг..'!$K$60</f>
        <v>3109.2279052832646</v>
      </c>
      <c r="K675" s="854" t="s">
        <v>1649</v>
      </c>
      <c r="L675" s="853" t="s">
        <v>898</v>
      </c>
      <c r="M675" s="853">
        <v>84.5</v>
      </c>
      <c r="N675" s="853">
        <v>85</v>
      </c>
      <c r="O675" s="853">
        <v>85.5</v>
      </c>
      <c r="P675" s="853">
        <v>86</v>
      </c>
      <c r="Q675" s="853">
        <v>86.1</v>
      </c>
    </row>
    <row r="676" spans="1:17" ht="45" x14ac:dyDescent="0.25">
      <c r="A676" s="1265"/>
      <c r="B676" s="1254"/>
      <c r="C676" s="1267"/>
      <c r="D676" s="1267"/>
      <c r="E676" s="1269"/>
      <c r="F676" s="1251"/>
      <c r="G676" s="1251"/>
      <c r="H676" s="1251"/>
      <c r="I676" s="1251"/>
      <c r="J676" s="1251"/>
      <c r="K676" s="854" t="s">
        <v>1650</v>
      </c>
      <c r="L676" s="853" t="s">
        <v>898</v>
      </c>
      <c r="M676" s="853">
        <v>84.5</v>
      </c>
      <c r="N676" s="853">
        <v>85</v>
      </c>
      <c r="O676" s="853">
        <v>85.5</v>
      </c>
      <c r="P676" s="853">
        <v>86</v>
      </c>
      <c r="Q676" s="853">
        <v>86.1</v>
      </c>
    </row>
    <row r="677" spans="1:17" ht="88.5" x14ac:dyDescent="0.25">
      <c r="A677" s="1265"/>
      <c r="B677" s="834" t="s">
        <v>1651</v>
      </c>
      <c r="C677" s="840"/>
      <c r="D677" s="840"/>
      <c r="E677" s="836" t="s">
        <v>1652</v>
      </c>
      <c r="F677" s="837">
        <f>F678</f>
        <v>19942.2</v>
      </c>
      <c r="G677" s="837">
        <f>G678</f>
        <v>19942.2</v>
      </c>
      <c r="H677" s="837">
        <f t="shared" ref="H677:J677" si="67">H678</f>
        <v>11055.2</v>
      </c>
      <c r="I677" s="837">
        <f t="shared" si="67"/>
        <v>11168.270863296677</v>
      </c>
      <c r="J677" s="837">
        <f t="shared" si="67"/>
        <v>11279.86622206135</v>
      </c>
      <c r="K677" s="838" t="s">
        <v>1653</v>
      </c>
      <c r="L677" s="842" t="s">
        <v>899</v>
      </c>
      <c r="M677" s="842">
        <v>123</v>
      </c>
      <c r="N677" s="842">
        <v>124</v>
      </c>
      <c r="O677" s="842">
        <v>125</v>
      </c>
      <c r="P677" s="842">
        <v>126</v>
      </c>
      <c r="Q677" s="842">
        <v>127</v>
      </c>
    </row>
    <row r="678" spans="1:17" ht="60" x14ac:dyDescent="0.25">
      <c r="A678" s="1265"/>
      <c r="B678" s="1252"/>
      <c r="C678" s="1255" t="s">
        <v>17</v>
      </c>
      <c r="D678" s="1255"/>
      <c r="E678" s="1258" t="s">
        <v>1654</v>
      </c>
      <c r="F678" s="1250">
        <v>19942.2</v>
      </c>
      <c r="G678" s="1250">
        <v>19942.2</v>
      </c>
      <c r="H678" s="1250">
        <f>550+200+154.5+1218.5+282+7377.6+1272.6</f>
        <v>11055.2</v>
      </c>
      <c r="I678" s="1250">
        <f>H678*'[1]Смета 2023-2025 гг..'!$K$53</f>
        <v>11168.270863296677</v>
      </c>
      <c r="J678" s="1250">
        <f>H678*'[1]Смета 2023-2025 гг..'!$K$60</f>
        <v>11279.86622206135</v>
      </c>
      <c r="K678" s="848" t="s">
        <v>1655</v>
      </c>
      <c r="L678" s="842" t="s">
        <v>899</v>
      </c>
      <c r="M678" s="842">
        <v>7</v>
      </c>
      <c r="N678" s="842">
        <v>10</v>
      </c>
      <c r="O678" s="842">
        <v>15</v>
      </c>
      <c r="P678" s="842">
        <v>17</v>
      </c>
      <c r="Q678" s="842">
        <v>18</v>
      </c>
    </row>
    <row r="679" spans="1:17" ht="75" x14ac:dyDescent="0.25">
      <c r="A679" s="1265"/>
      <c r="B679" s="1253"/>
      <c r="C679" s="1256"/>
      <c r="D679" s="1256"/>
      <c r="E679" s="1259"/>
      <c r="F679" s="1260"/>
      <c r="G679" s="1260"/>
      <c r="H679" s="1260"/>
      <c r="I679" s="1260"/>
      <c r="J679" s="1260"/>
      <c r="K679" s="848" t="s">
        <v>1656</v>
      </c>
      <c r="L679" s="842" t="s">
        <v>899</v>
      </c>
      <c r="M679" s="842">
        <v>10</v>
      </c>
      <c r="N679" s="842">
        <v>12</v>
      </c>
      <c r="O679" s="842">
        <v>14</v>
      </c>
      <c r="P679" s="842">
        <v>16</v>
      </c>
      <c r="Q679" s="842">
        <v>18</v>
      </c>
    </row>
    <row r="680" spans="1:17" ht="60" x14ac:dyDescent="0.25">
      <c r="A680" s="1266"/>
      <c r="B680" s="1254"/>
      <c r="C680" s="1257"/>
      <c r="D680" s="1257"/>
      <c r="E680" s="1259"/>
      <c r="F680" s="1251"/>
      <c r="G680" s="1251"/>
      <c r="H680" s="1251"/>
      <c r="I680" s="1251"/>
      <c r="J680" s="1251"/>
      <c r="K680" s="848" t="s">
        <v>1657</v>
      </c>
      <c r="L680" s="842" t="s">
        <v>899</v>
      </c>
      <c r="M680" s="849">
        <v>10</v>
      </c>
      <c r="N680" s="849">
        <v>12</v>
      </c>
      <c r="O680" s="849">
        <v>14</v>
      </c>
      <c r="P680" s="849">
        <v>16</v>
      </c>
      <c r="Q680" s="849">
        <v>18</v>
      </c>
    </row>
    <row r="681" spans="1:17" x14ac:dyDescent="0.25">
      <c r="A681" s="1176" t="s">
        <v>15</v>
      </c>
      <c r="B681" s="1177"/>
      <c r="C681" s="1177"/>
      <c r="D681" s="1177"/>
      <c r="E681" s="1178"/>
      <c r="F681" s="855">
        <f>F663+F666</f>
        <v>68222.600000000006</v>
      </c>
      <c r="G681" s="855">
        <f>G663+G666</f>
        <v>68222.600000000006</v>
      </c>
      <c r="H681" s="855">
        <f>H663+H666+H677</f>
        <v>93656.099999999991</v>
      </c>
      <c r="I681" s="855">
        <f>I663+I666+I677</f>
        <v>94613.999999999985</v>
      </c>
      <c r="J681" s="855">
        <f>J663+J666+J677</f>
        <v>95559.4</v>
      </c>
      <c r="K681" s="856"/>
      <c r="L681" s="1179"/>
      <c r="M681" s="1179"/>
      <c r="N681" s="1179"/>
      <c r="O681" s="1179"/>
      <c r="P681" s="857"/>
      <c r="Q681" s="856"/>
    </row>
    <row r="682" spans="1:17" x14ac:dyDescent="0.25">
      <c r="A682" s="1243" t="s">
        <v>2005</v>
      </c>
      <c r="B682" s="1244"/>
      <c r="C682" s="1244"/>
      <c r="D682" s="1244"/>
      <c r="E682" s="1244"/>
      <c r="F682" s="1244"/>
      <c r="G682" s="1244"/>
      <c r="H682" s="1244"/>
      <c r="I682" s="1244"/>
      <c r="J682" s="1244"/>
      <c r="K682" s="1244"/>
      <c r="L682" s="1244"/>
      <c r="M682" s="1244"/>
      <c r="N682" s="1244"/>
      <c r="O682" s="1244"/>
      <c r="P682" s="1244"/>
      <c r="Q682" s="1245"/>
    </row>
    <row r="683" spans="1:17" x14ac:dyDescent="0.25">
      <c r="A683" s="1232" t="s">
        <v>210</v>
      </c>
      <c r="B683" s="752" t="s">
        <v>8</v>
      </c>
      <c r="C683" s="147"/>
      <c r="D683" s="147"/>
      <c r="E683" s="142" t="s">
        <v>657</v>
      </c>
      <c r="F683" s="352">
        <v>42819.6</v>
      </c>
      <c r="G683" s="352">
        <v>68673</v>
      </c>
      <c r="H683" s="352">
        <f>H684</f>
        <v>56130.6</v>
      </c>
      <c r="I683" s="352">
        <v>62760.4</v>
      </c>
      <c r="J683" s="352">
        <v>63387.5</v>
      </c>
      <c r="K683" s="1246" t="s">
        <v>9</v>
      </c>
      <c r="L683" s="1247" t="s">
        <v>14</v>
      </c>
      <c r="M683" s="1248">
        <v>21.2</v>
      </c>
      <c r="N683" s="1248">
        <v>34.1</v>
      </c>
      <c r="O683" s="1248">
        <v>23</v>
      </c>
      <c r="P683" s="1248"/>
      <c r="Q683" s="1247"/>
    </row>
    <row r="684" spans="1:17" ht="30" x14ac:dyDescent="0.25">
      <c r="A684" s="1233"/>
      <c r="B684" s="147"/>
      <c r="C684" s="21" t="s">
        <v>17</v>
      </c>
      <c r="D684" s="147"/>
      <c r="E684" s="101" t="s">
        <v>1658</v>
      </c>
      <c r="F684" s="270">
        <v>42819.6</v>
      </c>
      <c r="G684" s="270">
        <v>68673</v>
      </c>
      <c r="H684" s="270">
        <v>56130.6</v>
      </c>
      <c r="I684" s="270">
        <v>62760.4</v>
      </c>
      <c r="J684" s="270">
        <v>63387.5</v>
      </c>
      <c r="K684" s="1246"/>
      <c r="L684" s="1247"/>
      <c r="M684" s="1249"/>
      <c r="N684" s="1249"/>
      <c r="O684" s="1249"/>
      <c r="P684" s="1249"/>
      <c r="Q684" s="1247"/>
    </row>
    <row r="685" spans="1:17" ht="42.75" x14ac:dyDescent="0.25">
      <c r="A685" s="1233"/>
      <c r="B685" s="20" t="s">
        <v>1659</v>
      </c>
      <c r="C685" s="20"/>
      <c r="D685" s="20"/>
      <c r="E685" s="142" t="s">
        <v>1660</v>
      </c>
      <c r="F685" s="352">
        <v>24929.1</v>
      </c>
      <c r="G685" s="352">
        <v>15606.7</v>
      </c>
      <c r="H685" s="352">
        <f>H686</f>
        <v>5994.4</v>
      </c>
      <c r="I685" s="352"/>
      <c r="J685" s="352"/>
      <c r="K685" s="142"/>
      <c r="L685" s="25"/>
      <c r="M685" s="24"/>
      <c r="N685" s="858"/>
      <c r="O685" s="858"/>
      <c r="P685" s="25"/>
      <c r="Q685" s="25"/>
    </row>
    <row r="686" spans="1:17" ht="45" x14ac:dyDescent="0.25">
      <c r="A686" s="1233"/>
      <c r="B686" s="21"/>
      <c r="C686" s="21" t="s">
        <v>17</v>
      </c>
      <c r="D686" s="21"/>
      <c r="E686" s="762" t="s">
        <v>1660</v>
      </c>
      <c r="F686" s="270">
        <v>24929.1</v>
      </c>
      <c r="G686" s="270">
        <v>15606.7</v>
      </c>
      <c r="H686" s="270">
        <v>5994.4</v>
      </c>
      <c r="I686" s="270"/>
      <c r="J686" s="270"/>
      <c r="K686" s="101"/>
      <c r="L686" s="27" t="s">
        <v>13</v>
      </c>
      <c r="M686" s="27"/>
      <c r="N686" s="55">
        <v>74</v>
      </c>
      <c r="O686" s="55">
        <v>64</v>
      </c>
      <c r="P686" s="27"/>
      <c r="Q686" s="27"/>
    </row>
    <row r="687" spans="1:17" ht="28.5" x14ac:dyDescent="0.25">
      <c r="A687" s="1234"/>
      <c r="B687" s="20">
        <v>99</v>
      </c>
      <c r="C687" s="20" t="s">
        <v>658</v>
      </c>
      <c r="D687" s="20"/>
      <c r="E687" s="859" t="s">
        <v>430</v>
      </c>
      <c r="F687" s="352">
        <v>1400460</v>
      </c>
      <c r="G687" s="352">
        <v>5959600.9000000004</v>
      </c>
      <c r="H687" s="352">
        <v>6961847</v>
      </c>
      <c r="I687" s="352">
        <v>7450690</v>
      </c>
      <c r="J687" s="352">
        <v>4620610</v>
      </c>
      <c r="K687" s="101"/>
      <c r="L687" s="27"/>
      <c r="M687" s="55"/>
      <c r="N687" s="55"/>
      <c r="O687" s="27"/>
      <c r="P687" s="27"/>
      <c r="Q687" s="27"/>
    </row>
    <row r="688" spans="1:17" x14ac:dyDescent="0.25">
      <c r="A688" s="1176" t="s">
        <v>15</v>
      </c>
      <c r="B688" s="1177"/>
      <c r="C688" s="1177"/>
      <c r="D688" s="1177"/>
      <c r="E688" s="1178"/>
      <c r="F688" s="855">
        <v>1468208.7</v>
      </c>
      <c r="G688" s="855">
        <v>6043880.5999999996</v>
      </c>
      <c r="H688" s="855">
        <f>H683+H685+H687</f>
        <v>7023972</v>
      </c>
      <c r="I688" s="855">
        <v>7513450.4000000004</v>
      </c>
      <c r="J688" s="855">
        <v>4683997.5</v>
      </c>
      <c r="K688" s="856"/>
      <c r="L688" s="1179"/>
      <c r="M688" s="1179"/>
      <c r="N688" s="1179"/>
      <c r="O688" s="1179"/>
      <c r="P688" s="857"/>
      <c r="Q688" s="856"/>
    </row>
    <row r="689" spans="1:17" x14ac:dyDescent="0.25">
      <c r="A689" s="1227" t="s">
        <v>2004</v>
      </c>
      <c r="B689" s="1228"/>
      <c r="C689" s="1228"/>
      <c r="D689" s="1228"/>
      <c r="E689" s="1228"/>
      <c r="F689" s="1228"/>
      <c r="G689" s="1228"/>
      <c r="H689" s="1228"/>
      <c r="I689" s="1228"/>
      <c r="J689" s="1228"/>
      <c r="K689" s="1228"/>
      <c r="L689" s="1228"/>
      <c r="M689" s="1228"/>
      <c r="N689" s="1228"/>
      <c r="O689" s="1228"/>
      <c r="P689" s="1228"/>
      <c r="Q689" s="1229"/>
    </row>
    <row r="690" spans="1:17" x14ac:dyDescent="0.25">
      <c r="A690" s="1232" t="s">
        <v>1661</v>
      </c>
      <c r="B690" s="1235" t="s">
        <v>8</v>
      </c>
      <c r="C690" s="1236"/>
      <c r="D690" s="1236"/>
      <c r="E690" s="1237" t="s">
        <v>657</v>
      </c>
      <c r="F690" s="1238">
        <v>23655.8</v>
      </c>
      <c r="G690" s="1238">
        <v>42387.7</v>
      </c>
      <c r="H690" s="1238">
        <v>42991.899999999994</v>
      </c>
      <c r="I690" s="1238">
        <v>43256.9</v>
      </c>
      <c r="J690" s="1238">
        <v>43518.6</v>
      </c>
      <c r="K690" s="1240"/>
      <c r="L690" s="1241" t="s">
        <v>431</v>
      </c>
      <c r="M690" s="1242">
        <v>86</v>
      </c>
      <c r="N690" s="1242">
        <v>86</v>
      </c>
      <c r="O690" s="1242">
        <v>92</v>
      </c>
      <c r="P690" s="1242">
        <v>96</v>
      </c>
      <c r="Q690" s="1242">
        <v>97</v>
      </c>
    </row>
    <row r="691" spans="1:17" x14ac:dyDescent="0.25">
      <c r="A691" s="1233"/>
      <c r="B691" s="1235"/>
      <c r="C691" s="1236"/>
      <c r="D691" s="1236"/>
      <c r="E691" s="1237"/>
      <c r="F691" s="1239"/>
      <c r="G691" s="1239"/>
      <c r="H691" s="1239"/>
      <c r="I691" s="1239"/>
      <c r="J691" s="1239"/>
      <c r="K691" s="1240"/>
      <c r="L691" s="1241"/>
      <c r="M691" s="1242"/>
      <c r="N691" s="1242"/>
      <c r="O691" s="1242"/>
      <c r="P691" s="1242"/>
      <c r="Q691" s="1242"/>
    </row>
    <row r="692" spans="1:17" ht="255" x14ac:dyDescent="0.25">
      <c r="A692" s="1233"/>
      <c r="B692" s="38"/>
      <c r="C692" s="729" t="s">
        <v>17</v>
      </c>
      <c r="D692" s="860"/>
      <c r="E692" s="861" t="s">
        <v>1662</v>
      </c>
      <c r="F692" s="83">
        <v>19324.5</v>
      </c>
      <c r="G692" s="862">
        <v>21229.5</v>
      </c>
      <c r="H692" s="862">
        <v>21642.6</v>
      </c>
      <c r="I692" s="862">
        <v>21863.9</v>
      </c>
      <c r="J692" s="862">
        <v>22082.400000000001</v>
      </c>
      <c r="K692" s="863" t="s">
        <v>1663</v>
      </c>
      <c r="L692" s="270" t="s">
        <v>25</v>
      </c>
      <c r="M692" s="270">
        <v>72</v>
      </c>
      <c r="N692" s="864">
        <v>72</v>
      </c>
      <c r="O692" s="864">
        <v>78</v>
      </c>
      <c r="P692" s="864">
        <v>78</v>
      </c>
      <c r="Q692" s="864">
        <v>79</v>
      </c>
    </row>
    <row r="693" spans="1:17" ht="120" x14ac:dyDescent="0.25">
      <c r="A693" s="1234"/>
      <c r="B693" s="38"/>
      <c r="C693" s="729" t="s">
        <v>18</v>
      </c>
      <c r="D693" s="860"/>
      <c r="E693" s="865" t="s">
        <v>1664</v>
      </c>
      <c r="F693" s="83">
        <v>4331.3</v>
      </c>
      <c r="G693" s="862">
        <v>21158.2</v>
      </c>
      <c r="H693" s="862">
        <v>21349.3</v>
      </c>
      <c r="I693" s="862">
        <v>21393</v>
      </c>
      <c r="J693" s="862">
        <v>21436.199999999997</v>
      </c>
      <c r="K693" s="495" t="s">
        <v>1665</v>
      </c>
      <c r="L693" s="270" t="s">
        <v>25</v>
      </c>
      <c r="M693" s="270">
        <v>14</v>
      </c>
      <c r="N693" s="864">
        <v>14</v>
      </c>
      <c r="O693" s="864">
        <v>14</v>
      </c>
      <c r="P693" s="864">
        <v>18</v>
      </c>
      <c r="Q693" s="864">
        <v>18</v>
      </c>
    </row>
    <row r="694" spans="1:17" x14ac:dyDescent="0.25">
      <c r="A694" s="1176" t="s">
        <v>15</v>
      </c>
      <c r="B694" s="1177"/>
      <c r="C694" s="1177"/>
      <c r="D694" s="1177"/>
      <c r="E694" s="1178"/>
      <c r="F694" s="855">
        <v>23655.8</v>
      </c>
      <c r="G694" s="855">
        <v>42387.7</v>
      </c>
      <c r="H694" s="855">
        <v>42991.899999999994</v>
      </c>
      <c r="I694" s="855">
        <v>43256.9</v>
      </c>
      <c r="J694" s="855">
        <v>43518.6</v>
      </c>
      <c r="K694" s="856"/>
      <c r="L694" s="1179"/>
      <c r="M694" s="1179"/>
      <c r="N694" s="1179"/>
      <c r="O694" s="1179"/>
      <c r="P694" s="857"/>
      <c r="Q694" s="856"/>
    </row>
    <row r="695" spans="1:17" x14ac:dyDescent="0.25">
      <c r="A695" s="1227" t="s">
        <v>2003</v>
      </c>
      <c r="B695" s="1228"/>
      <c r="C695" s="1228"/>
      <c r="D695" s="1228"/>
      <c r="E695" s="1228"/>
      <c r="F695" s="1228"/>
      <c r="G695" s="1228"/>
      <c r="H695" s="1228"/>
      <c r="I695" s="1228"/>
      <c r="J695" s="1228"/>
      <c r="K695" s="1228"/>
      <c r="L695" s="1228"/>
      <c r="M695" s="1228"/>
      <c r="N695" s="1228"/>
      <c r="O695" s="1228"/>
      <c r="P695" s="1228"/>
      <c r="Q695" s="1229"/>
    </row>
    <row r="696" spans="1:17" x14ac:dyDescent="0.25">
      <c r="A696" s="1185" t="s">
        <v>1666</v>
      </c>
      <c r="B696" s="1185" t="s">
        <v>8</v>
      </c>
      <c r="C696" s="1204"/>
      <c r="D696" s="1213"/>
      <c r="E696" s="866" t="s">
        <v>657</v>
      </c>
      <c r="F696" s="1215">
        <v>0</v>
      </c>
      <c r="G696" s="1202">
        <v>247603.5</v>
      </c>
      <c r="H696" s="1202">
        <f>H698+H699</f>
        <v>562292.5</v>
      </c>
      <c r="I696" s="1202">
        <v>581243.19999999995</v>
      </c>
      <c r="J696" s="1202">
        <v>597541.6</v>
      </c>
      <c r="K696" s="1217" t="s">
        <v>9</v>
      </c>
      <c r="L696" s="1210" t="s">
        <v>224</v>
      </c>
      <c r="M696" s="1210">
        <v>16.3</v>
      </c>
      <c r="N696" s="1210">
        <v>16.3</v>
      </c>
      <c r="O696" s="1210">
        <v>16.3</v>
      </c>
      <c r="P696" s="1210">
        <v>17.3</v>
      </c>
      <c r="Q696" s="1210">
        <v>18.3</v>
      </c>
    </row>
    <row r="697" spans="1:17" ht="60" x14ac:dyDescent="0.25">
      <c r="A697" s="1193"/>
      <c r="B697" s="1186"/>
      <c r="C697" s="1206"/>
      <c r="D697" s="1214"/>
      <c r="E697" s="867" t="s">
        <v>1667</v>
      </c>
      <c r="F697" s="1216"/>
      <c r="G697" s="1203"/>
      <c r="H697" s="1203"/>
      <c r="I697" s="1203"/>
      <c r="J697" s="1203"/>
      <c r="K697" s="1218"/>
      <c r="L697" s="1212"/>
      <c r="M697" s="1212"/>
      <c r="N697" s="1212"/>
      <c r="O697" s="1212"/>
      <c r="P697" s="1212"/>
      <c r="Q697" s="1212"/>
    </row>
    <row r="698" spans="1:17" ht="30" x14ac:dyDescent="0.25">
      <c r="A698" s="1193"/>
      <c r="B698" s="421"/>
      <c r="C698" s="421" t="s">
        <v>17</v>
      </c>
      <c r="D698" s="421"/>
      <c r="E698" s="854" t="s">
        <v>10</v>
      </c>
      <c r="F698" s="84"/>
      <c r="G698" s="84">
        <v>72264.7</v>
      </c>
      <c r="H698" s="84">
        <v>164518.20000000001</v>
      </c>
      <c r="I698" s="84">
        <v>170940.59999999998</v>
      </c>
      <c r="J698" s="84">
        <v>175821.4</v>
      </c>
      <c r="K698" s="75"/>
      <c r="L698" s="84"/>
      <c r="M698" s="84"/>
      <c r="N698" s="84"/>
      <c r="O698" s="84"/>
      <c r="P698" s="868"/>
      <c r="Q698" s="868"/>
    </row>
    <row r="699" spans="1:17" ht="30" x14ac:dyDescent="0.25">
      <c r="A699" s="1193"/>
      <c r="B699" s="421"/>
      <c r="C699" s="421" t="s">
        <v>18</v>
      </c>
      <c r="D699" s="421"/>
      <c r="E699" s="851" t="s">
        <v>275</v>
      </c>
      <c r="F699" s="842"/>
      <c r="G699" s="842">
        <v>175338.8</v>
      </c>
      <c r="H699" s="842">
        <v>397774.3</v>
      </c>
      <c r="I699" s="842">
        <v>410302.6</v>
      </c>
      <c r="J699" s="842">
        <v>421720.2</v>
      </c>
      <c r="K699" s="75"/>
      <c r="L699" s="84"/>
      <c r="M699" s="84"/>
      <c r="N699" s="84"/>
      <c r="O699" s="84"/>
      <c r="P699" s="868"/>
      <c r="Q699" s="868"/>
    </row>
    <row r="700" spans="1:17" ht="42.75" x14ac:dyDescent="0.25">
      <c r="A700" s="1193"/>
      <c r="B700" s="1185" t="s">
        <v>1919</v>
      </c>
      <c r="C700" s="1185"/>
      <c r="D700" s="1230"/>
      <c r="E700" s="869" t="s">
        <v>1668</v>
      </c>
      <c r="F700" s="1215">
        <v>0</v>
      </c>
      <c r="G700" s="1202">
        <v>53897.1</v>
      </c>
      <c r="H700" s="1202">
        <f>H702+H705+H708</f>
        <v>95349.3</v>
      </c>
      <c r="I700" s="1202">
        <v>95349.4</v>
      </c>
      <c r="J700" s="1202">
        <v>96349.4</v>
      </c>
      <c r="K700" s="1217" t="s">
        <v>1669</v>
      </c>
      <c r="L700" s="1202" t="s">
        <v>757</v>
      </c>
      <c r="M700" s="1202">
        <v>105</v>
      </c>
      <c r="N700" s="1202">
        <v>105</v>
      </c>
      <c r="O700" s="1202">
        <v>105</v>
      </c>
      <c r="P700" s="1202">
        <v>105</v>
      </c>
      <c r="Q700" s="1202">
        <v>105</v>
      </c>
    </row>
    <row r="701" spans="1:17" ht="105" x14ac:dyDescent="0.25">
      <c r="A701" s="1193"/>
      <c r="B701" s="1186"/>
      <c r="C701" s="1186"/>
      <c r="D701" s="1231"/>
      <c r="E701" s="867" t="s">
        <v>1670</v>
      </c>
      <c r="F701" s="1216"/>
      <c r="G701" s="1203"/>
      <c r="H701" s="1203"/>
      <c r="I701" s="1203"/>
      <c r="J701" s="1203"/>
      <c r="K701" s="1218"/>
      <c r="L701" s="1203"/>
      <c r="M701" s="1203"/>
      <c r="N701" s="1203"/>
      <c r="O701" s="1203"/>
      <c r="P701" s="1203"/>
      <c r="Q701" s="1203"/>
    </row>
    <row r="702" spans="1:17" ht="45" x14ac:dyDescent="0.25">
      <c r="A702" s="1193"/>
      <c r="B702" s="1185"/>
      <c r="C702" s="1204" t="s">
        <v>17</v>
      </c>
      <c r="D702" s="1185"/>
      <c r="E702" s="1207" t="s">
        <v>1671</v>
      </c>
      <c r="F702" s="1210"/>
      <c r="G702" s="1224">
        <v>20958.099999999999</v>
      </c>
      <c r="H702" s="1210">
        <v>59722</v>
      </c>
      <c r="I702" s="1210">
        <v>59722.1</v>
      </c>
      <c r="J702" s="1210">
        <v>60222.1</v>
      </c>
      <c r="K702" s="75" t="s">
        <v>1672</v>
      </c>
      <c r="L702" s="84" t="s">
        <v>315</v>
      </c>
      <c r="M702" s="84">
        <v>323</v>
      </c>
      <c r="N702" s="84">
        <v>323</v>
      </c>
      <c r="O702" s="84">
        <v>323</v>
      </c>
      <c r="P702" s="84">
        <v>323</v>
      </c>
      <c r="Q702" s="84">
        <v>323</v>
      </c>
    </row>
    <row r="703" spans="1:17" ht="30" x14ac:dyDescent="0.25">
      <c r="A703" s="1193"/>
      <c r="B703" s="1193"/>
      <c r="C703" s="1205"/>
      <c r="D703" s="1193"/>
      <c r="E703" s="1207"/>
      <c r="F703" s="1211"/>
      <c r="G703" s="1225"/>
      <c r="H703" s="1211"/>
      <c r="I703" s="1211"/>
      <c r="J703" s="1211"/>
      <c r="K703" s="75" t="s">
        <v>1673</v>
      </c>
      <c r="L703" s="84" t="s">
        <v>114</v>
      </c>
      <c r="M703" s="84">
        <v>506</v>
      </c>
      <c r="N703" s="84">
        <v>506</v>
      </c>
      <c r="O703" s="84">
        <v>506</v>
      </c>
      <c r="P703" s="84">
        <v>506</v>
      </c>
      <c r="Q703" s="84">
        <v>506</v>
      </c>
    </row>
    <row r="704" spans="1:17" ht="45" x14ac:dyDescent="0.25">
      <c r="A704" s="1193"/>
      <c r="B704" s="1186"/>
      <c r="C704" s="1206"/>
      <c r="D704" s="1186"/>
      <c r="E704" s="1208"/>
      <c r="F704" s="1212"/>
      <c r="G704" s="1226"/>
      <c r="H704" s="1212"/>
      <c r="I704" s="1212"/>
      <c r="J704" s="1212"/>
      <c r="K704" s="75" t="s">
        <v>1674</v>
      </c>
      <c r="L704" s="84" t="s">
        <v>25</v>
      </c>
      <c r="M704" s="84">
        <v>50</v>
      </c>
      <c r="N704" s="84">
        <v>50</v>
      </c>
      <c r="O704" s="84">
        <v>50</v>
      </c>
      <c r="P704" s="84">
        <v>50</v>
      </c>
      <c r="Q704" s="84">
        <v>50</v>
      </c>
    </row>
    <row r="705" spans="1:17" ht="75" x14ac:dyDescent="0.25">
      <c r="A705" s="1193"/>
      <c r="B705" s="1221"/>
      <c r="C705" s="1221" t="s">
        <v>18</v>
      </c>
      <c r="D705" s="1221"/>
      <c r="E705" s="1222" t="s">
        <v>1675</v>
      </c>
      <c r="F705" s="1210"/>
      <c r="G705" s="1224">
        <v>22920</v>
      </c>
      <c r="H705" s="1210">
        <v>14946.1</v>
      </c>
      <c r="I705" s="1210">
        <v>14946.1</v>
      </c>
      <c r="J705" s="1210">
        <v>14946.1</v>
      </c>
      <c r="K705" s="75" t="s">
        <v>1676</v>
      </c>
      <c r="L705" s="84" t="s">
        <v>12</v>
      </c>
      <c r="M705" s="84">
        <v>4</v>
      </c>
      <c r="N705" s="84">
        <v>4</v>
      </c>
      <c r="O705" s="84">
        <v>4</v>
      </c>
      <c r="P705" s="84">
        <v>4</v>
      </c>
      <c r="Q705" s="84">
        <v>4</v>
      </c>
    </row>
    <row r="706" spans="1:17" ht="30" x14ac:dyDescent="0.25">
      <c r="A706" s="1193"/>
      <c r="B706" s="1221"/>
      <c r="C706" s="1221"/>
      <c r="D706" s="1221"/>
      <c r="E706" s="1222"/>
      <c r="F706" s="1211"/>
      <c r="G706" s="1225"/>
      <c r="H706" s="1211"/>
      <c r="I706" s="1211"/>
      <c r="J706" s="1211"/>
      <c r="K706" s="75" t="s">
        <v>1677</v>
      </c>
      <c r="L706" s="84" t="s">
        <v>14</v>
      </c>
      <c r="M706" s="84">
        <v>92</v>
      </c>
      <c r="N706" s="84">
        <v>92</v>
      </c>
      <c r="O706" s="84">
        <v>92</v>
      </c>
      <c r="P706" s="84">
        <v>92</v>
      </c>
      <c r="Q706" s="84">
        <v>92</v>
      </c>
    </row>
    <row r="707" spans="1:17" ht="60" x14ac:dyDescent="0.25">
      <c r="A707" s="1193"/>
      <c r="B707" s="1221"/>
      <c r="C707" s="1221"/>
      <c r="D707" s="1221"/>
      <c r="E707" s="1222"/>
      <c r="F707" s="1212"/>
      <c r="G707" s="1226"/>
      <c r="H707" s="1212"/>
      <c r="I707" s="1212"/>
      <c r="J707" s="1212"/>
      <c r="K707" s="75" t="s">
        <v>1678</v>
      </c>
      <c r="L707" s="84" t="s">
        <v>14</v>
      </c>
      <c r="M707" s="84">
        <v>92</v>
      </c>
      <c r="N707" s="84">
        <v>92</v>
      </c>
      <c r="O707" s="84">
        <v>92</v>
      </c>
      <c r="P707" s="84">
        <v>92</v>
      </c>
      <c r="Q707" s="84">
        <v>92</v>
      </c>
    </row>
    <row r="708" spans="1:17" ht="45" x14ac:dyDescent="0.25">
      <c r="A708" s="1193"/>
      <c r="B708" s="1221"/>
      <c r="C708" s="1221" t="s">
        <v>16</v>
      </c>
      <c r="D708" s="1221"/>
      <c r="E708" s="1222" t="s">
        <v>1679</v>
      </c>
      <c r="F708" s="1210"/>
      <c r="G708" s="1224">
        <v>10019</v>
      </c>
      <c r="H708" s="1210">
        <v>20681.2</v>
      </c>
      <c r="I708" s="1210">
        <v>20681.2</v>
      </c>
      <c r="J708" s="1210">
        <v>21181.200000000001</v>
      </c>
      <c r="K708" s="848" t="s">
        <v>1680</v>
      </c>
      <c r="L708" s="84" t="s">
        <v>12</v>
      </c>
      <c r="M708" s="84">
        <v>187</v>
      </c>
      <c r="N708" s="84">
        <v>187</v>
      </c>
      <c r="O708" s="84">
        <v>187</v>
      </c>
      <c r="P708" s="84">
        <v>187</v>
      </c>
      <c r="Q708" s="84">
        <v>187</v>
      </c>
    </row>
    <row r="709" spans="1:17" ht="30" x14ac:dyDescent="0.25">
      <c r="A709" s="1193"/>
      <c r="B709" s="1221"/>
      <c r="C709" s="1221"/>
      <c r="D709" s="1221"/>
      <c r="E709" s="1222"/>
      <c r="F709" s="1211"/>
      <c r="G709" s="1225"/>
      <c r="H709" s="1211"/>
      <c r="I709" s="1211"/>
      <c r="J709" s="1211"/>
      <c r="K709" s="848" t="s">
        <v>1681</v>
      </c>
      <c r="L709" s="84" t="s">
        <v>12</v>
      </c>
      <c r="M709" s="84">
        <v>2500</v>
      </c>
      <c r="N709" s="84">
        <v>2500</v>
      </c>
      <c r="O709" s="84">
        <v>2500</v>
      </c>
      <c r="P709" s="84">
        <v>2500</v>
      </c>
      <c r="Q709" s="84">
        <v>2500</v>
      </c>
    </row>
    <row r="710" spans="1:17" ht="30" x14ac:dyDescent="0.25">
      <c r="A710" s="1193"/>
      <c r="B710" s="1221"/>
      <c r="C710" s="1221"/>
      <c r="D710" s="1221"/>
      <c r="E710" s="1223"/>
      <c r="F710" s="1212"/>
      <c r="G710" s="1226"/>
      <c r="H710" s="1212"/>
      <c r="I710" s="1212"/>
      <c r="J710" s="1212"/>
      <c r="K710" s="848" t="s">
        <v>1682</v>
      </c>
      <c r="L710" s="842" t="s">
        <v>315</v>
      </c>
      <c r="M710" s="84">
        <v>100</v>
      </c>
      <c r="N710" s="84">
        <v>100</v>
      </c>
      <c r="O710" s="84">
        <v>100</v>
      </c>
      <c r="P710" s="84">
        <v>100</v>
      </c>
      <c r="Q710" s="84">
        <v>100</v>
      </c>
    </row>
    <row r="711" spans="1:17" x14ac:dyDescent="0.25">
      <c r="A711" s="1193"/>
      <c r="B711" s="1185" t="s">
        <v>1920</v>
      </c>
      <c r="C711" s="1204"/>
      <c r="D711" s="1213"/>
      <c r="E711" s="866" t="s">
        <v>1683</v>
      </c>
      <c r="F711" s="1215">
        <v>0</v>
      </c>
      <c r="G711" s="1202">
        <v>235204.8</v>
      </c>
      <c r="H711" s="1202">
        <f>H713</f>
        <v>218410.5</v>
      </c>
      <c r="I711" s="1202">
        <v>222410.3</v>
      </c>
      <c r="J711" s="1202">
        <v>228830</v>
      </c>
      <c r="K711" s="1219" t="s">
        <v>1684</v>
      </c>
      <c r="L711" s="1202" t="s">
        <v>14</v>
      </c>
      <c r="M711" s="1202">
        <v>7.38</v>
      </c>
      <c r="N711" s="1202">
        <v>7.38</v>
      </c>
      <c r="O711" s="1202">
        <v>7.38</v>
      </c>
      <c r="P711" s="1202">
        <v>7.38</v>
      </c>
      <c r="Q711" s="1202">
        <v>7.38</v>
      </c>
    </row>
    <row r="712" spans="1:17" ht="105" x14ac:dyDescent="0.25">
      <c r="A712" s="1193"/>
      <c r="B712" s="1186"/>
      <c r="C712" s="1206"/>
      <c r="D712" s="1214"/>
      <c r="E712" s="867" t="s">
        <v>1685</v>
      </c>
      <c r="F712" s="1216"/>
      <c r="G712" s="1203"/>
      <c r="H712" s="1203"/>
      <c r="I712" s="1203"/>
      <c r="J712" s="1203"/>
      <c r="K712" s="1220"/>
      <c r="L712" s="1203"/>
      <c r="M712" s="1203"/>
      <c r="N712" s="1203"/>
      <c r="O712" s="1203"/>
      <c r="P712" s="1203"/>
      <c r="Q712" s="1203"/>
    </row>
    <row r="713" spans="1:17" ht="30" x14ac:dyDescent="0.25">
      <c r="A713" s="1193"/>
      <c r="B713" s="1185"/>
      <c r="C713" s="1204" t="s">
        <v>17</v>
      </c>
      <c r="D713" s="1204"/>
      <c r="E713" s="1207" t="s">
        <v>1686</v>
      </c>
      <c r="F713" s="1202"/>
      <c r="G713" s="1210">
        <v>235204.8</v>
      </c>
      <c r="H713" s="1210">
        <v>218410.5</v>
      </c>
      <c r="I713" s="1210">
        <v>222410.3</v>
      </c>
      <c r="J713" s="1210">
        <v>228830</v>
      </c>
      <c r="K713" s="75" t="s">
        <v>1687</v>
      </c>
      <c r="L713" s="84" t="s">
        <v>39</v>
      </c>
      <c r="M713" s="84">
        <v>1476122</v>
      </c>
      <c r="N713" s="84">
        <v>1476122</v>
      </c>
      <c r="O713" s="84">
        <v>1476122</v>
      </c>
      <c r="P713" s="84">
        <v>1476122</v>
      </c>
      <c r="Q713" s="84">
        <v>1476122</v>
      </c>
    </row>
    <row r="714" spans="1:17" ht="30" x14ac:dyDescent="0.25">
      <c r="A714" s="1193"/>
      <c r="B714" s="1193"/>
      <c r="C714" s="1205"/>
      <c r="D714" s="1205"/>
      <c r="E714" s="1207"/>
      <c r="F714" s="1209"/>
      <c r="G714" s="1211"/>
      <c r="H714" s="1211"/>
      <c r="I714" s="1211"/>
      <c r="J714" s="1211"/>
      <c r="K714" s="75" t="s">
        <v>1688</v>
      </c>
      <c r="L714" s="84" t="s">
        <v>12</v>
      </c>
      <c r="M714" s="84">
        <v>175</v>
      </c>
      <c r="N714" s="84">
        <v>175</v>
      </c>
      <c r="O714" s="84">
        <v>175</v>
      </c>
      <c r="P714" s="84">
        <v>175</v>
      </c>
      <c r="Q714" s="84">
        <v>175</v>
      </c>
    </row>
    <row r="715" spans="1:17" ht="30" x14ac:dyDescent="0.25">
      <c r="A715" s="1193"/>
      <c r="B715" s="1193"/>
      <c r="C715" s="1205"/>
      <c r="D715" s="1205"/>
      <c r="E715" s="1207"/>
      <c r="F715" s="1209"/>
      <c r="G715" s="1211"/>
      <c r="H715" s="1211"/>
      <c r="I715" s="1211"/>
      <c r="J715" s="1211"/>
      <c r="K715" s="75" t="s">
        <v>1689</v>
      </c>
      <c r="L715" s="84" t="s">
        <v>12</v>
      </c>
      <c r="M715" s="84">
        <v>14</v>
      </c>
      <c r="N715" s="84">
        <v>14</v>
      </c>
      <c r="O715" s="84">
        <v>14</v>
      </c>
      <c r="P715" s="84">
        <v>14</v>
      </c>
      <c r="Q715" s="84">
        <v>14</v>
      </c>
    </row>
    <row r="716" spans="1:17" ht="45" x14ac:dyDescent="0.25">
      <c r="A716" s="1193"/>
      <c r="B716" s="1193"/>
      <c r="C716" s="1205"/>
      <c r="D716" s="1205"/>
      <c r="E716" s="1207"/>
      <c r="F716" s="1209"/>
      <c r="G716" s="1211"/>
      <c r="H716" s="1211"/>
      <c r="I716" s="1211"/>
      <c r="J716" s="1211"/>
      <c r="K716" s="75" t="s">
        <v>1690</v>
      </c>
      <c r="L716" s="84" t="s">
        <v>12</v>
      </c>
      <c r="M716" s="84">
        <v>0</v>
      </c>
      <c r="N716" s="84">
        <v>0</v>
      </c>
      <c r="O716" s="84">
        <v>0</v>
      </c>
      <c r="P716" s="84">
        <v>1</v>
      </c>
      <c r="Q716" s="84">
        <v>2</v>
      </c>
    </row>
    <row r="717" spans="1:17" ht="105" x14ac:dyDescent="0.25">
      <c r="A717" s="1193"/>
      <c r="B717" s="1193"/>
      <c r="C717" s="1205"/>
      <c r="D717" s="1205"/>
      <c r="E717" s="1207"/>
      <c r="F717" s="1209"/>
      <c r="G717" s="1211"/>
      <c r="H717" s="1211"/>
      <c r="I717" s="1211"/>
      <c r="J717" s="1211"/>
      <c r="K717" s="75" t="s">
        <v>1691</v>
      </c>
      <c r="L717" s="84" t="s">
        <v>12</v>
      </c>
      <c r="M717" s="84" t="s">
        <v>1692</v>
      </c>
      <c r="N717" s="84" t="s">
        <v>1692</v>
      </c>
      <c r="O717" s="84" t="s">
        <v>1692</v>
      </c>
      <c r="P717" s="84" t="s">
        <v>1693</v>
      </c>
      <c r="Q717" s="84" t="s">
        <v>1694</v>
      </c>
    </row>
    <row r="718" spans="1:17" ht="75" x14ac:dyDescent="0.25">
      <c r="A718" s="1193"/>
      <c r="B718" s="1186"/>
      <c r="C718" s="1206"/>
      <c r="D718" s="1206"/>
      <c r="E718" s="1208"/>
      <c r="F718" s="1203"/>
      <c r="G718" s="1212"/>
      <c r="H718" s="1212"/>
      <c r="I718" s="1212"/>
      <c r="J718" s="1212"/>
      <c r="K718" s="75" t="s">
        <v>2056</v>
      </c>
      <c r="L718" s="84" t="s">
        <v>12</v>
      </c>
      <c r="M718" s="84">
        <v>4000</v>
      </c>
      <c r="N718" s="84">
        <v>4000</v>
      </c>
      <c r="O718" s="84">
        <v>4000</v>
      </c>
      <c r="P718" s="84">
        <v>4001</v>
      </c>
      <c r="Q718" s="84">
        <v>4002</v>
      </c>
    </row>
    <row r="719" spans="1:17" ht="89.25" x14ac:dyDescent="0.25">
      <c r="A719" s="1193"/>
      <c r="B719" s="763" t="s">
        <v>1921</v>
      </c>
      <c r="C719" s="870"/>
      <c r="D719" s="871"/>
      <c r="E719" s="783" t="s">
        <v>2000</v>
      </c>
      <c r="F719" s="872">
        <v>27417.8</v>
      </c>
      <c r="G719" s="872">
        <v>29284.7</v>
      </c>
      <c r="H719" s="872">
        <f>H720</f>
        <v>36794.300000000003</v>
      </c>
      <c r="I719" s="872">
        <v>30260</v>
      </c>
      <c r="J719" s="872">
        <v>30260</v>
      </c>
      <c r="K719" s="873" t="s">
        <v>1695</v>
      </c>
      <c r="L719" s="874" t="s">
        <v>1696</v>
      </c>
      <c r="M719" s="874" t="s">
        <v>1697</v>
      </c>
      <c r="N719" s="874">
        <v>100</v>
      </c>
      <c r="O719" s="874">
        <v>30</v>
      </c>
      <c r="P719" s="874">
        <v>25</v>
      </c>
      <c r="Q719" s="874">
        <v>20</v>
      </c>
    </row>
    <row r="720" spans="1:17" ht="30" x14ac:dyDescent="0.25">
      <c r="A720" s="1193"/>
      <c r="B720" s="1185"/>
      <c r="C720" s="1187" t="s">
        <v>17</v>
      </c>
      <c r="D720" s="1195"/>
      <c r="E720" s="1198" t="s">
        <v>1698</v>
      </c>
      <c r="F720" s="1191">
        <v>27417.8</v>
      </c>
      <c r="G720" s="1191">
        <v>29284.7</v>
      </c>
      <c r="H720" s="1191">
        <v>36794.300000000003</v>
      </c>
      <c r="I720" s="1191">
        <v>30260</v>
      </c>
      <c r="J720" s="1191">
        <v>30260</v>
      </c>
      <c r="K720" s="875" t="s">
        <v>1699</v>
      </c>
      <c r="L720" s="875"/>
      <c r="M720" s="868"/>
      <c r="N720" s="868"/>
      <c r="O720" s="868"/>
      <c r="P720" s="868"/>
      <c r="Q720" s="876"/>
    </row>
    <row r="721" spans="1:17" x14ac:dyDescent="0.25">
      <c r="A721" s="1193"/>
      <c r="B721" s="1193"/>
      <c r="C721" s="1194"/>
      <c r="D721" s="1196"/>
      <c r="E721" s="1199"/>
      <c r="F721" s="1201"/>
      <c r="G721" s="1201"/>
      <c r="H721" s="1201"/>
      <c r="I721" s="1201"/>
      <c r="J721" s="1201"/>
      <c r="K721" s="868" t="s">
        <v>1700</v>
      </c>
      <c r="L721" s="876" t="s">
        <v>14</v>
      </c>
      <c r="M721" s="876">
        <v>3.8</v>
      </c>
      <c r="N721" s="876">
        <v>1</v>
      </c>
      <c r="O721" s="876">
        <v>1</v>
      </c>
      <c r="P721" s="876">
        <v>1</v>
      </c>
      <c r="Q721" s="876">
        <v>1</v>
      </c>
    </row>
    <row r="722" spans="1:17" x14ac:dyDescent="0.25">
      <c r="A722" s="1193"/>
      <c r="B722" s="1186"/>
      <c r="C722" s="1188"/>
      <c r="D722" s="1197"/>
      <c r="E722" s="1200"/>
      <c r="F722" s="1192"/>
      <c r="G722" s="1192"/>
      <c r="H722" s="1192"/>
      <c r="I722" s="1192"/>
      <c r="J722" s="1192"/>
      <c r="K722" s="868" t="s">
        <v>1701</v>
      </c>
      <c r="L722" s="876" t="s">
        <v>14</v>
      </c>
      <c r="M722" s="876">
        <v>0</v>
      </c>
      <c r="N722" s="876">
        <v>1</v>
      </c>
      <c r="O722" s="876">
        <v>1</v>
      </c>
      <c r="P722" s="876">
        <v>1</v>
      </c>
      <c r="Q722" s="876">
        <v>1</v>
      </c>
    </row>
    <row r="723" spans="1:17" ht="206.25" x14ac:dyDescent="0.25">
      <c r="A723" s="1193"/>
      <c r="B723" s="378" t="s">
        <v>1922</v>
      </c>
      <c r="C723" s="378"/>
      <c r="D723" s="378"/>
      <c r="E723" s="873" t="s">
        <v>1999</v>
      </c>
      <c r="F723" s="872">
        <v>13562.1</v>
      </c>
      <c r="G723" s="872">
        <v>22000</v>
      </c>
      <c r="H723" s="872">
        <f>H724+H725+H727</f>
        <v>22000</v>
      </c>
      <c r="I723" s="872">
        <v>22000</v>
      </c>
      <c r="J723" s="872">
        <v>22000</v>
      </c>
      <c r="K723" s="873" t="s">
        <v>1702</v>
      </c>
      <c r="L723" s="872" t="s">
        <v>14</v>
      </c>
      <c r="M723" s="872">
        <v>100</v>
      </c>
      <c r="N723" s="872">
        <v>5</v>
      </c>
      <c r="O723" s="872">
        <v>50</v>
      </c>
      <c r="P723" s="872">
        <v>50</v>
      </c>
      <c r="Q723" s="872">
        <v>50</v>
      </c>
    </row>
    <row r="724" spans="1:17" ht="45" x14ac:dyDescent="0.25">
      <c r="A724" s="1193"/>
      <c r="B724" s="761"/>
      <c r="C724" s="359" t="s">
        <v>17</v>
      </c>
      <c r="D724" s="877"/>
      <c r="E724" s="851" t="s">
        <v>1703</v>
      </c>
      <c r="F724" s="876"/>
      <c r="G724" s="876">
        <v>11500</v>
      </c>
      <c r="H724" s="876">
        <v>10000</v>
      </c>
      <c r="I724" s="876">
        <v>11500</v>
      </c>
      <c r="J724" s="876">
        <v>11500</v>
      </c>
      <c r="K724" s="878" t="s">
        <v>1704</v>
      </c>
      <c r="L724" s="876" t="s">
        <v>14</v>
      </c>
      <c r="M724" s="876">
        <v>100</v>
      </c>
      <c r="N724" s="876">
        <v>5</v>
      </c>
      <c r="O724" s="876">
        <v>20</v>
      </c>
      <c r="P724" s="876">
        <v>20</v>
      </c>
      <c r="Q724" s="876">
        <v>20</v>
      </c>
    </row>
    <row r="725" spans="1:17" ht="60" x14ac:dyDescent="0.25">
      <c r="A725" s="1193"/>
      <c r="B725" s="1185"/>
      <c r="C725" s="1187" t="s">
        <v>18</v>
      </c>
      <c r="D725" s="1187"/>
      <c r="E725" s="1189" t="s">
        <v>1705</v>
      </c>
      <c r="F725" s="1191">
        <v>7000</v>
      </c>
      <c r="G725" s="1191">
        <v>4500</v>
      </c>
      <c r="H725" s="1191">
        <v>5500</v>
      </c>
      <c r="I725" s="1191">
        <v>4500</v>
      </c>
      <c r="J725" s="1191">
        <v>4500</v>
      </c>
      <c r="K725" s="878" t="s">
        <v>2001</v>
      </c>
      <c r="L725" s="791" t="s">
        <v>1706</v>
      </c>
      <c r="M725" s="876">
        <v>45619</v>
      </c>
      <c r="N725" s="876">
        <v>34000</v>
      </c>
      <c r="O725" s="876">
        <v>34000</v>
      </c>
      <c r="P725" s="876">
        <v>34000</v>
      </c>
      <c r="Q725" s="876">
        <v>34000</v>
      </c>
    </row>
    <row r="726" spans="1:17" ht="30" x14ac:dyDescent="0.25">
      <c r="A726" s="1193"/>
      <c r="B726" s="1186"/>
      <c r="C726" s="1188"/>
      <c r="D726" s="1188"/>
      <c r="E726" s="1190"/>
      <c r="F726" s="1192"/>
      <c r="G726" s="1192"/>
      <c r="H726" s="1192"/>
      <c r="I726" s="1192"/>
      <c r="J726" s="1192"/>
      <c r="K726" s="878" t="s">
        <v>1707</v>
      </c>
      <c r="L726" s="876" t="s">
        <v>1708</v>
      </c>
      <c r="M726" s="876">
        <v>53.5</v>
      </c>
      <c r="N726" s="876">
        <v>30</v>
      </c>
      <c r="O726" s="876">
        <v>30</v>
      </c>
      <c r="P726" s="876">
        <v>30</v>
      </c>
      <c r="Q726" s="876">
        <v>30</v>
      </c>
    </row>
    <row r="727" spans="1:17" ht="60" x14ac:dyDescent="0.25">
      <c r="A727" s="1193"/>
      <c r="B727" s="1185"/>
      <c r="C727" s="1187" t="s">
        <v>16</v>
      </c>
      <c r="D727" s="1187"/>
      <c r="E727" s="1189" t="s">
        <v>1709</v>
      </c>
      <c r="F727" s="1191">
        <v>6562.1</v>
      </c>
      <c r="G727" s="1191">
        <v>6000</v>
      </c>
      <c r="H727" s="1191">
        <v>6500</v>
      </c>
      <c r="I727" s="1191">
        <v>6000</v>
      </c>
      <c r="J727" s="1191">
        <v>6000</v>
      </c>
      <c r="K727" s="878" t="s">
        <v>1710</v>
      </c>
      <c r="L727" s="876" t="s">
        <v>14</v>
      </c>
      <c r="M727" s="876">
        <v>100</v>
      </c>
      <c r="N727" s="876">
        <v>20</v>
      </c>
      <c r="O727" s="876">
        <v>50</v>
      </c>
      <c r="P727" s="876">
        <v>50</v>
      </c>
      <c r="Q727" s="876">
        <v>50</v>
      </c>
    </row>
    <row r="728" spans="1:17" ht="60" x14ac:dyDescent="0.25">
      <c r="A728" s="1186"/>
      <c r="B728" s="1186"/>
      <c r="C728" s="1188"/>
      <c r="D728" s="1188"/>
      <c r="E728" s="1190"/>
      <c r="F728" s="1192"/>
      <c r="G728" s="1192"/>
      <c r="H728" s="1192"/>
      <c r="I728" s="1192"/>
      <c r="J728" s="1192"/>
      <c r="K728" s="878" t="s">
        <v>1711</v>
      </c>
      <c r="L728" s="876" t="s">
        <v>14</v>
      </c>
      <c r="M728" s="876">
        <v>100</v>
      </c>
      <c r="N728" s="876">
        <v>20</v>
      </c>
      <c r="O728" s="876">
        <v>50</v>
      </c>
      <c r="P728" s="876">
        <v>50</v>
      </c>
      <c r="Q728" s="876">
        <v>50</v>
      </c>
    </row>
    <row r="729" spans="1:17" x14ac:dyDescent="0.25">
      <c r="A729" s="1176" t="s">
        <v>15</v>
      </c>
      <c r="B729" s="1177"/>
      <c r="C729" s="1177"/>
      <c r="D729" s="1177"/>
      <c r="E729" s="1178"/>
      <c r="F729" s="879">
        <v>49979.9</v>
      </c>
      <c r="G729" s="879">
        <v>596990.09999999986</v>
      </c>
      <c r="H729" s="879">
        <f>H696+H700+H711+H719+H723</f>
        <v>934846.60000000009</v>
      </c>
      <c r="I729" s="879">
        <v>956708.2</v>
      </c>
      <c r="J729" s="879">
        <v>979337.2</v>
      </c>
      <c r="K729" s="856"/>
      <c r="L729" s="1179"/>
      <c r="M729" s="1179"/>
      <c r="N729" s="1179"/>
      <c r="O729" s="1179"/>
      <c r="P729" s="857"/>
      <c r="Q729" s="856"/>
    </row>
    <row r="730" spans="1:17" x14ac:dyDescent="0.25">
      <c r="A730" s="1153" t="s">
        <v>2002</v>
      </c>
      <c r="B730" s="1155"/>
      <c r="C730" s="1155"/>
      <c r="D730" s="1155"/>
      <c r="E730" s="1155"/>
      <c r="F730" s="1180"/>
      <c r="G730" s="1180"/>
      <c r="H730" s="1180"/>
      <c r="I730" s="1180"/>
      <c r="J730" s="1180"/>
      <c r="K730" s="1180"/>
      <c r="L730" s="1180"/>
      <c r="M730" s="1180"/>
      <c r="N730" s="1180"/>
      <c r="O730" s="1180"/>
      <c r="P730" s="1180"/>
      <c r="Q730" s="1181"/>
    </row>
    <row r="731" spans="1:17" ht="59.25" x14ac:dyDescent="0.25">
      <c r="A731" s="1157">
        <v>68</v>
      </c>
      <c r="B731" s="880">
        <v>1</v>
      </c>
      <c r="C731" s="881"/>
      <c r="D731" s="882"/>
      <c r="E731" s="883" t="s">
        <v>1712</v>
      </c>
      <c r="F731" s="569">
        <f>F732+F733</f>
        <v>2937</v>
      </c>
      <c r="G731" s="569">
        <f>G732+G733</f>
        <v>3487</v>
      </c>
      <c r="H731" s="569">
        <f>H732+H733</f>
        <v>3603.9</v>
      </c>
      <c r="I731" s="569">
        <f>I732+I733</f>
        <v>3640.8</v>
      </c>
      <c r="J731" s="569">
        <f>J732+J733</f>
        <v>3677.2</v>
      </c>
      <c r="K731" s="278" t="s">
        <v>1713</v>
      </c>
      <c r="L731" s="19" t="s">
        <v>14</v>
      </c>
      <c r="M731" s="884">
        <v>100</v>
      </c>
      <c r="N731" s="884">
        <v>100</v>
      </c>
      <c r="O731" s="884">
        <v>100</v>
      </c>
      <c r="P731" s="884">
        <v>100</v>
      </c>
      <c r="Q731" s="884">
        <v>100</v>
      </c>
    </row>
    <row r="732" spans="1:17" ht="45" x14ac:dyDescent="0.25">
      <c r="A732" s="1104"/>
      <c r="B732" s="885"/>
      <c r="C732" s="886">
        <v>1</v>
      </c>
      <c r="D732" s="881"/>
      <c r="E732" s="887" t="s">
        <v>10</v>
      </c>
      <c r="F732" s="44">
        <f>2026.1+303.5</f>
        <v>2329.6</v>
      </c>
      <c r="G732" s="44">
        <v>3487</v>
      </c>
      <c r="H732" s="44">
        <v>3603.9</v>
      </c>
      <c r="I732" s="44">
        <v>3640.8</v>
      </c>
      <c r="J732" s="44">
        <v>3677.2</v>
      </c>
      <c r="K732" s="162" t="s">
        <v>1713</v>
      </c>
      <c r="L732" s="19" t="s">
        <v>14</v>
      </c>
      <c r="M732" s="884">
        <v>100</v>
      </c>
      <c r="N732" s="884">
        <v>100</v>
      </c>
      <c r="O732" s="884">
        <v>100</v>
      </c>
      <c r="P732" s="884">
        <v>100</v>
      </c>
      <c r="Q732" s="884">
        <v>100</v>
      </c>
    </row>
    <row r="733" spans="1:17" x14ac:dyDescent="0.25">
      <c r="A733" s="1105"/>
      <c r="B733" s="885"/>
      <c r="C733" s="888">
        <v>2</v>
      </c>
      <c r="D733" s="881"/>
      <c r="E733" s="889" t="s">
        <v>11</v>
      </c>
      <c r="F733" s="756">
        <f>601+6.4</f>
        <v>607.4</v>
      </c>
      <c r="G733" s="756"/>
      <c r="H733" s="756"/>
      <c r="I733" s="756"/>
      <c r="J733" s="756"/>
      <c r="K733" s="1182"/>
      <c r="L733" s="1183"/>
      <c r="M733" s="1183"/>
      <c r="N733" s="1183"/>
      <c r="O733" s="1183"/>
      <c r="P733" s="1183"/>
      <c r="Q733" s="1184"/>
    </row>
    <row r="734" spans="1:17" x14ac:dyDescent="0.25">
      <c r="A734" s="1143" t="s">
        <v>15</v>
      </c>
      <c r="B734" s="1144"/>
      <c r="C734" s="1144"/>
      <c r="D734" s="1144"/>
      <c r="E734" s="1145"/>
      <c r="F734" s="458">
        <f>SUM(F732:F733)</f>
        <v>2937</v>
      </c>
      <c r="G734" s="458">
        <f>SUM(G732:G733)</f>
        <v>3487</v>
      </c>
      <c r="H734" s="458">
        <f>SUM(H732:H733)</f>
        <v>3603.9</v>
      </c>
      <c r="I734" s="458">
        <f>SUM(I732:I733)</f>
        <v>3640.8</v>
      </c>
      <c r="J734" s="458">
        <f>SUM(J732:J733)</f>
        <v>3677.2</v>
      </c>
      <c r="K734" s="60"/>
      <c r="L734" s="1111"/>
      <c r="M734" s="1111"/>
      <c r="N734" s="1111"/>
      <c r="O734" s="1111"/>
      <c r="P734" s="1111"/>
      <c r="Q734" s="1111"/>
    </row>
    <row r="735" spans="1:17" x14ac:dyDescent="0.25">
      <c r="A735" s="1153" t="s">
        <v>2010</v>
      </c>
      <c r="B735" s="1155"/>
      <c r="C735" s="1155"/>
      <c r="D735" s="1155"/>
      <c r="E735" s="1155"/>
      <c r="F735" s="1180"/>
      <c r="G735" s="1180"/>
      <c r="H735" s="1180"/>
      <c r="I735" s="1180"/>
      <c r="J735" s="1180"/>
      <c r="K735" s="1180"/>
      <c r="L735" s="1180"/>
      <c r="M735" s="1180"/>
      <c r="N735" s="1180"/>
      <c r="O735" s="1180"/>
      <c r="P735" s="1180"/>
      <c r="Q735" s="1181"/>
    </row>
    <row r="736" spans="1:17" ht="59.25" x14ac:dyDescent="0.25">
      <c r="A736" s="1108">
        <v>69</v>
      </c>
      <c r="B736" s="23" t="s">
        <v>8</v>
      </c>
      <c r="C736" s="23"/>
      <c r="D736" s="378"/>
      <c r="E736" s="502" t="s">
        <v>1714</v>
      </c>
      <c r="F736" s="890">
        <v>0</v>
      </c>
      <c r="G736" s="890">
        <v>446494</v>
      </c>
      <c r="H736" s="891">
        <f>H737</f>
        <v>452304.9</v>
      </c>
      <c r="I736" s="891">
        <v>453200</v>
      </c>
      <c r="J736" s="891">
        <v>453041.2</v>
      </c>
      <c r="K736" s="892" t="s">
        <v>1715</v>
      </c>
      <c r="L736" s="892"/>
      <c r="M736" s="893"/>
      <c r="N736" s="894"/>
      <c r="O736" s="894"/>
      <c r="P736" s="894"/>
      <c r="Q736" s="894"/>
    </row>
    <row r="737" spans="1:17" ht="30" x14ac:dyDescent="0.25">
      <c r="A737" s="1109"/>
      <c r="B737" s="23"/>
      <c r="C737" s="22" t="s">
        <v>17</v>
      </c>
      <c r="D737" s="378"/>
      <c r="E737" s="895" t="s">
        <v>10</v>
      </c>
      <c r="F737" s="896"/>
      <c r="G737" s="896">
        <v>446494</v>
      </c>
      <c r="H737" s="897">
        <v>452304.9</v>
      </c>
      <c r="I737" s="898">
        <v>453200</v>
      </c>
      <c r="J737" s="898">
        <v>453041.2</v>
      </c>
      <c r="K737" s="895" t="s">
        <v>9</v>
      </c>
      <c r="L737" s="153" t="s">
        <v>14</v>
      </c>
      <c r="M737" s="899">
        <v>39</v>
      </c>
      <c r="N737" s="55">
        <v>40</v>
      </c>
      <c r="O737" s="55">
        <v>40</v>
      </c>
      <c r="P737" s="55">
        <v>40.5</v>
      </c>
      <c r="Q737" s="55">
        <v>41</v>
      </c>
    </row>
    <row r="738" spans="1:17" ht="73.5" x14ac:dyDescent="0.25">
      <c r="A738" s="1109"/>
      <c r="B738" s="23" t="s">
        <v>1716</v>
      </c>
      <c r="C738" s="22"/>
      <c r="D738" s="378"/>
      <c r="E738" s="143" t="s">
        <v>1717</v>
      </c>
      <c r="F738" s="890">
        <v>0</v>
      </c>
      <c r="G738" s="890">
        <v>38823.699999999997</v>
      </c>
      <c r="H738" s="891">
        <f>H739+H740</f>
        <v>37778.1</v>
      </c>
      <c r="I738" s="891">
        <v>37778.1</v>
      </c>
      <c r="J738" s="891">
        <v>41778.1</v>
      </c>
      <c r="K738" s="900" t="s">
        <v>1718</v>
      </c>
      <c r="L738" s="901"/>
      <c r="M738" s="902"/>
      <c r="N738" s="902"/>
      <c r="O738" s="902"/>
      <c r="P738" s="902"/>
      <c r="Q738" s="902"/>
    </row>
    <row r="739" spans="1:17" ht="60" x14ac:dyDescent="0.25">
      <c r="A739" s="1109"/>
      <c r="B739" s="23"/>
      <c r="C739" s="22" t="s">
        <v>17</v>
      </c>
      <c r="D739" s="378"/>
      <c r="E739" s="140" t="s">
        <v>1719</v>
      </c>
      <c r="F739" s="44"/>
      <c r="G739" s="44">
        <v>38823.699999999997</v>
      </c>
      <c r="H739" s="26">
        <v>33778.1</v>
      </c>
      <c r="I739" s="26">
        <v>33778.1</v>
      </c>
      <c r="J739" s="26">
        <v>33778.1</v>
      </c>
      <c r="K739" s="895" t="s">
        <v>1720</v>
      </c>
      <c r="L739" s="901" t="s">
        <v>900</v>
      </c>
      <c r="M739" s="902"/>
      <c r="N739" s="902"/>
      <c r="O739" s="902"/>
      <c r="P739" s="902"/>
      <c r="Q739" s="902"/>
    </row>
    <row r="740" spans="1:17" ht="30" x14ac:dyDescent="0.25">
      <c r="A740" s="1109"/>
      <c r="B740" s="23"/>
      <c r="C740" s="22" t="s">
        <v>18</v>
      </c>
      <c r="D740" s="62"/>
      <c r="E740" s="140" t="s">
        <v>1721</v>
      </c>
      <c r="F740" s="44"/>
      <c r="G740" s="44"/>
      <c r="H740" s="26">
        <v>4000</v>
      </c>
      <c r="I740" s="26">
        <v>4000</v>
      </c>
      <c r="J740" s="26">
        <v>8000</v>
      </c>
      <c r="K740" s="34"/>
      <c r="L740" s="34"/>
      <c r="M740" s="34"/>
      <c r="N740" s="34"/>
      <c r="O740" s="34"/>
      <c r="P740" s="34"/>
      <c r="Q740" s="34"/>
    </row>
    <row r="741" spans="1:17" ht="104.25" x14ac:dyDescent="0.25">
      <c r="A741" s="1109"/>
      <c r="B741" s="23" t="s">
        <v>1722</v>
      </c>
      <c r="C741" s="22"/>
      <c r="D741" s="23"/>
      <c r="E741" s="142" t="s">
        <v>1723</v>
      </c>
      <c r="F741" s="41">
        <v>140492.4</v>
      </c>
      <c r="G741" s="41">
        <v>212969.5</v>
      </c>
      <c r="H741" s="24">
        <f>H742+H743+H744</f>
        <v>216270.4</v>
      </c>
      <c r="I741" s="24">
        <v>216820</v>
      </c>
      <c r="J741" s="24">
        <v>211300</v>
      </c>
      <c r="K741" s="143" t="s">
        <v>1724</v>
      </c>
      <c r="L741" s="25" t="s">
        <v>14</v>
      </c>
      <c r="M741" s="25">
        <v>98.9</v>
      </c>
      <c r="N741" s="858">
        <v>99</v>
      </c>
      <c r="O741" s="25">
        <v>99.1</v>
      </c>
      <c r="P741" s="25">
        <v>99.2</v>
      </c>
      <c r="Q741" s="25">
        <v>99.3</v>
      </c>
    </row>
    <row r="742" spans="1:17" ht="30" x14ac:dyDescent="0.25">
      <c r="A742" s="1109"/>
      <c r="B742" s="23"/>
      <c r="C742" s="22" t="s">
        <v>17</v>
      </c>
      <c r="D742" s="23"/>
      <c r="E742" s="903" t="s">
        <v>1725</v>
      </c>
      <c r="F742" s="904">
        <v>63692.4</v>
      </c>
      <c r="G742" s="904">
        <v>66169.5</v>
      </c>
      <c r="H742" s="898">
        <v>69460.399999999994</v>
      </c>
      <c r="I742" s="898">
        <v>70000</v>
      </c>
      <c r="J742" s="898">
        <v>70000</v>
      </c>
      <c r="K742" s="903" t="s">
        <v>1726</v>
      </c>
      <c r="L742" s="905" t="s">
        <v>13</v>
      </c>
      <c r="M742" s="906">
        <v>330</v>
      </c>
      <c r="N742" s="906" t="s">
        <v>1727</v>
      </c>
      <c r="O742" s="906" t="s">
        <v>1728</v>
      </c>
      <c r="P742" s="906" t="s">
        <v>1729</v>
      </c>
      <c r="Q742" s="906" t="s">
        <v>1730</v>
      </c>
    </row>
    <row r="743" spans="1:17" ht="30" x14ac:dyDescent="0.25">
      <c r="A743" s="1109"/>
      <c r="B743" s="23"/>
      <c r="C743" s="22" t="s">
        <v>19</v>
      </c>
      <c r="D743" s="23"/>
      <c r="E743" s="103" t="s">
        <v>1731</v>
      </c>
      <c r="F743" s="904">
        <v>2500</v>
      </c>
      <c r="G743" s="904">
        <v>1800</v>
      </c>
      <c r="H743" s="898">
        <v>1810</v>
      </c>
      <c r="I743" s="898">
        <v>1820</v>
      </c>
      <c r="J743" s="898">
        <v>1300</v>
      </c>
      <c r="K743" s="895" t="s">
        <v>1732</v>
      </c>
      <c r="L743" s="19" t="s">
        <v>13</v>
      </c>
      <c r="M743" s="907">
        <v>460</v>
      </c>
      <c r="N743" s="907">
        <v>290</v>
      </c>
      <c r="O743" s="907">
        <v>155</v>
      </c>
      <c r="P743" s="907">
        <v>160</v>
      </c>
      <c r="Q743" s="907">
        <v>165</v>
      </c>
    </row>
    <row r="744" spans="1:17" ht="45" x14ac:dyDescent="0.25">
      <c r="A744" s="1109"/>
      <c r="B744" s="23"/>
      <c r="C744" s="22" t="s">
        <v>20</v>
      </c>
      <c r="D744" s="23"/>
      <c r="E744" s="103" t="s">
        <v>1733</v>
      </c>
      <c r="F744" s="904">
        <v>74300</v>
      </c>
      <c r="G744" s="904">
        <v>145000</v>
      </c>
      <c r="H744" s="898">
        <v>145000</v>
      </c>
      <c r="I744" s="898">
        <v>145000</v>
      </c>
      <c r="J744" s="898">
        <v>140000</v>
      </c>
      <c r="K744" s="895" t="s">
        <v>1734</v>
      </c>
      <c r="L744" s="905" t="s">
        <v>13</v>
      </c>
      <c r="M744" s="907">
        <v>21681</v>
      </c>
      <c r="N744" s="907">
        <v>24391</v>
      </c>
      <c r="O744" s="907">
        <v>23454</v>
      </c>
      <c r="P744" s="907">
        <v>23175</v>
      </c>
      <c r="Q744" s="907">
        <v>23673</v>
      </c>
    </row>
    <row r="745" spans="1:17" ht="28.5" x14ac:dyDescent="0.25">
      <c r="A745" s="1109"/>
      <c r="B745" s="23" t="s">
        <v>1735</v>
      </c>
      <c r="C745" s="22"/>
      <c r="D745" s="23"/>
      <c r="E745" s="142" t="s">
        <v>1736</v>
      </c>
      <c r="F745" s="908">
        <v>322822.59999999998</v>
      </c>
      <c r="G745" s="908">
        <v>375600.60000000003</v>
      </c>
      <c r="H745" s="909">
        <f>H746+H747</f>
        <v>388623.8</v>
      </c>
      <c r="I745" s="909">
        <v>393952.4</v>
      </c>
      <c r="J745" s="909">
        <v>393952.4</v>
      </c>
      <c r="K745" s="910"/>
      <c r="L745" s="911"/>
      <c r="M745" s="40"/>
      <c r="N745" s="40"/>
      <c r="O745" s="912"/>
      <c r="P745" s="99"/>
      <c r="Q745" s="99"/>
    </row>
    <row r="746" spans="1:17" ht="30" x14ac:dyDescent="0.25">
      <c r="A746" s="1109"/>
      <c r="B746" s="23"/>
      <c r="C746" s="22" t="s">
        <v>17</v>
      </c>
      <c r="D746" s="23"/>
      <c r="E746" s="903" t="s">
        <v>1737</v>
      </c>
      <c r="F746" s="904">
        <v>225975.8</v>
      </c>
      <c r="G746" s="904">
        <v>262920.40000000002</v>
      </c>
      <c r="H746" s="898">
        <v>272036.8</v>
      </c>
      <c r="I746" s="898">
        <v>275766.8</v>
      </c>
      <c r="J746" s="898">
        <v>275766.8</v>
      </c>
      <c r="K746" s="895" t="s">
        <v>1738</v>
      </c>
      <c r="L746" s="19" t="s">
        <v>1739</v>
      </c>
      <c r="M746" s="28">
        <v>1053.5</v>
      </c>
      <c r="N746" s="28">
        <v>1064</v>
      </c>
      <c r="O746" s="28">
        <v>1074.7</v>
      </c>
      <c r="P746" s="28">
        <v>1085.4000000000001</v>
      </c>
      <c r="Q746" s="28">
        <v>1096.3</v>
      </c>
    </row>
    <row r="747" spans="1:17" ht="30" x14ac:dyDescent="0.25">
      <c r="A747" s="1109"/>
      <c r="B747" s="23"/>
      <c r="C747" s="22" t="s">
        <v>18</v>
      </c>
      <c r="D747" s="23"/>
      <c r="E747" s="103" t="s">
        <v>1740</v>
      </c>
      <c r="F747" s="904">
        <v>96846.8</v>
      </c>
      <c r="G747" s="904">
        <v>112680.2</v>
      </c>
      <c r="H747" s="898">
        <v>116587</v>
      </c>
      <c r="I747" s="898">
        <v>118185.60000000001</v>
      </c>
      <c r="J747" s="898">
        <v>118185.60000000001</v>
      </c>
      <c r="K747" s="895" t="s">
        <v>1741</v>
      </c>
      <c r="L747" s="905" t="s">
        <v>1739</v>
      </c>
      <c r="M747" s="28">
        <v>301.60000000000002</v>
      </c>
      <c r="N747" s="28">
        <v>304.60000000000002</v>
      </c>
      <c r="O747" s="28">
        <v>307.60000000000002</v>
      </c>
      <c r="P747" s="28">
        <v>310.7</v>
      </c>
      <c r="Q747" s="28">
        <v>313.8</v>
      </c>
    </row>
    <row r="748" spans="1:17" ht="71.25" x14ac:dyDescent="0.25">
      <c r="A748" s="1109"/>
      <c r="B748" s="23" t="s">
        <v>1742</v>
      </c>
      <c r="C748" s="22"/>
      <c r="D748" s="23"/>
      <c r="E748" s="143" t="s">
        <v>1743</v>
      </c>
      <c r="F748" s="908">
        <v>228839.6</v>
      </c>
      <c r="G748" s="908">
        <v>225040.6</v>
      </c>
      <c r="H748" s="909">
        <f>H749+H750</f>
        <v>230500.6</v>
      </c>
      <c r="I748" s="909">
        <v>232488.6</v>
      </c>
      <c r="J748" s="909">
        <v>234496.5</v>
      </c>
      <c r="K748" s="435" t="s">
        <v>1744</v>
      </c>
      <c r="L748" s="913"/>
      <c r="M748" s="19"/>
      <c r="N748" s="19"/>
      <c r="O748" s="914"/>
      <c r="P748" s="117"/>
      <c r="Q748" s="117"/>
    </row>
    <row r="749" spans="1:17" ht="60" x14ac:dyDescent="0.25">
      <c r="A749" s="1109"/>
      <c r="B749" s="23"/>
      <c r="C749" s="22" t="s">
        <v>17</v>
      </c>
      <c r="D749" s="23"/>
      <c r="E749" s="915" t="s">
        <v>1745</v>
      </c>
      <c r="F749" s="44">
        <v>227598.6</v>
      </c>
      <c r="G749" s="904">
        <v>223761.2</v>
      </c>
      <c r="H749" s="898">
        <v>224067.6</v>
      </c>
      <c r="I749" s="898">
        <v>230194.6</v>
      </c>
      <c r="J749" s="898">
        <v>232031.5</v>
      </c>
      <c r="K749" s="413" t="s">
        <v>1746</v>
      </c>
      <c r="L749" s="916" t="s">
        <v>1747</v>
      </c>
      <c r="M749" s="907">
        <v>100952</v>
      </c>
      <c r="N749" s="907">
        <v>60397</v>
      </c>
      <c r="O749" s="907">
        <v>60397</v>
      </c>
      <c r="P749" s="907">
        <v>61547</v>
      </c>
      <c r="Q749" s="907">
        <v>62162</v>
      </c>
    </row>
    <row r="750" spans="1:17" ht="105" x14ac:dyDescent="0.25">
      <c r="A750" s="1109"/>
      <c r="B750" s="23"/>
      <c r="C750" s="22" t="s">
        <v>18</v>
      </c>
      <c r="D750" s="23"/>
      <c r="E750" s="111" t="s">
        <v>1748</v>
      </c>
      <c r="F750" s="44">
        <v>1241</v>
      </c>
      <c r="G750" s="904">
        <v>1279.4000000000001</v>
      </c>
      <c r="H750" s="898">
        <v>6433</v>
      </c>
      <c r="I750" s="898">
        <v>2294</v>
      </c>
      <c r="J750" s="898">
        <v>2465</v>
      </c>
      <c r="K750" s="413" t="s">
        <v>1749</v>
      </c>
      <c r="L750" s="916" t="s">
        <v>1747</v>
      </c>
      <c r="M750" s="907">
        <v>5592</v>
      </c>
      <c r="N750" s="907">
        <v>4800</v>
      </c>
      <c r="O750" s="907">
        <v>4800</v>
      </c>
      <c r="P750" s="907">
        <v>4848</v>
      </c>
      <c r="Q750" s="907">
        <v>4896</v>
      </c>
    </row>
    <row r="751" spans="1:17" ht="99.75" x14ac:dyDescent="0.25">
      <c r="A751" s="1109"/>
      <c r="B751" s="23" t="s">
        <v>1923</v>
      </c>
      <c r="C751" s="22"/>
      <c r="D751" s="23"/>
      <c r="E751" s="917" t="s">
        <v>1750</v>
      </c>
      <c r="F751" s="41">
        <v>0</v>
      </c>
      <c r="G751" s="41">
        <v>0</v>
      </c>
      <c r="H751" s="24">
        <v>51362.6</v>
      </c>
      <c r="I751" s="24">
        <v>52362.6</v>
      </c>
      <c r="J751" s="24">
        <v>52852.6</v>
      </c>
      <c r="K751" s="918"/>
      <c r="L751" s="916"/>
      <c r="M751" s="40"/>
      <c r="N751" s="40"/>
      <c r="O751" s="40"/>
      <c r="P751" s="40"/>
      <c r="Q751" s="40"/>
    </row>
    <row r="752" spans="1:17" ht="90" x14ac:dyDescent="0.25">
      <c r="A752" s="1109"/>
      <c r="B752" s="23"/>
      <c r="C752" s="22" t="s">
        <v>17</v>
      </c>
      <c r="D752" s="23"/>
      <c r="E752" s="919" t="s">
        <v>1751</v>
      </c>
      <c r="F752" s="44"/>
      <c r="G752" s="44"/>
      <c r="H752" s="26">
        <v>51362.6</v>
      </c>
      <c r="I752" s="26">
        <v>52362.6</v>
      </c>
      <c r="J752" s="26">
        <v>52852.6</v>
      </c>
      <c r="K752" s="920"/>
      <c r="L752" s="916"/>
      <c r="M752" s="19"/>
      <c r="N752" s="921"/>
      <c r="O752" s="921"/>
      <c r="P752" s="921"/>
      <c r="Q752" s="921"/>
    </row>
    <row r="753" spans="1:17" ht="28.5" x14ac:dyDescent="0.25">
      <c r="A753" s="1109"/>
      <c r="B753" s="23"/>
      <c r="C753" s="22"/>
      <c r="D753" s="23"/>
      <c r="E753" s="143" t="s">
        <v>1752</v>
      </c>
      <c r="F753" s="41">
        <v>630400</v>
      </c>
      <c r="G753" s="41">
        <v>0</v>
      </c>
      <c r="H753" s="24">
        <v>1958890</v>
      </c>
      <c r="I753" s="24">
        <v>1685997.5</v>
      </c>
      <c r="J753" s="24">
        <v>0</v>
      </c>
      <c r="K753" s="42"/>
      <c r="L753" s="25"/>
      <c r="M753" s="25"/>
      <c r="N753" s="25"/>
      <c r="O753" s="25"/>
      <c r="P753" s="25"/>
      <c r="Q753" s="25"/>
    </row>
    <row r="754" spans="1:17" ht="30" x14ac:dyDescent="0.25">
      <c r="A754" s="1110"/>
      <c r="B754" s="23" t="s">
        <v>1428</v>
      </c>
      <c r="C754" s="23" t="s">
        <v>17</v>
      </c>
      <c r="D754" s="23"/>
      <c r="E754" s="103" t="s">
        <v>1753</v>
      </c>
      <c r="F754" s="44">
        <v>630400</v>
      </c>
      <c r="G754" s="44"/>
      <c r="H754" s="26">
        <v>1958890</v>
      </c>
      <c r="I754" s="26">
        <v>1685997.5</v>
      </c>
      <c r="J754" s="26"/>
      <c r="K754" s="922"/>
      <c r="L754" s="27" t="s">
        <v>900</v>
      </c>
      <c r="M754" s="25"/>
      <c r="N754" s="25"/>
      <c r="O754" s="25"/>
      <c r="P754" s="25"/>
      <c r="Q754" s="25"/>
    </row>
    <row r="755" spans="1:17" x14ac:dyDescent="0.25">
      <c r="A755" s="1143" t="s">
        <v>15</v>
      </c>
      <c r="B755" s="1144"/>
      <c r="C755" s="1144"/>
      <c r="D755" s="1144"/>
      <c r="E755" s="1145"/>
      <c r="F755" s="923">
        <v>1322554.6000000001</v>
      </c>
      <c r="G755" s="923">
        <v>1298928.4000000001</v>
      </c>
      <c r="H755" s="923">
        <f>H736+H738+H741+H745+H748+H751+H753</f>
        <v>3335730.4000000004</v>
      </c>
      <c r="I755" s="923">
        <v>3072599.2</v>
      </c>
      <c r="J755" s="923">
        <v>1387420.8000000003</v>
      </c>
      <c r="K755" s="924"/>
      <c r="L755" s="302"/>
      <c r="M755" s="302"/>
      <c r="N755" s="302"/>
      <c r="O755" s="302"/>
      <c r="P755" s="302"/>
      <c r="Q755" s="302"/>
    </row>
    <row r="756" spans="1:17" x14ac:dyDescent="0.25">
      <c r="A756" s="1153" t="s">
        <v>2022</v>
      </c>
      <c r="B756" s="1155"/>
      <c r="C756" s="1155"/>
      <c r="D756" s="1155"/>
      <c r="E756" s="1155"/>
      <c r="F756" s="1155"/>
      <c r="G756" s="1155"/>
      <c r="H756" s="1155"/>
      <c r="I756" s="1155"/>
      <c r="J756" s="1155"/>
      <c r="K756" s="1155"/>
      <c r="L756" s="1155"/>
      <c r="M756" s="1155"/>
      <c r="N756" s="1155"/>
      <c r="O756" s="1155"/>
      <c r="P756" s="1155"/>
      <c r="Q756" s="1156"/>
    </row>
    <row r="757" spans="1:17" ht="60" x14ac:dyDescent="0.25">
      <c r="A757" s="1164">
        <v>70</v>
      </c>
      <c r="B757" s="50" t="s">
        <v>8</v>
      </c>
      <c r="C757" s="50"/>
      <c r="D757" s="925"/>
      <c r="E757" s="919" t="s">
        <v>1754</v>
      </c>
      <c r="F757" s="41">
        <f>F758</f>
        <v>3010.1</v>
      </c>
      <c r="G757" s="41">
        <f>G758</f>
        <v>3010.1</v>
      </c>
      <c r="H757" s="41">
        <f>H758</f>
        <v>4403.1000000000004</v>
      </c>
      <c r="I757" s="41">
        <f>I758</f>
        <v>4529.1000000000004</v>
      </c>
      <c r="J757" s="41">
        <f>J758</f>
        <v>4615.3</v>
      </c>
      <c r="K757" s="919"/>
      <c r="L757" s="919"/>
      <c r="M757" s="919"/>
      <c r="N757" s="919"/>
      <c r="O757" s="919"/>
      <c r="P757" s="919"/>
      <c r="Q757" s="919"/>
    </row>
    <row r="758" spans="1:17" ht="30" x14ac:dyDescent="0.25">
      <c r="A758" s="1165"/>
      <c r="B758" s="50"/>
      <c r="C758" s="33" t="s">
        <v>17</v>
      </c>
      <c r="D758" s="925"/>
      <c r="E758" s="895" t="s">
        <v>10</v>
      </c>
      <c r="F758" s="44">
        <v>3010.1</v>
      </c>
      <c r="G758" s="44">
        <v>3010.1</v>
      </c>
      <c r="H758" s="44">
        <v>4403.1000000000004</v>
      </c>
      <c r="I758" s="44">
        <v>4529.1000000000004</v>
      </c>
      <c r="J758" s="44">
        <v>4615.3</v>
      </c>
      <c r="K758" s="919" t="s">
        <v>1755</v>
      </c>
      <c r="L758" s="19" t="s">
        <v>14</v>
      </c>
      <c r="M758" s="19">
        <v>100</v>
      </c>
      <c r="N758" s="19">
        <v>100</v>
      </c>
      <c r="O758" s="19">
        <v>100</v>
      </c>
      <c r="P758" s="19">
        <v>100</v>
      </c>
      <c r="Q758" s="19">
        <v>100</v>
      </c>
    </row>
    <row r="759" spans="1:17" ht="105" x14ac:dyDescent="0.25">
      <c r="A759" s="1165"/>
      <c r="B759" s="50" t="s">
        <v>1756</v>
      </c>
      <c r="C759" s="33"/>
      <c r="D759" s="925"/>
      <c r="E759" s="39" t="s">
        <v>1757</v>
      </c>
      <c r="F759" s="41">
        <f>F760</f>
        <v>11380</v>
      </c>
      <c r="G759" s="41">
        <f>G760</f>
        <v>11380</v>
      </c>
      <c r="H759" s="41">
        <f>H760</f>
        <v>10265.9</v>
      </c>
      <c r="I759" s="41">
        <f>I760</f>
        <v>10578.699999999999</v>
      </c>
      <c r="J759" s="41">
        <f>J760</f>
        <v>10643.5</v>
      </c>
      <c r="K759" s="919" t="s">
        <v>1758</v>
      </c>
      <c r="L759" s="19" t="s">
        <v>13</v>
      </c>
      <c r="M759" s="19">
        <v>30</v>
      </c>
      <c r="N759" s="19">
        <v>30</v>
      </c>
      <c r="O759" s="19">
        <v>60</v>
      </c>
      <c r="P759" s="19">
        <v>60</v>
      </c>
      <c r="Q759" s="19">
        <v>60</v>
      </c>
    </row>
    <row r="760" spans="1:17" ht="105" x14ac:dyDescent="0.25">
      <c r="A760" s="1166"/>
      <c r="B760" s="50"/>
      <c r="C760" s="33" t="s">
        <v>17</v>
      </c>
      <c r="D760" s="925"/>
      <c r="E760" s="140" t="s">
        <v>1759</v>
      </c>
      <c r="F760" s="44">
        <v>11380</v>
      </c>
      <c r="G760" s="44">
        <v>11380</v>
      </c>
      <c r="H760" s="44">
        <v>10265.9</v>
      </c>
      <c r="I760" s="44">
        <f>10578.4+0.3</f>
        <v>10578.699999999999</v>
      </c>
      <c r="J760" s="44">
        <v>10643.5</v>
      </c>
      <c r="K760" s="919" t="s">
        <v>1760</v>
      </c>
      <c r="L760" s="19" t="s">
        <v>13</v>
      </c>
      <c r="M760" s="19">
        <v>30</v>
      </c>
      <c r="N760" s="19">
        <v>30</v>
      </c>
      <c r="O760" s="19">
        <v>60</v>
      </c>
      <c r="P760" s="19">
        <v>60</v>
      </c>
      <c r="Q760" s="19">
        <v>60</v>
      </c>
    </row>
    <row r="761" spans="1:17" x14ac:dyDescent="0.25">
      <c r="A761" s="1143" t="s">
        <v>15</v>
      </c>
      <c r="B761" s="1144"/>
      <c r="C761" s="1144"/>
      <c r="D761" s="1144"/>
      <c r="E761" s="1145"/>
      <c r="F761" s="31">
        <f>F757+F759</f>
        <v>14390.1</v>
      </c>
      <c r="G761" s="31">
        <f>G757+G759</f>
        <v>14390.1</v>
      </c>
      <c r="H761" s="31">
        <f>H757+H759</f>
        <v>14669</v>
      </c>
      <c r="I761" s="31">
        <f>I757+I759</f>
        <v>15107.8</v>
      </c>
      <c r="J761" s="31">
        <f>J757+J759</f>
        <v>15258.8</v>
      </c>
      <c r="K761" s="926"/>
      <c r="L761" s="926"/>
      <c r="M761" s="926"/>
      <c r="N761" s="926"/>
      <c r="O761" s="926"/>
      <c r="P761" s="926"/>
      <c r="Q761" s="926"/>
    </row>
    <row r="762" spans="1:17" ht="15.75" thickBot="1" x14ac:dyDescent="0.3">
      <c r="A762" s="1153" t="s">
        <v>2021</v>
      </c>
      <c r="B762" s="1155"/>
      <c r="C762" s="1155"/>
      <c r="D762" s="1155"/>
      <c r="E762" s="1155"/>
      <c r="F762" s="1155"/>
      <c r="G762" s="1155"/>
      <c r="H762" s="1155"/>
      <c r="I762" s="1155"/>
      <c r="J762" s="1155"/>
      <c r="K762" s="1155"/>
      <c r="L762" s="1155"/>
      <c r="M762" s="1155"/>
      <c r="N762" s="1155"/>
      <c r="O762" s="1155"/>
      <c r="P762" s="1155"/>
      <c r="Q762" s="1156"/>
    </row>
    <row r="763" spans="1:17" ht="28.5" x14ac:dyDescent="0.25">
      <c r="A763" s="1167">
        <v>74</v>
      </c>
      <c r="B763" s="927">
        <v>1</v>
      </c>
      <c r="C763" s="928"/>
      <c r="D763" s="929"/>
      <c r="E763" s="930" t="s">
        <v>1761</v>
      </c>
      <c r="F763" s="931">
        <f>F764+F765</f>
        <v>338500.1</v>
      </c>
      <c r="G763" s="931">
        <f>G764+G765</f>
        <v>318178.59999999998</v>
      </c>
      <c r="H763" s="931">
        <f>H764+H765</f>
        <v>334021.09999999998</v>
      </c>
      <c r="I763" s="931">
        <f>I764+I765</f>
        <v>336176.1</v>
      </c>
      <c r="J763" s="931">
        <f>J764+J765</f>
        <v>339297.39999999997</v>
      </c>
      <c r="K763" s="930" t="s">
        <v>2011</v>
      </c>
      <c r="L763" s="932" t="s">
        <v>14</v>
      </c>
      <c r="M763" s="933">
        <v>25</v>
      </c>
      <c r="N763" s="914">
        <v>26</v>
      </c>
      <c r="O763" s="914">
        <v>26</v>
      </c>
      <c r="P763" s="914">
        <v>26</v>
      </c>
      <c r="Q763" s="914">
        <v>26</v>
      </c>
    </row>
    <row r="764" spans="1:17" ht="30" x14ac:dyDescent="0.25">
      <c r="A764" s="1167"/>
      <c r="B764" s="934"/>
      <c r="C764" s="935">
        <v>1</v>
      </c>
      <c r="D764" s="936"/>
      <c r="E764" s="937" t="s">
        <v>1762</v>
      </c>
      <c r="F764" s="904">
        <v>80374.600000000006</v>
      </c>
      <c r="G764" s="904">
        <v>64761.8</v>
      </c>
      <c r="H764" s="904">
        <v>72483.600000000006</v>
      </c>
      <c r="I764" s="904">
        <v>73529.100000000006</v>
      </c>
      <c r="J764" s="904">
        <v>74099.3</v>
      </c>
      <c r="K764" s="938"/>
      <c r="L764" s="938"/>
      <c r="M764" s="938"/>
      <c r="N764" s="938"/>
      <c r="O764" s="938"/>
      <c r="P764" s="938"/>
      <c r="Q764" s="938"/>
    </row>
    <row r="765" spans="1:17" ht="30" x14ac:dyDescent="0.25">
      <c r="A765" s="1167"/>
      <c r="B765" s="939"/>
      <c r="C765" s="928">
        <v>2</v>
      </c>
      <c r="D765" s="940"/>
      <c r="E765" s="938" t="s">
        <v>1763</v>
      </c>
      <c r="F765" s="904">
        <v>258125.5</v>
      </c>
      <c r="G765" s="904">
        <v>253416.8</v>
      </c>
      <c r="H765" s="904">
        <v>261537.5</v>
      </c>
      <c r="I765" s="904">
        <v>262647</v>
      </c>
      <c r="J765" s="904">
        <v>265198.09999999998</v>
      </c>
      <c r="K765" s="938"/>
      <c r="L765" s="938"/>
      <c r="M765" s="938"/>
      <c r="N765" s="938"/>
      <c r="O765" s="938"/>
      <c r="P765" s="938"/>
      <c r="Q765" s="938"/>
    </row>
    <row r="766" spans="1:17" ht="42.75" x14ac:dyDescent="0.25">
      <c r="A766" s="1167"/>
      <c r="B766" s="941">
        <v>742</v>
      </c>
      <c r="C766" s="941"/>
      <c r="D766" s="941"/>
      <c r="E766" s="1085" t="s">
        <v>1764</v>
      </c>
      <c r="F766" s="942">
        <f>F767+F769</f>
        <v>363395.5</v>
      </c>
      <c r="G766" s="942">
        <f>G767+G769</f>
        <v>356531.1</v>
      </c>
      <c r="H766" s="942">
        <f>H767+H769</f>
        <v>45341.9</v>
      </c>
      <c r="I766" s="942">
        <f>I767+I769</f>
        <v>42943.5</v>
      </c>
      <c r="J766" s="942">
        <f>J767+J769</f>
        <v>43219.9</v>
      </c>
      <c r="K766" s="943" t="s">
        <v>1765</v>
      </c>
      <c r="L766" s="936" t="s">
        <v>33</v>
      </c>
      <c r="M766" s="944">
        <v>55.8</v>
      </c>
      <c r="N766" s="945">
        <v>55.8</v>
      </c>
      <c r="O766" s="945">
        <v>61.5</v>
      </c>
      <c r="P766" s="945">
        <v>62.5</v>
      </c>
      <c r="Q766" s="945">
        <v>63.5</v>
      </c>
    </row>
    <row r="767" spans="1:17" ht="108" customHeight="1" x14ac:dyDescent="0.25">
      <c r="A767" s="1167"/>
      <c r="B767" s="1168"/>
      <c r="C767" s="1170">
        <v>1</v>
      </c>
      <c r="D767" s="946"/>
      <c r="E767" s="1172" t="s">
        <v>1766</v>
      </c>
      <c r="F767" s="1174">
        <v>41501.9</v>
      </c>
      <c r="G767" s="1174">
        <v>34637.5</v>
      </c>
      <c r="H767" s="1174">
        <v>35075.5</v>
      </c>
      <c r="I767" s="1174">
        <v>36807.5</v>
      </c>
      <c r="J767" s="1174">
        <f>37083.9</f>
        <v>37083.9</v>
      </c>
      <c r="K767" s="760" t="s">
        <v>1767</v>
      </c>
      <c r="L767" s="416" t="s">
        <v>14</v>
      </c>
      <c r="M767" s="947" t="s">
        <v>1768</v>
      </c>
      <c r="N767" s="410" t="s">
        <v>1769</v>
      </c>
      <c r="O767" s="410" t="s">
        <v>1770</v>
      </c>
      <c r="P767" s="410" t="s">
        <v>1771</v>
      </c>
      <c r="Q767" s="410" t="s">
        <v>1772</v>
      </c>
    </row>
    <row r="768" spans="1:17" ht="60" x14ac:dyDescent="0.25">
      <c r="A768" s="1167"/>
      <c r="B768" s="1169"/>
      <c r="C768" s="1171"/>
      <c r="D768" s="946"/>
      <c r="E768" s="1173"/>
      <c r="F768" s="1175"/>
      <c r="G768" s="1175"/>
      <c r="H768" s="1175"/>
      <c r="I768" s="1175"/>
      <c r="J768" s="1175"/>
      <c r="K768" s="760" t="s">
        <v>1773</v>
      </c>
      <c r="L768" s="400" t="s">
        <v>14</v>
      </c>
      <c r="M768" s="444">
        <v>2.5</v>
      </c>
      <c r="N768" s="444">
        <v>3.5</v>
      </c>
      <c r="O768" s="444">
        <v>3.6</v>
      </c>
      <c r="P768" s="444">
        <v>3.6</v>
      </c>
      <c r="Q768" s="444">
        <v>3.6</v>
      </c>
    </row>
    <row r="769" spans="1:17" ht="45" x14ac:dyDescent="0.25">
      <c r="A769" s="1167"/>
      <c r="B769" s="948"/>
      <c r="C769" s="935">
        <v>2</v>
      </c>
      <c r="D769" s="941"/>
      <c r="E769" s="949" t="s">
        <v>1774</v>
      </c>
      <c r="F769" s="950">
        <v>321893.59999999998</v>
      </c>
      <c r="G769" s="950">
        <v>321893.59999999998</v>
      </c>
      <c r="H769" s="904">
        <v>10266.4</v>
      </c>
      <c r="I769" s="904">
        <v>6136</v>
      </c>
      <c r="J769" s="904">
        <v>6136</v>
      </c>
      <c r="K769" s="126" t="s">
        <v>1775</v>
      </c>
      <c r="L769" s="122" t="s">
        <v>1776</v>
      </c>
      <c r="M769" s="570">
        <v>6000</v>
      </c>
      <c r="N769" s="570">
        <v>6000</v>
      </c>
      <c r="O769" s="570">
        <v>6600</v>
      </c>
      <c r="P769" s="570">
        <v>6700</v>
      </c>
      <c r="Q769" s="570">
        <v>6800</v>
      </c>
    </row>
    <row r="770" spans="1:17" ht="73.5" x14ac:dyDescent="0.25">
      <c r="A770" s="1167"/>
      <c r="B770" s="941">
        <v>743</v>
      </c>
      <c r="C770" s="941"/>
      <c r="D770" s="941"/>
      <c r="E770" s="938" t="s">
        <v>1777</v>
      </c>
      <c r="F770" s="951">
        <f>F771+F772</f>
        <v>6852.1</v>
      </c>
      <c r="G770" s="951">
        <f>G771+G772</f>
        <v>6523.6</v>
      </c>
      <c r="H770" s="951">
        <f>H771+H772</f>
        <v>7595.6</v>
      </c>
      <c r="I770" s="951">
        <f>I771+I772</f>
        <v>7573.7000000000007</v>
      </c>
      <c r="J770" s="951">
        <f>J771+J772</f>
        <v>7615.2</v>
      </c>
      <c r="K770" s="952" t="s">
        <v>1778</v>
      </c>
      <c r="L770" s="400" t="s">
        <v>14</v>
      </c>
      <c r="M770" s="400">
        <v>2.7</v>
      </c>
      <c r="N770" s="400">
        <v>2.1</v>
      </c>
      <c r="O770" s="400">
        <v>2.1</v>
      </c>
      <c r="P770" s="400">
        <v>2.5</v>
      </c>
      <c r="Q770" s="400">
        <v>4.5999999999999996</v>
      </c>
    </row>
    <row r="771" spans="1:17" ht="60" x14ac:dyDescent="0.25">
      <c r="A771" s="1167"/>
      <c r="B771" s="43"/>
      <c r="C771" s="935">
        <v>1</v>
      </c>
      <c r="D771" s="117"/>
      <c r="E771" s="111" t="s">
        <v>1779</v>
      </c>
      <c r="F771" s="45">
        <v>5610.5</v>
      </c>
      <c r="G771" s="45">
        <v>5282</v>
      </c>
      <c r="H771" s="45">
        <v>6354</v>
      </c>
      <c r="I771" s="45">
        <v>6332.1</v>
      </c>
      <c r="J771" s="45">
        <v>6350</v>
      </c>
      <c r="K771" s="953" t="s">
        <v>1780</v>
      </c>
      <c r="L771" s="400" t="s">
        <v>14</v>
      </c>
      <c r="M771" s="758">
        <v>30.7</v>
      </c>
      <c r="N771" s="758">
        <v>30.7</v>
      </c>
      <c r="O771" s="758">
        <v>31.2</v>
      </c>
      <c r="P771" s="758">
        <v>31.2</v>
      </c>
      <c r="Q771" s="758">
        <v>31.2</v>
      </c>
    </row>
    <row r="772" spans="1:17" ht="60" x14ac:dyDescent="0.25">
      <c r="A772" s="1167"/>
      <c r="B772" s="754"/>
      <c r="C772" s="954">
        <v>2</v>
      </c>
      <c r="D772" s="955"/>
      <c r="E772" s="139" t="s">
        <v>1781</v>
      </c>
      <c r="F772" s="757">
        <v>1241.5999999999999</v>
      </c>
      <c r="G772" s="757">
        <v>1241.5999999999999</v>
      </c>
      <c r="H772" s="757">
        <v>1241.5999999999999</v>
      </c>
      <c r="I772" s="757">
        <v>1241.5999999999999</v>
      </c>
      <c r="J772" s="757">
        <v>1265.2</v>
      </c>
      <c r="K772" s="474" t="s">
        <v>1782</v>
      </c>
      <c r="L772" s="433" t="s">
        <v>14</v>
      </c>
      <c r="M772" s="433">
        <v>33</v>
      </c>
      <c r="N772" s="433">
        <v>68.8</v>
      </c>
      <c r="O772" s="433">
        <v>79</v>
      </c>
      <c r="P772" s="433">
        <v>79</v>
      </c>
      <c r="Q772" s="433">
        <v>79</v>
      </c>
    </row>
    <row r="773" spans="1:17" ht="147.75" x14ac:dyDescent="0.25">
      <c r="A773" s="1167"/>
      <c r="B773" s="956">
        <v>744</v>
      </c>
      <c r="C773" s="954"/>
      <c r="D773" s="138"/>
      <c r="E773" s="938" t="s">
        <v>1783</v>
      </c>
      <c r="F773" s="957">
        <f>F774</f>
        <v>39400</v>
      </c>
      <c r="G773" s="957">
        <f>G774</f>
        <v>260196.6</v>
      </c>
      <c r="H773" s="957">
        <f>H774</f>
        <v>534445</v>
      </c>
      <c r="I773" s="957">
        <f>I774</f>
        <v>844617.5</v>
      </c>
      <c r="J773" s="957">
        <f>J774</f>
        <v>25270</v>
      </c>
      <c r="K773" s="394" t="s">
        <v>1784</v>
      </c>
      <c r="L773" s="400"/>
      <c r="M773" s="400"/>
      <c r="N773" s="400"/>
      <c r="O773" s="400"/>
      <c r="P773" s="400"/>
      <c r="Q773" s="400"/>
    </row>
    <row r="774" spans="1:17" ht="30" x14ac:dyDescent="0.25">
      <c r="A774" s="1167"/>
      <c r="B774" s="934"/>
      <c r="C774" s="954">
        <v>1</v>
      </c>
      <c r="D774" s="138"/>
      <c r="E774" s="937" t="s">
        <v>1785</v>
      </c>
      <c r="F774" s="757">
        <v>39400</v>
      </c>
      <c r="G774" s="757">
        <v>260196.6</v>
      </c>
      <c r="H774" s="757">
        <v>534445</v>
      </c>
      <c r="I774" s="757">
        <v>844617.5</v>
      </c>
      <c r="J774" s="757">
        <v>25270</v>
      </c>
      <c r="K774" s="953"/>
      <c r="L774" s="400" t="s">
        <v>14</v>
      </c>
      <c r="M774" s="400">
        <v>0</v>
      </c>
      <c r="N774" s="400">
        <v>5</v>
      </c>
      <c r="O774" s="400">
        <v>15</v>
      </c>
      <c r="P774" s="400">
        <v>30</v>
      </c>
      <c r="Q774" s="400">
        <v>30</v>
      </c>
    </row>
    <row r="775" spans="1:17" x14ac:dyDescent="0.25">
      <c r="A775" s="1143" t="s">
        <v>15</v>
      </c>
      <c r="B775" s="1144"/>
      <c r="C775" s="1144"/>
      <c r="D775" s="1144"/>
      <c r="E775" s="1145"/>
      <c r="F775" s="316">
        <f>F763+F766+F770+F773</f>
        <v>748147.7</v>
      </c>
      <c r="G775" s="316">
        <f>G763+G766+G770+G773</f>
        <v>941429.89999999991</v>
      </c>
      <c r="H775" s="316">
        <f>H763+H766+H770+H773</f>
        <v>921403.6</v>
      </c>
      <c r="I775" s="316">
        <f>I763+I766+I770+I773</f>
        <v>1231310.8</v>
      </c>
      <c r="J775" s="316">
        <f>J763+J766+J770+J773</f>
        <v>415402.5</v>
      </c>
      <c r="K775" s="958"/>
      <c r="L775" s="958"/>
      <c r="M775" s="958"/>
      <c r="N775" s="958"/>
      <c r="O775" s="958"/>
      <c r="P775" s="958"/>
      <c r="Q775" s="958"/>
    </row>
    <row r="776" spans="1:17" x14ac:dyDescent="0.25">
      <c r="A776" s="1153" t="s">
        <v>2020</v>
      </c>
      <c r="B776" s="1154"/>
      <c r="C776" s="1155"/>
      <c r="D776" s="1155"/>
      <c r="E776" s="1155"/>
      <c r="F776" s="1155"/>
      <c r="G776" s="1155"/>
      <c r="H776" s="1155"/>
      <c r="I776" s="1155"/>
      <c r="J776" s="1155"/>
      <c r="K776" s="1155"/>
      <c r="L776" s="1155"/>
      <c r="M776" s="1155"/>
      <c r="N776" s="1155"/>
      <c r="O776" s="1155"/>
      <c r="P776" s="1155"/>
      <c r="Q776" s="1156"/>
    </row>
    <row r="777" spans="1:17" ht="71.25" x14ac:dyDescent="0.25">
      <c r="A777" s="1157">
        <v>77</v>
      </c>
      <c r="B777" s="959">
        <v>1</v>
      </c>
      <c r="C777" s="960"/>
      <c r="D777" s="961"/>
      <c r="E777" s="290" t="s">
        <v>1786</v>
      </c>
      <c r="F777" s="318">
        <v>2806.9</v>
      </c>
      <c r="G777" s="318">
        <v>3077</v>
      </c>
      <c r="H777" s="318">
        <v>3062</v>
      </c>
      <c r="I777" s="318">
        <v>3162</v>
      </c>
      <c r="J777" s="318">
        <v>3244.1</v>
      </c>
      <c r="K777" s="306" t="s">
        <v>31</v>
      </c>
      <c r="L777" s="307" t="s">
        <v>14</v>
      </c>
      <c r="M777" s="291">
        <v>27.5</v>
      </c>
      <c r="N777" s="291">
        <v>28.7</v>
      </c>
      <c r="O777" s="291">
        <v>28.7</v>
      </c>
      <c r="P777" s="291">
        <v>28.7</v>
      </c>
      <c r="Q777" s="291">
        <v>28.7</v>
      </c>
    </row>
    <row r="778" spans="1:17" ht="135" x14ac:dyDescent="0.25">
      <c r="A778" s="1104"/>
      <c r="B778" s="959"/>
      <c r="C778" s="310">
        <v>1</v>
      </c>
      <c r="D778" s="960"/>
      <c r="E778" s="962" t="s">
        <v>10</v>
      </c>
      <c r="F778" s="295" t="s">
        <v>1787</v>
      </c>
      <c r="G778" s="321">
        <v>3077</v>
      </c>
      <c r="H778" s="963">
        <v>3062</v>
      </c>
      <c r="I778" s="963">
        <v>3162</v>
      </c>
      <c r="J778" s="963">
        <v>3244.1</v>
      </c>
      <c r="K778" s="309" t="s">
        <v>1788</v>
      </c>
      <c r="L778" s="293" t="s">
        <v>14</v>
      </c>
      <c r="M778" s="293">
        <v>100</v>
      </c>
      <c r="N778" s="293">
        <v>100</v>
      </c>
      <c r="O778" s="293">
        <v>100</v>
      </c>
      <c r="P778" s="293">
        <v>100</v>
      </c>
      <c r="Q778" s="293">
        <v>100</v>
      </c>
    </row>
    <row r="779" spans="1:17" ht="30" x14ac:dyDescent="0.25">
      <c r="A779" s="1104"/>
      <c r="B779" s="503"/>
      <c r="C779" s="310">
        <v>1</v>
      </c>
      <c r="D779" s="964"/>
      <c r="E779" s="254" t="s">
        <v>275</v>
      </c>
      <c r="F779" s="321">
        <v>1706.4</v>
      </c>
      <c r="G779" s="321"/>
      <c r="H779" s="321"/>
      <c r="I779" s="321"/>
      <c r="J779" s="321"/>
      <c r="K779" s="309" t="s">
        <v>282</v>
      </c>
      <c r="L779" s="293" t="s">
        <v>14</v>
      </c>
      <c r="M779" s="293">
        <v>100</v>
      </c>
      <c r="N779" s="293" t="s">
        <v>1787</v>
      </c>
      <c r="O779" s="293" t="s">
        <v>1787</v>
      </c>
      <c r="P779" s="293" t="s">
        <v>1787</v>
      </c>
      <c r="Q779" s="293" t="s">
        <v>1787</v>
      </c>
    </row>
    <row r="780" spans="1:17" ht="90" x14ac:dyDescent="0.25">
      <c r="A780" s="1104"/>
      <c r="B780" s="503"/>
      <c r="C780" s="310">
        <v>2</v>
      </c>
      <c r="D780" s="964"/>
      <c r="E780" s="254" t="s">
        <v>276</v>
      </c>
      <c r="F780" s="321">
        <v>438.9</v>
      </c>
      <c r="G780" s="321"/>
      <c r="H780" s="321"/>
      <c r="I780" s="321"/>
      <c r="J780" s="321"/>
      <c r="K780" s="311" t="s">
        <v>1789</v>
      </c>
      <c r="L780" s="293" t="s">
        <v>14</v>
      </c>
      <c r="M780" s="293">
        <v>100</v>
      </c>
      <c r="N780" s="293" t="s">
        <v>1787</v>
      </c>
      <c r="O780" s="293" t="s">
        <v>1787</v>
      </c>
      <c r="P780" s="293" t="s">
        <v>1787</v>
      </c>
      <c r="Q780" s="293" t="s">
        <v>1787</v>
      </c>
    </row>
    <row r="781" spans="1:17" ht="75" x14ac:dyDescent="0.25">
      <c r="A781" s="1104"/>
      <c r="B781" s="503"/>
      <c r="C781" s="310">
        <v>3</v>
      </c>
      <c r="D781" s="964"/>
      <c r="E781" s="254" t="s">
        <v>277</v>
      </c>
      <c r="F781" s="321">
        <v>661.6</v>
      </c>
      <c r="G781" s="321"/>
      <c r="H781" s="321"/>
      <c r="I781" s="321"/>
      <c r="J781" s="321"/>
      <c r="K781" s="309" t="s">
        <v>1790</v>
      </c>
      <c r="L781" s="293" t="s">
        <v>1791</v>
      </c>
      <c r="M781" s="965" t="s">
        <v>1792</v>
      </c>
      <c r="N781" s="293" t="s">
        <v>1787</v>
      </c>
      <c r="O781" s="293" t="s">
        <v>1787</v>
      </c>
      <c r="P781" s="293" t="s">
        <v>1787</v>
      </c>
      <c r="Q781" s="293" t="s">
        <v>1787</v>
      </c>
    </row>
    <row r="782" spans="1:17" ht="147" x14ac:dyDescent="0.25">
      <c r="A782" s="1104"/>
      <c r="B782" s="966" t="s">
        <v>1793</v>
      </c>
      <c r="C782" s="967"/>
      <c r="D782" s="967"/>
      <c r="E782" s="294" t="s">
        <v>1794</v>
      </c>
      <c r="F782" s="968">
        <v>8516.1</v>
      </c>
      <c r="G782" s="968">
        <v>9108.0820000000003</v>
      </c>
      <c r="H782" s="968">
        <v>8412.6</v>
      </c>
      <c r="I782" s="968">
        <v>8651.2000000000007</v>
      </c>
      <c r="J782" s="968">
        <v>8751.2000000000007</v>
      </c>
      <c r="K782" s="297" t="s">
        <v>1795</v>
      </c>
      <c r="L782" s="298" t="s">
        <v>14</v>
      </c>
      <c r="M782" s="969">
        <v>100</v>
      </c>
      <c r="N782" s="969">
        <v>100</v>
      </c>
      <c r="O782" s="969">
        <v>100</v>
      </c>
      <c r="P782" s="969">
        <v>100</v>
      </c>
      <c r="Q782" s="969">
        <v>100</v>
      </c>
    </row>
    <row r="783" spans="1:17" ht="60" x14ac:dyDescent="0.25">
      <c r="A783" s="1104"/>
      <c r="B783" s="966"/>
      <c r="C783" s="967" t="s">
        <v>17</v>
      </c>
      <c r="D783" s="967"/>
      <c r="E783" s="195" t="s">
        <v>1796</v>
      </c>
      <c r="F783" s="970">
        <v>6679.3</v>
      </c>
      <c r="G783" s="970">
        <v>6799.1</v>
      </c>
      <c r="H783" s="970">
        <v>6800.7</v>
      </c>
      <c r="I783" s="970">
        <v>7039.3</v>
      </c>
      <c r="J783" s="970">
        <v>7139.3</v>
      </c>
      <c r="K783" s="297" t="s">
        <v>1797</v>
      </c>
      <c r="L783" s="298" t="s">
        <v>14</v>
      </c>
      <c r="M783" s="971">
        <v>100</v>
      </c>
      <c r="N783" s="971">
        <v>100</v>
      </c>
      <c r="O783" s="971">
        <v>100</v>
      </c>
      <c r="P783" s="971">
        <v>100</v>
      </c>
      <c r="Q783" s="971">
        <v>100</v>
      </c>
    </row>
    <row r="784" spans="1:17" ht="45" x14ac:dyDescent="0.25">
      <c r="A784" s="1104"/>
      <c r="B784" s="966"/>
      <c r="C784" s="967" t="s">
        <v>18</v>
      </c>
      <c r="D784" s="967"/>
      <c r="E784" s="195" t="s">
        <v>2012</v>
      </c>
      <c r="F784" s="970">
        <v>792.9</v>
      </c>
      <c r="G784" s="970">
        <v>1534.3820000000001</v>
      </c>
      <c r="H784" s="970">
        <v>1030.3</v>
      </c>
      <c r="I784" s="970">
        <v>1030.3</v>
      </c>
      <c r="J784" s="970">
        <v>1030.3</v>
      </c>
      <c r="K784" s="297" t="s">
        <v>1798</v>
      </c>
      <c r="L784" s="298" t="s">
        <v>315</v>
      </c>
      <c r="M784" s="971">
        <v>3</v>
      </c>
      <c r="N784" s="971">
        <v>2</v>
      </c>
      <c r="O784" s="971">
        <v>1</v>
      </c>
      <c r="P784" s="971">
        <v>1</v>
      </c>
      <c r="Q784" s="971">
        <v>1</v>
      </c>
    </row>
    <row r="785" spans="1:17" ht="105" x14ac:dyDescent="0.25">
      <c r="A785" s="1104"/>
      <c r="B785" s="966"/>
      <c r="C785" s="967" t="s">
        <v>16</v>
      </c>
      <c r="D785" s="967"/>
      <c r="E785" s="195" t="s">
        <v>1799</v>
      </c>
      <c r="F785" s="970">
        <v>1043.9000000000001</v>
      </c>
      <c r="G785" s="970">
        <v>774.6</v>
      </c>
      <c r="H785" s="970">
        <v>581.6</v>
      </c>
      <c r="I785" s="970">
        <v>581.6</v>
      </c>
      <c r="J785" s="970">
        <v>581.6</v>
      </c>
      <c r="K785" s="297" t="s">
        <v>1800</v>
      </c>
      <c r="L785" s="298" t="s">
        <v>1801</v>
      </c>
      <c r="M785" s="971" t="s">
        <v>1802</v>
      </c>
      <c r="N785" s="971" t="s">
        <v>1802</v>
      </c>
      <c r="O785" s="971" t="s">
        <v>1802</v>
      </c>
      <c r="P785" s="971" t="s">
        <v>1802</v>
      </c>
      <c r="Q785" s="971" t="s">
        <v>1802</v>
      </c>
    </row>
    <row r="786" spans="1:17" x14ac:dyDescent="0.25">
      <c r="A786" s="1106" t="s">
        <v>15</v>
      </c>
      <c r="B786" s="1106"/>
      <c r="C786" s="1106"/>
      <c r="D786" s="1106"/>
      <c r="E786" s="1106"/>
      <c r="F786" s="972">
        <v>11323</v>
      </c>
      <c r="G786" s="972">
        <v>12185.082</v>
      </c>
      <c r="H786" s="972">
        <v>11474.6</v>
      </c>
      <c r="I786" s="972">
        <v>11813.2</v>
      </c>
      <c r="J786" s="972">
        <v>11995.3</v>
      </c>
      <c r="K786" s="60"/>
      <c r="L786" s="1158"/>
      <c r="M786" s="1158"/>
      <c r="N786" s="1158"/>
      <c r="O786" s="1158"/>
      <c r="P786" s="1158"/>
      <c r="Q786" s="1158"/>
    </row>
    <row r="787" spans="1:17" x14ac:dyDescent="0.25">
      <c r="A787" s="1153" t="s">
        <v>2019</v>
      </c>
      <c r="B787" s="1154"/>
      <c r="C787" s="1155"/>
      <c r="D787" s="1155"/>
      <c r="E787" s="1155"/>
      <c r="F787" s="1155"/>
      <c r="G787" s="1155"/>
      <c r="H787" s="1155"/>
      <c r="I787" s="1155"/>
      <c r="J787" s="1155"/>
      <c r="K787" s="1155"/>
      <c r="L787" s="1155"/>
      <c r="M787" s="1155"/>
      <c r="N787" s="1155"/>
      <c r="O787" s="1155"/>
      <c r="P787" s="1155"/>
      <c r="Q787" s="1156"/>
    </row>
    <row r="788" spans="1:17" x14ac:dyDescent="0.25">
      <c r="A788" s="29"/>
      <c r="B788" s="973"/>
      <c r="C788" s="974"/>
      <c r="D788" s="25"/>
      <c r="E788" s="143" t="s">
        <v>1803</v>
      </c>
      <c r="F788" s="24">
        <f t="shared" ref="F788:J788" si="68">F789</f>
        <v>1281.5</v>
      </c>
      <c r="G788" s="24">
        <f>G789</f>
        <v>15432.9</v>
      </c>
      <c r="H788" s="24">
        <f t="shared" si="68"/>
        <v>15732</v>
      </c>
      <c r="I788" s="24">
        <f t="shared" si="68"/>
        <v>16202.6</v>
      </c>
      <c r="J788" s="24">
        <f t="shared" si="68"/>
        <v>16364.5</v>
      </c>
      <c r="K788" s="25"/>
      <c r="L788" s="25"/>
      <c r="M788" s="25"/>
      <c r="N788" s="25"/>
      <c r="O788" s="25"/>
      <c r="P788" s="25"/>
      <c r="Q788" s="25"/>
    </row>
    <row r="789" spans="1:17" ht="45" x14ac:dyDescent="0.25">
      <c r="A789" s="1104">
        <v>79</v>
      </c>
      <c r="B789" s="1159"/>
      <c r="C789" s="1160">
        <v>201</v>
      </c>
      <c r="D789" s="1108"/>
      <c r="E789" s="1120" t="s">
        <v>1804</v>
      </c>
      <c r="F789" s="1162">
        <v>1281.5</v>
      </c>
      <c r="G789" s="1162">
        <v>15432.9</v>
      </c>
      <c r="H789" s="1162">
        <v>15732</v>
      </c>
      <c r="I789" s="1162">
        <v>16202.6</v>
      </c>
      <c r="J789" s="1162">
        <v>16364.5</v>
      </c>
      <c r="K789" s="103" t="s">
        <v>1805</v>
      </c>
      <c r="L789" s="104" t="s">
        <v>12</v>
      </c>
      <c r="M789" s="102">
        <v>12</v>
      </c>
      <c r="N789" s="102">
        <v>4</v>
      </c>
      <c r="O789" s="102">
        <v>2</v>
      </c>
      <c r="P789" s="102">
        <v>2</v>
      </c>
      <c r="Q789" s="102">
        <v>2</v>
      </c>
    </row>
    <row r="790" spans="1:17" ht="60" x14ac:dyDescent="0.25">
      <c r="A790" s="1105"/>
      <c r="B790" s="1159"/>
      <c r="C790" s="1161"/>
      <c r="D790" s="1110"/>
      <c r="E790" s="1089"/>
      <c r="F790" s="1163"/>
      <c r="G790" s="1163"/>
      <c r="H790" s="1163"/>
      <c r="I790" s="1163"/>
      <c r="J790" s="1163"/>
      <c r="K790" s="103" t="s">
        <v>1806</v>
      </c>
      <c r="L790" s="104" t="s">
        <v>12</v>
      </c>
      <c r="M790" s="102">
        <v>9</v>
      </c>
      <c r="N790" s="102">
        <v>8</v>
      </c>
      <c r="O790" s="102">
        <v>10</v>
      </c>
      <c r="P790" s="102">
        <v>10</v>
      </c>
      <c r="Q790" s="102">
        <v>10</v>
      </c>
    </row>
    <row r="791" spans="1:17" x14ac:dyDescent="0.25">
      <c r="A791" s="1143" t="s">
        <v>15</v>
      </c>
      <c r="B791" s="1144"/>
      <c r="C791" s="1144"/>
      <c r="D791" s="1144"/>
      <c r="E791" s="1145"/>
      <c r="F791" s="972">
        <f>F788</f>
        <v>1281.5</v>
      </c>
      <c r="G791" s="972">
        <f t="shared" ref="G791:J791" si="69">G788</f>
        <v>15432.9</v>
      </c>
      <c r="H791" s="972">
        <f t="shared" si="69"/>
        <v>15732</v>
      </c>
      <c r="I791" s="972">
        <f t="shared" si="69"/>
        <v>16202.6</v>
      </c>
      <c r="J791" s="972">
        <f t="shared" si="69"/>
        <v>16364.5</v>
      </c>
      <c r="K791" s="60"/>
      <c r="L791" s="975"/>
      <c r="M791" s="975"/>
      <c r="N791" s="975"/>
      <c r="O791" s="975"/>
      <c r="P791" s="975"/>
      <c r="Q791" s="975"/>
    </row>
    <row r="792" spans="1:17" x14ac:dyDescent="0.25">
      <c r="A792" s="1146" t="s">
        <v>2018</v>
      </c>
      <c r="B792" s="1146"/>
      <c r="C792" s="1146"/>
      <c r="D792" s="1146"/>
      <c r="E792" s="1146"/>
      <c r="F792" s="1146"/>
      <c r="G792" s="1146"/>
      <c r="H792" s="1146"/>
      <c r="I792" s="1146"/>
      <c r="J792" s="1146"/>
      <c r="K792" s="1146"/>
      <c r="L792" s="1146"/>
      <c r="M792" s="1146"/>
      <c r="N792" s="1146"/>
      <c r="O792" s="1146"/>
      <c r="P792" s="1146"/>
      <c r="Q792" s="1146"/>
    </row>
    <row r="793" spans="1:17" x14ac:dyDescent="0.25">
      <c r="A793" s="1147" t="s">
        <v>1566</v>
      </c>
      <c r="B793" s="976" t="s">
        <v>8</v>
      </c>
      <c r="C793" s="977"/>
      <c r="D793" s="978"/>
      <c r="E793" s="979" t="s">
        <v>657</v>
      </c>
      <c r="F793" s="980">
        <f>F794</f>
        <v>75641.5</v>
      </c>
      <c r="G793" s="980">
        <f t="shared" ref="G793:J793" si="70">G794</f>
        <v>75859.850000000006</v>
      </c>
      <c r="H793" s="980">
        <f t="shared" si="70"/>
        <v>103447.3</v>
      </c>
      <c r="I793" s="980">
        <f t="shared" si="70"/>
        <v>108282.5</v>
      </c>
      <c r="J793" s="980">
        <f t="shared" si="70"/>
        <v>113393.09999999999</v>
      </c>
      <c r="K793" s="981" t="s">
        <v>9</v>
      </c>
      <c r="L793" s="982" t="s">
        <v>431</v>
      </c>
      <c r="M793" s="981"/>
      <c r="N793" s="983"/>
      <c r="O793" s="983"/>
      <c r="P793" s="983"/>
      <c r="Q793" s="983"/>
    </row>
    <row r="794" spans="1:17" ht="30" x14ac:dyDescent="0.25">
      <c r="A794" s="1148"/>
      <c r="B794" s="977"/>
      <c r="C794" s="977" t="s">
        <v>17</v>
      </c>
      <c r="D794" s="978"/>
      <c r="E794" s="984" t="s">
        <v>1807</v>
      </c>
      <c r="F794" s="985">
        <f>40213.9+35427.6</f>
        <v>75641.5</v>
      </c>
      <c r="G794" s="985">
        <f>73768.6/2+1500.3/2+590.9+37634.5</f>
        <v>75859.850000000006</v>
      </c>
      <c r="H794" s="897">
        <f>101280.6+2166.7</f>
        <v>103447.3</v>
      </c>
      <c r="I794" s="897">
        <f>106100.8+2181.7</f>
        <v>108282.5</v>
      </c>
      <c r="J794" s="897">
        <f>111140.4+2252.7</f>
        <v>113393.09999999999</v>
      </c>
      <c r="K794" s="1150"/>
      <c r="L794" s="1151"/>
      <c r="M794" s="1151"/>
      <c r="N794" s="1151"/>
      <c r="O794" s="1151"/>
      <c r="P794" s="1151"/>
      <c r="Q794" s="1152"/>
    </row>
    <row r="795" spans="1:17" ht="42.75" x14ac:dyDescent="0.25">
      <c r="A795" s="1148"/>
      <c r="B795" s="976" t="s">
        <v>1808</v>
      </c>
      <c r="C795" s="986"/>
      <c r="D795" s="978"/>
      <c r="E795" s="979" t="s">
        <v>1809</v>
      </c>
      <c r="F795" s="980">
        <f>F796+F797+F798+F799</f>
        <v>122545.40000000001</v>
      </c>
      <c r="G795" s="980">
        <f>G796+G797+G798+G799</f>
        <v>123144.4</v>
      </c>
      <c r="H795" s="987">
        <f>H796+H797+H798+H799</f>
        <v>173004.7</v>
      </c>
      <c r="I795" s="987">
        <f>I796+I797+I798+I799</f>
        <v>173575.09999999998</v>
      </c>
      <c r="J795" s="987">
        <f>J796+J797+J798+J799</f>
        <v>173892.59999999998</v>
      </c>
      <c r="K795" s="988" t="s">
        <v>1810</v>
      </c>
      <c r="L795" s="989"/>
      <c r="M795" s="990"/>
      <c r="N795" s="990"/>
      <c r="O795" s="990"/>
      <c r="P795" s="990"/>
      <c r="Q795" s="991"/>
    </row>
    <row r="796" spans="1:17" ht="45" x14ac:dyDescent="0.25">
      <c r="A796" s="1148"/>
      <c r="B796" s="986"/>
      <c r="C796" s="986" t="s">
        <v>17</v>
      </c>
      <c r="D796" s="992"/>
      <c r="E796" s="993" t="s">
        <v>1811</v>
      </c>
      <c r="F796" s="994">
        <v>33130.300000000003</v>
      </c>
      <c r="G796" s="994">
        <f>31733+1007</f>
        <v>32740</v>
      </c>
      <c r="H796" s="994">
        <f>42489.6+750</f>
        <v>43239.6</v>
      </c>
      <c r="I796" s="994">
        <f>42577.6+950</f>
        <v>43527.6</v>
      </c>
      <c r="J796" s="994">
        <f>42729+1000</f>
        <v>43729</v>
      </c>
      <c r="K796" s="989" t="s">
        <v>1812</v>
      </c>
      <c r="L796" s="982" t="s">
        <v>34</v>
      </c>
      <c r="M796" s="995">
        <v>8751</v>
      </c>
      <c r="N796" s="995">
        <v>8751</v>
      </c>
      <c r="O796" s="995">
        <v>9000</v>
      </c>
      <c r="P796" s="995">
        <v>9000</v>
      </c>
      <c r="Q796" s="995">
        <v>9000</v>
      </c>
    </row>
    <row r="797" spans="1:17" ht="75" x14ac:dyDescent="0.25">
      <c r="A797" s="1148"/>
      <c r="B797" s="986"/>
      <c r="C797" s="986" t="s">
        <v>18</v>
      </c>
      <c r="D797" s="992"/>
      <c r="E797" s="993" t="s">
        <v>1813</v>
      </c>
      <c r="F797" s="994">
        <f>13077+3188</f>
        <v>16265</v>
      </c>
      <c r="G797" s="994">
        <f>8587.1+4450.1+3187.3</f>
        <v>16224.5</v>
      </c>
      <c r="H797" s="994">
        <f>12859.8+7165.1+4486+137.5</f>
        <v>24648.400000000001</v>
      </c>
      <c r="I797" s="994">
        <f>12922.8+7182.5+4486+137.5</f>
        <v>24728.799999999999</v>
      </c>
      <c r="J797" s="994">
        <f>12957.8+7227.1+4486+137.5</f>
        <v>24808.400000000001</v>
      </c>
      <c r="K797" s="989" t="s">
        <v>1814</v>
      </c>
      <c r="L797" s="996" t="s">
        <v>34</v>
      </c>
      <c r="M797" s="996">
        <v>20</v>
      </c>
      <c r="N797" s="996">
        <v>20</v>
      </c>
      <c r="O797" s="996">
        <v>25</v>
      </c>
      <c r="P797" s="996">
        <v>25</v>
      </c>
      <c r="Q797" s="996">
        <v>26</v>
      </c>
    </row>
    <row r="798" spans="1:17" ht="90" x14ac:dyDescent="0.25">
      <c r="A798" s="1148"/>
      <c r="B798" s="986"/>
      <c r="C798" s="986" t="s">
        <v>16</v>
      </c>
      <c r="D798" s="992"/>
      <c r="E798" s="993" t="s">
        <v>1815</v>
      </c>
      <c r="F798" s="897">
        <f>49632.8+80</f>
        <v>49712.800000000003</v>
      </c>
      <c r="G798" s="897">
        <f>20157.7+19802.7+8805.4+514.5</f>
        <v>49280.3</v>
      </c>
      <c r="H798" s="994">
        <f>28950.9+12346.8+28754+250</f>
        <v>70301.7</v>
      </c>
      <c r="I798" s="994">
        <f>29030.9+12362.8+28791+250</f>
        <v>70434.7</v>
      </c>
      <c r="J798" s="994">
        <f>29030.9+12372.8+28791+250</f>
        <v>70444.7</v>
      </c>
      <c r="K798" s="989" t="s">
        <v>1816</v>
      </c>
      <c r="L798" s="996" t="s">
        <v>34</v>
      </c>
      <c r="M798" s="996">
        <v>5</v>
      </c>
      <c r="N798" s="996">
        <v>5</v>
      </c>
      <c r="O798" s="996">
        <v>7</v>
      </c>
      <c r="P798" s="996">
        <v>7</v>
      </c>
      <c r="Q798" s="996">
        <v>8</v>
      </c>
    </row>
    <row r="799" spans="1:17" ht="60" x14ac:dyDescent="0.25">
      <c r="A799" s="1148"/>
      <c r="B799" s="977"/>
      <c r="C799" s="977" t="s">
        <v>19</v>
      </c>
      <c r="D799" s="978"/>
      <c r="E799" s="997" t="s">
        <v>1817</v>
      </c>
      <c r="F799" s="985">
        <v>23437.3</v>
      </c>
      <c r="G799" s="985">
        <f>12099.8+11969.8+830</f>
        <v>24899.599999999999</v>
      </c>
      <c r="H799" s="897">
        <v>34815</v>
      </c>
      <c r="I799" s="897">
        <f>16544.6+17339.4+1000</f>
        <v>34884</v>
      </c>
      <c r="J799" s="897">
        <f>16566.1+17344.4+1000</f>
        <v>34910.5</v>
      </c>
      <c r="K799" s="998" t="s">
        <v>1818</v>
      </c>
      <c r="L799" s="982" t="s">
        <v>34</v>
      </c>
      <c r="M799" s="982">
        <v>15</v>
      </c>
      <c r="N799" s="982">
        <v>15</v>
      </c>
      <c r="O799" s="999">
        <v>20</v>
      </c>
      <c r="P799" s="999">
        <v>20</v>
      </c>
      <c r="Q799" s="999">
        <v>20</v>
      </c>
    </row>
    <row r="800" spans="1:17" ht="42.75" x14ac:dyDescent="0.25">
      <c r="A800" s="1148"/>
      <c r="B800" s="976" t="s">
        <v>1819</v>
      </c>
      <c r="C800" s="986"/>
      <c r="D800" s="978"/>
      <c r="E800" s="979" t="s">
        <v>1820</v>
      </c>
      <c r="F800" s="980">
        <f>F801+F803</f>
        <v>81590.8</v>
      </c>
      <c r="G800" s="980">
        <f>G801+G803</f>
        <v>82720.799999999988</v>
      </c>
      <c r="H800" s="987">
        <f>H801+H802+H803</f>
        <v>160290.9</v>
      </c>
      <c r="I800" s="987">
        <f>I801+I802+I803</f>
        <v>159752.5</v>
      </c>
      <c r="J800" s="987">
        <f>J801+J802+J803</f>
        <v>159135.5</v>
      </c>
      <c r="K800" s="989" t="s">
        <v>1821</v>
      </c>
      <c r="L800" s="1000" t="s">
        <v>25</v>
      </c>
      <c r="M800" s="982"/>
      <c r="N800" s="982"/>
      <c r="O800" s="999"/>
      <c r="P800" s="999"/>
      <c r="Q800" s="999"/>
    </row>
    <row r="801" spans="1:17" ht="135" x14ac:dyDescent="0.25">
      <c r="A801" s="1148"/>
      <c r="B801" s="986"/>
      <c r="C801" s="986" t="s">
        <v>17</v>
      </c>
      <c r="D801" s="992"/>
      <c r="E801" s="993" t="s">
        <v>1822</v>
      </c>
      <c r="F801" s="994">
        <f>41838.6+15009</f>
        <v>56847.6</v>
      </c>
      <c r="G801" s="994">
        <f>20985.3+25098/2+8857.2+15616.1</f>
        <v>58007.6</v>
      </c>
      <c r="H801" s="994">
        <f>25109.8+34520.3+12778.4+0.2+1685+2792+1200+500+4299.5</f>
        <v>82885.2</v>
      </c>
      <c r="I801" s="994">
        <f>24304.3+34597.3/2+12853.4+1685+2586+4300+500+1200</f>
        <v>64727.35</v>
      </c>
      <c r="J801" s="994">
        <f>23989.3+34607.3/2+12878.4+1200+1800+2586+4300+500</f>
        <v>64557.35</v>
      </c>
      <c r="K801" s="1001" t="s">
        <v>1823</v>
      </c>
      <c r="L801" s="1000" t="s">
        <v>432</v>
      </c>
      <c r="M801" s="994">
        <v>2041.5</v>
      </c>
      <c r="N801" s="994">
        <v>2041.5</v>
      </c>
      <c r="O801" s="1002">
        <v>2500</v>
      </c>
      <c r="P801" s="1002">
        <v>2600</v>
      </c>
      <c r="Q801" s="1002">
        <v>2600</v>
      </c>
    </row>
    <row r="802" spans="1:17" ht="75" x14ac:dyDescent="0.25">
      <c r="A802" s="1148"/>
      <c r="B802" s="986"/>
      <c r="C802" s="986" t="s">
        <v>18</v>
      </c>
      <c r="D802" s="992"/>
      <c r="E802" s="993" t="s">
        <v>1824</v>
      </c>
      <c r="F802" s="994"/>
      <c r="G802" s="994"/>
      <c r="H802" s="994">
        <f>16154.8+30107.9+13795.9+0.2+3600+1700</f>
        <v>65358.799999999996</v>
      </c>
      <c r="I802" s="994">
        <f>16225.8+30207.9+13850.9/2+3650+1700</f>
        <v>58709.149999999994</v>
      </c>
      <c r="J802" s="994">
        <f>16205.8+30210.9+14110.9/2+3800+1700</f>
        <v>58972.149999999994</v>
      </c>
      <c r="K802" s="1001" t="s">
        <v>1825</v>
      </c>
      <c r="L802" s="982" t="s">
        <v>34</v>
      </c>
      <c r="M802" s="982">
        <v>180</v>
      </c>
      <c r="N802" s="982">
        <v>180</v>
      </c>
      <c r="O802" s="999">
        <v>200</v>
      </c>
      <c r="P802" s="999">
        <v>200</v>
      </c>
      <c r="Q802" s="999">
        <v>200</v>
      </c>
    </row>
    <row r="803" spans="1:17" ht="105" x14ac:dyDescent="0.25">
      <c r="A803" s="1148"/>
      <c r="B803" s="986"/>
      <c r="C803" s="986" t="s">
        <v>16</v>
      </c>
      <c r="D803" s="992"/>
      <c r="E803" s="993" t="s">
        <v>1826</v>
      </c>
      <c r="F803" s="994">
        <v>24743.200000000001</v>
      </c>
      <c r="G803" s="994">
        <f>25098/2+9489.6/2+7347.9+71.5</f>
        <v>24713.199999999997</v>
      </c>
      <c r="H803" s="994">
        <v>12046.9</v>
      </c>
      <c r="I803" s="994">
        <f>34597.3/2+13850.9/2+12091.9</f>
        <v>36316</v>
      </c>
      <c r="J803" s="994">
        <f>34607.3/2+14110.9/2+11246.9</f>
        <v>35606</v>
      </c>
      <c r="K803" s="1001" t="s">
        <v>1827</v>
      </c>
      <c r="L803" s="1000" t="s">
        <v>34</v>
      </c>
      <c r="M803" s="1000">
        <v>18</v>
      </c>
      <c r="N803" s="1000">
        <v>18</v>
      </c>
      <c r="O803" s="1003">
        <v>25</v>
      </c>
      <c r="P803" s="1003">
        <v>25</v>
      </c>
      <c r="Q803" s="1003">
        <v>26</v>
      </c>
    </row>
    <row r="804" spans="1:17" ht="28.5" x14ac:dyDescent="0.25">
      <c r="A804" s="1148"/>
      <c r="B804" s="976" t="s">
        <v>1828</v>
      </c>
      <c r="C804" s="986"/>
      <c r="D804" s="978"/>
      <c r="E804" s="979" t="s">
        <v>1829</v>
      </c>
      <c r="F804" s="980">
        <f>F805+F806+F807</f>
        <v>57476.2</v>
      </c>
      <c r="G804" s="980">
        <f>G805+G806+G807</f>
        <v>61986</v>
      </c>
      <c r="H804" s="987">
        <f>H805+H806+H807</f>
        <v>87687.4</v>
      </c>
      <c r="I804" s="987">
        <f>I805+I806+I807</f>
        <v>87968.6</v>
      </c>
      <c r="J804" s="987">
        <f>J805+J806+J807</f>
        <v>88510</v>
      </c>
      <c r="K804" s="988" t="s">
        <v>1830</v>
      </c>
      <c r="L804" s="982" t="s">
        <v>34</v>
      </c>
      <c r="M804" s="982"/>
      <c r="N804" s="982"/>
      <c r="O804" s="999"/>
      <c r="P804" s="999"/>
      <c r="Q804" s="999"/>
    </row>
    <row r="805" spans="1:17" ht="105" x14ac:dyDescent="0.25">
      <c r="A805" s="1148"/>
      <c r="B805" s="986"/>
      <c r="C805" s="986" t="s">
        <v>17</v>
      </c>
      <c r="D805" s="992"/>
      <c r="E805" s="993" t="s">
        <v>1831</v>
      </c>
      <c r="F805" s="994">
        <f>15560+3000</f>
        <v>18560</v>
      </c>
      <c r="G805" s="994">
        <f>7384.1+8104.3+3353.2</f>
        <v>18841.600000000002</v>
      </c>
      <c r="H805" s="994">
        <f>11210.1+11695.4+3000</f>
        <v>25905.5</v>
      </c>
      <c r="I805" s="994">
        <f>11214.1+11710.4+3000</f>
        <v>25924.5</v>
      </c>
      <c r="J805" s="994">
        <f>11244.1+11755.4+3000</f>
        <v>25999.5</v>
      </c>
      <c r="K805" s="981" t="s">
        <v>1832</v>
      </c>
      <c r="L805" s="982" t="s">
        <v>34</v>
      </c>
      <c r="M805" s="982">
        <v>30</v>
      </c>
      <c r="N805" s="982">
        <v>30</v>
      </c>
      <c r="O805" s="999">
        <v>35</v>
      </c>
      <c r="P805" s="999">
        <v>35</v>
      </c>
      <c r="Q805" s="999">
        <v>40</v>
      </c>
    </row>
    <row r="806" spans="1:17" ht="105" x14ac:dyDescent="0.25">
      <c r="A806" s="1148"/>
      <c r="B806" s="986"/>
      <c r="C806" s="986" t="s">
        <v>18</v>
      </c>
      <c r="D806" s="992"/>
      <c r="E806" s="993" t="s">
        <v>1833</v>
      </c>
      <c r="F806" s="994">
        <v>19304.2</v>
      </c>
      <c r="G806" s="994">
        <f>14674.2+4399+3869.1</f>
        <v>22942.3</v>
      </c>
      <c r="H806" s="994">
        <f>22362.7+6318</f>
        <v>28680.7</v>
      </c>
      <c r="I806" s="994">
        <f>22382.7+6338</f>
        <v>28720.7</v>
      </c>
      <c r="J806" s="994">
        <f>22422.7+6409.4</f>
        <v>28832.1</v>
      </c>
      <c r="K806" s="981" t="s">
        <v>1834</v>
      </c>
      <c r="L806" s="982"/>
      <c r="M806" s="982"/>
      <c r="N806" s="982"/>
      <c r="O806" s="999"/>
      <c r="P806" s="999"/>
      <c r="Q806" s="999"/>
    </row>
    <row r="807" spans="1:17" ht="45" x14ac:dyDescent="0.25">
      <c r="A807" s="1149"/>
      <c r="B807" s="986"/>
      <c r="C807" s="986" t="s">
        <v>16</v>
      </c>
      <c r="D807" s="992"/>
      <c r="E807" s="993" t="s">
        <v>1835</v>
      </c>
      <c r="F807" s="994">
        <v>19612</v>
      </c>
      <c r="G807" s="994">
        <f>7366.9+6878.4+2110.4+3797.9+48.5</f>
        <v>20202.099999999999</v>
      </c>
      <c r="H807" s="994">
        <f>13899.8+9974.4+2955.9+6271.5-0.4</f>
        <v>33101.199999999997</v>
      </c>
      <c r="I807" s="994">
        <f>13926.8+9989.4+2975.9+6431.3</f>
        <v>33323.4</v>
      </c>
      <c r="J807" s="994">
        <f>13971.8+10119.4+3125.9+6461.3</f>
        <v>33678.400000000001</v>
      </c>
      <c r="K807" s="993" t="s">
        <v>1836</v>
      </c>
      <c r="L807" s="982" t="s">
        <v>34</v>
      </c>
      <c r="M807" s="982">
        <v>18</v>
      </c>
      <c r="N807" s="982">
        <v>18</v>
      </c>
      <c r="O807" s="999">
        <v>20</v>
      </c>
      <c r="P807" s="999">
        <v>20</v>
      </c>
      <c r="Q807" s="999">
        <v>21</v>
      </c>
    </row>
    <row r="808" spans="1:17" x14ac:dyDescent="0.25">
      <c r="A808" s="1106" t="s">
        <v>15</v>
      </c>
      <c r="B808" s="1106"/>
      <c r="C808" s="1106"/>
      <c r="D808" s="1106"/>
      <c r="E808" s="1106"/>
      <c r="F808" s="1004">
        <f>F793+F795+F800+F804</f>
        <v>337253.9</v>
      </c>
      <c r="G808" s="1004">
        <f>G793+G795+G800+G804</f>
        <v>343711.05</v>
      </c>
      <c r="H808" s="1004">
        <f>H793+H795+H804+H800</f>
        <v>524430.30000000005</v>
      </c>
      <c r="I808" s="1004">
        <f>I793+I795+I804+I800</f>
        <v>529578.69999999995</v>
      </c>
      <c r="J808" s="1004">
        <f>J793+J795+J804+J800</f>
        <v>534931.19999999995</v>
      </c>
      <c r="K808" s="1005"/>
      <c r="L808" s="1006"/>
      <c r="M808" s="1006"/>
      <c r="N808" s="1007"/>
      <c r="O808" s="1007"/>
      <c r="P808" s="1007"/>
      <c r="Q808" s="1007"/>
    </row>
    <row r="809" spans="1:17" x14ac:dyDescent="0.25">
      <c r="A809" s="1146" t="s">
        <v>2017</v>
      </c>
      <c r="B809" s="1146"/>
      <c r="C809" s="1146"/>
      <c r="D809" s="1146"/>
      <c r="E809" s="1146"/>
      <c r="F809" s="1146"/>
      <c r="G809" s="1146"/>
      <c r="H809" s="1146"/>
      <c r="I809" s="1146"/>
      <c r="J809" s="1146"/>
      <c r="K809" s="1146"/>
      <c r="L809" s="1146"/>
      <c r="M809" s="1146"/>
      <c r="N809" s="1146"/>
      <c r="O809" s="1146"/>
      <c r="P809" s="1146"/>
      <c r="Q809" s="1146"/>
    </row>
    <row r="810" spans="1:17" ht="45" x14ac:dyDescent="0.25">
      <c r="A810" s="1115" t="s">
        <v>1837</v>
      </c>
      <c r="B810" s="23" t="s">
        <v>1838</v>
      </c>
      <c r="C810" s="275"/>
      <c r="D810" s="275"/>
      <c r="E810" s="1008" t="s">
        <v>1839</v>
      </c>
      <c r="F810" s="24">
        <f>F811</f>
        <v>184542.4</v>
      </c>
      <c r="G810" s="24">
        <f t="shared" ref="G810:J810" si="71">G811</f>
        <v>219541.8</v>
      </c>
      <c r="H810" s="24">
        <f t="shared" si="71"/>
        <v>376835.8</v>
      </c>
      <c r="I810" s="24">
        <f t="shared" si="71"/>
        <v>380165.8</v>
      </c>
      <c r="J810" s="24">
        <f t="shared" si="71"/>
        <v>383755.1</v>
      </c>
      <c r="K810" s="103" t="s">
        <v>1840</v>
      </c>
      <c r="L810" s="27" t="s">
        <v>564</v>
      </c>
      <c r="M810" s="27">
        <v>4281</v>
      </c>
      <c r="N810" s="27">
        <v>7135</v>
      </c>
      <c r="O810" s="27">
        <v>7200</v>
      </c>
      <c r="P810" s="27">
        <v>7450</v>
      </c>
      <c r="Q810" s="27">
        <v>7550</v>
      </c>
    </row>
    <row r="811" spans="1:17" ht="30" x14ac:dyDescent="0.25">
      <c r="A811" s="1117"/>
      <c r="B811" s="275"/>
      <c r="C811" s="22" t="s">
        <v>17</v>
      </c>
      <c r="D811" s="275"/>
      <c r="E811" s="103" t="s">
        <v>2013</v>
      </c>
      <c r="F811" s="26">
        <v>184542.4</v>
      </c>
      <c r="G811" s="26">
        <v>219541.8</v>
      </c>
      <c r="H811" s="26">
        <f>306035.8+70800</f>
        <v>376835.8</v>
      </c>
      <c r="I811" s="26">
        <f>309165.8+71000</f>
        <v>380165.8</v>
      </c>
      <c r="J811" s="26">
        <f>312255.1+71500</f>
        <v>383755.1</v>
      </c>
      <c r="K811" s="103" t="s">
        <v>1840</v>
      </c>
      <c r="L811" s="27" t="s">
        <v>564</v>
      </c>
      <c r="M811" s="27">
        <v>4281</v>
      </c>
      <c r="N811" s="27">
        <v>7135</v>
      </c>
      <c r="O811" s="27">
        <v>7200</v>
      </c>
      <c r="P811" s="27">
        <v>7450</v>
      </c>
      <c r="Q811" s="27">
        <v>7550</v>
      </c>
    </row>
    <row r="812" spans="1:17" x14ac:dyDescent="0.25">
      <c r="A812" s="1106" t="s">
        <v>15</v>
      </c>
      <c r="B812" s="1106"/>
      <c r="C812" s="1106"/>
      <c r="D812" s="1106"/>
      <c r="E812" s="1106"/>
      <c r="F812" s="825">
        <f>F810</f>
        <v>184542.4</v>
      </c>
      <c r="G812" s="825">
        <f>G810</f>
        <v>219541.8</v>
      </c>
      <c r="H812" s="825">
        <f>H810</f>
        <v>376835.8</v>
      </c>
      <c r="I812" s="825">
        <f>I810</f>
        <v>380165.8</v>
      </c>
      <c r="J812" s="825">
        <f>J810</f>
        <v>383755.1</v>
      </c>
      <c r="K812" s="300"/>
      <c r="L812" s="1111"/>
      <c r="M812" s="1111"/>
      <c r="N812" s="1111"/>
      <c r="O812" s="1111"/>
      <c r="P812" s="1111"/>
      <c r="Q812" s="1111"/>
    </row>
    <row r="813" spans="1:17" x14ac:dyDescent="0.25">
      <c r="A813" s="1137" t="s">
        <v>2016</v>
      </c>
      <c r="B813" s="1137"/>
      <c r="C813" s="1137"/>
      <c r="D813" s="1137"/>
      <c r="E813" s="1137"/>
      <c r="F813" s="1137"/>
      <c r="G813" s="1137"/>
      <c r="H813" s="1137"/>
      <c r="I813" s="1137"/>
      <c r="J813" s="1137"/>
      <c r="K813" s="1137"/>
      <c r="L813" s="1137"/>
      <c r="M813" s="1137"/>
      <c r="N813" s="1137"/>
      <c r="O813" s="1137"/>
      <c r="P813" s="1137"/>
      <c r="Q813" s="1137"/>
    </row>
    <row r="814" spans="1:17" ht="71.25" x14ac:dyDescent="0.25">
      <c r="A814" s="1108">
        <v>82</v>
      </c>
      <c r="B814" s="959">
        <v>1</v>
      </c>
      <c r="C814" s="1009"/>
      <c r="D814" s="30"/>
      <c r="E814" s="101" t="s">
        <v>1841</v>
      </c>
      <c r="F814" s="528">
        <f>F815+F816+F817+F818+F819+F820+F821+F822</f>
        <v>11753.8</v>
      </c>
      <c r="G814" s="528">
        <f t="shared" ref="G814:J814" si="72">G815+G816+G817+G818+G819+G820+G821+G822</f>
        <v>13174.2</v>
      </c>
      <c r="H814" s="528">
        <f t="shared" si="72"/>
        <v>13588.099999999999</v>
      </c>
      <c r="I814" s="528">
        <f t="shared" si="72"/>
        <v>13866.9</v>
      </c>
      <c r="J814" s="528">
        <f t="shared" si="72"/>
        <v>13912.6</v>
      </c>
      <c r="K814" s="1010" t="s">
        <v>31</v>
      </c>
      <c r="L814" s="1011" t="s">
        <v>14</v>
      </c>
      <c r="M814" s="1012">
        <v>1</v>
      </c>
      <c r="N814" s="1012">
        <v>1</v>
      </c>
      <c r="O814" s="1012">
        <v>1</v>
      </c>
      <c r="P814" s="1012">
        <v>1</v>
      </c>
      <c r="Q814" s="1012">
        <v>1</v>
      </c>
    </row>
    <row r="815" spans="1:17" ht="30" x14ac:dyDescent="0.25">
      <c r="A815" s="1109"/>
      <c r="B815" s="959"/>
      <c r="C815" s="312">
        <v>1</v>
      </c>
      <c r="D815" s="30"/>
      <c r="E815" s="101" t="s">
        <v>10</v>
      </c>
      <c r="F815" s="1013">
        <v>1386.5</v>
      </c>
      <c r="G815" s="1013">
        <v>7701.3</v>
      </c>
      <c r="H815" s="1013">
        <v>8215.4</v>
      </c>
      <c r="I815" s="1013">
        <v>8394</v>
      </c>
      <c r="J815" s="1013">
        <v>8409.7000000000007</v>
      </c>
      <c r="K815" s="1014" t="s">
        <v>9</v>
      </c>
      <c r="L815" s="1011" t="s">
        <v>224</v>
      </c>
      <c r="M815" s="504" t="s">
        <v>309</v>
      </c>
      <c r="N815" s="504" t="s">
        <v>309</v>
      </c>
      <c r="O815" s="504" t="s">
        <v>309</v>
      </c>
      <c r="P815" s="504" t="s">
        <v>309</v>
      </c>
      <c r="Q815" s="504" t="s">
        <v>309</v>
      </c>
    </row>
    <row r="816" spans="1:17" ht="30" x14ac:dyDescent="0.25">
      <c r="A816" s="1109"/>
      <c r="B816" s="959"/>
      <c r="C816" s="312">
        <v>2</v>
      </c>
      <c r="D816" s="30"/>
      <c r="E816" s="101" t="s">
        <v>11</v>
      </c>
      <c r="F816" s="1013">
        <v>1443.2</v>
      </c>
      <c r="G816" s="1013">
        <v>5472.9</v>
      </c>
      <c r="H816" s="1013">
        <v>5372.7</v>
      </c>
      <c r="I816" s="1013">
        <v>5472.9</v>
      </c>
      <c r="J816" s="1013">
        <v>5502.9</v>
      </c>
      <c r="K816" s="1014" t="s">
        <v>282</v>
      </c>
      <c r="L816" s="1011" t="s">
        <v>14</v>
      </c>
      <c r="M816" s="1015">
        <v>1</v>
      </c>
      <c r="N816" s="1015">
        <v>1</v>
      </c>
      <c r="O816" s="1015">
        <v>1</v>
      </c>
      <c r="P816" s="1015">
        <v>1</v>
      </c>
      <c r="Q816" s="1015">
        <v>1</v>
      </c>
    </row>
    <row r="817" spans="1:17" ht="30" x14ac:dyDescent="0.25">
      <c r="A817" s="1109"/>
      <c r="B817" s="959"/>
      <c r="C817" s="312">
        <v>3</v>
      </c>
      <c r="D817" s="30" t="s">
        <v>235</v>
      </c>
      <c r="E817" s="101" t="s">
        <v>276</v>
      </c>
      <c r="F817" s="1013">
        <v>371</v>
      </c>
      <c r="G817" s="1013">
        <v>0</v>
      </c>
      <c r="H817" s="1013">
        <v>0</v>
      </c>
      <c r="I817" s="1013">
        <v>0</v>
      </c>
      <c r="J817" s="1013">
        <v>0</v>
      </c>
      <c r="K817" s="1016" t="s">
        <v>283</v>
      </c>
      <c r="L817" s="1011" t="s">
        <v>14</v>
      </c>
      <c r="M817" s="1015">
        <v>1</v>
      </c>
      <c r="N817" s="1015">
        <v>1</v>
      </c>
      <c r="O817" s="1015">
        <v>1</v>
      </c>
      <c r="P817" s="1015">
        <v>1</v>
      </c>
      <c r="Q817" s="1015">
        <v>1</v>
      </c>
    </row>
    <row r="818" spans="1:17" ht="30" x14ac:dyDescent="0.25">
      <c r="A818" s="1109"/>
      <c r="B818" s="959"/>
      <c r="C818" s="312">
        <v>4</v>
      </c>
      <c r="D818" s="30"/>
      <c r="E818" s="101" t="s">
        <v>277</v>
      </c>
      <c r="F818" s="1013">
        <v>417</v>
      </c>
      <c r="G818" s="1013">
        <v>0</v>
      </c>
      <c r="H818" s="1013">
        <v>0</v>
      </c>
      <c r="I818" s="1013">
        <v>0</v>
      </c>
      <c r="J818" s="1013">
        <v>0</v>
      </c>
      <c r="K818" s="1016" t="s">
        <v>284</v>
      </c>
      <c r="L818" s="1017" t="s">
        <v>12</v>
      </c>
      <c r="M818" s="1018">
        <v>0</v>
      </c>
      <c r="N818" s="1018" t="s">
        <v>900</v>
      </c>
      <c r="O818" s="1018" t="s">
        <v>900</v>
      </c>
      <c r="P818" s="1018" t="s">
        <v>900</v>
      </c>
      <c r="Q818" s="1018" t="s">
        <v>900</v>
      </c>
    </row>
    <row r="819" spans="1:17" ht="45" x14ac:dyDescent="0.25">
      <c r="A819" s="1109"/>
      <c r="B819" s="959"/>
      <c r="C819" s="312">
        <v>5</v>
      </c>
      <c r="D819" s="30" t="s">
        <v>235</v>
      </c>
      <c r="E819" s="101" t="s">
        <v>278</v>
      </c>
      <c r="F819" s="1013">
        <v>370</v>
      </c>
      <c r="G819" s="1013">
        <v>0</v>
      </c>
      <c r="H819" s="1013">
        <v>0</v>
      </c>
      <c r="I819" s="1013">
        <v>0</v>
      </c>
      <c r="J819" s="1013">
        <v>0</v>
      </c>
      <c r="K819" s="1016" t="s">
        <v>1842</v>
      </c>
      <c r="L819" s="1017" t="s">
        <v>12</v>
      </c>
      <c r="M819" s="1019">
        <v>42</v>
      </c>
      <c r="N819" s="1019">
        <v>55</v>
      </c>
      <c r="O819" s="1019">
        <v>60</v>
      </c>
      <c r="P819" s="1019">
        <v>53</v>
      </c>
      <c r="Q819" s="1019">
        <v>53</v>
      </c>
    </row>
    <row r="820" spans="1:17" ht="45" x14ac:dyDescent="0.25">
      <c r="A820" s="1109"/>
      <c r="B820" s="959"/>
      <c r="C820" s="312">
        <v>6</v>
      </c>
      <c r="D820" s="30"/>
      <c r="E820" s="101" t="s">
        <v>232</v>
      </c>
      <c r="F820" s="1013">
        <v>1722.7</v>
      </c>
      <c r="G820" s="1013">
        <v>0</v>
      </c>
      <c r="H820" s="1013">
        <v>0</v>
      </c>
      <c r="I820" s="1013">
        <v>0</v>
      </c>
      <c r="J820" s="1013">
        <v>0</v>
      </c>
      <c r="K820" s="1016" t="s">
        <v>498</v>
      </c>
      <c r="L820" s="1011" t="s">
        <v>224</v>
      </c>
      <c r="M820" s="1019">
        <v>7.1</v>
      </c>
      <c r="N820" s="1019">
        <v>7.4</v>
      </c>
      <c r="O820" s="1019">
        <v>6.8</v>
      </c>
      <c r="P820" s="1019">
        <v>7.1</v>
      </c>
      <c r="Q820" s="1019">
        <v>7.1</v>
      </c>
    </row>
    <row r="821" spans="1:17" ht="60" x14ac:dyDescent="0.25">
      <c r="A821" s="1109"/>
      <c r="B821" s="959"/>
      <c r="C821" s="312">
        <v>7</v>
      </c>
      <c r="D821" s="30"/>
      <c r="E821" s="101" t="s">
        <v>279</v>
      </c>
      <c r="F821" s="1013">
        <v>2032.7</v>
      </c>
      <c r="G821" s="1013">
        <v>0</v>
      </c>
      <c r="H821" s="1013">
        <v>0</v>
      </c>
      <c r="I821" s="1013">
        <v>0</v>
      </c>
      <c r="J821" s="1013">
        <v>0</v>
      </c>
      <c r="K821" s="1016" t="s">
        <v>1843</v>
      </c>
      <c r="L821" s="1011" t="s">
        <v>14</v>
      </c>
      <c r="M821" s="1020">
        <v>1</v>
      </c>
      <c r="N821" s="1020">
        <v>1</v>
      </c>
      <c r="O821" s="1020">
        <v>1</v>
      </c>
      <c r="P821" s="1020">
        <v>1</v>
      </c>
      <c r="Q821" s="1020">
        <v>1</v>
      </c>
    </row>
    <row r="822" spans="1:17" ht="60" x14ac:dyDescent="0.25">
      <c r="A822" s="1109"/>
      <c r="B822" s="959"/>
      <c r="C822" s="312">
        <v>8</v>
      </c>
      <c r="D822" s="30"/>
      <c r="E822" s="101" t="s">
        <v>280</v>
      </c>
      <c r="F822" s="1013">
        <v>4010.7</v>
      </c>
      <c r="G822" s="1013">
        <v>0</v>
      </c>
      <c r="H822" s="1013">
        <v>0</v>
      </c>
      <c r="I822" s="1013">
        <v>0</v>
      </c>
      <c r="J822" s="1013">
        <v>0</v>
      </c>
      <c r="K822" s="1016" t="s">
        <v>1844</v>
      </c>
      <c r="L822" s="1011" t="s">
        <v>14</v>
      </c>
      <c r="M822" s="1021">
        <v>0.85509999999999997</v>
      </c>
      <c r="N822" s="1020">
        <v>0.9</v>
      </c>
      <c r="O822" s="1021">
        <v>0.89100000000000001</v>
      </c>
      <c r="P822" s="1020">
        <v>0.92</v>
      </c>
      <c r="Q822" s="1020">
        <v>0.92</v>
      </c>
    </row>
    <row r="823" spans="1:17" ht="132.75" x14ac:dyDescent="0.25">
      <c r="A823" s="1109"/>
      <c r="B823" s="1022">
        <v>822</v>
      </c>
      <c r="C823" s="935"/>
      <c r="D823" s="1023"/>
      <c r="E823" s="1024" t="s">
        <v>1845</v>
      </c>
      <c r="F823" s="528">
        <f>F824+F825+F826+F827+F829</f>
        <v>714</v>
      </c>
      <c r="G823" s="528">
        <f t="shared" ref="G823:J823" si="73">G824+G825+G826+G827+G829</f>
        <v>714</v>
      </c>
      <c r="H823" s="528">
        <f t="shared" si="73"/>
        <v>564</v>
      </c>
      <c r="I823" s="528">
        <f t="shared" si="73"/>
        <v>714</v>
      </c>
      <c r="J823" s="528">
        <f t="shared" si="73"/>
        <v>814</v>
      </c>
      <c r="K823" s="1024" t="s">
        <v>1846</v>
      </c>
      <c r="L823" s="1025" t="s">
        <v>14</v>
      </c>
      <c r="M823" s="1026">
        <v>100</v>
      </c>
      <c r="N823" s="1026">
        <v>100</v>
      </c>
      <c r="O823" s="1026">
        <v>100</v>
      </c>
      <c r="P823" s="1026">
        <v>100</v>
      </c>
      <c r="Q823" s="1026">
        <v>100</v>
      </c>
    </row>
    <row r="824" spans="1:17" ht="45" x14ac:dyDescent="0.25">
      <c r="A824" s="1109"/>
      <c r="B824" s="959"/>
      <c r="C824" s="312">
        <v>1</v>
      </c>
      <c r="D824" s="1023"/>
      <c r="E824" s="1027" t="s">
        <v>1847</v>
      </c>
      <c r="F824" s="1028">
        <v>238</v>
      </c>
      <c r="G824" s="1028">
        <v>238</v>
      </c>
      <c r="H824" s="1028">
        <v>88</v>
      </c>
      <c r="I824" s="1028">
        <v>238</v>
      </c>
      <c r="J824" s="1028">
        <v>238</v>
      </c>
      <c r="K824" s="1027" t="s">
        <v>1848</v>
      </c>
      <c r="L824" s="1017" t="s">
        <v>12</v>
      </c>
      <c r="M824" s="1019">
        <v>55</v>
      </c>
      <c r="N824" s="1019">
        <v>50</v>
      </c>
      <c r="O824" s="1019">
        <v>48</v>
      </c>
      <c r="P824" s="1019">
        <v>53</v>
      </c>
      <c r="Q824" s="1019">
        <v>53</v>
      </c>
    </row>
    <row r="825" spans="1:17" ht="75" x14ac:dyDescent="0.25">
      <c r="A825" s="1109"/>
      <c r="B825" s="1022"/>
      <c r="C825" s="312">
        <v>2</v>
      </c>
      <c r="D825" s="1023"/>
      <c r="E825" s="1027" t="s">
        <v>1849</v>
      </c>
      <c r="F825" s="1028">
        <v>132</v>
      </c>
      <c r="G825" s="1028">
        <v>132</v>
      </c>
      <c r="H825" s="1028">
        <v>132</v>
      </c>
      <c r="I825" s="1028">
        <v>132</v>
      </c>
      <c r="J825" s="1028">
        <v>132</v>
      </c>
      <c r="K825" s="1027" t="s">
        <v>2027</v>
      </c>
      <c r="L825" s="1017" t="s">
        <v>12</v>
      </c>
      <c r="M825" s="1019">
        <v>59</v>
      </c>
      <c r="N825" s="1019">
        <v>55</v>
      </c>
      <c r="O825" s="1019">
        <v>61</v>
      </c>
      <c r="P825" s="1019">
        <v>49</v>
      </c>
      <c r="Q825" s="1019">
        <v>49</v>
      </c>
    </row>
    <row r="826" spans="1:17" ht="90" x14ac:dyDescent="0.25">
      <c r="A826" s="1109"/>
      <c r="B826" s="1022"/>
      <c r="C826" s="312">
        <v>3</v>
      </c>
      <c r="D826" s="1023"/>
      <c r="E826" s="1027" t="s">
        <v>1850</v>
      </c>
      <c r="F826" s="1028">
        <v>131</v>
      </c>
      <c r="G826" s="1028">
        <v>131</v>
      </c>
      <c r="H826" s="1028">
        <v>131</v>
      </c>
      <c r="I826" s="1028">
        <v>131</v>
      </c>
      <c r="J826" s="1028">
        <v>131</v>
      </c>
      <c r="K826" s="1027" t="s">
        <v>1851</v>
      </c>
      <c r="L826" s="1029" t="s">
        <v>14</v>
      </c>
      <c r="M826" s="1020">
        <v>1</v>
      </c>
      <c r="N826" s="1020">
        <v>1</v>
      </c>
      <c r="O826" s="1020">
        <v>1</v>
      </c>
      <c r="P826" s="1020">
        <v>1</v>
      </c>
      <c r="Q826" s="1020">
        <v>1</v>
      </c>
    </row>
    <row r="827" spans="1:17" ht="45" x14ac:dyDescent="0.25">
      <c r="A827" s="1109"/>
      <c r="B827" s="1138"/>
      <c r="C827" s="1139">
        <v>4</v>
      </c>
      <c r="D827" s="1140"/>
      <c r="E827" s="1141" t="s">
        <v>1852</v>
      </c>
      <c r="F827" s="1142">
        <v>93</v>
      </c>
      <c r="G827" s="1142">
        <v>93</v>
      </c>
      <c r="H827" s="1142">
        <v>93</v>
      </c>
      <c r="I827" s="1142">
        <v>93</v>
      </c>
      <c r="J827" s="1142">
        <v>193</v>
      </c>
      <c r="K827" s="1027" t="s">
        <v>1853</v>
      </c>
      <c r="L827" s="1017" t="s">
        <v>12</v>
      </c>
      <c r="M827" s="1011">
        <v>810</v>
      </c>
      <c r="N827" s="1011">
        <v>750</v>
      </c>
      <c r="O827" s="1011">
        <v>850</v>
      </c>
      <c r="P827" s="1011">
        <v>690</v>
      </c>
      <c r="Q827" s="1011">
        <v>690</v>
      </c>
    </row>
    <row r="828" spans="1:17" ht="45" x14ac:dyDescent="0.25">
      <c r="A828" s="1109"/>
      <c r="B828" s="1138"/>
      <c r="C828" s="1139"/>
      <c r="D828" s="1140"/>
      <c r="E828" s="1141"/>
      <c r="F828" s="1142"/>
      <c r="G828" s="1142"/>
      <c r="H828" s="1142"/>
      <c r="I828" s="1142"/>
      <c r="J828" s="1142"/>
      <c r="K828" s="1027" t="s">
        <v>1854</v>
      </c>
      <c r="L828" s="1017" t="s">
        <v>25</v>
      </c>
      <c r="M828" s="1018">
        <v>100</v>
      </c>
      <c r="N828" s="1018">
        <v>80</v>
      </c>
      <c r="O828" s="1018">
        <v>95</v>
      </c>
      <c r="P828" s="1018">
        <v>70</v>
      </c>
      <c r="Q828" s="1018">
        <v>70</v>
      </c>
    </row>
    <row r="829" spans="1:17" ht="60" x14ac:dyDescent="0.25">
      <c r="A829" s="1110"/>
      <c r="B829" s="1022"/>
      <c r="C829" s="1030" t="s">
        <v>20</v>
      </c>
      <c r="D829" s="1023"/>
      <c r="E829" s="1027" t="s">
        <v>1855</v>
      </c>
      <c r="F829" s="1028">
        <v>120</v>
      </c>
      <c r="G829" s="1028">
        <v>120</v>
      </c>
      <c r="H829" s="1028">
        <v>120</v>
      </c>
      <c r="I829" s="1028">
        <v>120</v>
      </c>
      <c r="J829" s="1028">
        <v>120</v>
      </c>
      <c r="K829" s="1027" t="s">
        <v>1856</v>
      </c>
      <c r="L829" s="1017" t="s">
        <v>14</v>
      </c>
      <c r="M829" s="1020">
        <v>1</v>
      </c>
      <c r="N829" s="1020">
        <v>1</v>
      </c>
      <c r="O829" s="1020">
        <v>1</v>
      </c>
      <c r="P829" s="1020">
        <v>1</v>
      </c>
      <c r="Q829" s="1020">
        <v>1</v>
      </c>
    </row>
    <row r="830" spans="1:17" x14ac:dyDescent="0.25">
      <c r="A830" s="1106" t="s">
        <v>15</v>
      </c>
      <c r="B830" s="1106"/>
      <c r="C830" s="1106"/>
      <c r="D830" s="1106"/>
      <c r="E830" s="1106"/>
      <c r="F830" s="825">
        <f>F814+F823</f>
        <v>12467.8</v>
      </c>
      <c r="G830" s="825">
        <f t="shared" ref="G830:J830" si="74">G814+G823</f>
        <v>13888.2</v>
      </c>
      <c r="H830" s="825">
        <f t="shared" si="74"/>
        <v>14152.099999999999</v>
      </c>
      <c r="I830" s="825">
        <f t="shared" si="74"/>
        <v>14580.9</v>
      </c>
      <c r="J830" s="825">
        <f t="shared" si="74"/>
        <v>14726.6</v>
      </c>
      <c r="K830" s="1031" t="s">
        <v>235</v>
      </c>
      <c r="L830" s="1031" t="s">
        <v>235</v>
      </c>
      <c r="M830" s="1031"/>
      <c r="N830" s="1031"/>
      <c r="O830" s="1031"/>
      <c r="P830" s="1031"/>
      <c r="Q830" s="1031"/>
    </row>
    <row r="831" spans="1:17" x14ac:dyDescent="0.25">
      <c r="A831" s="1131" t="s">
        <v>2014</v>
      </c>
      <c r="B831" s="1132"/>
      <c r="C831" s="1132"/>
      <c r="D831" s="1132"/>
      <c r="E831" s="1132"/>
      <c r="F831" s="1132"/>
      <c r="G831" s="1132"/>
      <c r="H831" s="1132"/>
      <c r="I831" s="1132"/>
      <c r="J831" s="1132"/>
      <c r="K831" s="1132"/>
      <c r="L831" s="1132"/>
      <c r="M831" s="1132"/>
      <c r="N831" s="1132"/>
      <c r="O831" s="1132"/>
      <c r="P831" s="1132"/>
      <c r="Q831" s="1133"/>
    </row>
    <row r="832" spans="1:17" x14ac:dyDescent="0.25">
      <c r="A832" s="1099" t="s">
        <v>1857</v>
      </c>
      <c r="B832" s="1032" t="s">
        <v>1858</v>
      </c>
      <c r="C832" s="580"/>
      <c r="D832" s="580"/>
      <c r="E832" s="523" t="s">
        <v>1859</v>
      </c>
      <c r="F832" s="525">
        <f>F833</f>
        <v>464.9</v>
      </c>
      <c r="G832" s="525">
        <f t="shared" ref="G832:J832" si="75">G833</f>
        <v>481.3</v>
      </c>
      <c r="H832" s="525">
        <f t="shared" si="75"/>
        <v>490.6</v>
      </c>
      <c r="I832" s="525">
        <f t="shared" si="75"/>
        <v>505.3</v>
      </c>
      <c r="J832" s="525">
        <f t="shared" si="75"/>
        <v>510.3</v>
      </c>
      <c r="K832" s="123"/>
      <c r="L832" s="280"/>
      <c r="M832" s="123"/>
      <c r="N832" s="123"/>
      <c r="O832" s="123"/>
      <c r="P832" s="123"/>
      <c r="Q832" s="123"/>
    </row>
    <row r="833" spans="1:17" ht="45" x14ac:dyDescent="0.25">
      <c r="A833" s="1099"/>
      <c r="B833" s="275"/>
      <c r="C833" s="275" t="s">
        <v>17</v>
      </c>
      <c r="D833" s="275"/>
      <c r="E833" s="103" t="s">
        <v>1860</v>
      </c>
      <c r="F833" s="27">
        <v>464.9</v>
      </c>
      <c r="G833" s="27">
        <v>481.3</v>
      </c>
      <c r="H833" s="27">
        <v>490.6</v>
      </c>
      <c r="I833" s="27">
        <v>505.3</v>
      </c>
      <c r="J833" s="27">
        <v>510.3</v>
      </c>
      <c r="K833" s="123" t="s">
        <v>1861</v>
      </c>
      <c r="L833" s="280" t="s">
        <v>14</v>
      </c>
      <c r="M833" s="123">
        <v>100</v>
      </c>
      <c r="N833" s="123">
        <v>100</v>
      </c>
      <c r="O833" s="123">
        <v>100</v>
      </c>
      <c r="P833" s="123">
        <v>100</v>
      </c>
      <c r="Q833" s="123">
        <v>100</v>
      </c>
    </row>
    <row r="834" spans="1:17" x14ac:dyDescent="0.25">
      <c r="A834" s="1134" t="s">
        <v>15</v>
      </c>
      <c r="B834" s="1135"/>
      <c r="C834" s="1135"/>
      <c r="D834" s="1135"/>
      <c r="E834" s="1136"/>
      <c r="F834" s="1033">
        <f>F832</f>
        <v>464.9</v>
      </c>
      <c r="G834" s="1033">
        <f t="shared" ref="G834:J834" si="76">G832</f>
        <v>481.3</v>
      </c>
      <c r="H834" s="1033">
        <f t="shared" si="76"/>
        <v>490.6</v>
      </c>
      <c r="I834" s="1033">
        <f t="shared" si="76"/>
        <v>505.3</v>
      </c>
      <c r="J834" s="1033">
        <f t="shared" si="76"/>
        <v>510.3</v>
      </c>
      <c r="K834" s="1034"/>
      <c r="L834" s="1034"/>
      <c r="M834" s="1034"/>
      <c r="N834" s="60"/>
      <c r="O834" s="60"/>
      <c r="P834" s="60"/>
      <c r="Q834" s="60"/>
    </row>
    <row r="835" spans="1:17" x14ac:dyDescent="0.25">
      <c r="A835" s="1131" t="s">
        <v>2015</v>
      </c>
      <c r="B835" s="1132"/>
      <c r="C835" s="1132"/>
      <c r="D835" s="1132"/>
      <c r="E835" s="1132"/>
      <c r="F835" s="1132"/>
      <c r="G835" s="1132"/>
      <c r="H835" s="1132"/>
      <c r="I835" s="1132"/>
      <c r="J835" s="1132"/>
      <c r="K835" s="1132"/>
      <c r="L835" s="1132"/>
      <c r="M835" s="1132"/>
      <c r="N835" s="1132"/>
      <c r="O835" s="1132"/>
      <c r="P835" s="1132"/>
      <c r="Q835" s="1133"/>
    </row>
    <row r="836" spans="1:17" x14ac:dyDescent="0.25">
      <c r="A836" s="1131" t="s">
        <v>1862</v>
      </c>
      <c r="B836" s="1132"/>
      <c r="C836" s="1132"/>
      <c r="D836" s="1132"/>
      <c r="E836" s="1132"/>
      <c r="F836" s="1132"/>
      <c r="G836" s="1132"/>
      <c r="H836" s="1132"/>
      <c r="I836" s="1132"/>
      <c r="J836" s="1132"/>
      <c r="K836" s="1132"/>
      <c r="L836" s="1132"/>
      <c r="M836" s="1132"/>
      <c r="N836" s="1132"/>
      <c r="O836" s="1132"/>
      <c r="P836" s="1132"/>
      <c r="Q836" s="1133"/>
    </row>
    <row r="837" spans="1:17" x14ac:dyDescent="0.25">
      <c r="A837" s="1108">
        <v>85</v>
      </c>
      <c r="B837" s="50" t="s">
        <v>8</v>
      </c>
      <c r="D837" s="34"/>
      <c r="E837" s="1035" t="s">
        <v>657</v>
      </c>
      <c r="F837" s="24">
        <f>F838</f>
        <v>15684.76</v>
      </c>
      <c r="G837" s="24">
        <f>G838</f>
        <v>17517.8</v>
      </c>
      <c r="H837" s="528">
        <f>H838</f>
        <v>24790.400000000001</v>
      </c>
      <c r="I837" s="528">
        <f>I838</f>
        <v>24790.400000000001</v>
      </c>
      <c r="J837" s="528">
        <f>J838</f>
        <v>24790.400000000001</v>
      </c>
      <c r="K837" s="1036" t="s">
        <v>9</v>
      </c>
      <c r="L837" s="34" t="s">
        <v>14</v>
      </c>
      <c r="M837" s="28">
        <v>90</v>
      </c>
      <c r="N837" s="28">
        <v>90</v>
      </c>
      <c r="O837" s="28">
        <v>95</v>
      </c>
      <c r="P837" s="28">
        <v>100</v>
      </c>
      <c r="Q837" s="28">
        <v>100</v>
      </c>
    </row>
    <row r="838" spans="1:17" ht="30" x14ac:dyDescent="0.25">
      <c r="A838" s="1109"/>
      <c r="B838" s="23"/>
      <c r="C838" s="22" t="s">
        <v>17</v>
      </c>
      <c r="D838" s="22"/>
      <c r="E838" s="103" t="s">
        <v>10</v>
      </c>
      <c r="F838" s="519">
        <v>15684.76</v>
      </c>
      <c r="G838" s="519">
        <v>17517.8</v>
      </c>
      <c r="H838" s="519">
        <f>17517.8+7272.6</f>
        <v>24790.400000000001</v>
      </c>
      <c r="I838" s="519">
        <f>17517.8+7272.6</f>
        <v>24790.400000000001</v>
      </c>
      <c r="J838" s="519">
        <f>17517.8+7272.6</f>
        <v>24790.400000000001</v>
      </c>
      <c r="K838" s="103" t="s">
        <v>9</v>
      </c>
      <c r="L838" s="27" t="s">
        <v>14</v>
      </c>
      <c r="M838" s="531">
        <v>90</v>
      </c>
      <c r="N838" s="531">
        <v>90</v>
      </c>
      <c r="O838" s="531">
        <v>95</v>
      </c>
      <c r="P838" s="28">
        <v>100</v>
      </c>
      <c r="Q838" s="28">
        <v>100</v>
      </c>
    </row>
    <row r="839" spans="1:17" ht="44.25" x14ac:dyDescent="0.25">
      <c r="A839" s="1109"/>
      <c r="B839" s="335" t="s">
        <v>1925</v>
      </c>
      <c r="C839" s="65"/>
      <c r="D839" s="22"/>
      <c r="E839" s="143" t="s">
        <v>1863</v>
      </c>
      <c r="F839" s="329">
        <f>F840+F841</f>
        <v>231571.25</v>
      </c>
      <c r="G839" s="24">
        <f>G840+G841</f>
        <v>237407.2</v>
      </c>
      <c r="H839" s="24">
        <f>H840+H841</f>
        <v>261427.19999999998</v>
      </c>
      <c r="I839" s="24">
        <f>I840+I841</f>
        <v>261427.19999999998</v>
      </c>
      <c r="J839" s="1037">
        <f>J840+J841</f>
        <v>261427.19999999998</v>
      </c>
      <c r="K839" s="279" t="s">
        <v>1864</v>
      </c>
      <c r="L839" s="280" t="str">
        <f t="shared" ref="L839:Q839" si="77">L840</f>
        <v>час</v>
      </c>
      <c r="M839" s="531">
        <f t="shared" si="77"/>
        <v>49275</v>
      </c>
      <c r="N839" s="531">
        <f t="shared" si="77"/>
        <v>49275</v>
      </c>
      <c r="O839" s="531">
        <f t="shared" si="77"/>
        <v>49275</v>
      </c>
      <c r="P839" s="531">
        <f t="shared" si="77"/>
        <v>49410</v>
      </c>
      <c r="Q839" s="531">
        <f t="shared" si="77"/>
        <v>49275</v>
      </c>
    </row>
    <row r="840" spans="1:17" x14ac:dyDescent="0.25">
      <c r="A840" s="1109"/>
      <c r="B840" s="65"/>
      <c r="C840" s="65" t="s">
        <v>17</v>
      </c>
      <c r="D840" s="65"/>
      <c r="E840" s="279" t="s">
        <v>1865</v>
      </c>
      <c r="F840" s="519">
        <f>118484.75+3.6</f>
        <v>118488.35</v>
      </c>
      <c r="G840" s="519">
        <v>123255.3</v>
      </c>
      <c r="H840" s="519">
        <f>123255.3+24020</f>
        <v>147275.29999999999</v>
      </c>
      <c r="I840" s="519">
        <f>123255.3+24020</f>
        <v>147275.29999999999</v>
      </c>
      <c r="J840" s="519">
        <f>123255.3+24020</f>
        <v>147275.29999999999</v>
      </c>
      <c r="K840" s="279" t="s">
        <v>1864</v>
      </c>
      <c r="L840" s="1038" t="s">
        <v>1866</v>
      </c>
      <c r="M840" s="1039">
        <v>49275</v>
      </c>
      <c r="N840" s="1039">
        <v>49275</v>
      </c>
      <c r="O840" s="1039">
        <v>49275</v>
      </c>
      <c r="P840" s="1039">
        <v>49410</v>
      </c>
      <c r="Q840" s="1039">
        <v>49275</v>
      </c>
    </row>
    <row r="841" spans="1:17" ht="30" x14ac:dyDescent="0.25">
      <c r="A841" s="1109"/>
      <c r="B841" s="65"/>
      <c r="C841" s="65" t="s">
        <v>18</v>
      </c>
      <c r="D841" s="65"/>
      <c r="E841" s="279" t="s">
        <v>1867</v>
      </c>
      <c r="F841" s="519">
        <v>113082.9</v>
      </c>
      <c r="G841" s="519">
        <v>114151.9</v>
      </c>
      <c r="H841" s="519">
        <v>114151.9</v>
      </c>
      <c r="I841" s="519">
        <v>114151.9</v>
      </c>
      <c r="J841" s="519">
        <v>114151.9</v>
      </c>
      <c r="K841" s="279" t="s">
        <v>1868</v>
      </c>
      <c r="L841" s="280" t="s">
        <v>14</v>
      </c>
      <c r="M841" s="519">
        <v>100</v>
      </c>
      <c r="N841" s="531">
        <v>100</v>
      </c>
      <c r="O841" s="531">
        <v>100</v>
      </c>
      <c r="P841" s="531">
        <v>100</v>
      </c>
      <c r="Q841" s="531">
        <v>100</v>
      </c>
    </row>
    <row r="842" spans="1:17" ht="59.25" x14ac:dyDescent="0.25">
      <c r="A842" s="1109"/>
      <c r="B842" s="335" t="s">
        <v>1926</v>
      </c>
      <c r="C842" s="65"/>
      <c r="D842" s="65"/>
      <c r="E842" s="523" t="s">
        <v>1869</v>
      </c>
      <c r="F842" s="329">
        <f>F843+F844+F845</f>
        <v>128284.64</v>
      </c>
      <c r="G842" s="329">
        <f>G843+G844+G845</f>
        <v>130835.79999999999</v>
      </c>
      <c r="H842" s="329">
        <f>H843+H844+H845</f>
        <v>142313.60000000001</v>
      </c>
      <c r="I842" s="1040">
        <f>I843+I844+I845</f>
        <v>142313.60000000001</v>
      </c>
      <c r="J842" s="1041">
        <f>J843+J844+J845</f>
        <v>142313.60000000001</v>
      </c>
      <c r="K842" s="1042" t="s">
        <v>1864</v>
      </c>
      <c r="L842" s="280" t="s">
        <v>1866</v>
      </c>
      <c r="M842" s="1043">
        <f>M843</f>
        <v>21900</v>
      </c>
      <c r="N842" s="1044">
        <f>N843</f>
        <v>21900</v>
      </c>
      <c r="O842" s="1044">
        <f>O843</f>
        <v>21900</v>
      </c>
      <c r="P842" s="531">
        <f>P843</f>
        <v>21960</v>
      </c>
      <c r="Q842" s="531">
        <f>Q843</f>
        <v>21900</v>
      </c>
    </row>
    <row r="843" spans="1:17" x14ac:dyDescent="0.25">
      <c r="A843" s="1109"/>
      <c r="B843" s="22"/>
      <c r="C843" s="22" t="s">
        <v>17</v>
      </c>
      <c r="D843" s="22"/>
      <c r="E843" s="1045" t="s">
        <v>1870</v>
      </c>
      <c r="F843" s="28">
        <v>31882.14</v>
      </c>
      <c r="G843" s="28">
        <v>34187.4</v>
      </c>
      <c r="H843" s="28">
        <f>34187.4+8477.8</f>
        <v>42665.2</v>
      </c>
      <c r="I843" s="28">
        <f>34187.4+8477.8</f>
        <v>42665.2</v>
      </c>
      <c r="J843" s="28">
        <f>34187.4+8477.8</f>
        <v>42665.2</v>
      </c>
      <c r="K843" s="1046" t="s">
        <v>1864</v>
      </c>
      <c r="L843" s="34" t="s">
        <v>1866</v>
      </c>
      <c r="M843" s="28">
        <v>21900</v>
      </c>
      <c r="N843" s="28">
        <v>21900</v>
      </c>
      <c r="O843" s="28">
        <v>21900</v>
      </c>
      <c r="P843" s="28">
        <v>21960</v>
      </c>
      <c r="Q843" s="28">
        <v>21900</v>
      </c>
    </row>
    <row r="844" spans="1:17" ht="30" x14ac:dyDescent="0.25">
      <c r="A844" s="1109"/>
      <c r="B844" s="22"/>
      <c r="C844" s="22" t="s">
        <v>18</v>
      </c>
      <c r="D844" s="22"/>
      <c r="E844" s="1047" t="s">
        <v>1871</v>
      </c>
      <c r="F844" s="26">
        <v>74195</v>
      </c>
      <c r="G844" s="26">
        <v>77100</v>
      </c>
      <c r="H844" s="26">
        <f>77100+3000</f>
        <v>80100</v>
      </c>
      <c r="I844" s="26">
        <f>77100+3000</f>
        <v>80100</v>
      </c>
      <c r="J844" s="26">
        <f>77100+3000</f>
        <v>80100</v>
      </c>
      <c r="K844" s="1042" t="s">
        <v>1872</v>
      </c>
      <c r="L844" s="34" t="s">
        <v>14</v>
      </c>
      <c r="M844" s="28">
        <v>95</v>
      </c>
      <c r="N844" s="28">
        <v>98</v>
      </c>
      <c r="O844" s="28">
        <v>98</v>
      </c>
      <c r="P844" s="28">
        <v>100</v>
      </c>
      <c r="Q844" s="28">
        <v>100</v>
      </c>
    </row>
    <row r="845" spans="1:17" ht="30" x14ac:dyDescent="0.25">
      <c r="A845" s="1109"/>
      <c r="B845" s="22"/>
      <c r="C845" s="22" t="s">
        <v>16</v>
      </c>
      <c r="D845" s="22"/>
      <c r="E845" s="1048" t="s">
        <v>1873</v>
      </c>
      <c r="F845" s="26">
        <v>22207.5</v>
      </c>
      <c r="G845" s="26">
        <v>19548.400000000001</v>
      </c>
      <c r="H845" s="26">
        <v>19548.400000000001</v>
      </c>
      <c r="I845" s="26">
        <v>19548.400000000001</v>
      </c>
      <c r="J845" s="26">
        <v>19548.400000000001</v>
      </c>
      <c r="K845" s="1049" t="s">
        <v>1868</v>
      </c>
      <c r="L845" s="34" t="s">
        <v>14</v>
      </c>
      <c r="M845" s="28">
        <v>100</v>
      </c>
      <c r="N845" s="28">
        <v>100</v>
      </c>
      <c r="O845" s="28">
        <v>100</v>
      </c>
      <c r="P845" s="28">
        <v>100</v>
      </c>
      <c r="Q845" s="28">
        <v>100</v>
      </c>
    </row>
    <row r="846" spans="1:17" ht="44.25" x14ac:dyDescent="0.25">
      <c r="A846" s="1109"/>
      <c r="B846" s="23" t="s">
        <v>1927</v>
      </c>
      <c r="C846" s="22"/>
      <c r="D846" s="22"/>
      <c r="E846" s="1050" t="s">
        <v>1874</v>
      </c>
      <c r="F846" s="24">
        <f>F847</f>
        <v>11263.8</v>
      </c>
      <c r="G846" s="24">
        <f>G847</f>
        <v>11263.8</v>
      </c>
      <c r="H846" s="528">
        <f>H847</f>
        <v>11263.8</v>
      </c>
      <c r="I846" s="528">
        <f>I847</f>
        <v>11263.8</v>
      </c>
      <c r="J846" s="528">
        <f>J847</f>
        <v>11263.8</v>
      </c>
      <c r="K846" s="1042" t="s">
        <v>1875</v>
      </c>
      <c r="L846" s="30" t="s">
        <v>13</v>
      </c>
      <c r="M846" s="28">
        <f>M847</f>
        <v>75</v>
      </c>
      <c r="N846" s="28">
        <f>N847</f>
        <v>37</v>
      </c>
      <c r="O846" s="28">
        <f>O847</f>
        <v>37</v>
      </c>
      <c r="P846" s="28">
        <f>P847</f>
        <v>37</v>
      </c>
      <c r="Q846" s="28">
        <f>Q847</f>
        <v>37</v>
      </c>
    </row>
    <row r="847" spans="1:17" ht="30" x14ac:dyDescent="0.25">
      <c r="A847" s="1110"/>
      <c r="B847" s="65"/>
      <c r="C847" s="65" t="s">
        <v>17</v>
      </c>
      <c r="D847" s="1051"/>
      <c r="E847" s="1047" t="s">
        <v>1876</v>
      </c>
      <c r="F847" s="26">
        <v>11263.8</v>
      </c>
      <c r="G847" s="26">
        <v>11263.8</v>
      </c>
      <c r="H847" s="28">
        <v>11263.8</v>
      </c>
      <c r="I847" s="28">
        <v>11263.8</v>
      </c>
      <c r="J847" s="28">
        <v>11263.8</v>
      </c>
      <c r="K847" s="1042" t="s">
        <v>1875</v>
      </c>
      <c r="L847" s="34" t="s">
        <v>13</v>
      </c>
      <c r="M847" s="28">
        <v>75</v>
      </c>
      <c r="N847" s="28">
        <v>37</v>
      </c>
      <c r="O847" s="28">
        <v>37</v>
      </c>
      <c r="P847" s="28">
        <v>37</v>
      </c>
      <c r="Q847" s="28">
        <v>37</v>
      </c>
    </row>
    <row r="848" spans="1:17" x14ac:dyDescent="0.25">
      <c r="A848" s="1106" t="s">
        <v>15</v>
      </c>
      <c r="B848" s="1106"/>
      <c r="C848" s="1106"/>
      <c r="D848" s="1106"/>
      <c r="E848" s="1106"/>
      <c r="F848" s="458">
        <f>F837+F839+F842+F846</f>
        <v>386804.45</v>
      </c>
      <c r="G848" s="458">
        <f>G837+G839+G842+G846</f>
        <v>397024.6</v>
      </c>
      <c r="H848" s="825">
        <f>H837+H839+H842+H846</f>
        <v>439794.99999999994</v>
      </c>
      <c r="I848" s="825">
        <f>I837+I839+I842+I846</f>
        <v>439794.99999999994</v>
      </c>
      <c r="J848" s="825">
        <f>J837+J839+J842+J846</f>
        <v>439794.99999999994</v>
      </c>
      <c r="K848" s="1052"/>
      <c r="L848" s="1031"/>
      <c r="M848" s="1031"/>
      <c r="N848" s="1031"/>
      <c r="O848" s="1031"/>
      <c r="P848" s="1031"/>
      <c r="Q848" s="1031"/>
    </row>
    <row r="849" spans="1:17" x14ac:dyDescent="0.25">
      <c r="A849" s="1112" t="s">
        <v>1877</v>
      </c>
      <c r="B849" s="1113"/>
      <c r="C849" s="1113"/>
      <c r="D849" s="1113"/>
      <c r="E849" s="1113"/>
      <c r="F849" s="1113"/>
      <c r="G849" s="1113"/>
      <c r="H849" s="1113"/>
      <c r="I849" s="1113"/>
      <c r="J849" s="1113"/>
      <c r="K849" s="1113"/>
      <c r="L849" s="1113"/>
      <c r="M849" s="1113"/>
      <c r="N849" s="1113"/>
      <c r="O849" s="1113"/>
      <c r="P849" s="1113"/>
      <c r="Q849" s="1114"/>
    </row>
    <row r="850" spans="1:17" ht="59.25" x14ac:dyDescent="0.25">
      <c r="A850" s="1108">
        <v>85</v>
      </c>
      <c r="B850" s="973">
        <v>1</v>
      </c>
      <c r="C850" s="19"/>
      <c r="D850" s="40"/>
      <c r="E850" s="394" t="s">
        <v>1630</v>
      </c>
      <c r="F850" s="41">
        <f>F851</f>
        <v>17516.900000000001</v>
      </c>
      <c r="G850" s="41">
        <f t="shared" ref="G850:J850" si="78">G851</f>
        <v>17340.900000000001</v>
      </c>
      <c r="H850" s="41">
        <f t="shared" si="78"/>
        <v>27636.1</v>
      </c>
      <c r="I850" s="41">
        <f t="shared" si="78"/>
        <v>27636.1</v>
      </c>
      <c r="J850" s="41">
        <f t="shared" si="78"/>
        <v>27636.1</v>
      </c>
      <c r="K850" s="42"/>
      <c r="L850" s="40" t="s">
        <v>14</v>
      </c>
      <c r="M850" s="40"/>
      <c r="N850" s="40"/>
      <c r="O850" s="40"/>
      <c r="P850" s="40"/>
      <c r="Q850" s="40"/>
    </row>
    <row r="851" spans="1:17" ht="30" x14ac:dyDescent="0.25">
      <c r="A851" s="1109"/>
      <c r="B851" s="973"/>
      <c r="C851" s="1053">
        <v>1</v>
      </c>
      <c r="D851" s="19"/>
      <c r="E851" s="1087" t="s">
        <v>1878</v>
      </c>
      <c r="F851" s="44">
        <v>17516.900000000001</v>
      </c>
      <c r="G851" s="28">
        <v>17340.900000000001</v>
      </c>
      <c r="H851" s="44">
        <v>27636.1</v>
      </c>
      <c r="I851" s="44">
        <v>27636.1</v>
      </c>
      <c r="J851" s="44">
        <v>27636.1</v>
      </c>
      <c r="K851" s="140" t="s">
        <v>9</v>
      </c>
      <c r="L851" s="19" t="s">
        <v>224</v>
      </c>
      <c r="M851" s="40"/>
      <c r="N851" s="40"/>
      <c r="O851" s="40"/>
      <c r="P851" s="40"/>
      <c r="Q851" s="40"/>
    </row>
    <row r="852" spans="1:17" ht="102" x14ac:dyDescent="0.25">
      <c r="A852" s="1109"/>
      <c r="B852" s="50" t="s">
        <v>1924</v>
      </c>
      <c r="C852" s="33"/>
      <c r="D852" s="33"/>
      <c r="E852" s="502" t="s">
        <v>2026</v>
      </c>
      <c r="F852" s="41">
        <f>SUM(F853:F854)</f>
        <v>76636.2</v>
      </c>
      <c r="G852" s="41">
        <f>SUM(G853:G854)</f>
        <v>90174.6</v>
      </c>
      <c r="H852" s="41">
        <f>SUM(H853:H854)</f>
        <v>115174.6</v>
      </c>
      <c r="I852" s="41">
        <f>SUM(I853:I854)</f>
        <v>116594.3</v>
      </c>
      <c r="J852" s="41">
        <f>SUM(J853:J854)</f>
        <v>117995.5</v>
      </c>
      <c r="K852" s="39" t="s">
        <v>1879</v>
      </c>
      <c r="L852" s="19" t="s">
        <v>14</v>
      </c>
      <c r="M852" s="47">
        <v>1</v>
      </c>
      <c r="N852" s="47">
        <v>1</v>
      </c>
      <c r="O852" s="47">
        <v>1</v>
      </c>
      <c r="P852" s="47">
        <v>1</v>
      </c>
      <c r="Q852" s="47">
        <v>1</v>
      </c>
    </row>
    <row r="853" spans="1:17" ht="30" x14ac:dyDescent="0.25">
      <c r="A853" s="1109"/>
      <c r="B853" s="50"/>
      <c r="C853" s="33" t="s">
        <v>17</v>
      </c>
      <c r="D853" s="33"/>
      <c r="E853" s="126" t="s">
        <v>1880</v>
      </c>
      <c r="F853" s="44">
        <v>72584.399999999994</v>
      </c>
      <c r="G853" s="26">
        <v>68102.3</v>
      </c>
      <c r="H853" s="44">
        <v>89274.5</v>
      </c>
      <c r="I853" s="44">
        <v>89274.5</v>
      </c>
      <c r="J853" s="44">
        <v>89274.5</v>
      </c>
      <c r="K853" s="111" t="s">
        <v>1881</v>
      </c>
      <c r="L853" s="19" t="s">
        <v>14</v>
      </c>
      <c r="M853" s="47">
        <v>0.9</v>
      </c>
      <c r="N853" s="47">
        <v>0.9</v>
      </c>
      <c r="O853" s="47">
        <v>0.9</v>
      </c>
      <c r="P853" s="47">
        <v>0.9</v>
      </c>
      <c r="Q853" s="47">
        <v>0.9</v>
      </c>
    </row>
    <row r="854" spans="1:17" ht="30" x14ac:dyDescent="0.25">
      <c r="A854" s="1110"/>
      <c r="B854" s="50"/>
      <c r="C854" s="33" t="s">
        <v>18</v>
      </c>
      <c r="D854" s="33"/>
      <c r="E854" s="126" t="s">
        <v>1882</v>
      </c>
      <c r="F854" s="44">
        <v>4051.8</v>
      </c>
      <c r="G854" s="28">
        <v>22072.3</v>
      </c>
      <c r="H854" s="44">
        <v>25900.1</v>
      </c>
      <c r="I854" s="44">
        <v>27319.8</v>
      </c>
      <c r="J854" s="44">
        <v>28721</v>
      </c>
      <c r="K854" s="111" t="s">
        <v>1883</v>
      </c>
      <c r="L854" s="19" t="s">
        <v>14</v>
      </c>
      <c r="M854" s="47">
        <v>0.95</v>
      </c>
      <c r="N854" s="47">
        <v>0.95</v>
      </c>
      <c r="O854" s="47">
        <v>0.95</v>
      </c>
      <c r="P854" s="47">
        <v>0.95</v>
      </c>
      <c r="Q854" s="47">
        <v>0.95</v>
      </c>
    </row>
    <row r="855" spans="1:17" x14ac:dyDescent="0.25">
      <c r="A855" s="1106" t="s">
        <v>15</v>
      </c>
      <c r="B855" s="1106"/>
      <c r="C855" s="1106"/>
      <c r="D855" s="1106"/>
      <c r="E855" s="1106"/>
      <c r="F855" s="458">
        <f>F850+F852</f>
        <v>94153.1</v>
      </c>
      <c r="G855" s="458">
        <f t="shared" ref="G855:J855" si="79">G850+G852</f>
        <v>107515.5</v>
      </c>
      <c r="H855" s="458">
        <f t="shared" si="79"/>
        <v>142810.70000000001</v>
      </c>
      <c r="I855" s="458">
        <f t="shared" si="79"/>
        <v>144230.39999999999</v>
      </c>
      <c r="J855" s="458">
        <f t="shared" si="79"/>
        <v>145631.6</v>
      </c>
      <c r="K855" s="60"/>
      <c r="L855" s="1111"/>
      <c r="M855" s="1111"/>
      <c r="N855" s="1111"/>
      <c r="O855" s="1111"/>
      <c r="P855" s="1111"/>
      <c r="Q855" s="1111"/>
    </row>
    <row r="856" spans="1:17" x14ac:dyDescent="0.25">
      <c r="A856" s="1112" t="s">
        <v>1884</v>
      </c>
      <c r="B856" s="1113"/>
      <c r="C856" s="1113"/>
      <c r="D856" s="1113"/>
      <c r="E856" s="1113"/>
      <c r="F856" s="1113"/>
      <c r="G856" s="1113"/>
      <c r="H856" s="1113"/>
      <c r="I856" s="1113"/>
      <c r="J856" s="1113"/>
      <c r="K856" s="1113"/>
      <c r="L856" s="1113"/>
      <c r="M856" s="1113"/>
      <c r="N856" s="1113"/>
      <c r="O856" s="1113"/>
      <c r="P856" s="1113"/>
      <c r="Q856" s="1114"/>
    </row>
    <row r="857" spans="1:17" ht="30" x14ac:dyDescent="0.25">
      <c r="A857" s="1115" t="s">
        <v>1885</v>
      </c>
      <c r="B857" s="23" t="s">
        <v>8</v>
      </c>
      <c r="C857" s="22"/>
      <c r="D857" s="22"/>
      <c r="E857" s="143" t="s">
        <v>657</v>
      </c>
      <c r="F857" s="329">
        <v>5976.8</v>
      </c>
      <c r="G857" s="329">
        <f>G858+G859+G860+G861+G862</f>
        <v>7661.5</v>
      </c>
      <c r="H857" s="1054"/>
      <c r="I857" s="1040"/>
      <c r="J857" s="1054"/>
      <c r="K857" s="101" t="s">
        <v>1886</v>
      </c>
      <c r="L857" s="27" t="s">
        <v>431</v>
      </c>
      <c r="M857" s="280">
        <v>98</v>
      </c>
      <c r="N857" s="505">
        <v>98</v>
      </c>
      <c r="O857" s="505">
        <v>98</v>
      </c>
      <c r="P857" s="505">
        <v>98</v>
      </c>
      <c r="Q857" s="505">
        <v>98</v>
      </c>
    </row>
    <row r="858" spans="1:17" ht="30" x14ac:dyDescent="0.25">
      <c r="A858" s="1116"/>
      <c r="B858" s="22"/>
      <c r="C858" s="22" t="s">
        <v>17</v>
      </c>
      <c r="D858" s="22"/>
      <c r="E858" s="895" t="s">
        <v>10</v>
      </c>
      <c r="F858" s="26">
        <v>1474.3</v>
      </c>
      <c r="G858" s="26">
        <v>1574.2</v>
      </c>
      <c r="H858" s="1055"/>
      <c r="I858" s="1055"/>
      <c r="J858" s="1055"/>
      <c r="K858" s="111"/>
      <c r="L858" s="111"/>
      <c r="M858" s="111"/>
      <c r="N858" s="111"/>
      <c r="O858" s="111"/>
      <c r="P858" s="111"/>
      <c r="Q858" s="111"/>
    </row>
    <row r="859" spans="1:17" x14ac:dyDescent="0.25">
      <c r="A859" s="1116"/>
      <c r="B859" s="22"/>
      <c r="C859" s="22" t="s">
        <v>18</v>
      </c>
      <c r="D859" s="22"/>
      <c r="E859" s="895" t="s">
        <v>11</v>
      </c>
      <c r="F859" s="26">
        <v>1135.9000000000001</v>
      </c>
      <c r="G859" s="26">
        <v>1187.3</v>
      </c>
      <c r="H859" s="1055"/>
      <c r="I859" s="1055"/>
      <c r="J859" s="1055"/>
      <c r="K859" s="111"/>
      <c r="L859" s="111"/>
      <c r="M859" s="111"/>
      <c r="N859" s="111"/>
      <c r="O859" s="111"/>
      <c r="P859" s="111"/>
      <c r="Q859" s="111"/>
    </row>
    <row r="860" spans="1:17" x14ac:dyDescent="0.25">
      <c r="A860" s="1116"/>
      <c r="B860" s="22"/>
      <c r="C860" s="65" t="s">
        <v>16</v>
      </c>
      <c r="D860" s="22"/>
      <c r="E860" s="1086" t="s">
        <v>276</v>
      </c>
      <c r="F860" s="26">
        <v>466.9</v>
      </c>
      <c r="G860" s="26">
        <v>460</v>
      </c>
      <c r="H860" s="1055"/>
      <c r="I860" s="1055"/>
      <c r="J860" s="1055"/>
      <c r="K860" s="111"/>
      <c r="L860" s="111"/>
      <c r="M860" s="111"/>
      <c r="N860" s="111"/>
      <c r="O860" s="111"/>
      <c r="P860" s="111"/>
      <c r="Q860" s="111"/>
    </row>
    <row r="861" spans="1:17" x14ac:dyDescent="0.25">
      <c r="A861" s="1116"/>
      <c r="B861" s="22"/>
      <c r="C861" s="65" t="s">
        <v>19</v>
      </c>
      <c r="D861" s="22"/>
      <c r="E861" s="1086" t="s">
        <v>277</v>
      </c>
      <c r="F861" s="26">
        <v>343.9</v>
      </c>
      <c r="G861" s="26">
        <v>352</v>
      </c>
      <c r="H861" s="1055"/>
      <c r="I861" s="1055"/>
      <c r="J861" s="1055"/>
      <c r="K861" s="111"/>
      <c r="L861" s="111"/>
      <c r="M861" s="111"/>
      <c r="N861" s="111"/>
      <c r="O861" s="111"/>
      <c r="P861" s="111"/>
      <c r="Q861" s="111"/>
    </row>
    <row r="862" spans="1:17" ht="30" x14ac:dyDescent="0.25">
      <c r="A862" s="1116"/>
      <c r="B862" s="22"/>
      <c r="C862" s="65" t="s">
        <v>21</v>
      </c>
      <c r="D862" s="22"/>
      <c r="E862" s="1086" t="s">
        <v>1887</v>
      </c>
      <c r="F862" s="26">
        <v>2555.8000000000002</v>
      </c>
      <c r="G862" s="26">
        <v>4088</v>
      </c>
      <c r="H862" s="1055"/>
      <c r="I862" s="1055"/>
      <c r="J862" s="1055"/>
      <c r="K862" s="111"/>
      <c r="L862" s="111"/>
      <c r="M862" s="111"/>
      <c r="N862" s="111"/>
      <c r="O862" s="111"/>
      <c r="P862" s="111"/>
      <c r="Q862" s="111"/>
    </row>
    <row r="863" spans="1:17" ht="45" x14ac:dyDescent="0.25">
      <c r="A863" s="1116"/>
      <c r="B863" s="23" t="s">
        <v>24</v>
      </c>
      <c r="C863" s="65"/>
      <c r="D863" s="22"/>
      <c r="E863" s="910" t="s">
        <v>1888</v>
      </c>
      <c r="F863" s="329">
        <f>F864+F866+F867</f>
        <v>23378.399999999998</v>
      </c>
      <c r="G863" s="329">
        <f>G864+G866+G867</f>
        <v>27273.7</v>
      </c>
      <c r="H863" s="1054"/>
      <c r="I863" s="1054"/>
      <c r="J863" s="1054"/>
      <c r="K863" s="123" t="s">
        <v>1889</v>
      </c>
      <c r="L863" s="280" t="s">
        <v>1866</v>
      </c>
      <c r="M863" s="139" t="s">
        <v>1890</v>
      </c>
      <c r="N863" s="139" t="s">
        <v>1890</v>
      </c>
      <c r="O863" s="139" t="s">
        <v>1890</v>
      </c>
      <c r="P863" s="139" t="s">
        <v>1890</v>
      </c>
      <c r="Q863" s="139" t="s">
        <v>1890</v>
      </c>
    </row>
    <row r="864" spans="1:17" x14ac:dyDescent="0.25">
      <c r="A864" s="1116"/>
      <c r="B864" s="1118"/>
      <c r="C864" s="1118" t="s">
        <v>17</v>
      </c>
      <c r="D864" s="1118"/>
      <c r="E864" s="1120" t="s">
        <v>1891</v>
      </c>
      <c r="F864" s="1121">
        <v>5660.9</v>
      </c>
      <c r="G864" s="1121">
        <v>5960.7</v>
      </c>
      <c r="H864" s="1123"/>
      <c r="I864" s="1123"/>
      <c r="J864" s="1123"/>
      <c r="K864" s="1125" t="s">
        <v>1892</v>
      </c>
      <c r="L864" s="1127" t="s">
        <v>1866</v>
      </c>
      <c r="M864" s="1129" t="s">
        <v>1893</v>
      </c>
      <c r="N864" s="1129" t="s">
        <v>1893</v>
      </c>
      <c r="O864" s="1129" t="s">
        <v>1893</v>
      </c>
      <c r="P864" s="1129" t="s">
        <v>1893</v>
      </c>
      <c r="Q864" s="1129" t="s">
        <v>1893</v>
      </c>
    </row>
    <row r="865" spans="1:17" x14ac:dyDescent="0.25">
      <c r="A865" s="1116"/>
      <c r="B865" s="1119"/>
      <c r="C865" s="1119"/>
      <c r="D865" s="1119"/>
      <c r="E865" s="1089"/>
      <c r="F865" s="1122"/>
      <c r="G865" s="1122"/>
      <c r="H865" s="1124"/>
      <c r="I865" s="1124"/>
      <c r="J865" s="1124"/>
      <c r="K865" s="1126"/>
      <c r="L865" s="1128"/>
      <c r="M865" s="1130"/>
      <c r="N865" s="1130"/>
      <c r="O865" s="1130"/>
      <c r="P865" s="1130"/>
      <c r="Q865" s="1130"/>
    </row>
    <row r="866" spans="1:17" ht="30" x14ac:dyDescent="0.25">
      <c r="A866" s="1116"/>
      <c r="B866" s="65"/>
      <c r="C866" s="65" t="s">
        <v>18</v>
      </c>
      <c r="D866" s="65"/>
      <c r="E866" s="279" t="s">
        <v>1894</v>
      </c>
      <c r="F866" s="519">
        <v>930.7</v>
      </c>
      <c r="G866" s="519">
        <v>1138</v>
      </c>
      <c r="H866" s="1056"/>
      <c r="I866" s="1056"/>
      <c r="J866" s="1056"/>
      <c r="K866" s="123" t="s">
        <v>1895</v>
      </c>
      <c r="L866" s="280" t="s">
        <v>1866</v>
      </c>
      <c r="M866" s="280">
        <v>501</v>
      </c>
      <c r="N866" s="505">
        <v>501</v>
      </c>
      <c r="O866" s="505">
        <v>501</v>
      </c>
      <c r="P866" s="505">
        <v>501</v>
      </c>
      <c r="Q866" s="505">
        <v>501</v>
      </c>
    </row>
    <row r="867" spans="1:17" ht="30" x14ac:dyDescent="0.25">
      <c r="A867" s="1116"/>
      <c r="B867" s="65"/>
      <c r="C867" s="65" t="s">
        <v>16</v>
      </c>
      <c r="D867" s="65"/>
      <c r="E867" s="279" t="s">
        <v>1896</v>
      </c>
      <c r="F867" s="519">
        <v>16786.8</v>
      </c>
      <c r="G867" s="519">
        <v>20175</v>
      </c>
      <c r="H867" s="1056"/>
      <c r="I867" s="1056"/>
      <c r="J867" s="1056"/>
      <c r="K867" s="123" t="s">
        <v>1886</v>
      </c>
      <c r="L867" s="280" t="s">
        <v>14</v>
      </c>
      <c r="M867" s="280">
        <v>98</v>
      </c>
      <c r="N867" s="505">
        <v>98</v>
      </c>
      <c r="O867" s="505">
        <v>98</v>
      </c>
      <c r="P867" s="505">
        <v>98</v>
      </c>
      <c r="Q867" s="505">
        <v>98</v>
      </c>
    </row>
    <row r="868" spans="1:17" ht="28.5" x14ac:dyDescent="0.25">
      <c r="A868" s="1116"/>
      <c r="B868" s="23" t="s">
        <v>1928</v>
      </c>
      <c r="C868" s="22"/>
      <c r="D868" s="22"/>
      <c r="E868" s="143" t="s">
        <v>1897</v>
      </c>
      <c r="F868" s="24">
        <f>F869</f>
        <v>29355.199999999997</v>
      </c>
      <c r="G868" s="24">
        <f>G869</f>
        <v>34935.199999999997</v>
      </c>
      <c r="H868" s="24">
        <f>H869</f>
        <v>43066</v>
      </c>
      <c r="I868" s="24">
        <f>I869</f>
        <v>43506.5</v>
      </c>
      <c r="J868" s="24">
        <f>J869</f>
        <v>43941.2</v>
      </c>
      <c r="K868" s="101" t="s">
        <v>9</v>
      </c>
      <c r="L868" s="27" t="s">
        <v>431</v>
      </c>
      <c r="M868" s="27">
        <v>98</v>
      </c>
      <c r="N868" s="34">
        <v>98</v>
      </c>
      <c r="O868" s="34">
        <v>98</v>
      </c>
      <c r="P868" s="34">
        <v>98</v>
      </c>
      <c r="Q868" s="34">
        <v>98</v>
      </c>
    </row>
    <row r="869" spans="1:17" ht="60" x14ac:dyDescent="0.25">
      <c r="A869" s="1117"/>
      <c r="B869" s="22"/>
      <c r="C869" s="22" t="s">
        <v>17</v>
      </c>
      <c r="D869" s="22"/>
      <c r="E869" s="103" t="s">
        <v>1897</v>
      </c>
      <c r="F869" s="26">
        <f>F857+F863</f>
        <v>29355.199999999997</v>
      </c>
      <c r="G869" s="26">
        <f>G857+G863</f>
        <v>34935.199999999997</v>
      </c>
      <c r="H869" s="26">
        <v>43066</v>
      </c>
      <c r="I869" s="26">
        <v>43506.5</v>
      </c>
      <c r="J869" s="26">
        <v>43941.2</v>
      </c>
      <c r="K869" s="123" t="s">
        <v>2025</v>
      </c>
      <c r="L869" s="280" t="s">
        <v>1866</v>
      </c>
      <c r="M869" s="139" t="s">
        <v>1890</v>
      </c>
      <c r="N869" s="139" t="s">
        <v>1890</v>
      </c>
      <c r="O869" s="139" t="s">
        <v>1890</v>
      </c>
      <c r="P869" s="139" t="s">
        <v>1890</v>
      </c>
      <c r="Q869" s="139" t="s">
        <v>1890</v>
      </c>
    </row>
    <row r="870" spans="1:17" x14ac:dyDescent="0.25">
      <c r="A870" s="1057" t="s">
        <v>357</v>
      </c>
      <c r="B870" s="1057"/>
      <c r="C870" s="1057"/>
      <c r="D870" s="1057"/>
      <c r="E870" s="1058"/>
      <c r="F870" s="825">
        <f>F857+F863</f>
        <v>29355.199999999997</v>
      </c>
      <c r="G870" s="825">
        <f>G868</f>
        <v>34935.199999999997</v>
      </c>
      <c r="H870" s="825">
        <f>H868</f>
        <v>43066</v>
      </c>
      <c r="I870" s="825">
        <f>I868</f>
        <v>43506.5</v>
      </c>
      <c r="J870" s="825">
        <f>J868</f>
        <v>43941.2</v>
      </c>
      <c r="K870" s="1059"/>
      <c r="L870" s="1100"/>
      <c r="M870" s="1100"/>
      <c r="N870" s="1100"/>
      <c r="O870" s="1100"/>
      <c r="P870" s="1100"/>
      <c r="Q870" s="1100"/>
    </row>
    <row r="871" spans="1:17" x14ac:dyDescent="0.25">
      <c r="A871" s="1057" t="s">
        <v>1898</v>
      </c>
      <c r="B871" s="1057"/>
      <c r="C871" s="1057"/>
      <c r="D871" s="1057"/>
      <c r="E871" s="1058"/>
      <c r="F871" s="1060">
        <f>F848+F855+F870</f>
        <v>510312.75000000006</v>
      </c>
      <c r="G871" s="1060">
        <f t="shared" ref="G871:J871" si="80">G848+G855+G870</f>
        <v>539475.29999999993</v>
      </c>
      <c r="H871" s="1060">
        <f t="shared" si="80"/>
        <v>625671.69999999995</v>
      </c>
      <c r="I871" s="1060">
        <f t="shared" si="80"/>
        <v>627531.89999999991</v>
      </c>
      <c r="J871" s="1060">
        <f t="shared" si="80"/>
        <v>629367.79999999993</v>
      </c>
      <c r="K871" s="1061"/>
      <c r="L871" s="1062"/>
      <c r="M871" s="1062"/>
      <c r="N871" s="1062"/>
      <c r="O871" s="1062"/>
      <c r="P871" s="1062"/>
      <c r="Q871" s="1063"/>
    </row>
    <row r="872" spans="1:17" ht="15.75" x14ac:dyDescent="0.25">
      <c r="A872" s="1101" t="s">
        <v>2023</v>
      </c>
      <c r="B872" s="1102"/>
      <c r="C872" s="1102"/>
      <c r="D872" s="1102"/>
      <c r="E872" s="1102"/>
      <c r="F872" s="1102"/>
      <c r="G872" s="1102"/>
      <c r="H872" s="1102"/>
      <c r="I872" s="1102"/>
      <c r="J872" s="1102"/>
      <c r="K872" s="1102"/>
      <c r="L872" s="1102"/>
      <c r="M872" s="1102"/>
      <c r="N872" s="1102"/>
      <c r="O872" s="1102"/>
      <c r="P872" s="1102"/>
      <c r="Q872" s="1103"/>
    </row>
    <row r="873" spans="1:17" ht="73.5" x14ac:dyDescent="0.25">
      <c r="A873" s="1104">
        <v>88</v>
      </c>
      <c r="B873" s="959">
        <v>1</v>
      </c>
      <c r="C873" s="1064"/>
      <c r="D873" s="1065"/>
      <c r="E873" s="1066" t="s">
        <v>1899</v>
      </c>
      <c r="F873" s="295">
        <f>F874</f>
        <v>8303.7999999999993</v>
      </c>
      <c r="G873" s="295">
        <f t="shared" ref="G873:J873" si="81">G874</f>
        <v>7179.1</v>
      </c>
      <c r="H873" s="295">
        <f t="shared" si="81"/>
        <v>10558.2</v>
      </c>
      <c r="I873" s="295">
        <f t="shared" si="81"/>
        <v>10781.1</v>
      </c>
      <c r="J873" s="295">
        <f t="shared" si="81"/>
        <v>10888.8</v>
      </c>
      <c r="K873" s="294" t="s">
        <v>31</v>
      </c>
      <c r="L873" s="1067" t="s">
        <v>14</v>
      </c>
      <c r="M873" s="1067">
        <v>100</v>
      </c>
      <c r="N873" s="1067">
        <v>100</v>
      </c>
      <c r="O873" s="1067">
        <v>100</v>
      </c>
      <c r="P873" s="1067">
        <v>100</v>
      </c>
      <c r="Q873" s="1067">
        <v>100</v>
      </c>
    </row>
    <row r="874" spans="1:17" ht="30" x14ac:dyDescent="0.25">
      <c r="A874" s="1104"/>
      <c r="B874" s="959"/>
      <c r="C874" s="22" t="s">
        <v>17</v>
      </c>
      <c r="D874" s="1065"/>
      <c r="E874" s="103" t="s">
        <v>10</v>
      </c>
      <c r="F874" s="321">
        <v>8303.7999999999993</v>
      </c>
      <c r="G874" s="321">
        <v>7179.1</v>
      </c>
      <c r="H874" s="321">
        <v>10558.2</v>
      </c>
      <c r="I874" s="321">
        <v>10781.1</v>
      </c>
      <c r="J874" s="321">
        <v>10888.8</v>
      </c>
      <c r="K874" s="294"/>
      <c r="L874" s="1067"/>
      <c r="M874" s="1067"/>
      <c r="N874" s="1067"/>
      <c r="O874" s="1067"/>
      <c r="P874" s="1067"/>
      <c r="Q874" s="1067"/>
    </row>
    <row r="875" spans="1:17" ht="118.5" x14ac:dyDescent="0.25">
      <c r="A875" s="1104"/>
      <c r="B875" s="1068" t="s">
        <v>24</v>
      </c>
      <c r="C875" s="1069"/>
      <c r="D875" s="1070"/>
      <c r="E875" s="294" t="s">
        <v>2024</v>
      </c>
      <c r="F875" s="295">
        <f>F876</f>
        <v>27625.3</v>
      </c>
      <c r="G875" s="295">
        <f t="shared" ref="G875:J875" si="82">G876</f>
        <v>26530</v>
      </c>
      <c r="H875" s="295">
        <f t="shared" si="82"/>
        <v>30268.1</v>
      </c>
      <c r="I875" s="295">
        <f t="shared" si="82"/>
        <v>30462.799999999999</v>
      </c>
      <c r="J875" s="295">
        <f t="shared" si="82"/>
        <v>30767.200000000001</v>
      </c>
      <c r="K875" s="1071" t="s">
        <v>282</v>
      </c>
      <c r="L875" s="293" t="s">
        <v>14</v>
      </c>
      <c r="M875" s="1009">
        <v>100</v>
      </c>
      <c r="N875" s="1009">
        <v>100</v>
      </c>
      <c r="O875" s="1009">
        <v>100</v>
      </c>
      <c r="P875" s="1009">
        <v>100</v>
      </c>
      <c r="Q875" s="1009">
        <v>100</v>
      </c>
    </row>
    <row r="876" spans="1:17" ht="90" x14ac:dyDescent="0.25">
      <c r="A876" s="1105"/>
      <c r="B876" s="1068"/>
      <c r="C876" s="22" t="s">
        <v>17</v>
      </c>
      <c r="D876" s="1070"/>
      <c r="E876" s="323" t="s">
        <v>1900</v>
      </c>
      <c r="F876" s="321">
        <v>27625.3</v>
      </c>
      <c r="G876" s="321">
        <v>26530</v>
      </c>
      <c r="H876" s="321">
        <v>30268.1</v>
      </c>
      <c r="I876" s="1072">
        <v>30462.799999999999</v>
      </c>
      <c r="J876" s="321">
        <v>30767.200000000001</v>
      </c>
      <c r="K876" s="1071" t="s">
        <v>1901</v>
      </c>
      <c r="L876" s="293" t="s">
        <v>14</v>
      </c>
      <c r="M876" s="1009">
        <v>100</v>
      </c>
      <c r="N876" s="1009">
        <v>100</v>
      </c>
      <c r="O876" s="1009">
        <v>100</v>
      </c>
      <c r="P876" s="1009">
        <v>100</v>
      </c>
      <c r="Q876" s="1009">
        <v>100</v>
      </c>
    </row>
    <row r="877" spans="1:17" x14ac:dyDescent="0.25">
      <c r="A877" s="1106" t="s">
        <v>15</v>
      </c>
      <c r="B877" s="1106"/>
      <c r="C877" s="1106"/>
      <c r="D877" s="1106"/>
      <c r="E877" s="1106"/>
      <c r="F877" s="316">
        <f>F873+F875</f>
        <v>35929.1</v>
      </c>
      <c r="G877" s="316">
        <f t="shared" ref="G877:J877" si="83">G873+G875</f>
        <v>33709.1</v>
      </c>
      <c r="H877" s="316">
        <f t="shared" si="83"/>
        <v>40826.300000000003</v>
      </c>
      <c r="I877" s="316">
        <f t="shared" si="83"/>
        <v>41243.9</v>
      </c>
      <c r="J877" s="316">
        <f t="shared" si="83"/>
        <v>41656</v>
      </c>
      <c r="K877" s="958"/>
      <c r="L877" s="1107"/>
      <c r="M877" s="1107"/>
      <c r="N877" s="1107"/>
      <c r="O877" s="1107"/>
      <c r="P877" s="1107"/>
      <c r="Q877" s="1107"/>
    </row>
  </sheetData>
  <mergeCells count="1002">
    <mergeCell ref="D525:D526"/>
    <mergeCell ref="E525:E526"/>
    <mergeCell ref="F525:F526"/>
    <mergeCell ref="G525:G526"/>
    <mergeCell ref="A634:A641"/>
    <mergeCell ref="H654:H655"/>
    <mergeCell ref="H525:H526"/>
    <mergeCell ref="I525:I526"/>
    <mergeCell ref="J525:J526"/>
    <mergeCell ref="B529:B532"/>
    <mergeCell ref="C529:C532"/>
    <mergeCell ref="D529:D532"/>
    <mergeCell ref="E529:E532"/>
    <mergeCell ref="F529:F532"/>
    <mergeCell ref="G529:G532"/>
    <mergeCell ref="H529:H532"/>
    <mergeCell ref="I529:I532"/>
    <mergeCell ref="J529:J532"/>
    <mergeCell ref="A540:E540"/>
    <mergeCell ref="A551:E551"/>
    <mergeCell ref="A542:A550"/>
    <mergeCell ref="B584:B586"/>
    <mergeCell ref="C584:C586"/>
    <mergeCell ref="D584:D586"/>
    <mergeCell ref="E584:E586"/>
    <mergeCell ref="F584:F586"/>
    <mergeCell ref="G584:G586"/>
    <mergeCell ref="H584:H586"/>
    <mergeCell ref="I584:I586"/>
    <mergeCell ref="J584:J586"/>
    <mergeCell ref="D573:D580"/>
    <mergeCell ref="B535:B536"/>
    <mergeCell ref="L540:Q540"/>
    <mergeCell ref="K1:Q1"/>
    <mergeCell ref="E535:E536"/>
    <mergeCell ref="F535:F536"/>
    <mergeCell ref="G535:G536"/>
    <mergeCell ref="H535:H536"/>
    <mergeCell ref="I535:I536"/>
    <mergeCell ref="J535:J536"/>
    <mergeCell ref="B533:B534"/>
    <mergeCell ref="C533:C534"/>
    <mergeCell ref="D533:D534"/>
    <mergeCell ref="E533:E534"/>
    <mergeCell ref="F533:F534"/>
    <mergeCell ref="G533:G534"/>
    <mergeCell ref="H533:H534"/>
    <mergeCell ref="I533:I534"/>
    <mergeCell ref="J533:J534"/>
    <mergeCell ref="B525:B526"/>
    <mergeCell ref="C525:C526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B520:B521"/>
    <mergeCell ref="C520:C521"/>
    <mergeCell ref="D520:D521"/>
    <mergeCell ref="E520:E521"/>
    <mergeCell ref="B511:B513"/>
    <mergeCell ref="C511:C513"/>
    <mergeCell ref="D511:D513"/>
    <mergeCell ref="E511:E513"/>
    <mergeCell ref="F511:F513"/>
    <mergeCell ref="G511:G513"/>
    <mergeCell ref="H511:H513"/>
    <mergeCell ref="I511:I513"/>
    <mergeCell ref="J511:J513"/>
    <mergeCell ref="F520:F521"/>
    <mergeCell ref="G520:G521"/>
    <mergeCell ref="H520:H521"/>
    <mergeCell ref="I520:I521"/>
    <mergeCell ref="J520:J521"/>
    <mergeCell ref="E517:E519"/>
    <mergeCell ref="F517:F519"/>
    <mergeCell ref="G517:G519"/>
    <mergeCell ref="H517:H519"/>
    <mergeCell ref="I517:I519"/>
    <mergeCell ref="J517:J519"/>
    <mergeCell ref="B514:B516"/>
    <mergeCell ref="C514:C516"/>
    <mergeCell ref="D514:D516"/>
    <mergeCell ref="E514:E516"/>
    <mergeCell ref="F514:F516"/>
    <mergeCell ref="G514:G516"/>
    <mergeCell ref="H514:H516"/>
    <mergeCell ref="I514:I516"/>
    <mergeCell ref="J514:J516"/>
    <mergeCell ref="B517:B519"/>
    <mergeCell ref="C517:C519"/>
    <mergeCell ref="D517:D519"/>
    <mergeCell ref="E499:E500"/>
    <mergeCell ref="F499:F500"/>
    <mergeCell ref="G499:G500"/>
    <mergeCell ref="H499:H500"/>
    <mergeCell ref="I499:I500"/>
    <mergeCell ref="J499:J500"/>
    <mergeCell ref="B499:B500"/>
    <mergeCell ref="C499:C500"/>
    <mergeCell ref="D499:D500"/>
    <mergeCell ref="B508:B510"/>
    <mergeCell ref="C508:C510"/>
    <mergeCell ref="D508:D510"/>
    <mergeCell ref="E508:E510"/>
    <mergeCell ref="F508:F510"/>
    <mergeCell ref="G508:G510"/>
    <mergeCell ref="H508:H510"/>
    <mergeCell ref="I508:I510"/>
    <mergeCell ref="J508:J510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J506:J507"/>
    <mergeCell ref="B504:B505"/>
    <mergeCell ref="C504:C505"/>
    <mergeCell ref="D504:D505"/>
    <mergeCell ref="E504:E505"/>
    <mergeCell ref="F504:F505"/>
    <mergeCell ref="G504:G505"/>
    <mergeCell ref="H504:H505"/>
    <mergeCell ref="I504:I505"/>
    <mergeCell ref="J504:J505"/>
    <mergeCell ref="D445:D458"/>
    <mergeCell ref="E445:E458"/>
    <mergeCell ref="F445:F458"/>
    <mergeCell ref="B459:B473"/>
    <mergeCell ref="C459:C473"/>
    <mergeCell ref="I418:I419"/>
    <mergeCell ref="E401:E403"/>
    <mergeCell ref="F401:F403"/>
    <mergeCell ref="G401:G403"/>
    <mergeCell ref="H401:H403"/>
    <mergeCell ref="I401:I403"/>
    <mergeCell ref="H418:H419"/>
    <mergeCell ref="G420:G421"/>
    <mergeCell ref="H420:H421"/>
    <mergeCell ref="I420:I421"/>
    <mergeCell ref="I496:I497"/>
    <mergeCell ref="J496:J497"/>
    <mergeCell ref="F496:F497"/>
    <mergeCell ref="G496:G497"/>
    <mergeCell ref="H496:H497"/>
    <mergeCell ref="G372:G373"/>
    <mergeCell ref="H372:H373"/>
    <mergeCell ref="I372:I373"/>
    <mergeCell ref="J372:J373"/>
    <mergeCell ref="K372:K373"/>
    <mergeCell ref="L372:L373"/>
    <mergeCell ref="O364:O365"/>
    <mergeCell ref="F366:F368"/>
    <mergeCell ref="G366:G368"/>
    <mergeCell ref="H366:H368"/>
    <mergeCell ref="I366:I368"/>
    <mergeCell ref="B370:B393"/>
    <mergeCell ref="C374:C375"/>
    <mergeCell ref="D374:D375"/>
    <mergeCell ref="E374:E375"/>
    <mergeCell ref="G374:G375"/>
    <mergeCell ref="H374:H375"/>
    <mergeCell ref="I374:I375"/>
    <mergeCell ref="J374:J375"/>
    <mergeCell ref="O367:O368"/>
    <mergeCell ref="G271:G274"/>
    <mergeCell ref="J271:J274"/>
    <mergeCell ref="N272:N273"/>
    <mergeCell ref="O272:O273"/>
    <mergeCell ref="P272:P273"/>
    <mergeCell ref="Q272:Q273"/>
    <mergeCell ref="E271:E274"/>
    <mergeCell ref="C413:C417"/>
    <mergeCell ref="D413:D417"/>
    <mergeCell ref="E413:E417"/>
    <mergeCell ref="F413:F417"/>
    <mergeCell ref="G404:G406"/>
    <mergeCell ref="Q372:Q373"/>
    <mergeCell ref="Q364:Q365"/>
    <mergeCell ref="C366:C368"/>
    <mergeCell ref="E366:E368"/>
    <mergeCell ref="P367:P368"/>
    <mergeCell ref="Q367:Q368"/>
    <mergeCell ref="K364:K365"/>
    <mergeCell ref="L364:L365"/>
    <mergeCell ref="E359:E365"/>
    <mergeCell ref="J366:J368"/>
    <mergeCell ref="L366:L368"/>
    <mergeCell ref="K367:K368"/>
    <mergeCell ref="A291:E291"/>
    <mergeCell ref="P364:P365"/>
    <mergeCell ref="N372:N373"/>
    <mergeCell ref="O372:O373"/>
    <mergeCell ref="P372:P373"/>
    <mergeCell ref="D372:D373"/>
    <mergeCell ref="K282:Q282"/>
    <mergeCell ref="F372:F373"/>
    <mergeCell ref="G135:G138"/>
    <mergeCell ref="I51:I52"/>
    <mergeCell ref="H127:H132"/>
    <mergeCell ref="I127:I132"/>
    <mergeCell ref="J127:J132"/>
    <mergeCell ref="I135:I138"/>
    <mergeCell ref="J135:J138"/>
    <mergeCell ref="G127:G132"/>
    <mergeCell ref="B135:B138"/>
    <mergeCell ref="C135:C138"/>
    <mergeCell ref="D135:D138"/>
    <mergeCell ref="N364:N365"/>
    <mergeCell ref="M372:M373"/>
    <mergeCell ref="Q134:Q138"/>
    <mergeCell ref="I203:I206"/>
    <mergeCell ref="J203:J206"/>
    <mergeCell ref="E135:E138"/>
    <mergeCell ref="F133:F134"/>
    <mergeCell ref="F135:F138"/>
    <mergeCell ref="G133:G134"/>
    <mergeCell ref="H133:H134"/>
    <mergeCell ref="A198:E198"/>
    <mergeCell ref="A193:Q193"/>
    <mergeCell ref="A199:Q199"/>
    <mergeCell ref="E203:E206"/>
    <mergeCell ref="F203:F206"/>
    <mergeCell ref="G203:G206"/>
    <mergeCell ref="A270:Q270"/>
    <mergeCell ref="A54:E54"/>
    <mergeCell ref="K242:Q242"/>
    <mergeCell ref="A126:A138"/>
    <mergeCell ref="E372:E373"/>
    <mergeCell ref="A259:E259"/>
    <mergeCell ref="D271:D274"/>
    <mergeCell ref="K272:K273"/>
    <mergeCell ref="L272:L273"/>
    <mergeCell ref="I271:I274"/>
    <mergeCell ref="B271:B274"/>
    <mergeCell ref="M272:M273"/>
    <mergeCell ref="A38:A53"/>
    <mergeCell ref="B57:B64"/>
    <mergeCell ref="B88:B103"/>
    <mergeCell ref="A243:Q243"/>
    <mergeCell ref="K249:Q249"/>
    <mergeCell ref="A217:A220"/>
    <mergeCell ref="A223:A226"/>
    <mergeCell ref="A229:A241"/>
    <mergeCell ref="A244:A248"/>
    <mergeCell ref="C245:C246"/>
    <mergeCell ref="D245:D246"/>
    <mergeCell ref="E245:E246"/>
    <mergeCell ref="F245:F246"/>
    <mergeCell ref="G245:G246"/>
    <mergeCell ref="H245:H246"/>
    <mergeCell ref="A55:Q55"/>
    <mergeCell ref="A56:A64"/>
    <mergeCell ref="A65:E65"/>
    <mergeCell ref="H135:H138"/>
    <mergeCell ref="A67:A75"/>
    <mergeCell ref="M134:M138"/>
    <mergeCell ref="N134:N138"/>
    <mergeCell ref="O134:O138"/>
    <mergeCell ref="I133:I134"/>
    <mergeCell ref="J133:J134"/>
    <mergeCell ref="A124:E124"/>
    <mergeCell ref="K89:K91"/>
    <mergeCell ref="A66:Q66"/>
    <mergeCell ref="A77:Q77"/>
    <mergeCell ref="A76:E76"/>
    <mergeCell ref="A78:A122"/>
    <mergeCell ref="A123:E123"/>
    <mergeCell ref="A125:Q125"/>
    <mergeCell ref="E127:E132"/>
    <mergeCell ref="B105:B108"/>
    <mergeCell ref="B110:B122"/>
    <mergeCell ref="F127:F132"/>
    <mergeCell ref="H271:H274"/>
    <mergeCell ref="A200:A214"/>
    <mergeCell ref="A222:Q222"/>
    <mergeCell ref="H203:H206"/>
    <mergeCell ref="C203:C206"/>
    <mergeCell ref="B203:B206"/>
    <mergeCell ref="D203:D206"/>
    <mergeCell ref="C271:C274"/>
    <mergeCell ref="A252:A258"/>
    <mergeCell ref="A261:A267"/>
    <mergeCell ref="A250:E250"/>
    <mergeCell ref="A216:Q216"/>
    <mergeCell ref="A228:Q228"/>
    <mergeCell ref="F271:F274"/>
    <mergeCell ref="K250:Q250"/>
    <mergeCell ref="I245:I246"/>
    <mergeCell ref="J245:J246"/>
    <mergeCell ref="A215:E215"/>
    <mergeCell ref="A269:Q269"/>
    <mergeCell ref="A260:Q260"/>
    <mergeCell ref="A31:E31"/>
    <mergeCell ref="A33:A35"/>
    <mergeCell ref="A36:E36"/>
    <mergeCell ref="E46:E47"/>
    <mergeCell ref="C46:C47"/>
    <mergeCell ref="D46:D47"/>
    <mergeCell ref="B46:B47"/>
    <mergeCell ref="F46:F47"/>
    <mergeCell ref="G46:G47"/>
    <mergeCell ref="H46:H47"/>
    <mergeCell ref="I46:I47"/>
    <mergeCell ref="J46:J47"/>
    <mergeCell ref="F51:F52"/>
    <mergeCell ref="G51:G52"/>
    <mergeCell ref="H51:H52"/>
    <mergeCell ref="J51:J52"/>
    <mergeCell ref="K51:K52"/>
    <mergeCell ref="C9:C14"/>
    <mergeCell ref="E9:E14"/>
    <mergeCell ref="F9:F14"/>
    <mergeCell ref="G9:G14"/>
    <mergeCell ref="A25:Q25"/>
    <mergeCell ref="J27:J30"/>
    <mergeCell ref="I27:I30"/>
    <mergeCell ref="A17:Q17"/>
    <mergeCell ref="A16:E16"/>
    <mergeCell ref="A24:E24"/>
    <mergeCell ref="B9:B14"/>
    <mergeCell ref="D9:D14"/>
    <mergeCell ref="A37:Q37"/>
    <mergeCell ref="H9:H14"/>
    <mergeCell ref="I9:I14"/>
    <mergeCell ref="C127:C132"/>
    <mergeCell ref="D127:D132"/>
    <mergeCell ref="J9:J14"/>
    <mergeCell ref="H27:H30"/>
    <mergeCell ref="G27:G30"/>
    <mergeCell ref="A26:A30"/>
    <mergeCell ref="A8:A15"/>
    <mergeCell ref="E27:E30"/>
    <mergeCell ref="B27:B30"/>
    <mergeCell ref="C27:C30"/>
    <mergeCell ref="D27:D30"/>
    <mergeCell ref="A18:A23"/>
    <mergeCell ref="B51:B52"/>
    <mergeCell ref="C51:C52"/>
    <mergeCell ref="D51:D52"/>
    <mergeCell ref="E51:E52"/>
    <mergeCell ref="A32:Q32"/>
    <mergeCell ref="A3:Q3"/>
    <mergeCell ref="A5:A6"/>
    <mergeCell ref="F5:J5"/>
    <mergeCell ref="B5:B6"/>
    <mergeCell ref="N5:Q5"/>
    <mergeCell ref="L5:L6"/>
    <mergeCell ref="K5:K6"/>
    <mergeCell ref="E5:E6"/>
    <mergeCell ref="D5:D6"/>
    <mergeCell ref="C5:C6"/>
    <mergeCell ref="L192:Q192"/>
    <mergeCell ref="A178:Q178"/>
    <mergeCell ref="A192:E192"/>
    <mergeCell ref="A146:Q146"/>
    <mergeCell ref="A177:E177"/>
    <mergeCell ref="B155:B158"/>
    <mergeCell ref="B165:B166"/>
    <mergeCell ref="L51:L52"/>
    <mergeCell ref="M51:M52"/>
    <mergeCell ref="N51:N52"/>
    <mergeCell ref="O51:O52"/>
    <mergeCell ref="P51:P52"/>
    <mergeCell ref="Q51:Q52"/>
    <mergeCell ref="B127:B132"/>
    <mergeCell ref="A139:E139"/>
    <mergeCell ref="A141:A144"/>
    <mergeCell ref="A145:E145"/>
    <mergeCell ref="A147:A176"/>
    <mergeCell ref="A179:A191"/>
    <mergeCell ref="A7:O7"/>
    <mergeCell ref="F27:F30"/>
    <mergeCell ref="C133:C134"/>
    <mergeCell ref="L551:Q551"/>
    <mergeCell ref="B276:B281"/>
    <mergeCell ref="A282:E282"/>
    <mergeCell ref="N431:N432"/>
    <mergeCell ref="O431:O432"/>
    <mergeCell ref="P478:P479"/>
    <mergeCell ref="A357:Q357"/>
    <mergeCell ref="B342:B343"/>
    <mergeCell ref="A356:E356"/>
    <mergeCell ref="A339:E339"/>
    <mergeCell ref="A283:Q283"/>
    <mergeCell ref="A290:E290"/>
    <mergeCell ref="A338:E338"/>
    <mergeCell ref="B359:B366"/>
    <mergeCell ref="C359:C365"/>
    <mergeCell ref="P431:P432"/>
    <mergeCell ref="Q431:Q432"/>
    <mergeCell ref="M431:M432"/>
    <mergeCell ref="K431:K432"/>
    <mergeCell ref="L431:L432"/>
    <mergeCell ref="C372:C373"/>
    <mergeCell ref="A340:Q340"/>
    <mergeCell ref="A341:A355"/>
    <mergeCell ref="B474:B479"/>
    <mergeCell ref="C474:C479"/>
    <mergeCell ref="F474:F479"/>
    <mergeCell ref="G474:G479"/>
    <mergeCell ref="H474:H479"/>
    <mergeCell ref="I474:I479"/>
    <mergeCell ref="J413:J417"/>
    <mergeCell ref="F359:F365"/>
    <mergeCell ref="A485:A539"/>
    <mergeCell ref="C535:C536"/>
    <mergeCell ref="D535:D536"/>
    <mergeCell ref="A541:O541"/>
    <mergeCell ref="M367:M368"/>
    <mergeCell ref="N367:N368"/>
    <mergeCell ref="K342:K343"/>
    <mergeCell ref="A292:A337"/>
    <mergeCell ref="D359:D365"/>
    <mergeCell ref="H404:H406"/>
    <mergeCell ref="I404:I406"/>
    <mergeCell ref="F408:F411"/>
    <mergeCell ref="G408:G411"/>
    <mergeCell ref="H408:H411"/>
    <mergeCell ref="I408:I411"/>
    <mergeCell ref="J408:J411"/>
    <mergeCell ref="C404:C406"/>
    <mergeCell ref="G359:G365"/>
    <mergeCell ref="H359:H365"/>
    <mergeCell ref="H395:H396"/>
    <mergeCell ref="I395:I396"/>
    <mergeCell ref="J431:J443"/>
    <mergeCell ref="J459:J473"/>
    <mergeCell ref="G445:G458"/>
    <mergeCell ref="H445:H458"/>
    <mergeCell ref="A426:A427"/>
    <mergeCell ref="C418:C419"/>
    <mergeCell ref="D418:D419"/>
    <mergeCell ref="I445:I458"/>
    <mergeCell ref="J445:J458"/>
    <mergeCell ref="G395:G396"/>
    <mergeCell ref="J395:J396"/>
    <mergeCell ref="J418:J419"/>
    <mergeCell ref="J420:J421"/>
    <mergeCell ref="A429:Q429"/>
    <mergeCell ref="A425:Q425"/>
    <mergeCell ref="E459:E473"/>
    <mergeCell ref="B404:B406"/>
    <mergeCell ref="D404:D406"/>
    <mergeCell ref="B413:B417"/>
    <mergeCell ref="B420:B421"/>
    <mergeCell ref="C408:C411"/>
    <mergeCell ref="B445:B458"/>
    <mergeCell ref="A430:A482"/>
    <mergeCell ref="A428:E428"/>
    <mergeCell ref="L478:L479"/>
    <mergeCell ref="B395:B396"/>
    <mergeCell ref="B401:B403"/>
    <mergeCell ref="E420:E421"/>
    <mergeCell ref="F420:F421"/>
    <mergeCell ref="G413:G417"/>
    <mergeCell ref="H413:H417"/>
    <mergeCell ref="I413:I417"/>
    <mergeCell ref="Q478:Q479"/>
    <mergeCell ref="B418:B419"/>
    <mergeCell ref="E418:E419"/>
    <mergeCell ref="G418:G419"/>
    <mergeCell ref="G431:G443"/>
    <mergeCell ref="H431:H443"/>
    <mergeCell ref="I431:I443"/>
    <mergeCell ref="C395:C396"/>
    <mergeCell ref="D395:D396"/>
    <mergeCell ref="E395:E396"/>
    <mergeCell ref="F395:F396"/>
    <mergeCell ref="C445:C458"/>
    <mergeCell ref="A194:A197"/>
    <mergeCell ref="B245:B246"/>
    <mergeCell ref="C431:C443"/>
    <mergeCell ref="A424:E424"/>
    <mergeCell ref="A358:A423"/>
    <mergeCell ref="B408:B411"/>
    <mergeCell ref="D408:D411"/>
    <mergeCell ref="E408:E411"/>
    <mergeCell ref="B431:B442"/>
    <mergeCell ref="C420:C421"/>
    <mergeCell ref="D420:D421"/>
    <mergeCell ref="A251:Q251"/>
    <mergeCell ref="A221:E221"/>
    <mergeCell ref="A227:E227"/>
    <mergeCell ref="A242:E242"/>
    <mergeCell ref="A249:E249"/>
    <mergeCell ref="P134:P138"/>
    <mergeCell ref="B133:B134"/>
    <mergeCell ref="D431:D443"/>
    <mergeCell ref="F431:F443"/>
    <mergeCell ref="C401:C403"/>
    <mergeCell ref="D401:D403"/>
    <mergeCell ref="J401:J403"/>
    <mergeCell ref="J404:J406"/>
    <mergeCell ref="F404:F406"/>
    <mergeCell ref="E404:E406"/>
    <mergeCell ref="I359:I365"/>
    <mergeCell ref="J359:J365"/>
    <mergeCell ref="D133:D134"/>
    <mergeCell ref="E133:E134"/>
    <mergeCell ref="A140:Q140"/>
    <mergeCell ref="A268:E268"/>
    <mergeCell ref="H489:H491"/>
    <mergeCell ref="I489:I491"/>
    <mergeCell ref="J489:J491"/>
    <mergeCell ref="D459:D473"/>
    <mergeCell ref="I492:I495"/>
    <mergeCell ref="J492:J495"/>
    <mergeCell ref="A484:O484"/>
    <mergeCell ref="B489:B491"/>
    <mergeCell ref="C489:C491"/>
    <mergeCell ref="K478:K479"/>
    <mergeCell ref="N478:N479"/>
    <mergeCell ref="O478:O479"/>
    <mergeCell ref="F459:F473"/>
    <mergeCell ref="G492:G495"/>
    <mergeCell ref="H492:H495"/>
    <mergeCell ref="D489:D491"/>
    <mergeCell ref="E489:E491"/>
    <mergeCell ref="F489:F491"/>
    <mergeCell ref="G489:G491"/>
    <mergeCell ref="D474:D479"/>
    <mergeCell ref="E474:E479"/>
    <mergeCell ref="G459:G473"/>
    <mergeCell ref="H459:H473"/>
    <mergeCell ref="I459:I473"/>
    <mergeCell ref="J474:J479"/>
    <mergeCell ref="M478:M479"/>
    <mergeCell ref="A483:E483"/>
    <mergeCell ref="F492:F495"/>
    <mergeCell ref="B492:B495"/>
    <mergeCell ref="C492:C495"/>
    <mergeCell ref="D492:D495"/>
    <mergeCell ref="E492:E495"/>
    <mergeCell ref="B496:B497"/>
    <mergeCell ref="C496:C497"/>
    <mergeCell ref="D496:D497"/>
    <mergeCell ref="E496:E497"/>
    <mergeCell ref="P577:P578"/>
    <mergeCell ref="Q577:Q578"/>
    <mergeCell ref="B581:B583"/>
    <mergeCell ref="C581:C583"/>
    <mergeCell ref="D581:D583"/>
    <mergeCell ref="E581:E583"/>
    <mergeCell ref="A552:Q552"/>
    <mergeCell ref="A553:A554"/>
    <mergeCell ref="A555:E555"/>
    <mergeCell ref="L555:Q555"/>
    <mergeCell ref="A556:O556"/>
    <mergeCell ref="A558:A560"/>
    <mergeCell ref="B558:B560"/>
    <mergeCell ref="C558:C560"/>
    <mergeCell ref="D558:D560"/>
    <mergeCell ref="E558:E560"/>
    <mergeCell ref="F558:F560"/>
    <mergeCell ref="G558:G560"/>
    <mergeCell ref="H558:H560"/>
    <mergeCell ref="I558:I560"/>
    <mergeCell ref="J558:J560"/>
    <mergeCell ref="F581:F583"/>
    <mergeCell ref="G581:G583"/>
    <mergeCell ref="H581:H583"/>
    <mergeCell ref="I581:I583"/>
    <mergeCell ref="J581:J583"/>
    <mergeCell ref="A567:E567"/>
    <mergeCell ref="L567:Q567"/>
    <mergeCell ref="A568:O568"/>
    <mergeCell ref="A569:A603"/>
    <mergeCell ref="N577:N578"/>
    <mergeCell ref="O577:O578"/>
    <mergeCell ref="B591:B592"/>
    <mergeCell ref="C591:C592"/>
    <mergeCell ref="D591:D592"/>
    <mergeCell ref="E591:E592"/>
    <mergeCell ref="F591:F592"/>
    <mergeCell ref="G591:G592"/>
    <mergeCell ref="H591:H592"/>
    <mergeCell ref="I591:I592"/>
    <mergeCell ref="J591:J592"/>
    <mergeCell ref="B587:B589"/>
    <mergeCell ref="C587:C589"/>
    <mergeCell ref="D587:D589"/>
    <mergeCell ref="E587:E589"/>
    <mergeCell ref="F587:F589"/>
    <mergeCell ref="G587:G589"/>
    <mergeCell ref="H587:H589"/>
    <mergeCell ref="I587:I589"/>
    <mergeCell ref="J587:J589"/>
    <mergeCell ref="B593:B594"/>
    <mergeCell ref="C593:C594"/>
    <mergeCell ref="D593:D594"/>
    <mergeCell ref="E593:E594"/>
    <mergeCell ref="F593:F594"/>
    <mergeCell ref="G593:G594"/>
    <mergeCell ref="H593:H594"/>
    <mergeCell ref="I593:I594"/>
    <mergeCell ref="J593:J594"/>
    <mergeCell ref="K577:K578"/>
    <mergeCell ref="L577:L578"/>
    <mergeCell ref="M577:M578"/>
    <mergeCell ref="G614:G615"/>
    <mergeCell ref="H614:H615"/>
    <mergeCell ref="I614:I615"/>
    <mergeCell ref="J614:J615"/>
    <mergeCell ref="B616:B617"/>
    <mergeCell ref="C616:C617"/>
    <mergeCell ref="D616:D617"/>
    <mergeCell ref="B600:B603"/>
    <mergeCell ref="C600:C603"/>
    <mergeCell ref="D600:D603"/>
    <mergeCell ref="E600:E603"/>
    <mergeCell ref="F600:F603"/>
    <mergeCell ref="G600:G603"/>
    <mergeCell ref="H600:H603"/>
    <mergeCell ref="I600:I603"/>
    <mergeCell ref="J600:J603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E616:E617"/>
    <mergeCell ref="F616:F617"/>
    <mergeCell ref="G616:G617"/>
    <mergeCell ref="H616:H617"/>
    <mergeCell ref="I616:I617"/>
    <mergeCell ref="J616:J617"/>
    <mergeCell ref="B624:B625"/>
    <mergeCell ref="C624:C625"/>
    <mergeCell ref="D624:D625"/>
    <mergeCell ref="E624:E625"/>
    <mergeCell ref="F624:F625"/>
    <mergeCell ref="G624:G625"/>
    <mergeCell ref="H624:H625"/>
    <mergeCell ref="I624:I625"/>
    <mergeCell ref="J624:J625"/>
    <mergeCell ref="A604:E604"/>
    <mergeCell ref="A605:O605"/>
    <mergeCell ref="A606:A625"/>
    <mergeCell ref="B609:B610"/>
    <mergeCell ref="C609:C610"/>
    <mergeCell ref="D609:D610"/>
    <mergeCell ref="E609:E610"/>
    <mergeCell ref="F609:F610"/>
    <mergeCell ref="G609:G610"/>
    <mergeCell ref="H609:H610"/>
    <mergeCell ref="I609:I610"/>
    <mergeCell ref="J609:J610"/>
    <mergeCell ref="B614:B615"/>
    <mergeCell ref="C614:C615"/>
    <mergeCell ref="D614:D615"/>
    <mergeCell ref="E614:E615"/>
    <mergeCell ref="F614:F615"/>
    <mergeCell ref="K638:K639"/>
    <mergeCell ref="L638:L639"/>
    <mergeCell ref="M638:M639"/>
    <mergeCell ref="N638:N639"/>
    <mergeCell ref="O638:O639"/>
    <mergeCell ref="P638:P639"/>
    <mergeCell ref="Q638:Q639"/>
    <mergeCell ref="A642:E642"/>
    <mergeCell ref="L642:Q642"/>
    <mergeCell ref="A626:E626"/>
    <mergeCell ref="L626:Q626"/>
    <mergeCell ref="A627:O627"/>
    <mergeCell ref="A628:A631"/>
    <mergeCell ref="A632:E632"/>
    <mergeCell ref="L632:Q632"/>
    <mergeCell ref="A633:O633"/>
    <mergeCell ref="K636:K637"/>
    <mergeCell ref="L636:L637"/>
    <mergeCell ref="M636:M637"/>
    <mergeCell ref="N636:N637"/>
    <mergeCell ref="O636:O637"/>
    <mergeCell ref="P636:P637"/>
    <mergeCell ref="Q636:Q637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A643:O643"/>
    <mergeCell ref="A644:A647"/>
    <mergeCell ref="A648:E648"/>
    <mergeCell ref="L648:Q648"/>
    <mergeCell ref="A649:Q649"/>
    <mergeCell ref="A650:A656"/>
    <mergeCell ref="B651:B652"/>
    <mergeCell ref="C651:C652"/>
    <mergeCell ref="D651:D652"/>
    <mergeCell ref="E651:E652"/>
    <mergeCell ref="F651:F652"/>
    <mergeCell ref="G651:G652"/>
    <mergeCell ref="H651:H652"/>
    <mergeCell ref="I651:I652"/>
    <mergeCell ref="J651:J652"/>
    <mergeCell ref="B654:B655"/>
    <mergeCell ref="C654:C655"/>
    <mergeCell ref="D654:D655"/>
    <mergeCell ref="E654:E655"/>
    <mergeCell ref="F654:F655"/>
    <mergeCell ref="G654:G655"/>
    <mergeCell ref="I654:I655"/>
    <mergeCell ref="J654:J655"/>
    <mergeCell ref="A657:E657"/>
    <mergeCell ref="K657:P657"/>
    <mergeCell ref="A658:Q658"/>
    <mergeCell ref="A659:A660"/>
    <mergeCell ref="A661:E661"/>
    <mergeCell ref="K661:P661"/>
    <mergeCell ref="A662:Q662"/>
    <mergeCell ref="A663:A680"/>
    <mergeCell ref="B670:B674"/>
    <mergeCell ref="C670:C674"/>
    <mergeCell ref="D670:D674"/>
    <mergeCell ref="E670:E674"/>
    <mergeCell ref="F670:F674"/>
    <mergeCell ref="G670:G674"/>
    <mergeCell ref="H670:H674"/>
    <mergeCell ref="I670:I674"/>
    <mergeCell ref="J670:J674"/>
    <mergeCell ref="B675:B676"/>
    <mergeCell ref="C675:C676"/>
    <mergeCell ref="D675:D676"/>
    <mergeCell ref="E675:E676"/>
    <mergeCell ref="F675:F676"/>
    <mergeCell ref="G675:G676"/>
    <mergeCell ref="H675:H676"/>
    <mergeCell ref="A681:E681"/>
    <mergeCell ref="L681:O681"/>
    <mergeCell ref="A682:Q682"/>
    <mergeCell ref="A683:A687"/>
    <mergeCell ref="K683:K684"/>
    <mergeCell ref="L683:L684"/>
    <mergeCell ref="M683:M684"/>
    <mergeCell ref="N683:N684"/>
    <mergeCell ref="O683:O684"/>
    <mergeCell ref="P683:P684"/>
    <mergeCell ref="Q683:Q684"/>
    <mergeCell ref="I675:I676"/>
    <mergeCell ref="J675:J676"/>
    <mergeCell ref="B678:B680"/>
    <mergeCell ref="C678:C680"/>
    <mergeCell ref="D678:D680"/>
    <mergeCell ref="E678:E680"/>
    <mergeCell ref="F678:F680"/>
    <mergeCell ref="G678:G680"/>
    <mergeCell ref="H678:H680"/>
    <mergeCell ref="I678:I680"/>
    <mergeCell ref="J678:J680"/>
    <mergeCell ref="A688:E688"/>
    <mergeCell ref="L688:O688"/>
    <mergeCell ref="A689:Q689"/>
    <mergeCell ref="A690:A693"/>
    <mergeCell ref="B690:B691"/>
    <mergeCell ref="C690:C691"/>
    <mergeCell ref="D690:D691"/>
    <mergeCell ref="E690:E691"/>
    <mergeCell ref="F690:F691"/>
    <mergeCell ref="G690:G691"/>
    <mergeCell ref="H690:H691"/>
    <mergeCell ref="I690:I691"/>
    <mergeCell ref="J690:J691"/>
    <mergeCell ref="K690:K691"/>
    <mergeCell ref="L690:L691"/>
    <mergeCell ref="M690:M691"/>
    <mergeCell ref="N690:N691"/>
    <mergeCell ref="O690:O691"/>
    <mergeCell ref="P690:P691"/>
    <mergeCell ref="Q690:Q691"/>
    <mergeCell ref="A694:E694"/>
    <mergeCell ref="L694:O694"/>
    <mergeCell ref="A695:Q695"/>
    <mergeCell ref="A696:A728"/>
    <mergeCell ref="B696:B697"/>
    <mergeCell ref="C696:C697"/>
    <mergeCell ref="D696:D697"/>
    <mergeCell ref="F696:F697"/>
    <mergeCell ref="G696:G697"/>
    <mergeCell ref="H696:H697"/>
    <mergeCell ref="I696:I697"/>
    <mergeCell ref="J696:J697"/>
    <mergeCell ref="K696:K697"/>
    <mergeCell ref="L696:L697"/>
    <mergeCell ref="M696:M697"/>
    <mergeCell ref="N696:N697"/>
    <mergeCell ref="O696:O697"/>
    <mergeCell ref="P696:P697"/>
    <mergeCell ref="Q696:Q697"/>
    <mergeCell ref="B700:B701"/>
    <mergeCell ref="C700:C701"/>
    <mergeCell ref="D700:D701"/>
    <mergeCell ref="F700:F701"/>
    <mergeCell ref="G700:G701"/>
    <mergeCell ref="Q700:Q701"/>
    <mergeCell ref="B702:B704"/>
    <mergeCell ref="C702:C704"/>
    <mergeCell ref="D702:D704"/>
    <mergeCell ref="E702:E704"/>
    <mergeCell ref="F702:F704"/>
    <mergeCell ref="G702:G704"/>
    <mergeCell ref="H702:H704"/>
    <mergeCell ref="I702:I704"/>
    <mergeCell ref="J702:J704"/>
    <mergeCell ref="H700:H701"/>
    <mergeCell ref="I700:I701"/>
    <mergeCell ref="J700:J701"/>
    <mergeCell ref="K700:K701"/>
    <mergeCell ref="L700:L701"/>
    <mergeCell ref="M700:M701"/>
    <mergeCell ref="N700:N701"/>
    <mergeCell ref="O700:O701"/>
    <mergeCell ref="P700:P701"/>
    <mergeCell ref="K711:K712"/>
    <mergeCell ref="B708:B710"/>
    <mergeCell ref="C708:C710"/>
    <mergeCell ref="D708:D710"/>
    <mergeCell ref="E708:E710"/>
    <mergeCell ref="F708:F710"/>
    <mergeCell ref="G708:G710"/>
    <mergeCell ref="H708:H710"/>
    <mergeCell ref="I708:I710"/>
    <mergeCell ref="J708:J710"/>
    <mergeCell ref="B705:B707"/>
    <mergeCell ref="C705:C707"/>
    <mergeCell ref="D705:D707"/>
    <mergeCell ref="E705:E707"/>
    <mergeCell ref="F705:F707"/>
    <mergeCell ref="G705:G707"/>
    <mergeCell ref="H705:H707"/>
    <mergeCell ref="I705:I707"/>
    <mergeCell ref="J705:J707"/>
    <mergeCell ref="B720:B722"/>
    <mergeCell ref="C720:C722"/>
    <mergeCell ref="D720:D722"/>
    <mergeCell ref="E720:E722"/>
    <mergeCell ref="F720:F722"/>
    <mergeCell ref="G720:G722"/>
    <mergeCell ref="H720:H722"/>
    <mergeCell ref="I720:I722"/>
    <mergeCell ref="J720:J722"/>
    <mergeCell ref="L711:L712"/>
    <mergeCell ref="M711:M712"/>
    <mergeCell ref="N711:N712"/>
    <mergeCell ref="O711:O712"/>
    <mergeCell ref="P711:P712"/>
    <mergeCell ref="Q711:Q712"/>
    <mergeCell ref="B713:B718"/>
    <mergeCell ref="C713:C718"/>
    <mergeCell ref="D713:D718"/>
    <mergeCell ref="E713:E718"/>
    <mergeCell ref="F713:F718"/>
    <mergeCell ref="G713:G718"/>
    <mergeCell ref="H713:H718"/>
    <mergeCell ref="I713:I718"/>
    <mergeCell ref="J713:J718"/>
    <mergeCell ref="B711:B712"/>
    <mergeCell ref="C711:C712"/>
    <mergeCell ref="D711:D712"/>
    <mergeCell ref="F711:F712"/>
    <mergeCell ref="G711:G712"/>
    <mergeCell ref="H711:H712"/>
    <mergeCell ref="I711:I712"/>
    <mergeCell ref="J711:J712"/>
    <mergeCell ref="B727:B728"/>
    <mergeCell ref="C727:C728"/>
    <mergeCell ref="D727:D728"/>
    <mergeCell ref="E727:E728"/>
    <mergeCell ref="F727:F728"/>
    <mergeCell ref="G727:G728"/>
    <mergeCell ref="H727:H728"/>
    <mergeCell ref="I727:I728"/>
    <mergeCell ref="J727:J728"/>
    <mergeCell ref="B725:B726"/>
    <mergeCell ref="C725:C726"/>
    <mergeCell ref="D725:D726"/>
    <mergeCell ref="E725:E726"/>
    <mergeCell ref="F725:F726"/>
    <mergeCell ref="G725:G726"/>
    <mergeCell ref="H725:H726"/>
    <mergeCell ref="I725:I726"/>
    <mergeCell ref="J725:J726"/>
    <mergeCell ref="A755:E755"/>
    <mergeCell ref="A756:Q756"/>
    <mergeCell ref="A757:A760"/>
    <mergeCell ref="A761:E761"/>
    <mergeCell ref="A762:Q762"/>
    <mergeCell ref="A763:A774"/>
    <mergeCell ref="B767:B768"/>
    <mergeCell ref="C767:C768"/>
    <mergeCell ref="E767:E768"/>
    <mergeCell ref="F767:F768"/>
    <mergeCell ref="G767:G768"/>
    <mergeCell ref="H767:H768"/>
    <mergeCell ref="I767:I768"/>
    <mergeCell ref="J767:J768"/>
    <mergeCell ref="A729:E729"/>
    <mergeCell ref="L729:O729"/>
    <mergeCell ref="A730:Q730"/>
    <mergeCell ref="A731:A733"/>
    <mergeCell ref="K733:Q733"/>
    <mergeCell ref="A734:E734"/>
    <mergeCell ref="L734:Q734"/>
    <mergeCell ref="A735:Q735"/>
    <mergeCell ref="A736:A754"/>
    <mergeCell ref="A791:E791"/>
    <mergeCell ref="A792:Q792"/>
    <mergeCell ref="A793:A807"/>
    <mergeCell ref="K794:Q794"/>
    <mergeCell ref="A808:E808"/>
    <mergeCell ref="A809:Q809"/>
    <mergeCell ref="A810:A811"/>
    <mergeCell ref="A812:E812"/>
    <mergeCell ref="L812:Q812"/>
    <mergeCell ref="A775:E775"/>
    <mergeCell ref="A776:Q776"/>
    <mergeCell ref="A777:A785"/>
    <mergeCell ref="A786:E786"/>
    <mergeCell ref="L786:Q786"/>
    <mergeCell ref="A787:Q787"/>
    <mergeCell ref="A789:A790"/>
    <mergeCell ref="B789:B790"/>
    <mergeCell ref="C789:C790"/>
    <mergeCell ref="D789:D790"/>
    <mergeCell ref="E789:E790"/>
    <mergeCell ref="F789:F790"/>
    <mergeCell ref="G789:G790"/>
    <mergeCell ref="H789:H790"/>
    <mergeCell ref="I789:I790"/>
    <mergeCell ref="J789:J790"/>
    <mergeCell ref="M864:M865"/>
    <mergeCell ref="N864:N865"/>
    <mergeCell ref="O864:O865"/>
    <mergeCell ref="P864:P865"/>
    <mergeCell ref="Q864:Q865"/>
    <mergeCell ref="A830:E830"/>
    <mergeCell ref="A831:Q831"/>
    <mergeCell ref="A832:A833"/>
    <mergeCell ref="A834:E834"/>
    <mergeCell ref="A835:Q835"/>
    <mergeCell ref="A836:Q836"/>
    <mergeCell ref="A837:A847"/>
    <mergeCell ref="A848:E848"/>
    <mergeCell ref="A849:Q849"/>
    <mergeCell ref="A813:Q813"/>
    <mergeCell ref="A814:A829"/>
    <mergeCell ref="B827:B828"/>
    <mergeCell ref="C827:C828"/>
    <mergeCell ref="D827:D828"/>
    <mergeCell ref="E827:E828"/>
    <mergeCell ref="F827:F828"/>
    <mergeCell ref="G827:G828"/>
    <mergeCell ref="H827:H828"/>
    <mergeCell ref="I827:I828"/>
    <mergeCell ref="J827:J828"/>
    <mergeCell ref="K135:K138"/>
    <mergeCell ref="L135:L138"/>
    <mergeCell ref="E431:E443"/>
    <mergeCell ref="F573:F579"/>
    <mergeCell ref="G573:G579"/>
    <mergeCell ref="H573:H579"/>
    <mergeCell ref="I573:I579"/>
    <mergeCell ref="J573:J579"/>
    <mergeCell ref="E573:E579"/>
    <mergeCell ref="C573:C579"/>
    <mergeCell ref="B573:B579"/>
    <mergeCell ref="L870:Q870"/>
    <mergeCell ref="A872:Q872"/>
    <mergeCell ref="A873:A876"/>
    <mergeCell ref="A877:E877"/>
    <mergeCell ref="L877:Q877"/>
    <mergeCell ref="A850:A854"/>
    <mergeCell ref="A855:E855"/>
    <mergeCell ref="L855:Q855"/>
    <mergeCell ref="A856:Q856"/>
    <mergeCell ref="A857:A869"/>
    <mergeCell ref="B864:B865"/>
    <mergeCell ref="C864:C865"/>
    <mergeCell ref="D864:D865"/>
    <mergeCell ref="E864:E865"/>
    <mergeCell ref="F864:F865"/>
    <mergeCell ref="G864:G865"/>
    <mergeCell ref="H864:H865"/>
    <mergeCell ref="I864:I865"/>
    <mergeCell ref="J864:J865"/>
    <mergeCell ref="K864:K865"/>
    <mergeCell ref="L864:L865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47" fitToHeight="0" orientation="landscape" r:id="rId1"/>
  <headerFooter>
    <oddFooter>&amp;R&amp;"Times New Roman,обычный"&amp;10&amp;P</oddFooter>
  </headerFooter>
  <rowBreaks count="7" manualBreakCount="7">
    <brk id="444" max="16" man="1"/>
    <brk id="462" max="16" man="1"/>
    <brk id="503" max="16" man="1"/>
    <brk id="528" max="16" man="1"/>
    <brk id="632" max="16" man="1"/>
    <brk id="661" max="16" man="1"/>
    <brk id="694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5"/>
  <sheetViews>
    <sheetView tabSelected="1" view="pageBreakPreview" topLeftCell="A334" zoomScale="85" zoomScaleNormal="100" zoomScaleSheetLayoutView="85" workbookViewId="0">
      <selection activeCell="E338" sqref="E338"/>
    </sheetView>
  </sheetViews>
  <sheetFormatPr defaultColWidth="9.140625" defaultRowHeight="15" x14ac:dyDescent="0.25"/>
  <cols>
    <col min="1" max="1" width="6.42578125" style="1" customWidth="1"/>
    <col min="2" max="2" width="7.42578125" style="3" customWidth="1"/>
    <col min="3" max="3" width="8.140625" style="3" customWidth="1"/>
    <col min="4" max="4" width="7.42578125" style="1" customWidth="1"/>
    <col min="5" max="5" width="47.5703125" style="1" customWidth="1"/>
    <col min="6" max="6" width="15.42578125" style="2" customWidth="1"/>
    <col min="7" max="7" width="15.28515625" style="2" customWidth="1"/>
    <col min="8" max="8" width="15.42578125" style="2" customWidth="1"/>
    <col min="9" max="9" width="15.28515625" style="2" customWidth="1"/>
    <col min="10" max="10" width="15.85546875" style="2" customWidth="1"/>
    <col min="11" max="11" width="37.28515625" style="1" customWidth="1"/>
    <col min="12" max="12" width="12.140625" style="3" customWidth="1"/>
    <col min="13" max="13" width="13.7109375" style="3" customWidth="1"/>
    <col min="14" max="14" width="15.28515625" style="3" customWidth="1"/>
    <col min="15" max="17" width="12" style="3" customWidth="1"/>
    <col min="18" max="16384" width="9.140625" style="1"/>
  </cols>
  <sheetData>
    <row r="1" spans="1:17" ht="54" customHeight="1" x14ac:dyDescent="0.25">
      <c r="E1" s="7"/>
      <c r="F1" s="11"/>
      <c r="G1" s="11"/>
      <c r="H1" s="11"/>
      <c r="I1" s="11"/>
      <c r="J1" s="11"/>
      <c r="K1" s="7"/>
      <c r="L1" s="1556" t="s">
        <v>2057</v>
      </c>
      <c r="M1" s="1557"/>
      <c r="N1" s="1557"/>
      <c r="O1" s="1557"/>
      <c r="P1" s="1557"/>
      <c r="Q1" s="1557"/>
    </row>
    <row r="2" spans="1:17" ht="15.75" x14ac:dyDescent="0.25">
      <c r="E2" s="7"/>
      <c r="F2" s="11"/>
      <c r="G2" s="11"/>
      <c r="H2" s="11"/>
      <c r="I2" s="11"/>
      <c r="J2" s="11"/>
      <c r="K2" s="7"/>
      <c r="L2" s="12"/>
      <c r="M2" s="13"/>
      <c r="N2" s="13"/>
      <c r="O2" s="13"/>
      <c r="P2" s="14"/>
      <c r="Q2" s="15"/>
    </row>
    <row r="3" spans="1:17" ht="16.5" x14ac:dyDescent="0.25">
      <c r="A3" s="1702" t="s">
        <v>173</v>
      </c>
      <c r="B3" s="1702"/>
      <c r="C3" s="1702"/>
      <c r="D3" s="1702"/>
      <c r="E3" s="1702"/>
      <c r="F3" s="1702"/>
      <c r="G3" s="1702"/>
      <c r="H3" s="1702"/>
      <c r="I3" s="1702"/>
      <c r="J3" s="1702"/>
      <c r="K3" s="1702"/>
      <c r="L3" s="1702"/>
      <c r="M3" s="1702"/>
      <c r="N3" s="1702"/>
      <c r="O3" s="1702"/>
      <c r="P3" s="1702"/>
      <c r="Q3" s="1702"/>
    </row>
    <row r="5" spans="1:17" ht="29.25" customHeight="1" x14ac:dyDescent="0.25">
      <c r="A5" s="1419" t="s">
        <v>1244</v>
      </c>
      <c r="B5" s="1419" t="s">
        <v>0</v>
      </c>
      <c r="C5" s="1419" t="s">
        <v>1</v>
      </c>
      <c r="D5" s="1419" t="s">
        <v>2</v>
      </c>
      <c r="E5" s="1419" t="s">
        <v>3</v>
      </c>
      <c r="F5" s="1421" t="s">
        <v>30</v>
      </c>
      <c r="G5" s="1422"/>
      <c r="H5" s="1422"/>
      <c r="I5" s="1422"/>
      <c r="J5" s="1423"/>
      <c r="K5" s="1419" t="s">
        <v>4</v>
      </c>
      <c r="L5" s="1419" t="s">
        <v>5</v>
      </c>
      <c r="M5" s="10" t="s">
        <v>6</v>
      </c>
      <c r="N5" s="1424" t="s">
        <v>7</v>
      </c>
      <c r="O5" s="1425"/>
      <c r="P5" s="1425"/>
      <c r="Q5" s="1426"/>
    </row>
    <row r="6" spans="1:17" ht="21" customHeight="1" x14ac:dyDescent="0.25">
      <c r="A6" s="1420"/>
      <c r="B6" s="1420"/>
      <c r="C6" s="1420"/>
      <c r="D6" s="1420"/>
      <c r="E6" s="1420"/>
      <c r="F6" s="10">
        <v>2021</v>
      </c>
      <c r="G6" s="10">
        <v>2022</v>
      </c>
      <c r="H6" s="10">
        <v>2023</v>
      </c>
      <c r="I6" s="10">
        <v>2024</v>
      </c>
      <c r="J6" s="10">
        <v>2025</v>
      </c>
      <c r="K6" s="1420"/>
      <c r="L6" s="1420"/>
      <c r="M6" s="10">
        <v>2021</v>
      </c>
      <c r="N6" s="10">
        <v>2022</v>
      </c>
      <c r="O6" s="10">
        <v>2023</v>
      </c>
      <c r="P6" s="10">
        <v>2024</v>
      </c>
      <c r="Q6" s="10">
        <v>2025</v>
      </c>
    </row>
    <row r="7" spans="1:17" x14ac:dyDescent="0.25">
      <c r="A7" s="1661" t="s">
        <v>2029</v>
      </c>
      <c r="B7" s="1154"/>
      <c r="C7" s="1154"/>
      <c r="D7" s="1154"/>
      <c r="E7" s="1154"/>
      <c r="F7" s="1154"/>
      <c r="G7" s="1154"/>
      <c r="H7" s="1154"/>
      <c r="I7" s="1154"/>
      <c r="J7" s="1154"/>
      <c r="K7" s="1154"/>
      <c r="L7" s="1154"/>
      <c r="M7" s="1154"/>
      <c r="N7" s="1154"/>
      <c r="O7" s="1154"/>
      <c r="P7" s="1154"/>
      <c r="Q7" s="1662"/>
    </row>
    <row r="8" spans="1:17" s="6" customFormat="1" ht="29.25" customHeight="1" x14ac:dyDescent="0.25">
      <c r="A8" s="1588">
        <v>25</v>
      </c>
      <c r="B8" s="582" t="s">
        <v>8</v>
      </c>
      <c r="C8" s="582"/>
      <c r="D8" s="582"/>
      <c r="E8" s="583" t="s">
        <v>1348</v>
      </c>
      <c r="F8" s="584">
        <f t="shared" ref="F8:J8" si="0">SUM(F9:F10)</f>
        <v>81988.7</v>
      </c>
      <c r="G8" s="585">
        <f t="shared" si="0"/>
        <v>232271.2</v>
      </c>
      <c r="H8" s="584">
        <f t="shared" si="0"/>
        <v>439345.9</v>
      </c>
      <c r="I8" s="584">
        <f t="shared" si="0"/>
        <v>443998.10000000003</v>
      </c>
      <c r="J8" s="584">
        <f t="shared" si="0"/>
        <v>456336.39999999997</v>
      </c>
      <c r="K8" s="586" t="s">
        <v>9</v>
      </c>
      <c r="L8" s="587" t="s">
        <v>431</v>
      </c>
      <c r="M8" s="588">
        <v>16.8</v>
      </c>
      <c r="N8" s="588">
        <v>4.0999999999999996</v>
      </c>
      <c r="O8" s="588">
        <v>5</v>
      </c>
      <c r="P8" s="588">
        <v>5</v>
      </c>
      <c r="Q8" s="588">
        <v>5</v>
      </c>
    </row>
    <row r="9" spans="1:17" s="6" customFormat="1" ht="30" x14ac:dyDescent="0.25">
      <c r="A9" s="1664"/>
      <c r="B9" s="589"/>
      <c r="C9" s="590" t="s">
        <v>17</v>
      </c>
      <c r="D9" s="582"/>
      <c r="E9" s="591" t="s">
        <v>10</v>
      </c>
      <c r="F9" s="592">
        <f>7341.2+2221.4+11118+1298.9+2508+88.1+7628+8191+1413</f>
        <v>41807.599999999999</v>
      </c>
      <c r="G9" s="593">
        <f>177520.4+22181+50000+54833.5+48407.1-181678.1</f>
        <v>171263.9</v>
      </c>
      <c r="H9" s="592">
        <f>195434+173447.3+4000</f>
        <v>372881.3</v>
      </c>
      <c r="I9" s="592">
        <f>197386.7+183522.1</f>
        <v>380908.80000000005</v>
      </c>
      <c r="J9" s="594">
        <f>199359.8+193590</f>
        <v>392949.8</v>
      </c>
      <c r="K9" s="595"/>
      <c r="L9" s="596"/>
      <c r="M9" s="588"/>
      <c r="N9" s="588"/>
      <c r="O9" s="588"/>
      <c r="P9" s="588"/>
      <c r="Q9" s="588"/>
    </row>
    <row r="10" spans="1:17" s="6" customFormat="1" ht="30" x14ac:dyDescent="0.25">
      <c r="A10" s="1664"/>
      <c r="B10" s="589"/>
      <c r="C10" s="590" t="s">
        <v>18</v>
      </c>
      <c r="D10" s="582"/>
      <c r="E10" s="591" t="s">
        <v>404</v>
      </c>
      <c r="F10" s="592">
        <v>40181.1</v>
      </c>
      <c r="G10" s="597">
        <v>61007.3</v>
      </c>
      <c r="H10" s="598">
        <f>21173.7+45290.9</f>
        <v>66464.600000000006</v>
      </c>
      <c r="I10" s="598">
        <v>63089.3</v>
      </c>
      <c r="J10" s="599">
        <v>63386.6</v>
      </c>
      <c r="K10" s="595"/>
      <c r="L10" s="596"/>
      <c r="M10" s="588"/>
      <c r="N10" s="588"/>
      <c r="O10" s="588"/>
      <c r="P10" s="588"/>
      <c r="Q10" s="588"/>
    </row>
    <row r="11" spans="1:17" s="6" customFormat="1" ht="57" x14ac:dyDescent="0.25">
      <c r="A11" s="1664"/>
      <c r="B11" s="582" t="s">
        <v>1402</v>
      </c>
      <c r="C11" s="582"/>
      <c r="D11" s="582"/>
      <c r="E11" s="583" t="s">
        <v>405</v>
      </c>
      <c r="F11" s="600">
        <f>F12+F25</f>
        <v>120751.3</v>
      </c>
      <c r="G11" s="601">
        <f>G12+G25</f>
        <v>182411.4</v>
      </c>
      <c r="H11" s="601">
        <f>H12+H25</f>
        <v>218578.4</v>
      </c>
      <c r="I11" s="601">
        <f>I12+I25</f>
        <v>207536.4</v>
      </c>
      <c r="J11" s="601">
        <f>J12+J25</f>
        <v>212324.9</v>
      </c>
      <c r="K11" s="602" t="s">
        <v>1349</v>
      </c>
      <c r="L11" s="603" t="s">
        <v>14</v>
      </c>
      <c r="M11" s="588">
        <v>63</v>
      </c>
      <c r="N11" s="588">
        <v>63</v>
      </c>
      <c r="O11" s="588">
        <v>62</v>
      </c>
      <c r="P11" s="588">
        <v>62</v>
      </c>
      <c r="Q11" s="588">
        <v>62</v>
      </c>
    </row>
    <row r="12" spans="1:17" s="6" customFormat="1" x14ac:dyDescent="0.25">
      <c r="A12" s="1664"/>
      <c r="B12" s="1588"/>
      <c r="C12" s="1659" t="s">
        <v>17</v>
      </c>
      <c r="D12" s="1588"/>
      <c r="E12" s="1665" t="s">
        <v>406</v>
      </c>
      <c r="F12" s="1669">
        <f>3600+750+F14+F15+F16+F17+F19+F23</f>
        <v>9600</v>
      </c>
      <c r="G12" s="1701">
        <f>32337.3+G14+G15+G16+G17+G19+G23</f>
        <v>66502.399999999994</v>
      </c>
      <c r="H12" s="1698">
        <f>89773.7+128804.7</f>
        <v>218578.4</v>
      </c>
      <c r="I12" s="1698">
        <v>207536.4</v>
      </c>
      <c r="J12" s="1698">
        <v>212324.9</v>
      </c>
      <c r="K12" s="604" t="s">
        <v>1349</v>
      </c>
      <c r="L12" s="605" t="s">
        <v>14</v>
      </c>
      <c r="M12" s="588">
        <v>63</v>
      </c>
      <c r="N12" s="588">
        <v>63</v>
      </c>
      <c r="O12" s="588">
        <v>62</v>
      </c>
      <c r="P12" s="588">
        <v>62</v>
      </c>
      <c r="Q12" s="588">
        <v>62</v>
      </c>
    </row>
    <row r="13" spans="1:17" s="6" customFormat="1" ht="30" x14ac:dyDescent="0.25">
      <c r="A13" s="1664"/>
      <c r="B13" s="1589"/>
      <c r="C13" s="1660"/>
      <c r="D13" s="1589"/>
      <c r="E13" s="1667"/>
      <c r="F13" s="1670"/>
      <c r="G13" s="1699"/>
      <c r="H13" s="1699"/>
      <c r="I13" s="1699"/>
      <c r="J13" s="1699"/>
      <c r="K13" s="606" t="s">
        <v>1350</v>
      </c>
      <c r="L13" s="605" t="s">
        <v>14</v>
      </c>
      <c r="M13" s="588"/>
      <c r="N13" s="588"/>
      <c r="O13" s="588">
        <v>104.9</v>
      </c>
      <c r="P13" s="588">
        <v>104.4</v>
      </c>
      <c r="Q13" s="588">
        <v>104.5</v>
      </c>
    </row>
    <row r="14" spans="1:17" s="6" customFormat="1" ht="60" x14ac:dyDescent="0.25">
      <c r="A14" s="1664"/>
      <c r="B14" s="589"/>
      <c r="C14" s="590" t="s">
        <v>18</v>
      </c>
      <c r="D14" s="582"/>
      <c r="E14" s="591" t="s">
        <v>407</v>
      </c>
      <c r="F14" s="607">
        <f>1000+180</f>
        <v>1180</v>
      </c>
      <c r="G14" s="608">
        <f>8234.9+1264.3</f>
        <v>9499.1999999999989</v>
      </c>
      <c r="H14" s="607"/>
      <c r="I14" s="592"/>
      <c r="J14" s="592"/>
      <c r="K14" s="604" t="s">
        <v>2028</v>
      </c>
      <c r="L14" s="605" t="s">
        <v>13</v>
      </c>
      <c r="M14" s="588">
        <v>122</v>
      </c>
      <c r="N14" s="588">
        <v>119</v>
      </c>
      <c r="O14" s="588">
        <v>119</v>
      </c>
      <c r="P14" s="588">
        <v>119</v>
      </c>
      <c r="Q14" s="588">
        <v>119</v>
      </c>
    </row>
    <row r="15" spans="1:17" s="6" customFormat="1" ht="30" x14ac:dyDescent="0.25">
      <c r="A15" s="1664"/>
      <c r="B15" s="589"/>
      <c r="C15" s="590" t="s">
        <v>16</v>
      </c>
      <c r="D15" s="582"/>
      <c r="E15" s="591" t="s">
        <v>408</v>
      </c>
      <c r="F15" s="607">
        <f>400+100</f>
        <v>500</v>
      </c>
      <c r="G15" s="608">
        <f>2059.6+316.1</f>
        <v>2375.6999999999998</v>
      </c>
      <c r="H15" s="607"/>
      <c r="I15" s="592"/>
      <c r="J15" s="592"/>
      <c r="K15" s="609" t="s">
        <v>1351</v>
      </c>
      <c r="L15" s="610" t="s">
        <v>432</v>
      </c>
      <c r="M15" s="588">
        <v>3000000</v>
      </c>
      <c r="N15" s="588">
        <v>3000000</v>
      </c>
      <c r="O15" s="588">
        <v>4000000</v>
      </c>
      <c r="P15" s="588">
        <v>6500000</v>
      </c>
      <c r="Q15" s="588">
        <v>6500000</v>
      </c>
    </row>
    <row r="16" spans="1:17" s="6" customFormat="1" ht="45" x14ac:dyDescent="0.25">
      <c r="A16" s="1664"/>
      <c r="B16" s="589"/>
      <c r="C16" s="590" t="s">
        <v>19</v>
      </c>
      <c r="D16" s="582"/>
      <c r="E16" s="591" t="s">
        <v>409</v>
      </c>
      <c r="F16" s="611">
        <f>300+80</f>
        <v>380</v>
      </c>
      <c r="G16" s="608">
        <f>2011.7+308.7</f>
        <v>2320.4</v>
      </c>
      <c r="H16" s="611"/>
      <c r="I16" s="592"/>
      <c r="J16" s="592"/>
      <c r="K16" s="604" t="s">
        <v>433</v>
      </c>
      <c r="L16" s="612" t="s">
        <v>36</v>
      </c>
      <c r="M16" s="588">
        <v>600</v>
      </c>
      <c r="N16" s="588">
        <v>600</v>
      </c>
      <c r="O16" s="588">
        <v>600</v>
      </c>
      <c r="P16" s="588">
        <v>1000</v>
      </c>
      <c r="Q16" s="588">
        <v>1000</v>
      </c>
    </row>
    <row r="17" spans="1:17" s="6" customFormat="1" ht="30" x14ac:dyDescent="0.25">
      <c r="A17" s="1664"/>
      <c r="B17" s="1588"/>
      <c r="C17" s="1659" t="s">
        <v>20</v>
      </c>
      <c r="D17" s="1588"/>
      <c r="E17" s="1665" t="s">
        <v>410</v>
      </c>
      <c r="F17" s="1668">
        <f>1100+250</f>
        <v>1350</v>
      </c>
      <c r="G17" s="1700">
        <f>7018.9+1076.9</f>
        <v>8095.7999999999993</v>
      </c>
      <c r="H17" s="1668"/>
      <c r="I17" s="1668"/>
      <c r="J17" s="1668"/>
      <c r="K17" s="604" t="s">
        <v>434</v>
      </c>
      <c r="L17" s="612" t="s">
        <v>36</v>
      </c>
      <c r="M17" s="588">
        <v>18089.849999999999</v>
      </c>
      <c r="N17" s="588">
        <v>16528.560000000001</v>
      </c>
      <c r="O17" s="588">
        <v>14172.05</v>
      </c>
      <c r="P17" s="588">
        <v>10026.41</v>
      </c>
      <c r="Q17" s="588">
        <v>10026.41</v>
      </c>
    </row>
    <row r="18" spans="1:17" s="6" customFormat="1" ht="30" x14ac:dyDescent="0.25">
      <c r="A18" s="1664"/>
      <c r="B18" s="1589"/>
      <c r="C18" s="1660"/>
      <c r="D18" s="1589"/>
      <c r="E18" s="1667"/>
      <c r="F18" s="1650"/>
      <c r="G18" s="1650"/>
      <c r="H18" s="1650"/>
      <c r="I18" s="1650"/>
      <c r="J18" s="1650"/>
      <c r="K18" s="609" t="s">
        <v>435</v>
      </c>
      <c r="L18" s="612" t="s">
        <v>36</v>
      </c>
      <c r="M18" s="588">
        <v>25826.09</v>
      </c>
      <c r="N18" s="588">
        <v>33648.089999999997</v>
      </c>
      <c r="O18" s="588">
        <v>43163.78</v>
      </c>
      <c r="P18" s="588">
        <v>26920.97</v>
      </c>
      <c r="Q18" s="588">
        <v>26920.97</v>
      </c>
    </row>
    <row r="19" spans="1:17" s="6" customFormat="1" ht="30" x14ac:dyDescent="0.25">
      <c r="A19" s="1664"/>
      <c r="B19" s="1588"/>
      <c r="C19" s="1659" t="s">
        <v>21</v>
      </c>
      <c r="D19" s="1588"/>
      <c r="E19" s="1665" t="s">
        <v>411</v>
      </c>
      <c r="F19" s="1648">
        <f>700+160</f>
        <v>860</v>
      </c>
      <c r="G19" s="1651">
        <f>4350+667.6</f>
        <v>5017.6000000000004</v>
      </c>
      <c r="H19" s="1648"/>
      <c r="I19" s="1648"/>
      <c r="J19" s="1648"/>
      <c r="K19" s="613" t="s">
        <v>436</v>
      </c>
      <c r="L19" s="610" t="s">
        <v>437</v>
      </c>
      <c r="M19" s="588">
        <v>0</v>
      </c>
      <c r="N19" s="588">
        <v>0</v>
      </c>
      <c r="O19" s="588">
        <v>0</v>
      </c>
      <c r="P19" s="588">
        <v>0</v>
      </c>
      <c r="Q19" s="588">
        <v>0</v>
      </c>
    </row>
    <row r="20" spans="1:17" s="6" customFormat="1" ht="30" x14ac:dyDescent="0.25">
      <c r="A20" s="1664"/>
      <c r="B20" s="1664"/>
      <c r="C20" s="1663"/>
      <c r="D20" s="1664"/>
      <c r="E20" s="1666"/>
      <c r="F20" s="1649"/>
      <c r="G20" s="1649"/>
      <c r="H20" s="1649"/>
      <c r="I20" s="1649"/>
      <c r="J20" s="1649"/>
      <c r="K20" s="604" t="s">
        <v>438</v>
      </c>
      <c r="L20" s="610" t="s">
        <v>14</v>
      </c>
      <c r="M20" s="588" t="s">
        <v>439</v>
      </c>
      <c r="N20" s="588" t="s">
        <v>439</v>
      </c>
      <c r="O20" s="588" t="s">
        <v>439</v>
      </c>
      <c r="P20" s="588" t="s">
        <v>439</v>
      </c>
      <c r="Q20" s="588" t="s">
        <v>439</v>
      </c>
    </row>
    <row r="21" spans="1:17" s="6" customFormat="1" ht="30" x14ac:dyDescent="0.25">
      <c r="A21" s="1664"/>
      <c r="B21" s="1664"/>
      <c r="C21" s="1663"/>
      <c r="D21" s="1664"/>
      <c r="E21" s="1666"/>
      <c r="F21" s="1649"/>
      <c r="G21" s="1649"/>
      <c r="H21" s="1649"/>
      <c r="I21" s="1649"/>
      <c r="J21" s="1649"/>
      <c r="K21" s="604" t="s">
        <v>440</v>
      </c>
      <c r="L21" s="610" t="s">
        <v>14</v>
      </c>
      <c r="M21" s="588">
        <v>100</v>
      </c>
      <c r="N21" s="588">
        <v>100</v>
      </c>
      <c r="O21" s="588">
        <v>100</v>
      </c>
      <c r="P21" s="588">
        <v>100</v>
      </c>
      <c r="Q21" s="588">
        <v>100</v>
      </c>
    </row>
    <row r="22" spans="1:17" s="6" customFormat="1" ht="45" x14ac:dyDescent="0.25">
      <c r="A22" s="1664"/>
      <c r="B22" s="1589"/>
      <c r="C22" s="1660"/>
      <c r="D22" s="1589"/>
      <c r="E22" s="1667"/>
      <c r="F22" s="1650"/>
      <c r="G22" s="1650"/>
      <c r="H22" s="1650"/>
      <c r="I22" s="1649"/>
      <c r="J22" s="1649"/>
      <c r="K22" s="604" t="s">
        <v>441</v>
      </c>
      <c r="L22" s="610" t="s">
        <v>437</v>
      </c>
      <c r="M22" s="588">
        <v>0</v>
      </c>
      <c r="N22" s="588">
        <v>0</v>
      </c>
      <c r="O22" s="588">
        <v>0</v>
      </c>
      <c r="P22" s="588">
        <v>0</v>
      </c>
      <c r="Q22" s="588">
        <v>0</v>
      </c>
    </row>
    <row r="23" spans="1:17" s="6" customFormat="1" ht="45" x14ac:dyDescent="0.25">
      <c r="A23" s="1664"/>
      <c r="B23" s="1588"/>
      <c r="C23" s="1659" t="s">
        <v>22</v>
      </c>
      <c r="D23" s="1588"/>
      <c r="E23" s="1665" t="s">
        <v>412</v>
      </c>
      <c r="F23" s="1696">
        <f>800+180</f>
        <v>980</v>
      </c>
      <c r="G23" s="1696">
        <f>5943.8+912.6</f>
        <v>6856.4000000000005</v>
      </c>
      <c r="H23" s="1696"/>
      <c r="I23" s="1696"/>
      <c r="J23" s="1696"/>
      <c r="K23" s="614" t="s">
        <v>1352</v>
      </c>
      <c r="L23" s="610" t="s">
        <v>14</v>
      </c>
      <c r="M23" s="588">
        <v>22.5</v>
      </c>
      <c r="N23" s="588">
        <v>22.5</v>
      </c>
      <c r="O23" s="588">
        <v>22.5</v>
      </c>
      <c r="P23" s="588">
        <v>22.5</v>
      </c>
      <c r="Q23" s="588">
        <v>22.5</v>
      </c>
    </row>
    <row r="24" spans="1:17" s="6" customFormat="1" ht="45" x14ac:dyDescent="0.25">
      <c r="A24" s="1664"/>
      <c r="B24" s="1589"/>
      <c r="C24" s="1660"/>
      <c r="D24" s="1589"/>
      <c r="E24" s="1667"/>
      <c r="F24" s="1697"/>
      <c r="G24" s="1697"/>
      <c r="H24" s="1697"/>
      <c r="I24" s="1697"/>
      <c r="J24" s="1697"/>
      <c r="K24" s="614" t="s">
        <v>1353</v>
      </c>
      <c r="L24" s="610" t="s">
        <v>14</v>
      </c>
      <c r="M24" s="588">
        <v>0.5</v>
      </c>
      <c r="N24" s="588">
        <v>0.5</v>
      </c>
      <c r="O24" s="588">
        <v>0.5</v>
      </c>
      <c r="P24" s="588">
        <v>0.5</v>
      </c>
      <c r="Q24" s="588">
        <v>0.5</v>
      </c>
    </row>
    <row r="25" spans="1:17" s="6" customFormat="1" ht="75" x14ac:dyDescent="0.25">
      <c r="A25" s="1664"/>
      <c r="B25" s="589"/>
      <c r="C25" s="590" t="s">
        <v>23</v>
      </c>
      <c r="D25" s="582"/>
      <c r="E25" s="591" t="s">
        <v>413</v>
      </c>
      <c r="F25" s="607">
        <v>111151.3</v>
      </c>
      <c r="G25" s="608">
        <v>115909</v>
      </c>
      <c r="H25" s="615"/>
      <c r="I25" s="44"/>
      <c r="J25" s="44"/>
      <c r="K25" s="614" t="s">
        <v>1354</v>
      </c>
      <c r="L25" s="610" t="s">
        <v>442</v>
      </c>
      <c r="M25" s="588">
        <v>71</v>
      </c>
      <c r="N25" s="588">
        <v>71</v>
      </c>
      <c r="O25" s="588">
        <v>75</v>
      </c>
      <c r="P25" s="588">
        <v>75</v>
      </c>
      <c r="Q25" s="588">
        <v>75</v>
      </c>
    </row>
    <row r="26" spans="1:17" s="6" customFormat="1" ht="45" x14ac:dyDescent="0.25">
      <c r="A26" s="1664"/>
      <c r="B26" s="582" t="s">
        <v>1403</v>
      </c>
      <c r="C26" s="582"/>
      <c r="D26" s="582"/>
      <c r="E26" s="583" t="s">
        <v>414</v>
      </c>
      <c r="F26" s="616">
        <f t="shared" ref="F26:J26" si="1">SUM(F27:F28)</f>
        <v>9400</v>
      </c>
      <c r="G26" s="585">
        <f t="shared" si="1"/>
        <v>137566.79999999999</v>
      </c>
      <c r="H26" s="616">
        <f t="shared" si="1"/>
        <v>154201.69999999998</v>
      </c>
      <c r="I26" s="617">
        <f t="shared" si="1"/>
        <v>133153.09999999998</v>
      </c>
      <c r="J26" s="617">
        <f t="shared" si="1"/>
        <v>158382.39999999999</v>
      </c>
      <c r="K26" s="618" t="s">
        <v>1355</v>
      </c>
      <c r="L26" s="619" t="s">
        <v>14</v>
      </c>
      <c r="M26" s="588"/>
      <c r="N26" s="588"/>
      <c r="O26" s="588">
        <v>100</v>
      </c>
      <c r="P26" s="588">
        <v>100</v>
      </c>
      <c r="Q26" s="588">
        <v>100</v>
      </c>
    </row>
    <row r="27" spans="1:17" s="6" customFormat="1" ht="30" x14ac:dyDescent="0.25">
      <c r="A27" s="1664"/>
      <c r="B27" s="589"/>
      <c r="C27" s="590" t="s">
        <v>17</v>
      </c>
      <c r="D27" s="582"/>
      <c r="E27" s="591" t="s">
        <v>415</v>
      </c>
      <c r="F27" s="611">
        <f>3600+1100</f>
        <v>4700</v>
      </c>
      <c r="G27" s="608">
        <f>19796.8+3039.6</f>
        <v>22836.399999999998</v>
      </c>
      <c r="H27" s="611">
        <f>33200.7+5240.6</f>
        <v>38441.299999999996</v>
      </c>
      <c r="I27" s="611">
        <f>33799.6+3931.6</f>
        <v>37731.199999999997</v>
      </c>
      <c r="J27" s="611">
        <f>34136.3+3973.7</f>
        <v>38110</v>
      </c>
      <c r="K27" s="1675" t="s">
        <v>1355</v>
      </c>
      <c r="L27" s="1677" t="s">
        <v>14</v>
      </c>
      <c r="M27" s="1673"/>
      <c r="N27" s="1671"/>
      <c r="O27" s="1671">
        <v>100</v>
      </c>
      <c r="P27" s="1671">
        <v>100</v>
      </c>
      <c r="Q27" s="1671">
        <v>100</v>
      </c>
    </row>
    <row r="28" spans="1:17" s="6" customFormat="1" ht="30" x14ac:dyDescent="0.25">
      <c r="A28" s="1664"/>
      <c r="B28" s="589"/>
      <c r="C28" s="590" t="s">
        <v>18</v>
      </c>
      <c r="D28" s="582"/>
      <c r="E28" s="591" t="s">
        <v>416</v>
      </c>
      <c r="F28" s="620">
        <f>3600+1100</f>
        <v>4700</v>
      </c>
      <c r="G28" s="621">
        <v>114730.4</v>
      </c>
      <c r="H28" s="620">
        <v>115760.4</v>
      </c>
      <c r="I28" s="620">
        <v>95421.9</v>
      </c>
      <c r="J28" s="620">
        <v>120272.4</v>
      </c>
      <c r="K28" s="1676"/>
      <c r="L28" s="1678"/>
      <c r="M28" s="1674"/>
      <c r="N28" s="1672"/>
      <c r="O28" s="1672"/>
      <c r="P28" s="1672"/>
      <c r="Q28" s="1672"/>
    </row>
    <row r="29" spans="1:17" s="6" customFormat="1" ht="28.5" x14ac:dyDescent="0.25">
      <c r="A29" s="1664"/>
      <c r="B29" s="582" t="s">
        <v>1404</v>
      </c>
      <c r="C29" s="582"/>
      <c r="D29" s="582"/>
      <c r="E29" s="583" t="s">
        <v>2030</v>
      </c>
      <c r="F29" s="601">
        <f>SUM(F30:F39)</f>
        <v>134172.90000000002</v>
      </c>
      <c r="G29" s="601">
        <f>SUM(G30:G39)</f>
        <v>174791.2</v>
      </c>
      <c r="H29" s="601">
        <f>SUM(H30:H39)</f>
        <v>277662.3</v>
      </c>
      <c r="I29" s="601">
        <f>SUM(I30:I39)</f>
        <v>304506.8</v>
      </c>
      <c r="J29" s="601">
        <f>SUM(J30:J39)</f>
        <v>281431.39999999997</v>
      </c>
      <c r="K29" s="140"/>
      <c r="L29" s="622"/>
      <c r="M29" s="588"/>
      <c r="N29" s="588"/>
      <c r="O29" s="588"/>
      <c r="P29" s="588"/>
      <c r="Q29" s="588"/>
    </row>
    <row r="30" spans="1:17" s="6" customFormat="1" ht="60" x14ac:dyDescent="0.25">
      <c r="A30" s="1664"/>
      <c r="B30" s="1588"/>
      <c r="C30" s="590" t="s">
        <v>17</v>
      </c>
      <c r="D30" s="582"/>
      <c r="E30" s="591" t="s">
        <v>417</v>
      </c>
      <c r="F30" s="623">
        <f>17000+2598.1</f>
        <v>19598.099999999999</v>
      </c>
      <c r="G30" s="624">
        <f>17510+2598.1</f>
        <v>20108.099999999999</v>
      </c>
      <c r="H30" s="623">
        <f>4533+18020</f>
        <v>22553</v>
      </c>
      <c r="I30" s="623">
        <f>4579.4+18560</f>
        <v>23139.4</v>
      </c>
      <c r="J30" s="623">
        <f>4625.1+19100</f>
        <v>23725.1</v>
      </c>
      <c r="K30" s="625" t="s">
        <v>1356</v>
      </c>
      <c r="L30" s="610" t="s">
        <v>26</v>
      </c>
      <c r="M30" s="588">
        <v>4698</v>
      </c>
      <c r="N30" s="588">
        <v>4930</v>
      </c>
      <c r="O30" s="588">
        <v>5200</v>
      </c>
      <c r="P30" s="588">
        <v>5460</v>
      </c>
      <c r="Q30" s="588">
        <v>5730</v>
      </c>
    </row>
    <row r="31" spans="1:17" s="6" customFormat="1" ht="60" x14ac:dyDescent="0.25">
      <c r="A31" s="1664"/>
      <c r="B31" s="1664"/>
      <c r="C31" s="1659" t="s">
        <v>18</v>
      </c>
      <c r="D31" s="1588"/>
      <c r="E31" s="1665" t="s">
        <v>418</v>
      </c>
      <c r="F31" s="1686">
        <v>16946.2</v>
      </c>
      <c r="G31" s="1689">
        <v>16946.2</v>
      </c>
      <c r="H31" s="1686">
        <f>20000+840</f>
        <v>20840</v>
      </c>
      <c r="I31" s="1686">
        <v>19712.7</v>
      </c>
      <c r="J31" s="1686">
        <v>19061.3</v>
      </c>
      <c r="K31" s="604" t="s">
        <v>443</v>
      </c>
      <c r="L31" s="610" t="s">
        <v>444</v>
      </c>
      <c r="M31" s="588">
        <v>5</v>
      </c>
      <c r="N31" s="588">
        <v>5</v>
      </c>
      <c r="O31" s="588">
        <v>5</v>
      </c>
      <c r="P31" s="588">
        <v>5</v>
      </c>
      <c r="Q31" s="588">
        <v>5</v>
      </c>
    </row>
    <row r="32" spans="1:17" s="6" customFormat="1" x14ac:dyDescent="0.25">
      <c r="A32" s="1664"/>
      <c r="B32" s="1664"/>
      <c r="C32" s="1663"/>
      <c r="D32" s="1664"/>
      <c r="E32" s="1666"/>
      <c r="F32" s="1687"/>
      <c r="G32" s="1687"/>
      <c r="H32" s="1687"/>
      <c r="I32" s="1687"/>
      <c r="J32" s="1687"/>
      <c r="K32" s="141" t="s">
        <v>1360</v>
      </c>
      <c r="L32" s="626" t="s">
        <v>444</v>
      </c>
      <c r="M32" s="588" t="s">
        <v>445</v>
      </c>
      <c r="N32" s="588" t="s">
        <v>445</v>
      </c>
      <c r="O32" s="588" t="s">
        <v>445</v>
      </c>
      <c r="P32" s="588" t="s">
        <v>445</v>
      </c>
      <c r="Q32" s="588" t="s">
        <v>445</v>
      </c>
    </row>
    <row r="33" spans="1:17" s="6" customFormat="1" ht="60" x14ac:dyDescent="0.25">
      <c r="A33" s="1664"/>
      <c r="B33" s="1664"/>
      <c r="C33" s="1663"/>
      <c r="D33" s="1664"/>
      <c r="E33" s="1666"/>
      <c r="F33" s="1687"/>
      <c r="G33" s="1687"/>
      <c r="H33" s="1687"/>
      <c r="I33" s="1687"/>
      <c r="J33" s="1687"/>
      <c r="K33" s="604" t="s">
        <v>446</v>
      </c>
      <c r="L33" s="610" t="s">
        <v>447</v>
      </c>
      <c r="M33" s="588">
        <v>100</v>
      </c>
      <c r="N33" s="588">
        <v>100</v>
      </c>
      <c r="O33" s="588">
        <v>100</v>
      </c>
      <c r="P33" s="588">
        <v>100</v>
      </c>
      <c r="Q33" s="588">
        <v>100</v>
      </c>
    </row>
    <row r="34" spans="1:17" s="6" customFormat="1" ht="60" x14ac:dyDescent="0.25">
      <c r="A34" s="1664"/>
      <c r="B34" s="1664"/>
      <c r="C34" s="1663"/>
      <c r="D34" s="1664"/>
      <c r="E34" s="1666"/>
      <c r="F34" s="1687"/>
      <c r="G34" s="1687"/>
      <c r="H34" s="1687"/>
      <c r="I34" s="1687"/>
      <c r="J34" s="1687"/>
      <c r="K34" s="604" t="s">
        <v>448</v>
      </c>
      <c r="L34" s="610" t="s">
        <v>449</v>
      </c>
      <c r="M34" s="588" t="s">
        <v>450</v>
      </c>
      <c r="N34" s="588" t="s">
        <v>450</v>
      </c>
      <c r="O34" s="588" t="s">
        <v>450</v>
      </c>
      <c r="P34" s="588" t="s">
        <v>450</v>
      </c>
      <c r="Q34" s="588" t="s">
        <v>450</v>
      </c>
    </row>
    <row r="35" spans="1:17" s="6" customFormat="1" ht="45" x14ac:dyDescent="0.25">
      <c r="A35" s="1664"/>
      <c r="B35" s="1664"/>
      <c r="C35" s="1660"/>
      <c r="D35" s="1589"/>
      <c r="E35" s="1667"/>
      <c r="F35" s="1688"/>
      <c r="G35" s="1688"/>
      <c r="H35" s="1688"/>
      <c r="I35" s="1688"/>
      <c r="J35" s="1688"/>
      <c r="K35" s="627" t="s">
        <v>451</v>
      </c>
      <c r="L35" s="610" t="s">
        <v>14</v>
      </c>
      <c r="M35" s="588">
        <v>100</v>
      </c>
      <c r="N35" s="588">
        <v>100</v>
      </c>
      <c r="O35" s="588">
        <v>100</v>
      </c>
      <c r="P35" s="588">
        <v>100</v>
      </c>
      <c r="Q35" s="588">
        <v>100</v>
      </c>
    </row>
    <row r="36" spans="1:17" s="6" customFormat="1" ht="60" x14ac:dyDescent="0.25">
      <c r="A36" s="1664"/>
      <c r="B36" s="1664"/>
      <c r="C36" s="590" t="s">
        <v>16</v>
      </c>
      <c r="D36" s="582"/>
      <c r="E36" s="591" t="s">
        <v>419</v>
      </c>
      <c r="F36" s="628">
        <v>10203</v>
      </c>
      <c r="G36" s="629">
        <f>10203+12560</f>
        <v>22763</v>
      </c>
      <c r="H36" s="628">
        <f>23195.5+8000</f>
        <v>31195.5</v>
      </c>
      <c r="I36" s="628">
        <f>23432.7+8050</f>
        <v>31482.7</v>
      </c>
      <c r="J36" s="628">
        <f>23666.9+8100</f>
        <v>31766.9</v>
      </c>
      <c r="K36" s="630" t="s">
        <v>452</v>
      </c>
      <c r="L36" s="610" t="s">
        <v>14</v>
      </c>
      <c r="M36" s="588">
        <v>100</v>
      </c>
      <c r="N36" s="588">
        <v>100</v>
      </c>
      <c r="O36" s="588">
        <v>100</v>
      </c>
      <c r="P36" s="588">
        <v>100</v>
      </c>
      <c r="Q36" s="588">
        <v>100</v>
      </c>
    </row>
    <row r="37" spans="1:17" s="6" customFormat="1" ht="45" x14ac:dyDescent="0.25">
      <c r="A37" s="1664"/>
      <c r="B37" s="1664"/>
      <c r="C37" s="590" t="s">
        <v>19</v>
      </c>
      <c r="D37" s="582"/>
      <c r="E37" s="591" t="s">
        <v>420</v>
      </c>
      <c r="F37" s="628">
        <v>87425.600000000006</v>
      </c>
      <c r="G37" s="629">
        <f>87425.6+23170.1</f>
        <v>110595.70000000001</v>
      </c>
      <c r="H37" s="628">
        <f>138374.1+5700</f>
        <v>144074.1</v>
      </c>
      <c r="I37" s="628">
        <v>170582.2</v>
      </c>
      <c r="J37" s="628">
        <f>114987.3+31710</f>
        <v>146697.29999999999</v>
      </c>
      <c r="K37" s="618" t="s">
        <v>1357</v>
      </c>
      <c r="L37" s="619" t="s">
        <v>36</v>
      </c>
      <c r="M37" s="588">
        <v>11284.5</v>
      </c>
      <c r="N37" s="588">
        <v>5149.6000000000004</v>
      </c>
      <c r="O37" s="588">
        <v>11237.9</v>
      </c>
      <c r="P37" s="588">
        <v>26250</v>
      </c>
      <c r="Q37" s="588">
        <v>29260</v>
      </c>
    </row>
    <row r="38" spans="1:17" s="6" customFormat="1" ht="30" x14ac:dyDescent="0.25">
      <c r="A38" s="1664"/>
      <c r="B38" s="1664"/>
      <c r="C38" s="1659" t="s">
        <v>20</v>
      </c>
      <c r="D38" s="1588"/>
      <c r="E38" s="1646" t="s">
        <v>421</v>
      </c>
      <c r="F38" s="1681"/>
      <c r="G38" s="1683">
        <v>4378.2</v>
      </c>
      <c r="H38" s="1681">
        <v>58999.7</v>
      </c>
      <c r="I38" s="1681">
        <f>59603.1-13.3</f>
        <v>59589.799999999996</v>
      </c>
      <c r="J38" s="1681">
        <f>60198.7-17.9</f>
        <v>60180.799999999996</v>
      </c>
      <c r="K38" s="631" t="s">
        <v>397</v>
      </c>
      <c r="L38" s="632"/>
      <c r="M38" s="588"/>
      <c r="N38" s="588">
        <v>166</v>
      </c>
      <c r="O38" s="588">
        <v>450</v>
      </c>
      <c r="P38" s="588">
        <v>500</v>
      </c>
      <c r="Q38" s="588">
        <v>500</v>
      </c>
    </row>
    <row r="39" spans="1:17" s="6" customFormat="1" ht="45" x14ac:dyDescent="0.25">
      <c r="A39" s="1664"/>
      <c r="B39" s="1589"/>
      <c r="C39" s="1660"/>
      <c r="D39" s="1589"/>
      <c r="E39" s="1647"/>
      <c r="F39" s="1681"/>
      <c r="G39" s="1683"/>
      <c r="H39" s="1681"/>
      <c r="I39" s="1681"/>
      <c r="J39" s="1681"/>
      <c r="K39" s="633" t="s">
        <v>394</v>
      </c>
      <c r="L39" s="632" t="s">
        <v>14</v>
      </c>
      <c r="M39" s="588"/>
      <c r="N39" s="588">
        <v>25</v>
      </c>
      <c r="O39" s="588">
        <v>90</v>
      </c>
      <c r="P39" s="588">
        <v>100</v>
      </c>
      <c r="Q39" s="588">
        <v>100</v>
      </c>
    </row>
    <row r="40" spans="1:17" s="6" customFormat="1" ht="45" x14ac:dyDescent="0.25">
      <c r="A40" s="1664"/>
      <c r="B40" s="1588" t="s">
        <v>1405</v>
      </c>
      <c r="C40" s="1588"/>
      <c r="D40" s="1588"/>
      <c r="E40" s="1684" t="s">
        <v>2031</v>
      </c>
      <c r="F40" s="1682">
        <f>F43+F44+F45+F46+F47</f>
        <v>2161028.1999999997</v>
      </c>
      <c r="G40" s="1682">
        <f t="shared" ref="G40:J40" si="2">G43+G44+G45+G46+G47</f>
        <v>2577199.3000000003</v>
      </c>
      <c r="H40" s="1682">
        <f t="shared" si="2"/>
        <v>2919068.2</v>
      </c>
      <c r="I40" s="1682">
        <f t="shared" si="2"/>
        <v>2948919.3</v>
      </c>
      <c r="J40" s="1682">
        <f t="shared" si="2"/>
        <v>2978382.1</v>
      </c>
      <c r="K40" s="140" t="s">
        <v>1358</v>
      </c>
      <c r="L40" s="19" t="s">
        <v>14</v>
      </c>
      <c r="M40" s="588">
        <v>100</v>
      </c>
      <c r="N40" s="588">
        <v>96.9</v>
      </c>
      <c r="O40" s="588">
        <v>100</v>
      </c>
      <c r="P40" s="588">
        <v>100</v>
      </c>
      <c r="Q40" s="588">
        <v>100</v>
      </c>
    </row>
    <row r="41" spans="1:17" s="6" customFormat="1" ht="60" x14ac:dyDescent="0.25">
      <c r="A41" s="1664"/>
      <c r="B41" s="1589"/>
      <c r="C41" s="1589"/>
      <c r="D41" s="1589"/>
      <c r="E41" s="1685"/>
      <c r="F41" s="1670"/>
      <c r="G41" s="1670"/>
      <c r="H41" s="1670"/>
      <c r="I41" s="1670"/>
      <c r="J41" s="1670"/>
      <c r="K41" s="140" t="s">
        <v>453</v>
      </c>
      <c r="L41" s="19" t="s">
        <v>14</v>
      </c>
      <c r="M41" s="588">
        <v>96</v>
      </c>
      <c r="N41" s="588">
        <v>100</v>
      </c>
      <c r="O41" s="588">
        <v>100</v>
      </c>
      <c r="P41" s="588">
        <v>100</v>
      </c>
      <c r="Q41" s="588">
        <v>100</v>
      </c>
    </row>
    <row r="42" spans="1:17" s="6" customFormat="1" ht="26.25" hidden="1" customHeight="1" x14ac:dyDescent="0.25">
      <c r="A42" s="1664"/>
      <c r="B42" s="518"/>
      <c r="C42" s="61"/>
      <c r="D42" s="61"/>
      <c r="E42" s="35"/>
      <c r="F42" s="572">
        <f>F43+F44</f>
        <v>1465419.9</v>
      </c>
      <c r="G42" s="573">
        <f t="shared" ref="G42:J42" si="3">G43+G44</f>
        <v>1581261.0000000002</v>
      </c>
      <c r="H42" s="572">
        <f t="shared" si="3"/>
        <v>1611304.9999999998</v>
      </c>
      <c r="I42" s="572">
        <f t="shared" si="3"/>
        <v>1627784.7999999998</v>
      </c>
      <c r="J42" s="572">
        <f t="shared" si="3"/>
        <v>1644050.3</v>
      </c>
      <c r="K42" s="36"/>
      <c r="L42" s="36"/>
      <c r="M42" s="37"/>
      <c r="N42" s="37"/>
      <c r="O42" s="37"/>
      <c r="P42" s="37"/>
      <c r="Q42" s="37"/>
    </row>
    <row r="43" spans="1:17" s="6" customFormat="1" ht="45" x14ac:dyDescent="0.25">
      <c r="A43" s="1664"/>
      <c r="B43" s="582"/>
      <c r="C43" s="590" t="s">
        <v>17</v>
      </c>
      <c r="D43" s="582"/>
      <c r="E43" s="591" t="s">
        <v>422</v>
      </c>
      <c r="F43" s="607">
        <v>202705.2</v>
      </c>
      <c r="G43" s="593">
        <v>244016</v>
      </c>
      <c r="H43" s="607">
        <f>248652.3+33408.6</f>
        <v>282060.89999999997</v>
      </c>
      <c r="I43" s="607">
        <f>251195.4+30865.5</f>
        <v>282060.90000000002</v>
      </c>
      <c r="J43" s="607">
        <f>253705.5+28355.3</f>
        <v>282060.79999999999</v>
      </c>
      <c r="K43" s="140" t="s">
        <v>1358</v>
      </c>
      <c r="L43" s="610" t="s">
        <v>14</v>
      </c>
      <c r="M43" s="588">
        <v>100</v>
      </c>
      <c r="N43" s="588">
        <v>96.9</v>
      </c>
      <c r="O43" s="588">
        <v>100</v>
      </c>
      <c r="P43" s="588">
        <v>100</v>
      </c>
      <c r="Q43" s="588">
        <v>100</v>
      </c>
    </row>
    <row r="44" spans="1:17" s="6" customFormat="1" ht="45" x14ac:dyDescent="0.25">
      <c r="A44" s="1664"/>
      <c r="B44" s="589"/>
      <c r="C44" s="590" t="s">
        <v>18</v>
      </c>
      <c r="D44" s="582"/>
      <c r="E44" s="591" t="s">
        <v>423</v>
      </c>
      <c r="F44" s="607">
        <v>1262714.7</v>
      </c>
      <c r="G44" s="593">
        <v>1337245.0000000002</v>
      </c>
      <c r="H44" s="607">
        <f>1619652.7-33408.6-257000</f>
        <v>1329244.0999999999</v>
      </c>
      <c r="I44" s="607">
        <f>1636217.9-30865.5-259628.5</f>
        <v>1345723.9</v>
      </c>
      <c r="J44" s="607">
        <f>1652567.6-28355.3-262222.8</f>
        <v>1361989.5</v>
      </c>
      <c r="K44" s="604" t="s">
        <v>454</v>
      </c>
      <c r="L44" s="610" t="s">
        <v>455</v>
      </c>
      <c r="M44" s="588">
        <v>1.6E-2</v>
      </c>
      <c r="N44" s="588">
        <v>1.4999999999999999E-2</v>
      </c>
      <c r="O44" s="588">
        <v>2.4E-2</v>
      </c>
      <c r="P44" s="588">
        <v>2.5000000000000001E-2</v>
      </c>
      <c r="Q44" s="588">
        <v>0.03</v>
      </c>
    </row>
    <row r="45" spans="1:17" s="6" customFormat="1" ht="60" x14ac:dyDescent="0.25">
      <c r="A45" s="1664"/>
      <c r="B45" s="589"/>
      <c r="C45" s="590" t="s">
        <v>16</v>
      </c>
      <c r="D45" s="582"/>
      <c r="E45" s="591" t="s">
        <v>424</v>
      </c>
      <c r="F45" s="607">
        <v>170227.4</v>
      </c>
      <c r="G45" s="593">
        <f>186247.4+300</f>
        <v>186547.4</v>
      </c>
      <c r="H45" s="607">
        <f>225629.4+300+478.7</f>
        <v>226408.1</v>
      </c>
      <c r="I45" s="607">
        <f>227937.1+300+478.7</f>
        <v>228715.80000000002</v>
      </c>
      <c r="J45" s="607">
        <f>230214.7+300+478.7</f>
        <v>230993.40000000002</v>
      </c>
      <c r="K45" s="604" t="s">
        <v>453</v>
      </c>
      <c r="L45" s="610" t="s">
        <v>14</v>
      </c>
      <c r="M45" s="588">
        <v>96.9</v>
      </c>
      <c r="N45" s="588">
        <v>100</v>
      </c>
      <c r="O45" s="588">
        <v>100</v>
      </c>
      <c r="P45" s="588">
        <v>100</v>
      </c>
      <c r="Q45" s="588">
        <v>100</v>
      </c>
    </row>
    <row r="46" spans="1:17" s="6" customFormat="1" ht="75" x14ac:dyDescent="0.25">
      <c r="A46" s="1664"/>
      <c r="B46" s="589"/>
      <c r="C46" s="590" t="s">
        <v>19</v>
      </c>
      <c r="D46" s="582"/>
      <c r="E46" s="591" t="s">
        <v>425</v>
      </c>
      <c r="F46" s="607">
        <v>525380.9</v>
      </c>
      <c r="G46" s="593">
        <f>809360.9+30</f>
        <v>809390.9</v>
      </c>
      <c r="H46" s="607">
        <f>824738.8+95-478.7</f>
        <v>824355.10000000009</v>
      </c>
      <c r="I46" s="607">
        <f>833173.9+95-478.7</f>
        <v>832790.20000000007</v>
      </c>
      <c r="J46" s="607">
        <f>841499.3+95-478.7</f>
        <v>841115.60000000009</v>
      </c>
      <c r="K46" s="604" t="s">
        <v>456</v>
      </c>
      <c r="L46" s="610" t="s">
        <v>457</v>
      </c>
      <c r="M46" s="588">
        <v>1.7000000000000001E-2</v>
      </c>
      <c r="N46" s="588">
        <v>1.7977759118815457E-2</v>
      </c>
      <c r="O46" s="588">
        <v>1.5247518715391843E-2</v>
      </c>
      <c r="P46" s="588">
        <v>1.5247518715391843E-2</v>
      </c>
      <c r="Q46" s="588">
        <v>1.4E-2</v>
      </c>
    </row>
    <row r="47" spans="1:17" s="6" customFormat="1" ht="38.25" customHeight="1" x14ac:dyDescent="0.25">
      <c r="A47" s="1664"/>
      <c r="B47" s="589"/>
      <c r="C47" s="590" t="s">
        <v>20</v>
      </c>
      <c r="D47" s="582"/>
      <c r="E47" s="591" t="s">
        <v>426</v>
      </c>
      <c r="F47" s="607"/>
      <c r="G47" s="593"/>
      <c r="H47" s="607">
        <v>257000</v>
      </c>
      <c r="I47" s="607">
        <v>259628.5</v>
      </c>
      <c r="J47" s="607">
        <v>262222.8</v>
      </c>
      <c r="K47" s="604" t="s">
        <v>1359</v>
      </c>
      <c r="L47" s="610" t="s">
        <v>14</v>
      </c>
      <c r="M47" s="588"/>
      <c r="N47" s="588">
        <v>75</v>
      </c>
      <c r="O47" s="588">
        <v>100</v>
      </c>
      <c r="P47" s="588">
        <v>100</v>
      </c>
      <c r="Q47" s="588">
        <v>100</v>
      </c>
    </row>
    <row r="48" spans="1:17" s="6" customFormat="1" ht="57" x14ac:dyDescent="0.25">
      <c r="A48" s="1664"/>
      <c r="B48" s="582" t="s">
        <v>1406</v>
      </c>
      <c r="C48" s="582"/>
      <c r="D48" s="582"/>
      <c r="E48" s="583" t="s">
        <v>427</v>
      </c>
      <c r="F48" s="569">
        <f t="shared" ref="F48:J48" si="4">F49+F50</f>
        <v>36084</v>
      </c>
      <c r="G48" s="569">
        <f t="shared" si="4"/>
        <v>36084</v>
      </c>
      <c r="H48" s="569">
        <f t="shared" si="4"/>
        <v>36769.599999999999</v>
      </c>
      <c r="I48" s="569">
        <f t="shared" si="4"/>
        <v>37145.699999999997</v>
      </c>
      <c r="J48" s="569">
        <f t="shared" si="4"/>
        <v>37516.800000000003</v>
      </c>
      <c r="K48" s="111" t="s">
        <v>458</v>
      </c>
      <c r="L48" s="19" t="s">
        <v>34</v>
      </c>
      <c r="M48" s="588">
        <v>91</v>
      </c>
      <c r="N48" s="588">
        <v>92</v>
      </c>
      <c r="O48" s="588">
        <v>93</v>
      </c>
      <c r="P48" s="588">
        <v>93</v>
      </c>
      <c r="Q48" s="588">
        <v>93</v>
      </c>
    </row>
    <row r="49" spans="1:17" s="6" customFormat="1" ht="60" x14ac:dyDescent="0.25">
      <c r="A49" s="1664"/>
      <c r="B49" s="589"/>
      <c r="C49" s="582" t="s">
        <v>17</v>
      </c>
      <c r="D49" s="582"/>
      <c r="E49" s="591" t="s">
        <v>428</v>
      </c>
      <c r="F49" s="634">
        <v>21223.7</v>
      </c>
      <c r="G49" s="634">
        <v>19922.599999999999</v>
      </c>
      <c r="H49" s="634">
        <v>21536.799999999999</v>
      </c>
      <c r="I49" s="634">
        <v>21141.9</v>
      </c>
      <c r="J49" s="634">
        <v>21242.3</v>
      </c>
      <c r="K49" s="111" t="s">
        <v>458</v>
      </c>
      <c r="L49" s="19" t="s">
        <v>34</v>
      </c>
      <c r="M49" s="588">
        <v>91</v>
      </c>
      <c r="N49" s="588">
        <v>92</v>
      </c>
      <c r="O49" s="588">
        <v>93</v>
      </c>
      <c r="P49" s="588">
        <v>93</v>
      </c>
      <c r="Q49" s="588">
        <v>93</v>
      </c>
    </row>
    <row r="50" spans="1:17" s="6" customFormat="1" ht="30" x14ac:dyDescent="0.25">
      <c r="A50" s="1664"/>
      <c r="B50" s="1588"/>
      <c r="C50" s="1588" t="s">
        <v>18</v>
      </c>
      <c r="D50" s="1588"/>
      <c r="E50" s="1646" t="s">
        <v>2032</v>
      </c>
      <c r="F50" s="1162">
        <v>14860.3</v>
      </c>
      <c r="G50" s="1162">
        <v>16161.4</v>
      </c>
      <c r="H50" s="1162">
        <v>15232.8</v>
      </c>
      <c r="I50" s="1679">
        <v>16003.8</v>
      </c>
      <c r="J50" s="1679">
        <v>16274.5</v>
      </c>
      <c r="K50" s="111" t="s">
        <v>459</v>
      </c>
      <c r="L50" s="122" t="s">
        <v>460</v>
      </c>
      <c r="M50" s="588">
        <v>542</v>
      </c>
      <c r="N50" s="588">
        <v>565</v>
      </c>
      <c r="O50" s="588">
        <v>1700</v>
      </c>
      <c r="P50" s="588">
        <v>1800</v>
      </c>
      <c r="Q50" s="588">
        <v>1800</v>
      </c>
    </row>
    <row r="51" spans="1:17" s="6" customFormat="1" ht="45" x14ac:dyDescent="0.25">
      <c r="A51" s="1664"/>
      <c r="B51" s="1589"/>
      <c r="C51" s="1589"/>
      <c r="D51" s="1589"/>
      <c r="E51" s="1647"/>
      <c r="F51" s="1571"/>
      <c r="G51" s="1571"/>
      <c r="H51" s="1571"/>
      <c r="I51" s="1680"/>
      <c r="J51" s="1680"/>
      <c r="K51" s="111" t="s">
        <v>461</v>
      </c>
      <c r="L51" s="19" t="s">
        <v>34</v>
      </c>
      <c r="M51" s="588">
        <v>297</v>
      </c>
      <c r="N51" s="588">
        <v>300</v>
      </c>
      <c r="O51" s="588">
        <v>310</v>
      </c>
      <c r="P51" s="588">
        <v>315</v>
      </c>
      <c r="Q51" s="588">
        <v>315</v>
      </c>
    </row>
    <row r="52" spans="1:17" s="6" customFormat="1" x14ac:dyDescent="0.25">
      <c r="A52" s="1664"/>
      <c r="B52" s="589"/>
      <c r="C52" s="582"/>
      <c r="D52" s="582"/>
      <c r="E52" s="583" t="s">
        <v>429</v>
      </c>
      <c r="F52" s="41">
        <f t="shared" ref="F52:J52" si="5">F53</f>
        <v>3173529.1</v>
      </c>
      <c r="G52" s="41">
        <f t="shared" si="5"/>
        <v>4612239.9000000004</v>
      </c>
      <c r="H52" s="41">
        <f t="shared" si="5"/>
        <v>5787759</v>
      </c>
      <c r="I52" s="41">
        <f t="shared" si="5"/>
        <v>4831737.5</v>
      </c>
      <c r="J52" s="41">
        <f t="shared" si="5"/>
        <v>1611485</v>
      </c>
      <c r="K52" s="635"/>
      <c r="L52" s="635"/>
      <c r="M52" s="588"/>
      <c r="N52" s="588"/>
      <c r="O52" s="588"/>
      <c r="P52" s="588"/>
      <c r="Q52" s="588"/>
    </row>
    <row r="53" spans="1:17" s="6" customFormat="1" x14ac:dyDescent="0.25">
      <c r="A53" s="1589"/>
      <c r="B53" s="582" t="s">
        <v>1200</v>
      </c>
      <c r="C53" s="582" t="s">
        <v>658</v>
      </c>
      <c r="D53" s="582"/>
      <c r="E53" s="591" t="s">
        <v>430</v>
      </c>
      <c r="F53" s="636">
        <v>3173529.1</v>
      </c>
      <c r="G53" s="637">
        <v>4612239.9000000004</v>
      </c>
      <c r="H53" s="636">
        <v>5787759</v>
      </c>
      <c r="I53" s="636">
        <f>4182387.5+649350</f>
        <v>4831737.5</v>
      </c>
      <c r="J53" s="636">
        <f>1145795+465690</f>
        <v>1611485</v>
      </c>
      <c r="K53" s="635"/>
      <c r="L53" s="635"/>
      <c r="M53" s="588"/>
      <c r="N53" s="588"/>
      <c r="O53" s="588"/>
      <c r="P53" s="588"/>
      <c r="Q53" s="588"/>
    </row>
    <row r="54" spans="1:17" s="6" customFormat="1" x14ac:dyDescent="0.25">
      <c r="A54" s="1143" t="s">
        <v>15</v>
      </c>
      <c r="B54" s="1144"/>
      <c r="C54" s="1144"/>
      <c r="D54" s="1144"/>
      <c r="E54" s="1596"/>
      <c r="F54" s="638">
        <f>F40+F29+F26+F11+F8+F48+F52</f>
        <v>5716954.1999999993</v>
      </c>
      <c r="G54" s="638">
        <f>G40+G29+G26+G11+G8+G48+G52</f>
        <v>7952563.8000000007</v>
      </c>
      <c r="H54" s="638">
        <f>H40+H29+H26+H11+H8+H48+H52</f>
        <v>9833385.0999999996</v>
      </c>
      <c r="I54" s="638">
        <f>I40+I29+I26+I11+I8+I48+I52</f>
        <v>8906996.9000000004</v>
      </c>
      <c r="J54" s="638">
        <f>J40+J29+J26+J11+J8+J48+J52-0.1</f>
        <v>5735858.9000000004</v>
      </c>
      <c r="K54" s="10"/>
      <c r="L54" s="10"/>
      <c r="M54" s="639"/>
      <c r="N54" s="639"/>
      <c r="O54" s="639"/>
      <c r="P54" s="639"/>
      <c r="Q54" s="639"/>
    </row>
    <row r="55" spans="1:17" s="6" customFormat="1" x14ac:dyDescent="0.25">
      <c r="A55" s="1695" t="s">
        <v>2033</v>
      </c>
      <c r="B55" s="1146" t="s">
        <v>667</v>
      </c>
      <c r="C55" s="1146"/>
      <c r="D55" s="1146"/>
      <c r="E55" s="1146"/>
      <c r="F55" s="1146"/>
      <c r="G55" s="1146"/>
      <c r="H55" s="1146"/>
      <c r="I55" s="1146"/>
      <c r="J55" s="1146"/>
      <c r="K55" s="1146"/>
      <c r="L55" s="1146"/>
      <c r="M55" s="1146"/>
      <c r="N55" s="1146"/>
      <c r="O55" s="1146"/>
      <c r="P55" s="58"/>
      <c r="Q55" s="59"/>
    </row>
    <row r="56" spans="1:17" s="6" customFormat="1" x14ac:dyDescent="0.25">
      <c r="A56" s="1157">
        <v>34</v>
      </c>
      <c r="B56" s="23" t="s">
        <v>8</v>
      </c>
      <c r="C56" s="23"/>
      <c r="D56" s="275"/>
      <c r="E56" s="143" t="s">
        <v>657</v>
      </c>
      <c r="F56" s="640">
        <v>632345.1</v>
      </c>
      <c r="G56" s="640">
        <v>782624.6</v>
      </c>
      <c r="H56" s="640">
        <f>H57+H58</f>
        <v>998617</v>
      </c>
      <c r="I56" s="640">
        <f t="shared" ref="I56:J56" si="6">I57+I58</f>
        <v>1006148.1</v>
      </c>
      <c r="J56" s="640">
        <f t="shared" si="6"/>
        <v>1010140.7</v>
      </c>
      <c r="K56" s="101" t="s">
        <v>9</v>
      </c>
      <c r="L56" s="27" t="s">
        <v>431</v>
      </c>
      <c r="M56" s="27">
        <v>30</v>
      </c>
      <c r="N56" s="27">
        <v>32</v>
      </c>
      <c r="O56" s="27">
        <v>35</v>
      </c>
      <c r="P56" s="27">
        <v>37</v>
      </c>
      <c r="Q56" s="641">
        <v>40</v>
      </c>
    </row>
    <row r="57" spans="1:17" s="6" customFormat="1" ht="30" x14ac:dyDescent="0.25">
      <c r="A57" s="1104"/>
      <c r="B57" s="1118"/>
      <c r="C57" s="22" t="s">
        <v>17</v>
      </c>
      <c r="D57" s="275"/>
      <c r="E57" s="103" t="s">
        <v>10</v>
      </c>
      <c r="F57" s="642">
        <v>632345.1</v>
      </c>
      <c r="G57" s="643">
        <v>468762.9</v>
      </c>
      <c r="H57" s="643">
        <v>467222.9</v>
      </c>
      <c r="I57" s="643">
        <v>474754</v>
      </c>
      <c r="J57" s="643">
        <v>478746.6</v>
      </c>
      <c r="K57" s="111"/>
      <c r="L57" s="111"/>
      <c r="M57" s="111"/>
      <c r="N57" s="111"/>
      <c r="O57" s="111"/>
      <c r="P57" s="111"/>
      <c r="Q57" s="111"/>
    </row>
    <row r="58" spans="1:17" s="6" customFormat="1" ht="30" x14ac:dyDescent="0.25">
      <c r="A58" s="1104"/>
      <c r="B58" s="1119"/>
      <c r="C58" s="22" t="s">
        <v>18</v>
      </c>
      <c r="D58" s="275"/>
      <c r="E58" s="103" t="s">
        <v>668</v>
      </c>
      <c r="F58" s="643"/>
      <c r="G58" s="643">
        <v>313861.7</v>
      </c>
      <c r="H58" s="643">
        <f>501040.9+30353.2</f>
        <v>531394.1</v>
      </c>
      <c r="I58" s="643">
        <v>531394.1</v>
      </c>
      <c r="J58" s="643">
        <v>531394.1</v>
      </c>
      <c r="K58" s="111"/>
      <c r="L58" s="111"/>
      <c r="M58" s="111"/>
      <c r="N58" s="111"/>
      <c r="O58" s="111"/>
      <c r="P58" s="111"/>
      <c r="Q58" s="111"/>
    </row>
    <row r="59" spans="1:17" s="6" customFormat="1" ht="73.5" x14ac:dyDescent="0.25">
      <c r="A59" s="1104"/>
      <c r="B59" s="335" t="s">
        <v>1418</v>
      </c>
      <c r="C59" s="335"/>
      <c r="D59" s="65"/>
      <c r="E59" s="523" t="s">
        <v>1203</v>
      </c>
      <c r="F59" s="640">
        <v>3500471.5</v>
      </c>
      <c r="G59" s="640">
        <v>4724857.5999999996</v>
      </c>
      <c r="H59" s="640">
        <f>H60+H63</f>
        <v>7403327.2999999998</v>
      </c>
      <c r="I59" s="640">
        <f t="shared" ref="I59:J59" si="7">I60+I63</f>
        <v>8457727.3000000007</v>
      </c>
      <c r="J59" s="640">
        <f t="shared" si="7"/>
        <v>8220227.2999999998</v>
      </c>
      <c r="K59" s="101" t="s">
        <v>669</v>
      </c>
      <c r="L59" s="27" t="s">
        <v>14</v>
      </c>
      <c r="M59" s="55">
        <v>22</v>
      </c>
      <c r="N59" s="55">
        <v>24</v>
      </c>
      <c r="O59" s="55">
        <v>26</v>
      </c>
      <c r="P59" s="55">
        <v>28</v>
      </c>
      <c r="Q59" s="644">
        <v>33</v>
      </c>
    </row>
    <row r="60" spans="1:17" s="6" customFormat="1" ht="45" x14ac:dyDescent="0.25">
      <c r="A60" s="1104"/>
      <c r="B60" s="1118"/>
      <c r="C60" s="1118" t="s">
        <v>17</v>
      </c>
      <c r="D60" s="1118"/>
      <c r="E60" s="1120" t="s">
        <v>1420</v>
      </c>
      <c r="F60" s="1639">
        <v>3500471.5</v>
      </c>
      <c r="G60" s="1639">
        <v>3830249.6</v>
      </c>
      <c r="H60" s="1639">
        <v>7403327.2999999998</v>
      </c>
      <c r="I60" s="1639">
        <v>7403227.2999999998</v>
      </c>
      <c r="J60" s="1639">
        <v>7403227.2999999998</v>
      </c>
      <c r="K60" s="101" t="s">
        <v>670</v>
      </c>
      <c r="L60" s="27" t="s">
        <v>14</v>
      </c>
      <c r="M60" s="55">
        <v>82</v>
      </c>
      <c r="N60" s="55">
        <v>85</v>
      </c>
      <c r="O60" s="55">
        <v>87</v>
      </c>
      <c r="P60" s="55">
        <v>89</v>
      </c>
      <c r="Q60" s="644">
        <v>90</v>
      </c>
    </row>
    <row r="61" spans="1:17" s="6" customFormat="1" ht="45" x14ac:dyDescent="0.25">
      <c r="A61" s="1104"/>
      <c r="B61" s="1475"/>
      <c r="C61" s="1475"/>
      <c r="D61" s="1475"/>
      <c r="E61" s="1088"/>
      <c r="F61" s="1640"/>
      <c r="G61" s="1640"/>
      <c r="H61" s="1640"/>
      <c r="I61" s="1640"/>
      <c r="J61" s="1640"/>
      <c r="K61" s="101" t="s">
        <v>1363</v>
      </c>
      <c r="L61" s="27" t="s">
        <v>14</v>
      </c>
      <c r="M61" s="55">
        <v>4</v>
      </c>
      <c r="N61" s="55">
        <v>4.5</v>
      </c>
      <c r="O61" s="55">
        <v>5</v>
      </c>
      <c r="P61" s="55">
        <v>6</v>
      </c>
      <c r="Q61" s="644">
        <v>7</v>
      </c>
    </row>
    <row r="62" spans="1:17" s="6" customFormat="1" ht="45" x14ac:dyDescent="0.25">
      <c r="A62" s="1104"/>
      <c r="B62" s="1119"/>
      <c r="C62" s="1119"/>
      <c r="D62" s="1119"/>
      <c r="E62" s="1089"/>
      <c r="F62" s="1641"/>
      <c r="G62" s="1641"/>
      <c r="H62" s="1641"/>
      <c r="I62" s="1641"/>
      <c r="J62" s="1641"/>
      <c r="K62" s="101" t="s">
        <v>671</v>
      </c>
      <c r="L62" s="27" t="s">
        <v>14</v>
      </c>
      <c r="M62" s="55">
        <v>42</v>
      </c>
      <c r="N62" s="55">
        <v>45</v>
      </c>
      <c r="O62" s="55">
        <v>50</v>
      </c>
      <c r="P62" s="55">
        <v>52</v>
      </c>
      <c r="Q62" s="644">
        <v>55</v>
      </c>
    </row>
    <row r="63" spans="1:17" s="6" customFormat="1" ht="30" x14ac:dyDescent="0.25">
      <c r="A63" s="1104"/>
      <c r="B63" s="1118"/>
      <c r="C63" s="1118" t="s">
        <v>18</v>
      </c>
      <c r="D63" s="1118"/>
      <c r="E63" s="1461" t="s">
        <v>672</v>
      </c>
      <c r="F63" s="1639">
        <v>0</v>
      </c>
      <c r="G63" s="1652">
        <v>894608</v>
      </c>
      <c r="H63" s="1652"/>
      <c r="I63" s="1652">
        <v>1054500</v>
      </c>
      <c r="J63" s="1652">
        <v>817000</v>
      </c>
      <c r="K63" s="101" t="s">
        <v>1361</v>
      </c>
      <c r="L63" s="27" t="s">
        <v>12</v>
      </c>
      <c r="M63" s="55" t="s">
        <v>673</v>
      </c>
      <c r="N63" s="55">
        <v>100</v>
      </c>
      <c r="O63" s="55">
        <v>200</v>
      </c>
      <c r="P63" s="55">
        <v>400</v>
      </c>
      <c r="Q63" s="644">
        <v>500</v>
      </c>
    </row>
    <row r="64" spans="1:17" s="6" customFormat="1" ht="30" x14ac:dyDescent="0.25">
      <c r="A64" s="1104"/>
      <c r="B64" s="1119"/>
      <c r="C64" s="1119"/>
      <c r="D64" s="1119"/>
      <c r="E64" s="1462"/>
      <c r="F64" s="1641"/>
      <c r="G64" s="1653"/>
      <c r="H64" s="1653"/>
      <c r="I64" s="1653"/>
      <c r="J64" s="1653"/>
      <c r="K64" s="101" t="s">
        <v>674</v>
      </c>
      <c r="L64" s="27" t="s">
        <v>12</v>
      </c>
      <c r="M64" s="55">
        <v>100</v>
      </c>
      <c r="N64" s="55">
        <v>150</v>
      </c>
      <c r="O64" s="55">
        <v>200</v>
      </c>
      <c r="P64" s="55">
        <v>250</v>
      </c>
      <c r="Q64" s="644">
        <v>300</v>
      </c>
    </row>
    <row r="65" spans="1:17" s="6" customFormat="1" ht="74.25" x14ac:dyDescent="0.25">
      <c r="A65" s="1104"/>
      <c r="B65" s="23" t="s">
        <v>1419</v>
      </c>
      <c r="C65" s="23"/>
      <c r="D65" s="275"/>
      <c r="E65" s="143" t="s">
        <v>1204</v>
      </c>
      <c r="F65" s="645">
        <v>22768214.600000001</v>
      </c>
      <c r="G65" s="645">
        <v>23648689.699999999</v>
      </c>
      <c r="H65" s="645">
        <f>H66+H69</f>
        <v>40107330.699999996</v>
      </c>
      <c r="I65" s="645">
        <f t="shared" ref="I65:J65" si="8">I66+I69</f>
        <v>40633626.799999997</v>
      </c>
      <c r="J65" s="645">
        <f t="shared" si="8"/>
        <v>41156230.399999999</v>
      </c>
      <c r="K65" s="101" t="s">
        <v>675</v>
      </c>
      <c r="L65" s="27" t="s">
        <v>14</v>
      </c>
      <c r="M65" s="55">
        <v>98</v>
      </c>
      <c r="N65" s="55">
        <v>98</v>
      </c>
      <c r="O65" s="55">
        <v>98</v>
      </c>
      <c r="P65" s="55">
        <v>98</v>
      </c>
      <c r="Q65" s="644">
        <v>98</v>
      </c>
    </row>
    <row r="66" spans="1:17" s="6" customFormat="1" ht="45" x14ac:dyDescent="0.25">
      <c r="A66" s="1104"/>
      <c r="B66" s="1118"/>
      <c r="C66" s="1098" t="s">
        <v>17</v>
      </c>
      <c r="D66" s="1378"/>
      <c r="E66" s="1374" t="s">
        <v>1421</v>
      </c>
      <c r="F66" s="1639">
        <v>22644748.699999999</v>
      </c>
      <c r="G66" s="1639">
        <v>23525223.800000001</v>
      </c>
      <c r="H66" s="1654">
        <v>39906146.899999999</v>
      </c>
      <c r="I66" s="1654">
        <v>40432443</v>
      </c>
      <c r="J66" s="1639">
        <v>40955046.600000001</v>
      </c>
      <c r="K66" s="101" t="s">
        <v>676</v>
      </c>
      <c r="L66" s="27" t="s">
        <v>14</v>
      </c>
      <c r="M66" s="55">
        <f>7302/1357408*100</f>
        <v>0.53793700935901356</v>
      </c>
      <c r="N66" s="55">
        <f t="shared" ref="N66:Q66" si="9">7302/1357408*100</f>
        <v>0.53793700935901356</v>
      </c>
      <c r="O66" s="55">
        <f t="shared" si="9"/>
        <v>0.53793700935901356</v>
      </c>
      <c r="P66" s="55">
        <f t="shared" si="9"/>
        <v>0.53793700935901356</v>
      </c>
      <c r="Q66" s="644">
        <f t="shared" si="9"/>
        <v>0.53793700935901356</v>
      </c>
    </row>
    <row r="67" spans="1:17" s="6" customFormat="1" ht="45" x14ac:dyDescent="0.25">
      <c r="A67" s="1104"/>
      <c r="B67" s="1475"/>
      <c r="C67" s="1098"/>
      <c r="D67" s="1378"/>
      <c r="E67" s="1374"/>
      <c r="F67" s="1640"/>
      <c r="G67" s="1640"/>
      <c r="H67" s="1655"/>
      <c r="I67" s="1655"/>
      <c r="J67" s="1640"/>
      <c r="K67" s="101" t="s">
        <v>1362</v>
      </c>
      <c r="L67" s="27" t="s">
        <v>14</v>
      </c>
      <c r="M67" s="55">
        <v>6.5</v>
      </c>
      <c r="N67" s="55">
        <v>7</v>
      </c>
      <c r="O67" s="55">
        <v>7.5</v>
      </c>
      <c r="P67" s="55">
        <v>8</v>
      </c>
      <c r="Q67" s="644">
        <v>8.5</v>
      </c>
    </row>
    <row r="68" spans="1:17" s="6" customFormat="1" ht="30" x14ac:dyDescent="0.25">
      <c r="A68" s="1104"/>
      <c r="B68" s="1119"/>
      <c r="C68" s="1098"/>
      <c r="D68" s="1378"/>
      <c r="E68" s="1374"/>
      <c r="F68" s="1641"/>
      <c r="G68" s="1641"/>
      <c r="H68" s="1656"/>
      <c r="I68" s="1656"/>
      <c r="J68" s="1641"/>
      <c r="K68" s="101" t="s">
        <v>677</v>
      </c>
      <c r="L68" s="27" t="s">
        <v>33</v>
      </c>
      <c r="M68" s="55">
        <v>120.5</v>
      </c>
      <c r="N68" s="55">
        <v>119.8</v>
      </c>
      <c r="O68" s="55">
        <v>122</v>
      </c>
      <c r="P68" s="55">
        <v>123</v>
      </c>
      <c r="Q68" s="644">
        <v>125</v>
      </c>
    </row>
    <row r="69" spans="1:17" s="6" customFormat="1" ht="30" x14ac:dyDescent="0.25">
      <c r="A69" s="1104"/>
      <c r="B69" s="340"/>
      <c r="C69" s="22" t="s">
        <v>18</v>
      </c>
      <c r="D69" s="275"/>
      <c r="E69" s="140" t="s">
        <v>1422</v>
      </c>
      <c r="F69" s="642">
        <v>123465.9</v>
      </c>
      <c r="G69" s="642">
        <v>123465.9</v>
      </c>
      <c r="H69" s="646">
        <v>201183.8</v>
      </c>
      <c r="I69" s="646">
        <v>201183.8</v>
      </c>
      <c r="J69" s="642">
        <v>201183.8</v>
      </c>
      <c r="K69" s="101" t="s">
        <v>678</v>
      </c>
      <c r="L69" s="27" t="s">
        <v>14</v>
      </c>
      <c r="M69" s="55">
        <v>25</v>
      </c>
      <c r="N69" s="55">
        <v>26</v>
      </c>
      <c r="O69" s="55">
        <v>27</v>
      </c>
      <c r="P69" s="55">
        <v>28</v>
      </c>
      <c r="Q69" s="644">
        <v>29</v>
      </c>
    </row>
    <row r="70" spans="1:17" s="6" customFormat="1" ht="60" x14ac:dyDescent="0.25">
      <c r="A70" s="1104"/>
      <c r="B70" s="1115" t="s">
        <v>1423</v>
      </c>
      <c r="C70" s="1115"/>
      <c r="D70" s="1118"/>
      <c r="E70" s="1657" t="s">
        <v>1205</v>
      </c>
      <c r="F70" s="1642">
        <v>1891626.8</v>
      </c>
      <c r="G70" s="1642">
        <v>1903387.8</v>
      </c>
      <c r="H70" s="1644">
        <f>H72+H74+H75</f>
        <v>2823659.6</v>
      </c>
      <c r="I70" s="1644">
        <v>3260913.7</v>
      </c>
      <c r="J70" s="1642">
        <v>2843471.2</v>
      </c>
      <c r="K70" s="101" t="s">
        <v>679</v>
      </c>
      <c r="L70" s="27" t="s">
        <v>14</v>
      </c>
      <c r="M70" s="55">
        <f>M72+M74</f>
        <v>33.799999999999997</v>
      </c>
      <c r="N70" s="55">
        <f>M72+N74</f>
        <v>33.799999999999997</v>
      </c>
      <c r="O70" s="55">
        <f>N72+O74</f>
        <v>34.799999999999997</v>
      </c>
      <c r="P70" s="55">
        <f>O72+P74</f>
        <v>35.799999999999997</v>
      </c>
      <c r="Q70" s="644">
        <f>P72+Q74</f>
        <v>36.799999999999997</v>
      </c>
    </row>
    <row r="71" spans="1:17" s="6" customFormat="1" ht="90" x14ac:dyDescent="0.25">
      <c r="A71" s="1104"/>
      <c r="B71" s="1117"/>
      <c r="C71" s="1117"/>
      <c r="D71" s="1119"/>
      <c r="E71" s="1658"/>
      <c r="F71" s="1643"/>
      <c r="G71" s="1643"/>
      <c r="H71" s="1645"/>
      <c r="I71" s="1645"/>
      <c r="J71" s="1643"/>
      <c r="K71" s="101" t="s">
        <v>680</v>
      </c>
      <c r="L71" s="27" t="s">
        <v>14</v>
      </c>
      <c r="M71" s="55">
        <v>65</v>
      </c>
      <c r="N71" s="55">
        <v>70</v>
      </c>
      <c r="O71" s="55">
        <v>75</v>
      </c>
      <c r="P71" s="55">
        <v>77</v>
      </c>
      <c r="Q71" s="55">
        <v>78</v>
      </c>
    </row>
    <row r="72" spans="1:17" s="6" customFormat="1" ht="45" x14ac:dyDescent="0.25">
      <c r="A72" s="1104"/>
      <c r="B72" s="1115"/>
      <c r="C72" s="1098" t="s">
        <v>17</v>
      </c>
      <c r="D72" s="1378"/>
      <c r="E72" s="1374" t="s">
        <v>1424</v>
      </c>
      <c r="F72" s="1639">
        <v>1412170.6</v>
      </c>
      <c r="G72" s="1639">
        <v>1414370.6</v>
      </c>
      <c r="H72" s="1654">
        <v>2125180.9</v>
      </c>
      <c r="I72" s="1654">
        <v>2134992.5</v>
      </c>
      <c r="J72" s="1639">
        <v>2144992.5</v>
      </c>
      <c r="K72" s="101" t="s">
        <v>681</v>
      </c>
      <c r="L72" s="27" t="s">
        <v>14</v>
      </c>
      <c r="M72" s="55">
        <v>11</v>
      </c>
      <c r="N72" s="55">
        <v>12</v>
      </c>
      <c r="O72" s="55">
        <v>13</v>
      </c>
      <c r="P72" s="644">
        <v>14</v>
      </c>
      <c r="Q72" s="644">
        <v>15</v>
      </c>
    </row>
    <row r="73" spans="1:17" s="6" customFormat="1" ht="60" x14ac:dyDescent="0.25">
      <c r="A73" s="1104"/>
      <c r="B73" s="1117"/>
      <c r="C73" s="1098"/>
      <c r="D73" s="1378"/>
      <c r="E73" s="1374"/>
      <c r="F73" s="1641"/>
      <c r="G73" s="1641"/>
      <c r="H73" s="1656"/>
      <c r="I73" s="1656"/>
      <c r="J73" s="1641"/>
      <c r="K73" s="101" t="s">
        <v>682</v>
      </c>
      <c r="L73" s="27" t="s">
        <v>14</v>
      </c>
      <c r="M73" s="55">
        <v>12</v>
      </c>
      <c r="N73" s="55">
        <v>12</v>
      </c>
      <c r="O73" s="55">
        <v>13</v>
      </c>
      <c r="P73" s="55">
        <v>14</v>
      </c>
      <c r="Q73" s="644">
        <v>15</v>
      </c>
    </row>
    <row r="74" spans="1:17" s="6" customFormat="1" ht="45" x14ac:dyDescent="0.25">
      <c r="A74" s="1104"/>
      <c r="B74" s="556"/>
      <c r="C74" s="65" t="s">
        <v>20</v>
      </c>
      <c r="D74" s="580"/>
      <c r="E74" s="279" t="s">
        <v>1425</v>
      </c>
      <c r="F74" s="642">
        <v>257197.2</v>
      </c>
      <c r="G74" s="642">
        <v>257197.2</v>
      </c>
      <c r="H74" s="646">
        <v>419679</v>
      </c>
      <c r="I74" s="646">
        <v>419679</v>
      </c>
      <c r="J74" s="642">
        <v>419679</v>
      </c>
      <c r="K74" s="101" t="s">
        <v>683</v>
      </c>
      <c r="L74" s="27" t="s">
        <v>14</v>
      </c>
      <c r="M74" s="55">
        <v>22.8</v>
      </c>
      <c r="N74" s="55">
        <v>22.8</v>
      </c>
      <c r="O74" s="55">
        <v>22.8</v>
      </c>
      <c r="P74" s="55">
        <v>22.8</v>
      </c>
      <c r="Q74" s="644">
        <v>22.8</v>
      </c>
    </row>
    <row r="75" spans="1:17" s="6" customFormat="1" ht="75" x14ac:dyDescent="0.25">
      <c r="A75" s="1104"/>
      <c r="B75" s="556"/>
      <c r="C75" s="22" t="s">
        <v>22</v>
      </c>
      <c r="D75" s="275"/>
      <c r="E75" s="140" t="s">
        <v>684</v>
      </c>
      <c r="F75" s="643">
        <v>222259</v>
      </c>
      <c r="G75" s="643">
        <v>231820</v>
      </c>
      <c r="H75" s="647">
        <v>278799.7</v>
      </c>
      <c r="I75" s="647">
        <v>706242.2</v>
      </c>
      <c r="J75" s="643">
        <v>278799.7</v>
      </c>
      <c r="K75" s="101" t="s">
        <v>685</v>
      </c>
      <c r="L75" s="27" t="s">
        <v>14</v>
      </c>
      <c r="M75" s="55">
        <v>45</v>
      </c>
      <c r="N75" s="55">
        <v>50</v>
      </c>
      <c r="O75" s="55">
        <v>52</v>
      </c>
      <c r="P75" s="55">
        <v>53</v>
      </c>
      <c r="Q75" s="644">
        <v>55</v>
      </c>
    </row>
    <row r="76" spans="1:17" s="6" customFormat="1" ht="89.25" x14ac:dyDescent="0.25">
      <c r="A76" s="1104"/>
      <c r="B76" s="23" t="s">
        <v>1426</v>
      </c>
      <c r="C76" s="23"/>
      <c r="D76" s="275"/>
      <c r="E76" s="143" t="s">
        <v>1206</v>
      </c>
      <c r="F76" s="645">
        <v>5105036.4000000004</v>
      </c>
      <c r="G76" s="645">
        <v>6816625.7000000002</v>
      </c>
      <c r="H76" s="648">
        <f>H77+H78</f>
        <v>7643869.2000000002</v>
      </c>
      <c r="I76" s="648">
        <v>7853005.2999999998</v>
      </c>
      <c r="J76" s="645">
        <v>7853005.2999999998</v>
      </c>
      <c r="K76" s="101" t="s">
        <v>1364</v>
      </c>
      <c r="L76" s="27" t="s">
        <v>14</v>
      </c>
      <c r="M76" s="55">
        <v>19.7</v>
      </c>
      <c r="N76" s="55">
        <v>19.7</v>
      </c>
      <c r="O76" s="55">
        <v>19.7</v>
      </c>
      <c r="P76" s="55">
        <v>19.7</v>
      </c>
      <c r="Q76" s="644">
        <v>19.7</v>
      </c>
    </row>
    <row r="77" spans="1:17" s="6" customFormat="1" ht="30" x14ac:dyDescent="0.25">
      <c r="A77" s="1104"/>
      <c r="B77" s="556"/>
      <c r="C77" s="22" t="s">
        <v>17</v>
      </c>
      <c r="D77" s="275"/>
      <c r="E77" s="103" t="s">
        <v>686</v>
      </c>
      <c r="F77" s="643">
        <v>589772</v>
      </c>
      <c r="G77" s="643">
        <v>589772</v>
      </c>
      <c r="H77" s="649">
        <v>1307942.5</v>
      </c>
      <c r="I77" s="649">
        <v>1307942.5</v>
      </c>
      <c r="J77" s="643">
        <v>1307942.5</v>
      </c>
      <c r="K77" s="101" t="s">
        <v>1365</v>
      </c>
      <c r="L77" s="27" t="s">
        <v>14</v>
      </c>
      <c r="M77" s="27">
        <v>2.6</v>
      </c>
      <c r="N77" s="27">
        <v>2.6</v>
      </c>
      <c r="O77" s="27">
        <v>2.6</v>
      </c>
      <c r="P77" s="27">
        <v>2.6</v>
      </c>
      <c r="Q77" s="641">
        <v>2.6</v>
      </c>
    </row>
    <row r="78" spans="1:17" s="6" customFormat="1" ht="30" x14ac:dyDescent="0.25">
      <c r="A78" s="1104"/>
      <c r="B78" s="556"/>
      <c r="C78" s="65" t="s">
        <v>18</v>
      </c>
      <c r="D78" s="336"/>
      <c r="E78" s="123" t="s">
        <v>687</v>
      </c>
      <c r="F78" s="642">
        <v>4515264.4000000004</v>
      </c>
      <c r="G78" s="642">
        <v>6226853.7000000002</v>
      </c>
      <c r="H78" s="646">
        <v>6335926.7000000002</v>
      </c>
      <c r="I78" s="646">
        <v>6545062.7999999998</v>
      </c>
      <c r="J78" s="642">
        <v>6545062.7999999998</v>
      </c>
      <c r="K78" s="101" t="s">
        <v>688</v>
      </c>
      <c r="L78" s="27" t="s">
        <v>14</v>
      </c>
      <c r="M78" s="27">
        <v>97.4</v>
      </c>
      <c r="N78" s="27">
        <v>97.4</v>
      </c>
      <c r="O78" s="27">
        <v>97.4</v>
      </c>
      <c r="P78" s="27">
        <v>97.4</v>
      </c>
      <c r="Q78" s="641">
        <v>97.4</v>
      </c>
    </row>
    <row r="79" spans="1:17" s="6" customFormat="1" ht="103.5" x14ac:dyDescent="0.25">
      <c r="A79" s="1104"/>
      <c r="B79" s="23" t="s">
        <v>1427</v>
      </c>
      <c r="C79" s="23"/>
      <c r="D79" s="275"/>
      <c r="E79" s="143" t="s">
        <v>1207</v>
      </c>
      <c r="F79" s="645">
        <v>148229</v>
      </c>
      <c r="G79" s="645">
        <v>148885.1</v>
      </c>
      <c r="H79" s="648">
        <f>H80+H81</f>
        <v>220438.3</v>
      </c>
      <c r="I79" s="648">
        <v>220438.3</v>
      </c>
      <c r="J79" s="648">
        <v>220438.3</v>
      </c>
      <c r="K79" s="101" t="s">
        <v>689</v>
      </c>
      <c r="L79" s="27" t="s">
        <v>14</v>
      </c>
      <c r="M79" s="27">
        <v>65</v>
      </c>
      <c r="N79" s="27">
        <v>65</v>
      </c>
      <c r="O79" s="27">
        <v>65</v>
      </c>
      <c r="P79" s="27">
        <v>70</v>
      </c>
      <c r="Q79" s="641">
        <v>70</v>
      </c>
    </row>
    <row r="80" spans="1:17" s="6" customFormat="1" ht="90" x14ac:dyDescent="0.25">
      <c r="A80" s="1104"/>
      <c r="B80" s="340"/>
      <c r="C80" s="22" t="s">
        <v>17</v>
      </c>
      <c r="D80" s="275"/>
      <c r="E80" s="103" t="s">
        <v>690</v>
      </c>
      <c r="F80" s="643">
        <v>146537.1</v>
      </c>
      <c r="G80" s="643">
        <v>146567.5</v>
      </c>
      <c r="H80" s="649">
        <v>218088.3</v>
      </c>
      <c r="I80" s="649">
        <v>218088.3</v>
      </c>
      <c r="J80" s="643">
        <v>218088.3</v>
      </c>
      <c r="K80" s="101" t="s">
        <v>1366</v>
      </c>
      <c r="L80" s="27" t="s">
        <v>12</v>
      </c>
      <c r="M80" s="27">
        <v>5</v>
      </c>
      <c r="N80" s="27">
        <v>5</v>
      </c>
      <c r="O80" s="27">
        <v>10</v>
      </c>
      <c r="P80" s="27">
        <v>15</v>
      </c>
      <c r="Q80" s="641">
        <v>20</v>
      </c>
    </row>
    <row r="81" spans="1:17" s="6" customFormat="1" ht="60" x14ac:dyDescent="0.25">
      <c r="A81" s="1104"/>
      <c r="B81" s="340"/>
      <c r="C81" s="22" t="s">
        <v>18</v>
      </c>
      <c r="D81" s="275"/>
      <c r="E81" s="103" t="s">
        <v>691</v>
      </c>
      <c r="F81" s="643">
        <v>1691.9</v>
      </c>
      <c r="G81" s="643">
        <v>2317.6</v>
      </c>
      <c r="H81" s="649">
        <v>2350</v>
      </c>
      <c r="I81" s="649">
        <v>2350</v>
      </c>
      <c r="J81" s="643">
        <v>2350</v>
      </c>
      <c r="K81" s="101" t="s">
        <v>692</v>
      </c>
      <c r="L81" s="27" t="s">
        <v>25</v>
      </c>
      <c r="M81" s="27">
        <f>-N154</f>
        <v>-3977.9</v>
      </c>
      <c r="N81" s="27">
        <v>5</v>
      </c>
      <c r="O81" s="27">
        <v>10</v>
      </c>
      <c r="P81" s="27">
        <v>15</v>
      </c>
      <c r="Q81" s="641">
        <v>20</v>
      </c>
    </row>
    <row r="82" spans="1:17" s="6" customFormat="1" ht="28.5" x14ac:dyDescent="0.25">
      <c r="A82" s="1104"/>
      <c r="B82" s="23" t="s">
        <v>1428</v>
      </c>
      <c r="C82" s="23" t="s">
        <v>17</v>
      </c>
      <c r="D82" s="23"/>
      <c r="E82" s="143" t="s">
        <v>693</v>
      </c>
      <c r="F82" s="643">
        <v>479570</v>
      </c>
      <c r="G82" s="643">
        <v>1444898</v>
      </c>
      <c r="H82" s="647">
        <f>46725+1699900</f>
        <v>1746625</v>
      </c>
      <c r="I82" s="650"/>
      <c r="J82" s="645"/>
      <c r="K82" s="1"/>
      <c r="L82" s="1"/>
      <c r="M82" s="1"/>
      <c r="N82" s="1"/>
      <c r="O82" s="1"/>
      <c r="P82" s="1"/>
      <c r="Q82" s="1"/>
    </row>
    <row r="83" spans="1:17" s="6" customFormat="1" x14ac:dyDescent="0.25">
      <c r="A83" s="1143" t="s">
        <v>15</v>
      </c>
      <c r="B83" s="1144"/>
      <c r="C83" s="1144"/>
      <c r="D83" s="1144"/>
      <c r="E83" s="1596"/>
      <c r="F83" s="31">
        <v>34525493.400000006</v>
      </c>
      <c r="G83" s="31">
        <v>39469968.5</v>
      </c>
      <c r="H83" s="31">
        <f>H56+H59+H65+H70+H76+H79+H82</f>
        <v>60943867.100000001</v>
      </c>
      <c r="I83" s="31">
        <v>61431859.499999993</v>
      </c>
      <c r="J83" s="31">
        <v>61303513.199999996</v>
      </c>
      <c r="K83" s="5"/>
      <c r="L83" s="8"/>
      <c r="M83" s="8"/>
      <c r="N83" s="8"/>
      <c r="O83" s="8"/>
      <c r="P83" s="8"/>
      <c r="Q83" s="386"/>
    </row>
    <row r="84" spans="1:17" s="6" customFormat="1" x14ac:dyDescent="0.25">
      <c r="A84" s="1137" t="s">
        <v>2034</v>
      </c>
      <c r="B84" s="1137" t="s">
        <v>35</v>
      </c>
      <c r="C84" s="1137"/>
      <c r="D84" s="1137"/>
      <c r="E84" s="1137"/>
      <c r="F84" s="1137"/>
      <c r="G84" s="1137"/>
      <c r="H84" s="1137"/>
      <c r="I84" s="1137"/>
      <c r="J84" s="1137"/>
      <c r="K84" s="1137"/>
      <c r="L84" s="1137"/>
      <c r="M84" s="1137"/>
      <c r="N84" s="1137"/>
      <c r="O84" s="1137"/>
      <c r="P84" s="651"/>
      <c r="Q84" s="651"/>
    </row>
    <row r="85" spans="1:17" s="6" customFormat="1" x14ac:dyDescent="0.25">
      <c r="A85" s="1185" t="s">
        <v>212</v>
      </c>
      <c r="B85" s="1630" t="s">
        <v>8</v>
      </c>
      <c r="C85" s="1335"/>
      <c r="D85" s="1390"/>
      <c r="E85" s="1335" t="s">
        <v>1208</v>
      </c>
      <c r="F85" s="1619">
        <f>F89+F94</f>
        <v>121610.93032</v>
      </c>
      <c r="G85" s="1619">
        <f t="shared" ref="G85:J85" si="10">G89+G94</f>
        <v>147069.011</v>
      </c>
      <c r="H85" s="1619">
        <f t="shared" si="10"/>
        <v>184983.6</v>
      </c>
      <c r="I85" s="1619">
        <f t="shared" si="10"/>
        <v>208377.1</v>
      </c>
      <c r="J85" s="1619">
        <f t="shared" si="10"/>
        <v>208377.1</v>
      </c>
      <c r="K85" s="1335"/>
      <c r="L85" s="1635"/>
      <c r="M85" s="1392">
        <v>23.5</v>
      </c>
      <c r="N85" s="1636"/>
      <c r="O85" s="1636">
        <v>28</v>
      </c>
      <c r="P85" s="1636">
        <v>28</v>
      </c>
      <c r="Q85" s="1636">
        <v>28</v>
      </c>
    </row>
    <row r="86" spans="1:17" s="6" customFormat="1" x14ac:dyDescent="0.25">
      <c r="A86" s="1193"/>
      <c r="B86" s="1630"/>
      <c r="C86" s="1335"/>
      <c r="D86" s="1390"/>
      <c r="E86" s="1335"/>
      <c r="F86" s="1619"/>
      <c r="G86" s="1619"/>
      <c r="H86" s="1619"/>
      <c r="I86" s="1619"/>
      <c r="J86" s="1619"/>
      <c r="K86" s="1335"/>
      <c r="L86" s="1635"/>
      <c r="M86" s="1633"/>
      <c r="N86" s="1636"/>
      <c r="O86" s="1636"/>
      <c r="P86" s="1636"/>
      <c r="Q86" s="1636"/>
    </row>
    <row r="87" spans="1:17" s="6" customFormat="1" x14ac:dyDescent="0.25">
      <c r="A87" s="1193"/>
      <c r="B87" s="1630"/>
      <c r="C87" s="1335"/>
      <c r="D87" s="1390"/>
      <c r="E87" s="1335"/>
      <c r="F87" s="1619"/>
      <c r="G87" s="1619"/>
      <c r="H87" s="1619"/>
      <c r="I87" s="1619"/>
      <c r="J87" s="1619"/>
      <c r="K87" s="1335"/>
      <c r="L87" s="1635"/>
      <c r="M87" s="1633"/>
      <c r="N87" s="1636"/>
      <c r="O87" s="1636"/>
      <c r="P87" s="1636"/>
      <c r="Q87" s="1636"/>
    </row>
    <row r="88" spans="1:17" s="6" customFormat="1" x14ac:dyDescent="0.25">
      <c r="A88" s="1193"/>
      <c r="B88" s="1630"/>
      <c r="C88" s="1335"/>
      <c r="D88" s="1390"/>
      <c r="E88" s="1335"/>
      <c r="F88" s="1619"/>
      <c r="G88" s="1619"/>
      <c r="H88" s="1619"/>
      <c r="I88" s="1619"/>
      <c r="J88" s="1619"/>
      <c r="K88" s="1335"/>
      <c r="L88" s="1635"/>
      <c r="M88" s="1634"/>
      <c r="N88" s="1636"/>
      <c r="O88" s="1636"/>
      <c r="P88" s="1636"/>
      <c r="Q88" s="1636"/>
    </row>
    <row r="89" spans="1:17" s="6" customFormat="1" ht="60" x14ac:dyDescent="0.25">
      <c r="A89" s="1193"/>
      <c r="B89" s="1631"/>
      <c r="C89" s="1632">
        <v>1</v>
      </c>
      <c r="D89" s="1390"/>
      <c r="E89" s="1638" t="s">
        <v>10</v>
      </c>
      <c r="F89" s="1586">
        <v>66162.498160000003</v>
      </c>
      <c r="G89" s="1586">
        <v>54022.400000000001</v>
      </c>
      <c r="H89" s="1586">
        <f>4837.6+64794</f>
        <v>69631.600000000006</v>
      </c>
      <c r="I89" s="1586">
        <v>69631.600000000006</v>
      </c>
      <c r="J89" s="1586">
        <v>69631.600000000006</v>
      </c>
      <c r="K89" s="126" t="s">
        <v>943</v>
      </c>
      <c r="L89" s="122" t="s">
        <v>944</v>
      </c>
      <c r="M89" s="122">
        <v>39</v>
      </c>
      <c r="N89" s="46">
        <v>39</v>
      </c>
      <c r="O89" s="46">
        <v>38</v>
      </c>
      <c r="P89" s="46">
        <v>38</v>
      </c>
      <c r="Q89" s="46">
        <v>38</v>
      </c>
    </row>
    <row r="90" spans="1:17" s="6" customFormat="1" ht="45" x14ac:dyDescent="0.25">
      <c r="A90" s="1193"/>
      <c r="B90" s="1631"/>
      <c r="C90" s="1632"/>
      <c r="D90" s="1390"/>
      <c r="E90" s="1638"/>
      <c r="F90" s="1586"/>
      <c r="G90" s="1586"/>
      <c r="H90" s="1586"/>
      <c r="I90" s="1586"/>
      <c r="J90" s="1586"/>
      <c r="K90" s="141" t="s">
        <v>945</v>
      </c>
      <c r="L90" s="122" t="s">
        <v>1368</v>
      </c>
      <c r="M90" s="122">
        <v>13</v>
      </c>
      <c r="N90" s="410">
        <v>13</v>
      </c>
      <c r="O90" s="410">
        <v>14</v>
      </c>
      <c r="P90" s="410">
        <v>14</v>
      </c>
      <c r="Q90" s="410">
        <v>14</v>
      </c>
    </row>
    <row r="91" spans="1:17" s="6" customFormat="1" ht="45" x14ac:dyDescent="0.25">
      <c r="A91" s="1193"/>
      <c r="B91" s="1631"/>
      <c r="C91" s="1632"/>
      <c r="D91" s="1390"/>
      <c r="E91" s="1638"/>
      <c r="F91" s="1586"/>
      <c r="G91" s="1586"/>
      <c r="H91" s="1586"/>
      <c r="I91" s="1586"/>
      <c r="J91" s="1586"/>
      <c r="K91" s="141" t="s">
        <v>946</v>
      </c>
      <c r="L91" s="122" t="s">
        <v>1368</v>
      </c>
      <c r="M91" s="122"/>
      <c r="N91" s="410"/>
      <c r="O91" s="410"/>
      <c r="P91" s="410"/>
      <c r="Q91" s="410"/>
    </row>
    <row r="92" spans="1:17" s="6" customFormat="1" ht="45" x14ac:dyDescent="0.25">
      <c r="A92" s="1193"/>
      <c r="B92" s="1631"/>
      <c r="C92" s="1632"/>
      <c r="D92" s="1390"/>
      <c r="E92" s="1638"/>
      <c r="F92" s="1586"/>
      <c r="G92" s="1586"/>
      <c r="H92" s="1586"/>
      <c r="I92" s="1586"/>
      <c r="J92" s="1586"/>
      <c r="K92" s="141" t="s">
        <v>947</v>
      </c>
      <c r="L92" s="122" t="s">
        <v>948</v>
      </c>
      <c r="M92" s="122">
        <v>262.89999999999998</v>
      </c>
      <c r="N92" s="410">
        <v>262.89999999999998</v>
      </c>
      <c r="O92" s="410">
        <v>262.89999999999998</v>
      </c>
      <c r="P92" s="410">
        <v>262.89999999999998</v>
      </c>
      <c r="Q92" s="410">
        <v>262.89999999999998</v>
      </c>
    </row>
    <row r="93" spans="1:17" s="6" customFormat="1" x14ac:dyDescent="0.25">
      <c r="A93" s="1193"/>
      <c r="B93" s="1631"/>
      <c r="C93" s="1632"/>
      <c r="D93" s="1390"/>
      <c r="E93" s="1638"/>
      <c r="F93" s="1586"/>
      <c r="G93" s="1586"/>
      <c r="H93" s="1586"/>
      <c r="I93" s="1586"/>
      <c r="J93" s="1586"/>
      <c r="K93" s="141" t="s">
        <v>949</v>
      </c>
      <c r="L93" s="122" t="s">
        <v>501</v>
      </c>
      <c r="M93" s="122">
        <v>27</v>
      </c>
      <c r="N93" s="46">
        <v>27</v>
      </c>
      <c r="O93" s="46" t="s">
        <v>950</v>
      </c>
      <c r="P93" s="46" t="s">
        <v>950</v>
      </c>
      <c r="Q93" s="46" t="s">
        <v>950</v>
      </c>
    </row>
    <row r="94" spans="1:17" s="6" customFormat="1" ht="150" x14ac:dyDescent="0.25">
      <c r="A94" s="1193"/>
      <c r="B94" s="1631"/>
      <c r="C94" s="1632">
        <v>2</v>
      </c>
      <c r="D94" s="1390"/>
      <c r="E94" s="1638" t="s">
        <v>668</v>
      </c>
      <c r="F94" s="1586">
        <v>55448.432159999997</v>
      </c>
      <c r="G94" s="1586">
        <v>93046.611000000004</v>
      </c>
      <c r="H94" s="1586">
        <f>27071.7+88280.3</f>
        <v>115352</v>
      </c>
      <c r="I94" s="1586">
        <v>138745.5</v>
      </c>
      <c r="J94" s="1586">
        <v>138745.5</v>
      </c>
      <c r="K94" s="474" t="s">
        <v>1382</v>
      </c>
      <c r="L94" s="122" t="s">
        <v>952</v>
      </c>
      <c r="M94" s="397">
        <v>100</v>
      </c>
      <c r="N94" s="122">
        <v>100</v>
      </c>
      <c r="O94" s="122">
        <v>100</v>
      </c>
      <c r="P94" s="400">
        <v>100</v>
      </c>
      <c r="Q94" s="400">
        <v>100</v>
      </c>
    </row>
    <row r="95" spans="1:17" s="6" customFormat="1" ht="30" x14ac:dyDescent="0.25">
      <c r="A95" s="1193"/>
      <c r="B95" s="1631"/>
      <c r="C95" s="1632"/>
      <c r="D95" s="1390"/>
      <c r="E95" s="1638"/>
      <c r="F95" s="1586"/>
      <c r="G95" s="1586"/>
      <c r="H95" s="1586"/>
      <c r="I95" s="1586"/>
      <c r="J95" s="1586"/>
      <c r="K95" s="141" t="s">
        <v>951</v>
      </c>
      <c r="L95" s="122" t="s">
        <v>952</v>
      </c>
      <c r="M95" s="652">
        <v>0.85</v>
      </c>
      <c r="N95" s="653">
        <v>0.85</v>
      </c>
      <c r="O95" s="653">
        <v>0.9</v>
      </c>
      <c r="P95" s="654">
        <v>0.95</v>
      </c>
      <c r="Q95" s="654">
        <v>0.95</v>
      </c>
    </row>
    <row r="96" spans="1:17" s="6" customFormat="1" ht="117" customHeight="1" x14ac:dyDescent="0.25">
      <c r="A96" s="1193"/>
      <c r="B96" s="391" t="s">
        <v>1429</v>
      </c>
      <c r="C96" s="655"/>
      <c r="D96" s="655"/>
      <c r="E96" s="141" t="s">
        <v>1209</v>
      </c>
      <c r="F96" s="381">
        <f>F97+F101+F103+F105+F108+F109+F110</f>
        <v>3303999.3863199996</v>
      </c>
      <c r="G96" s="381">
        <f t="shared" ref="G96:J96" si="11">G97+G101+G103+G105+G108+G109+G110</f>
        <v>1774633.2389999998</v>
      </c>
      <c r="H96" s="381">
        <f>H97+H101+H103+H105+H108+H109+H110</f>
        <v>1847047.2599999998</v>
      </c>
      <c r="I96" s="381">
        <f t="shared" si="11"/>
        <v>1790086.0599999994</v>
      </c>
      <c r="J96" s="381">
        <f t="shared" si="11"/>
        <v>1790086.0599999994</v>
      </c>
      <c r="K96" s="122"/>
      <c r="L96" s="122"/>
      <c r="M96" s="122"/>
      <c r="N96" s="412"/>
      <c r="O96" s="412"/>
      <c r="P96" s="412"/>
      <c r="Q96" s="412"/>
    </row>
    <row r="97" spans="1:17" s="6" customFormat="1" ht="45" x14ac:dyDescent="0.25">
      <c r="A97" s="1193"/>
      <c r="B97" s="1283"/>
      <c r="C97" s="1301" t="s">
        <v>17</v>
      </c>
      <c r="D97" s="1301"/>
      <c r="E97" s="1624" t="s">
        <v>953</v>
      </c>
      <c r="F97" s="1629">
        <v>1223156.0435799998</v>
      </c>
      <c r="G97" s="1629">
        <v>1184469.9620000001</v>
      </c>
      <c r="H97" s="1629">
        <v>1215994.5</v>
      </c>
      <c r="I97" s="1629">
        <v>1214187.0999999996</v>
      </c>
      <c r="J97" s="1629">
        <v>1214187.0999999996</v>
      </c>
      <c r="K97" s="141" t="s">
        <v>954</v>
      </c>
      <c r="L97" s="122" t="s">
        <v>967</v>
      </c>
      <c r="M97" s="122">
        <v>18</v>
      </c>
      <c r="N97" s="401">
        <v>18</v>
      </c>
      <c r="O97" s="401">
        <v>19</v>
      </c>
      <c r="P97" s="401">
        <v>20</v>
      </c>
      <c r="Q97" s="401">
        <v>20</v>
      </c>
    </row>
    <row r="98" spans="1:17" s="6" customFormat="1" ht="30" x14ac:dyDescent="0.25">
      <c r="A98" s="1193"/>
      <c r="B98" s="1283"/>
      <c r="C98" s="1301"/>
      <c r="D98" s="1301"/>
      <c r="E98" s="1624"/>
      <c r="F98" s="1629"/>
      <c r="G98" s="1629"/>
      <c r="H98" s="1629"/>
      <c r="I98" s="1629"/>
      <c r="J98" s="1629"/>
      <c r="K98" s="141" t="s">
        <v>955</v>
      </c>
      <c r="L98" s="122" t="s">
        <v>1367</v>
      </c>
      <c r="M98" s="122">
        <v>11</v>
      </c>
      <c r="N98" s="410">
        <v>11</v>
      </c>
      <c r="O98" s="410">
        <v>10.5</v>
      </c>
      <c r="P98" s="410">
        <v>10</v>
      </c>
      <c r="Q98" s="410">
        <v>10</v>
      </c>
    </row>
    <row r="99" spans="1:17" s="6" customFormat="1" ht="30" x14ac:dyDescent="0.25">
      <c r="A99" s="1193"/>
      <c r="B99" s="1283"/>
      <c r="C99" s="1301"/>
      <c r="D99" s="1301"/>
      <c r="E99" s="1624"/>
      <c r="F99" s="1629"/>
      <c r="G99" s="1629"/>
      <c r="H99" s="1629"/>
      <c r="I99" s="1629"/>
      <c r="J99" s="1629"/>
      <c r="K99" s="141" t="s">
        <v>956</v>
      </c>
      <c r="L99" s="122" t="s">
        <v>1367</v>
      </c>
      <c r="M99" s="122">
        <v>140</v>
      </c>
      <c r="N99" s="401">
        <v>140</v>
      </c>
      <c r="O99" s="401">
        <v>130</v>
      </c>
      <c r="P99" s="401">
        <v>120</v>
      </c>
      <c r="Q99" s="401">
        <v>120</v>
      </c>
    </row>
    <row r="100" spans="1:17" s="6" customFormat="1" ht="30" x14ac:dyDescent="0.25">
      <c r="A100" s="1193"/>
      <c r="B100" s="1283"/>
      <c r="C100" s="1301"/>
      <c r="D100" s="1301"/>
      <c r="E100" s="1624"/>
      <c r="F100" s="1629"/>
      <c r="G100" s="1629"/>
      <c r="H100" s="1629"/>
      <c r="I100" s="1629"/>
      <c r="J100" s="1629"/>
      <c r="K100" s="141" t="s">
        <v>957</v>
      </c>
      <c r="L100" s="122" t="s">
        <v>1367</v>
      </c>
      <c r="M100" s="122">
        <v>420</v>
      </c>
      <c r="N100" s="401">
        <v>420</v>
      </c>
      <c r="O100" s="401">
        <v>410</v>
      </c>
      <c r="P100" s="401">
        <v>400</v>
      </c>
      <c r="Q100" s="401">
        <v>400</v>
      </c>
    </row>
    <row r="101" spans="1:17" s="6" customFormat="1" ht="30" x14ac:dyDescent="0.25">
      <c r="A101" s="1193"/>
      <c r="B101" s="1283"/>
      <c r="C101" s="1301" t="s">
        <v>18</v>
      </c>
      <c r="D101" s="1301"/>
      <c r="E101" s="1335" t="s">
        <v>958</v>
      </c>
      <c r="F101" s="1586">
        <v>1760441.37121</v>
      </c>
      <c r="G101" s="1586">
        <v>154499.38500000001</v>
      </c>
      <c r="H101" s="1586">
        <v>176247.5</v>
      </c>
      <c r="I101" s="1586">
        <v>152854.1</v>
      </c>
      <c r="J101" s="1586">
        <v>152854.1</v>
      </c>
      <c r="K101" s="141" t="s">
        <v>959</v>
      </c>
      <c r="L101" s="122" t="s">
        <v>952</v>
      </c>
      <c r="M101" s="652" t="s">
        <v>961</v>
      </c>
      <c r="N101" s="652" t="s">
        <v>961</v>
      </c>
      <c r="O101" s="652" t="s">
        <v>961</v>
      </c>
      <c r="P101" s="652" t="s">
        <v>962</v>
      </c>
      <c r="Q101" s="652" t="s">
        <v>962</v>
      </c>
    </row>
    <row r="102" spans="1:17" s="6" customFormat="1" ht="81" customHeight="1" x14ac:dyDescent="0.25">
      <c r="A102" s="1193"/>
      <c r="B102" s="1283"/>
      <c r="C102" s="1301"/>
      <c r="D102" s="1301"/>
      <c r="E102" s="1335"/>
      <c r="F102" s="1586"/>
      <c r="G102" s="1586"/>
      <c r="H102" s="1586"/>
      <c r="I102" s="1586"/>
      <c r="J102" s="1586"/>
      <c r="K102" s="141" t="s">
        <v>963</v>
      </c>
      <c r="L102" s="122" t="s">
        <v>2035</v>
      </c>
      <c r="M102" s="122" t="s">
        <v>964</v>
      </c>
      <c r="N102" s="122" t="s">
        <v>964</v>
      </c>
      <c r="O102" s="122" t="s">
        <v>964</v>
      </c>
      <c r="P102" s="122" t="s">
        <v>964</v>
      </c>
      <c r="Q102" s="122" t="s">
        <v>964</v>
      </c>
    </row>
    <row r="103" spans="1:17" s="6" customFormat="1" ht="45" x14ac:dyDescent="0.25">
      <c r="A103" s="1193"/>
      <c r="B103" s="1283"/>
      <c r="C103" s="1301" t="s">
        <v>16</v>
      </c>
      <c r="D103" s="1301"/>
      <c r="E103" s="1335" t="s">
        <v>965</v>
      </c>
      <c r="F103" s="1586">
        <v>32605.00101</v>
      </c>
      <c r="G103" s="1586">
        <v>44888.220999999998</v>
      </c>
      <c r="H103" s="1586">
        <v>43606.2</v>
      </c>
      <c r="I103" s="1586">
        <v>43606.2</v>
      </c>
      <c r="J103" s="1586">
        <v>43606.2</v>
      </c>
      <c r="K103" s="141" t="s">
        <v>966</v>
      </c>
      <c r="L103" s="122" t="s">
        <v>967</v>
      </c>
      <c r="M103" s="412">
        <v>7</v>
      </c>
      <c r="N103" s="412">
        <v>7</v>
      </c>
      <c r="O103" s="412">
        <v>8</v>
      </c>
      <c r="P103" s="412">
        <v>7</v>
      </c>
      <c r="Q103" s="412">
        <v>8</v>
      </c>
    </row>
    <row r="104" spans="1:17" s="6" customFormat="1" ht="30" x14ac:dyDescent="0.25">
      <c r="A104" s="1193"/>
      <c r="B104" s="1283"/>
      <c r="C104" s="1301"/>
      <c r="D104" s="1301"/>
      <c r="E104" s="1335"/>
      <c r="F104" s="1586"/>
      <c r="G104" s="1586"/>
      <c r="H104" s="1586"/>
      <c r="I104" s="1586"/>
      <c r="J104" s="1586"/>
      <c r="K104" s="126" t="s">
        <v>968</v>
      </c>
      <c r="L104" s="122" t="s">
        <v>969</v>
      </c>
      <c r="M104" s="412">
        <v>4</v>
      </c>
      <c r="N104" s="412">
        <v>4</v>
      </c>
      <c r="O104" s="412">
        <v>4</v>
      </c>
      <c r="P104" s="412">
        <v>4</v>
      </c>
      <c r="Q104" s="412">
        <v>4</v>
      </c>
    </row>
    <row r="105" spans="1:17" s="6" customFormat="1" ht="30" x14ac:dyDescent="0.25">
      <c r="A105" s="1193"/>
      <c r="B105" s="1283"/>
      <c r="C105" s="1301" t="s">
        <v>19</v>
      </c>
      <c r="D105" s="1301"/>
      <c r="E105" s="1335" t="s">
        <v>970</v>
      </c>
      <c r="F105" s="1586">
        <v>146316.03829</v>
      </c>
      <c r="G105" s="1586">
        <v>269168.00800000003</v>
      </c>
      <c r="H105" s="1586">
        <v>270133.09999999998</v>
      </c>
      <c r="I105" s="1586">
        <v>270133.09999999998</v>
      </c>
      <c r="J105" s="1586">
        <v>270133.09999999998</v>
      </c>
      <c r="K105" s="126" t="s">
        <v>971</v>
      </c>
      <c r="L105" s="122" t="s">
        <v>972</v>
      </c>
      <c r="M105" s="46">
        <v>12</v>
      </c>
      <c r="N105" s="46">
        <v>12</v>
      </c>
      <c r="O105" s="46">
        <v>12</v>
      </c>
      <c r="P105" s="46">
        <v>11</v>
      </c>
      <c r="Q105" s="46">
        <v>11</v>
      </c>
    </row>
    <row r="106" spans="1:17" s="6" customFormat="1" ht="60" x14ac:dyDescent="0.25">
      <c r="A106" s="1193"/>
      <c r="B106" s="1283"/>
      <c r="C106" s="1301"/>
      <c r="D106" s="1301"/>
      <c r="E106" s="1335"/>
      <c r="F106" s="1586"/>
      <c r="G106" s="1586"/>
      <c r="H106" s="1586"/>
      <c r="I106" s="1586"/>
      <c r="J106" s="1586"/>
      <c r="K106" s="126" t="s">
        <v>973</v>
      </c>
      <c r="L106" s="122" t="s">
        <v>952</v>
      </c>
      <c r="M106" s="412">
        <v>95</v>
      </c>
      <c r="N106" s="412">
        <v>95</v>
      </c>
      <c r="O106" s="412">
        <v>95</v>
      </c>
      <c r="P106" s="412">
        <v>95</v>
      </c>
      <c r="Q106" s="412">
        <v>95</v>
      </c>
    </row>
    <row r="107" spans="1:17" s="6" customFormat="1" ht="30" x14ac:dyDescent="0.25">
      <c r="A107" s="1193"/>
      <c r="B107" s="1283"/>
      <c r="C107" s="1301"/>
      <c r="D107" s="1301"/>
      <c r="E107" s="1335"/>
      <c r="F107" s="1586"/>
      <c r="G107" s="1586"/>
      <c r="H107" s="1586"/>
      <c r="I107" s="1586"/>
      <c r="J107" s="1586"/>
      <c r="K107" s="126" t="s">
        <v>974</v>
      </c>
      <c r="L107" s="122" t="s">
        <v>952</v>
      </c>
      <c r="M107" s="122">
        <v>80</v>
      </c>
      <c r="N107" s="122">
        <v>80</v>
      </c>
      <c r="O107" s="122">
        <v>90</v>
      </c>
      <c r="P107" s="122">
        <v>93</v>
      </c>
      <c r="Q107" s="122">
        <v>93</v>
      </c>
    </row>
    <row r="108" spans="1:17" s="6" customFormat="1" ht="105" x14ac:dyDescent="0.25">
      <c r="A108" s="1193"/>
      <c r="B108" s="1283"/>
      <c r="C108" s="422" t="s">
        <v>20</v>
      </c>
      <c r="D108" s="422"/>
      <c r="E108" s="656" t="s">
        <v>975</v>
      </c>
      <c r="F108" s="570">
        <v>0</v>
      </c>
      <c r="G108" s="570">
        <v>5000</v>
      </c>
      <c r="H108" s="570">
        <v>0</v>
      </c>
      <c r="I108" s="570">
        <v>0</v>
      </c>
      <c r="J108" s="570">
        <v>0</v>
      </c>
      <c r="K108" s="141" t="s">
        <v>976</v>
      </c>
      <c r="L108" s="122" t="s">
        <v>967</v>
      </c>
      <c r="M108" s="46">
        <v>2500</v>
      </c>
      <c r="N108" s="46">
        <v>2500</v>
      </c>
      <c r="O108" s="46">
        <v>2500</v>
      </c>
      <c r="P108" s="46">
        <v>2500</v>
      </c>
      <c r="Q108" s="46">
        <v>2500</v>
      </c>
    </row>
    <row r="109" spans="1:17" s="6" customFormat="1" ht="60" x14ac:dyDescent="0.25">
      <c r="A109" s="1193"/>
      <c r="B109" s="1283"/>
      <c r="C109" s="422" t="s">
        <v>21</v>
      </c>
      <c r="D109" s="422"/>
      <c r="E109" s="141" t="s">
        <v>977</v>
      </c>
      <c r="F109" s="46">
        <v>121331.81533000001</v>
      </c>
      <c r="G109" s="46">
        <v>95101.637999999992</v>
      </c>
      <c r="H109" s="46">
        <v>118399.8</v>
      </c>
      <c r="I109" s="46">
        <v>86639.4</v>
      </c>
      <c r="J109" s="46">
        <v>86639.4</v>
      </c>
      <c r="K109" s="141" t="s">
        <v>978</v>
      </c>
      <c r="L109" s="122" t="s">
        <v>979</v>
      </c>
      <c r="M109" s="122">
        <v>200</v>
      </c>
      <c r="N109" s="122">
        <v>200</v>
      </c>
      <c r="O109" s="122">
        <v>200</v>
      </c>
      <c r="P109" s="122">
        <v>200</v>
      </c>
      <c r="Q109" s="122">
        <v>200</v>
      </c>
    </row>
    <row r="110" spans="1:17" s="6" customFormat="1" ht="45" x14ac:dyDescent="0.25">
      <c r="A110" s="1193"/>
      <c r="B110" s="1283"/>
      <c r="C110" s="1301" t="s">
        <v>22</v>
      </c>
      <c r="D110" s="1301"/>
      <c r="E110" s="1335" t="s">
        <v>980</v>
      </c>
      <c r="F110" s="1637">
        <v>20149.116900000001</v>
      </c>
      <c r="G110" s="1637">
        <v>21506.025000000001</v>
      </c>
      <c r="H110" s="1637">
        <v>22666.16</v>
      </c>
      <c r="I110" s="1637">
        <v>22666.16</v>
      </c>
      <c r="J110" s="1637">
        <v>22666.16</v>
      </c>
      <c r="K110" s="141" t="s">
        <v>981</v>
      </c>
      <c r="L110" s="122" t="s">
        <v>1369</v>
      </c>
      <c r="M110" s="400">
        <v>250</v>
      </c>
      <c r="N110" s="400">
        <v>250</v>
      </c>
      <c r="O110" s="400">
        <v>250</v>
      </c>
      <c r="P110" s="400">
        <v>250</v>
      </c>
      <c r="Q110" s="400">
        <v>250</v>
      </c>
    </row>
    <row r="111" spans="1:17" s="6" customFormat="1" ht="30" x14ac:dyDescent="0.25">
      <c r="A111" s="1193"/>
      <c r="B111" s="1283"/>
      <c r="C111" s="1301"/>
      <c r="D111" s="1301"/>
      <c r="E111" s="1335"/>
      <c r="F111" s="1637"/>
      <c r="G111" s="1637"/>
      <c r="H111" s="1637"/>
      <c r="I111" s="1637"/>
      <c r="J111" s="1637"/>
      <c r="K111" s="141" t="s">
        <v>982</v>
      </c>
      <c r="L111" s="122" t="s">
        <v>983</v>
      </c>
      <c r="M111" s="46">
        <v>85</v>
      </c>
      <c r="N111" s="46">
        <v>85</v>
      </c>
      <c r="O111" s="46">
        <v>85</v>
      </c>
      <c r="P111" s="46">
        <v>85</v>
      </c>
      <c r="Q111" s="46">
        <v>85</v>
      </c>
    </row>
    <row r="112" spans="1:17" s="6" customFormat="1" ht="118.5" x14ac:dyDescent="0.25">
      <c r="A112" s="1193"/>
      <c r="B112" s="391" t="s">
        <v>1430</v>
      </c>
      <c r="C112" s="391"/>
      <c r="D112" s="391"/>
      <c r="E112" s="502" t="s">
        <v>1210</v>
      </c>
      <c r="F112" s="657">
        <f>F113+F115+F117+F119+F120+F130+F131+F132+F125</f>
        <v>1902091.1475800001</v>
      </c>
      <c r="G112" s="657">
        <f>G113+G115+G117+G119+G120+G130+G131+G132+G125</f>
        <v>2866803.023</v>
      </c>
      <c r="H112" s="657">
        <f>H113+H115+H117+H119+H120+H130+H131+H132+H125</f>
        <v>3714198.5</v>
      </c>
      <c r="I112" s="657">
        <f>I113+I115+I117+I119+I120+I130+I131+I132+I125</f>
        <v>4006500.5</v>
      </c>
      <c r="J112" s="657">
        <f>J113+J115+J117+J119+J120+J130+J131+J132+J125</f>
        <v>3953566.1999999997</v>
      </c>
      <c r="K112" s="502"/>
      <c r="L112" s="395"/>
      <c r="M112" s="395"/>
      <c r="N112" s="395"/>
      <c r="O112" s="395"/>
      <c r="P112" s="395"/>
      <c r="Q112" s="395"/>
    </row>
    <row r="113" spans="1:17" s="6" customFormat="1" ht="60" x14ac:dyDescent="0.25">
      <c r="A113" s="1193"/>
      <c r="B113" s="1301"/>
      <c r="C113" s="1301" t="s">
        <v>17</v>
      </c>
      <c r="D113" s="1301"/>
      <c r="E113" s="1335" t="s">
        <v>2036</v>
      </c>
      <c r="F113" s="1587">
        <v>83921.919850000006</v>
      </c>
      <c r="G113" s="1587">
        <v>123925.73000000001</v>
      </c>
      <c r="H113" s="1580">
        <v>135372.20000000001</v>
      </c>
      <c r="I113" s="1587">
        <v>135372.20000000001</v>
      </c>
      <c r="J113" s="1587">
        <v>135372.20000000001</v>
      </c>
      <c r="K113" s="141" t="s">
        <v>984</v>
      </c>
      <c r="L113" s="122" t="s">
        <v>14</v>
      </c>
      <c r="M113" s="412">
        <v>70</v>
      </c>
      <c r="N113" s="412">
        <v>70</v>
      </c>
      <c r="O113" s="412">
        <v>80</v>
      </c>
      <c r="P113" s="412">
        <v>80</v>
      </c>
      <c r="Q113" s="412">
        <v>80</v>
      </c>
    </row>
    <row r="114" spans="1:17" s="6" customFormat="1" ht="45" x14ac:dyDescent="0.25">
      <c r="A114" s="1193"/>
      <c r="B114" s="1301"/>
      <c r="C114" s="1301"/>
      <c r="D114" s="1301"/>
      <c r="E114" s="1335"/>
      <c r="F114" s="1587"/>
      <c r="G114" s="1587"/>
      <c r="H114" s="1582"/>
      <c r="I114" s="1587"/>
      <c r="J114" s="1587"/>
      <c r="K114" s="141" t="s">
        <v>985</v>
      </c>
      <c r="L114" s="122" t="s">
        <v>14</v>
      </c>
      <c r="M114" s="412">
        <v>90</v>
      </c>
      <c r="N114" s="412">
        <v>90</v>
      </c>
      <c r="O114" s="412">
        <v>90</v>
      </c>
      <c r="P114" s="412">
        <v>100</v>
      </c>
      <c r="Q114" s="412">
        <v>100</v>
      </c>
    </row>
    <row r="115" spans="1:17" s="6" customFormat="1" ht="30" x14ac:dyDescent="0.25">
      <c r="A115" s="1193"/>
      <c r="B115" s="1301"/>
      <c r="C115" s="1301" t="s">
        <v>18</v>
      </c>
      <c r="D115" s="1301"/>
      <c r="E115" s="1324" t="s">
        <v>986</v>
      </c>
      <c r="F115" s="1586">
        <v>14989.856749999999</v>
      </c>
      <c r="G115" s="1586">
        <v>24134.3</v>
      </c>
      <c r="H115" s="1279">
        <v>28198.600000000002</v>
      </c>
      <c r="I115" s="1586">
        <v>28198.600000000002</v>
      </c>
      <c r="J115" s="1586">
        <v>28198.600000000002</v>
      </c>
      <c r="K115" s="126" t="s">
        <v>987</v>
      </c>
      <c r="L115" s="122"/>
      <c r="M115" s="412"/>
      <c r="N115" s="412"/>
      <c r="O115" s="412"/>
      <c r="P115" s="412"/>
      <c r="Q115" s="412"/>
    </row>
    <row r="116" spans="1:17" s="6" customFormat="1" ht="30" x14ac:dyDescent="0.25">
      <c r="A116" s="1193"/>
      <c r="B116" s="1301"/>
      <c r="C116" s="1301"/>
      <c r="D116" s="1301"/>
      <c r="E116" s="1324"/>
      <c r="F116" s="1586"/>
      <c r="G116" s="1586"/>
      <c r="H116" s="1337"/>
      <c r="I116" s="1586"/>
      <c r="J116" s="1586"/>
      <c r="K116" s="126" t="s">
        <v>988</v>
      </c>
      <c r="L116" s="122" t="s">
        <v>989</v>
      </c>
      <c r="M116" s="412">
        <v>26500</v>
      </c>
      <c r="N116" s="412">
        <v>26500</v>
      </c>
      <c r="O116" s="412">
        <v>27000</v>
      </c>
      <c r="P116" s="412">
        <v>27500</v>
      </c>
      <c r="Q116" s="412">
        <v>27500</v>
      </c>
    </row>
    <row r="117" spans="1:17" s="6" customFormat="1" ht="45" x14ac:dyDescent="0.25">
      <c r="A117" s="1193"/>
      <c r="B117" s="1301"/>
      <c r="C117" s="1301" t="s">
        <v>16</v>
      </c>
      <c r="D117" s="1301"/>
      <c r="E117" s="1335" t="s">
        <v>990</v>
      </c>
      <c r="F117" s="1586">
        <v>146097.59711</v>
      </c>
      <c r="G117" s="1628">
        <v>239625.337</v>
      </c>
      <c r="H117" s="1510">
        <v>218290.30000000002</v>
      </c>
      <c r="I117" s="1627">
        <v>276365.3</v>
      </c>
      <c r="J117" s="1586">
        <v>337344.3</v>
      </c>
      <c r="K117" s="658" t="s">
        <v>991</v>
      </c>
      <c r="L117" s="46" t="s">
        <v>899</v>
      </c>
      <c r="M117" s="122">
        <v>40</v>
      </c>
      <c r="N117" s="122">
        <v>40</v>
      </c>
      <c r="O117" s="122">
        <v>50</v>
      </c>
      <c r="P117" s="122">
        <v>50</v>
      </c>
      <c r="Q117" s="122">
        <v>50</v>
      </c>
    </row>
    <row r="118" spans="1:17" s="6" customFormat="1" ht="60" x14ac:dyDescent="0.25">
      <c r="A118" s="1193"/>
      <c r="B118" s="1301"/>
      <c r="C118" s="1301"/>
      <c r="D118" s="1301"/>
      <c r="E118" s="1335"/>
      <c r="F118" s="1586"/>
      <c r="G118" s="1628"/>
      <c r="H118" s="1510"/>
      <c r="I118" s="1627"/>
      <c r="J118" s="1586"/>
      <c r="K118" s="658" t="s">
        <v>992</v>
      </c>
      <c r="L118" s="46" t="s">
        <v>899</v>
      </c>
      <c r="M118" s="122"/>
      <c r="N118" s="122"/>
      <c r="O118" s="122"/>
      <c r="P118" s="122"/>
      <c r="Q118" s="122"/>
    </row>
    <row r="119" spans="1:17" s="6" customFormat="1" ht="30" x14ac:dyDescent="0.25">
      <c r="A119" s="1193"/>
      <c r="B119" s="1301"/>
      <c r="C119" s="422" t="s">
        <v>19</v>
      </c>
      <c r="D119" s="422"/>
      <c r="E119" s="141" t="s">
        <v>993</v>
      </c>
      <c r="F119" s="46">
        <v>172595.22855</v>
      </c>
      <c r="G119" s="46">
        <v>187391.38099999999</v>
      </c>
      <c r="H119" s="559">
        <v>228034.7</v>
      </c>
      <c r="I119" s="46">
        <v>241042.7</v>
      </c>
      <c r="J119" s="46">
        <v>241042.7</v>
      </c>
      <c r="K119" s="141" t="s">
        <v>994</v>
      </c>
      <c r="L119" s="122" t="s">
        <v>995</v>
      </c>
      <c r="M119" s="412">
        <v>24000</v>
      </c>
      <c r="N119" s="412">
        <v>24000</v>
      </c>
      <c r="O119" s="412">
        <v>24000</v>
      </c>
      <c r="P119" s="412">
        <v>24000</v>
      </c>
      <c r="Q119" s="412">
        <v>24000</v>
      </c>
    </row>
    <row r="120" spans="1:17" s="6" customFormat="1" ht="30" x14ac:dyDescent="0.25">
      <c r="A120" s="1193"/>
      <c r="B120" s="1301"/>
      <c r="C120" s="1301" t="s">
        <v>20</v>
      </c>
      <c r="D120" s="1301"/>
      <c r="E120" s="1624" t="s">
        <v>996</v>
      </c>
      <c r="F120" s="1587">
        <v>50689.628880000004</v>
      </c>
      <c r="G120" s="1587">
        <v>527000</v>
      </c>
      <c r="H120" s="1580">
        <v>0</v>
      </c>
      <c r="I120" s="1587">
        <v>0</v>
      </c>
      <c r="J120" s="1587">
        <v>0</v>
      </c>
      <c r="K120" s="141" t="s">
        <v>997</v>
      </c>
      <c r="L120" s="122" t="s">
        <v>989</v>
      </c>
      <c r="M120" s="412">
        <v>22000</v>
      </c>
      <c r="N120" s="412">
        <v>22000</v>
      </c>
      <c r="O120" s="412">
        <v>23000</v>
      </c>
      <c r="P120" s="412">
        <v>23000</v>
      </c>
      <c r="Q120" s="412">
        <v>23000</v>
      </c>
    </row>
    <row r="121" spans="1:17" s="6" customFormat="1" ht="60" x14ac:dyDescent="0.25">
      <c r="A121" s="1193"/>
      <c r="B121" s="1301"/>
      <c r="C121" s="1301"/>
      <c r="D121" s="1301"/>
      <c r="E121" s="1624"/>
      <c r="F121" s="1587"/>
      <c r="G121" s="1587"/>
      <c r="H121" s="1581"/>
      <c r="I121" s="1587"/>
      <c r="J121" s="1587"/>
      <c r="K121" s="141" t="s">
        <v>998</v>
      </c>
      <c r="L121" s="122" t="s">
        <v>952</v>
      </c>
      <c r="M121" s="659">
        <v>0.5</v>
      </c>
      <c r="N121" s="659">
        <v>0.5</v>
      </c>
      <c r="O121" s="659"/>
      <c r="P121" s="659"/>
      <c r="Q121" s="659"/>
    </row>
    <row r="122" spans="1:17" s="6" customFormat="1" ht="45" x14ac:dyDescent="0.25">
      <c r="A122" s="1193"/>
      <c r="B122" s="1301"/>
      <c r="C122" s="1301"/>
      <c r="D122" s="1301"/>
      <c r="E122" s="1624"/>
      <c r="F122" s="1587"/>
      <c r="G122" s="1587"/>
      <c r="H122" s="1581"/>
      <c r="I122" s="1587"/>
      <c r="J122" s="1587"/>
      <c r="K122" s="141" t="s">
        <v>999</v>
      </c>
      <c r="L122" s="122" t="s">
        <v>960</v>
      </c>
      <c r="M122" s="46">
        <v>100</v>
      </c>
      <c r="N122" s="46">
        <v>100</v>
      </c>
      <c r="O122" s="46"/>
      <c r="P122" s="46"/>
      <c r="Q122" s="46"/>
    </row>
    <row r="123" spans="1:17" s="6" customFormat="1" ht="45" x14ac:dyDescent="0.25">
      <c r="A123" s="1193"/>
      <c r="B123" s="1301"/>
      <c r="C123" s="1301"/>
      <c r="D123" s="1301"/>
      <c r="E123" s="1624"/>
      <c r="F123" s="1587"/>
      <c r="G123" s="1587"/>
      <c r="H123" s="1581"/>
      <c r="I123" s="1587"/>
      <c r="J123" s="1587"/>
      <c r="K123" s="141" t="s">
        <v>1000</v>
      </c>
      <c r="L123" s="122" t="s">
        <v>960</v>
      </c>
      <c r="M123" s="46">
        <v>40</v>
      </c>
      <c r="N123" s="46">
        <v>40</v>
      </c>
      <c r="O123" s="46"/>
      <c r="P123" s="46"/>
      <c r="Q123" s="46"/>
    </row>
    <row r="124" spans="1:17" s="6" customFormat="1" ht="30" x14ac:dyDescent="0.25">
      <c r="A124" s="1193"/>
      <c r="B124" s="1301"/>
      <c r="C124" s="1301"/>
      <c r="D124" s="1301"/>
      <c r="E124" s="1624"/>
      <c r="F124" s="1587"/>
      <c r="G124" s="1587"/>
      <c r="H124" s="1582"/>
      <c r="I124" s="1587"/>
      <c r="J124" s="1587"/>
      <c r="K124" s="141" t="s">
        <v>1001</v>
      </c>
      <c r="L124" s="122" t="s">
        <v>960</v>
      </c>
      <c r="M124" s="46">
        <v>100</v>
      </c>
      <c r="N124" s="46">
        <v>100</v>
      </c>
      <c r="O124" s="46"/>
      <c r="P124" s="46"/>
      <c r="Q124" s="46"/>
    </row>
    <row r="125" spans="1:17" s="6" customFormat="1" ht="45" x14ac:dyDescent="0.25">
      <c r="A125" s="1193"/>
      <c r="B125" s="1301"/>
      <c r="C125" s="1313" t="s">
        <v>21</v>
      </c>
      <c r="D125" s="1313"/>
      <c r="E125" s="1593" t="s">
        <v>1201</v>
      </c>
      <c r="F125" s="1580">
        <v>131838.9</v>
      </c>
      <c r="G125" s="1580">
        <v>112386</v>
      </c>
      <c r="H125" s="1580">
        <v>121773.6</v>
      </c>
      <c r="I125" s="1580">
        <v>138762.5</v>
      </c>
      <c r="J125" s="1580">
        <v>138762.5</v>
      </c>
      <c r="K125" s="141" t="s">
        <v>1002</v>
      </c>
      <c r="L125" s="19" t="s">
        <v>960</v>
      </c>
      <c r="M125" s="46">
        <v>45</v>
      </c>
      <c r="N125" s="46">
        <v>45</v>
      </c>
      <c r="O125" s="46">
        <v>47</v>
      </c>
      <c r="P125" s="46">
        <v>47</v>
      </c>
      <c r="Q125" s="46">
        <v>47</v>
      </c>
    </row>
    <row r="126" spans="1:17" s="6" customFormat="1" ht="45" x14ac:dyDescent="0.25">
      <c r="A126" s="1193"/>
      <c r="B126" s="1301"/>
      <c r="C126" s="1334"/>
      <c r="D126" s="1334"/>
      <c r="E126" s="1594"/>
      <c r="F126" s="1581"/>
      <c r="G126" s="1581"/>
      <c r="H126" s="1581"/>
      <c r="I126" s="1581"/>
      <c r="J126" s="1581"/>
      <c r="K126" s="141" t="s">
        <v>2037</v>
      </c>
      <c r="L126" s="122" t="s">
        <v>1211</v>
      </c>
      <c r="M126" s="46">
        <v>11</v>
      </c>
      <c r="N126" s="46">
        <v>11</v>
      </c>
      <c r="O126" s="46">
        <v>11</v>
      </c>
      <c r="P126" s="46">
        <v>11</v>
      </c>
      <c r="Q126" s="46">
        <v>11</v>
      </c>
    </row>
    <row r="127" spans="1:17" s="6" customFormat="1" ht="30" x14ac:dyDescent="0.25">
      <c r="A127" s="1193"/>
      <c r="B127" s="1301"/>
      <c r="C127" s="1334"/>
      <c r="D127" s="1334"/>
      <c r="E127" s="1594"/>
      <c r="F127" s="1581"/>
      <c r="G127" s="1581"/>
      <c r="H127" s="1581"/>
      <c r="I127" s="1581"/>
      <c r="J127" s="1581"/>
      <c r="K127" s="660" t="s">
        <v>1212</v>
      </c>
      <c r="L127" s="122" t="s">
        <v>989</v>
      </c>
      <c r="M127" s="46">
        <v>12.2</v>
      </c>
      <c r="N127" s="46">
        <v>12.2</v>
      </c>
      <c r="O127" s="46">
        <v>12.1</v>
      </c>
      <c r="P127" s="46">
        <v>12.1</v>
      </c>
      <c r="Q127" s="46">
        <v>12.1</v>
      </c>
    </row>
    <row r="128" spans="1:17" s="6" customFormat="1" ht="30" x14ac:dyDescent="0.25">
      <c r="A128" s="1193"/>
      <c r="B128" s="1301"/>
      <c r="C128" s="1334"/>
      <c r="D128" s="1334"/>
      <c r="E128" s="1594"/>
      <c r="F128" s="1581"/>
      <c r="G128" s="1581"/>
      <c r="H128" s="1581"/>
      <c r="I128" s="1581"/>
      <c r="J128" s="1581"/>
      <c r="K128" s="141" t="s">
        <v>1003</v>
      </c>
      <c r="L128" s="122" t="s">
        <v>960</v>
      </c>
      <c r="M128" s="46">
        <v>80.2</v>
      </c>
      <c r="N128" s="46">
        <v>80.2</v>
      </c>
      <c r="O128" s="46">
        <v>80.5</v>
      </c>
      <c r="P128" s="46">
        <v>10.5</v>
      </c>
      <c r="Q128" s="46">
        <v>10.5</v>
      </c>
    </row>
    <row r="129" spans="1:17" s="6" customFormat="1" ht="30" x14ac:dyDescent="0.25">
      <c r="A129" s="1193"/>
      <c r="B129" s="1301"/>
      <c r="C129" s="1314"/>
      <c r="D129" s="1314"/>
      <c r="E129" s="1595"/>
      <c r="F129" s="1582"/>
      <c r="G129" s="1582"/>
      <c r="H129" s="1582"/>
      <c r="I129" s="1582"/>
      <c r="J129" s="1582"/>
      <c r="K129" s="141" t="s">
        <v>1004</v>
      </c>
      <c r="L129" s="122" t="s">
        <v>1005</v>
      </c>
      <c r="M129" s="410">
        <v>837.8</v>
      </c>
      <c r="N129" s="410">
        <v>837.8</v>
      </c>
      <c r="O129" s="410">
        <v>837.8</v>
      </c>
      <c r="P129" s="410">
        <v>837.8</v>
      </c>
      <c r="Q129" s="410">
        <v>837.8</v>
      </c>
    </row>
    <row r="130" spans="1:17" s="6" customFormat="1" ht="30" x14ac:dyDescent="0.25">
      <c r="A130" s="1193"/>
      <c r="B130" s="1301"/>
      <c r="C130" s="422" t="s">
        <v>22</v>
      </c>
      <c r="D130" s="422"/>
      <c r="E130" s="141" t="s">
        <v>1006</v>
      </c>
      <c r="F130" s="46">
        <v>268433.40824999998</v>
      </c>
      <c r="G130" s="46">
        <v>579489.47699999996</v>
      </c>
      <c r="H130" s="46">
        <v>594155.30000000005</v>
      </c>
      <c r="I130" s="46">
        <v>594190.80000000005</v>
      </c>
      <c r="J130" s="46">
        <v>594190.80000000005</v>
      </c>
      <c r="K130" s="141" t="s">
        <v>1007</v>
      </c>
      <c r="L130" s="122" t="s">
        <v>989</v>
      </c>
      <c r="M130" s="412">
        <v>17900</v>
      </c>
      <c r="N130" s="412">
        <v>17900</v>
      </c>
      <c r="O130" s="412">
        <v>17900</v>
      </c>
      <c r="P130" s="412">
        <v>17900</v>
      </c>
      <c r="Q130" s="412">
        <v>17900</v>
      </c>
    </row>
    <row r="131" spans="1:17" s="6" customFormat="1" ht="105" x14ac:dyDescent="0.25">
      <c r="A131" s="1193"/>
      <c r="B131" s="1301"/>
      <c r="C131" s="422" t="s">
        <v>23</v>
      </c>
      <c r="D131" s="422"/>
      <c r="E131" s="141" t="s">
        <v>1008</v>
      </c>
      <c r="F131" s="46">
        <v>925066.57547000004</v>
      </c>
      <c r="G131" s="46">
        <v>909173.3</v>
      </c>
      <c r="H131" s="46">
        <v>2195903.7999999998</v>
      </c>
      <c r="I131" s="46">
        <v>2400148.4</v>
      </c>
      <c r="J131" s="46">
        <v>2286235.0999999996</v>
      </c>
      <c r="K131" s="141" t="s">
        <v>1009</v>
      </c>
      <c r="L131" s="122" t="s">
        <v>989</v>
      </c>
      <c r="M131" s="46">
        <v>1400</v>
      </c>
      <c r="N131" s="46">
        <v>1400</v>
      </c>
      <c r="O131" s="46">
        <v>1500</v>
      </c>
      <c r="P131" s="46">
        <v>1500</v>
      </c>
      <c r="Q131" s="46">
        <v>1500</v>
      </c>
    </row>
    <row r="132" spans="1:17" s="6" customFormat="1" ht="45" x14ac:dyDescent="0.25">
      <c r="A132" s="1193"/>
      <c r="B132" s="1301"/>
      <c r="C132" s="422" t="s">
        <v>27</v>
      </c>
      <c r="D132" s="422"/>
      <c r="E132" s="141" t="s">
        <v>1010</v>
      </c>
      <c r="F132" s="46">
        <v>108458.03272</v>
      </c>
      <c r="G132" s="46">
        <v>163677.49799999999</v>
      </c>
      <c r="H132" s="46">
        <v>192470</v>
      </c>
      <c r="I132" s="46">
        <v>192420</v>
      </c>
      <c r="J132" s="46">
        <v>192420</v>
      </c>
      <c r="K132" s="141" t="s">
        <v>1011</v>
      </c>
      <c r="L132" s="122" t="s">
        <v>989</v>
      </c>
      <c r="M132" s="122">
        <v>18200</v>
      </c>
      <c r="N132" s="122">
        <v>18200</v>
      </c>
      <c r="O132" s="122" t="s">
        <v>900</v>
      </c>
      <c r="P132" s="122" t="s">
        <v>900</v>
      </c>
      <c r="Q132" s="122" t="s">
        <v>900</v>
      </c>
    </row>
    <row r="133" spans="1:17" s="6" customFormat="1" ht="87.75" x14ac:dyDescent="0.25">
      <c r="A133" s="1193"/>
      <c r="B133" s="391" t="s">
        <v>1431</v>
      </c>
      <c r="C133" s="391"/>
      <c r="D133" s="391"/>
      <c r="E133" s="502" t="s">
        <v>2038</v>
      </c>
      <c r="F133" s="381">
        <f>F134+F136+F138+F140+F141</f>
        <v>1383464.1072899997</v>
      </c>
      <c r="G133" s="381">
        <f t="shared" ref="G133:J133" si="12">G134+G136+G138+G140+G141</f>
        <v>1869249.672</v>
      </c>
      <c r="H133" s="381">
        <f t="shared" si="12"/>
        <v>4022938.6</v>
      </c>
      <c r="I133" s="381">
        <f t="shared" si="12"/>
        <v>4106773.4</v>
      </c>
      <c r="J133" s="381">
        <f t="shared" si="12"/>
        <v>4406512.7</v>
      </c>
      <c r="K133" s="502"/>
      <c r="L133" s="395"/>
      <c r="M133" s="381"/>
      <c r="N133" s="381"/>
      <c r="O133" s="381"/>
      <c r="P133" s="381"/>
      <c r="Q133" s="381"/>
    </row>
    <row r="134" spans="1:17" s="6" customFormat="1" ht="45" x14ac:dyDescent="0.25">
      <c r="A134" s="1193"/>
      <c r="B134" s="1283"/>
      <c r="C134" s="1313" t="s">
        <v>17</v>
      </c>
      <c r="D134" s="1301"/>
      <c r="E134" s="1335" t="s">
        <v>1012</v>
      </c>
      <c r="F134" s="1586">
        <v>0</v>
      </c>
      <c r="G134" s="1586">
        <v>0</v>
      </c>
      <c r="H134" s="1586">
        <v>0</v>
      </c>
      <c r="I134" s="1586">
        <v>0</v>
      </c>
      <c r="J134" s="1586">
        <v>0</v>
      </c>
      <c r="K134" s="658" t="s">
        <v>1013</v>
      </c>
      <c r="L134" s="46" t="s">
        <v>1014</v>
      </c>
      <c r="M134" s="46">
        <v>3.5</v>
      </c>
      <c r="N134" s="46">
        <v>3.5</v>
      </c>
      <c r="O134" s="46">
        <v>23</v>
      </c>
      <c r="P134" s="46">
        <v>23</v>
      </c>
      <c r="Q134" s="46">
        <v>23</v>
      </c>
    </row>
    <row r="135" spans="1:17" s="6" customFormat="1" ht="75" x14ac:dyDescent="0.25">
      <c r="A135" s="1193"/>
      <c r="B135" s="1283"/>
      <c r="C135" s="1314"/>
      <c r="D135" s="1301"/>
      <c r="E135" s="1335"/>
      <c r="F135" s="1586"/>
      <c r="G135" s="1586"/>
      <c r="H135" s="1586"/>
      <c r="I135" s="1586"/>
      <c r="J135" s="1586"/>
      <c r="K135" s="658" t="s">
        <v>1015</v>
      </c>
      <c r="L135" s="46" t="s">
        <v>989</v>
      </c>
      <c r="M135" s="122">
        <v>175</v>
      </c>
      <c r="N135" s="122">
        <v>175</v>
      </c>
      <c r="O135" s="46">
        <v>3.7</v>
      </c>
      <c r="P135" s="46">
        <v>3.7</v>
      </c>
      <c r="Q135" s="46">
        <v>3.7</v>
      </c>
    </row>
    <row r="136" spans="1:17" s="6" customFormat="1" ht="60" x14ac:dyDescent="0.25">
      <c r="A136" s="1193"/>
      <c r="B136" s="1283"/>
      <c r="C136" s="1301" t="s">
        <v>18</v>
      </c>
      <c r="D136" s="1301"/>
      <c r="E136" s="1335" t="s">
        <v>1016</v>
      </c>
      <c r="F136" s="1586">
        <v>969186.84960999992</v>
      </c>
      <c r="G136" s="1586">
        <v>1226617.9979999999</v>
      </c>
      <c r="H136" s="1586">
        <v>1285533</v>
      </c>
      <c r="I136" s="1586">
        <v>1343608.2999999998</v>
      </c>
      <c r="J136" s="1586">
        <v>1404588.6</v>
      </c>
      <c r="K136" s="658" t="s">
        <v>1017</v>
      </c>
      <c r="L136" s="46" t="s">
        <v>989</v>
      </c>
      <c r="M136" s="412">
        <v>378</v>
      </c>
      <c r="N136" s="412">
        <v>378</v>
      </c>
      <c r="O136" s="412">
        <v>380</v>
      </c>
      <c r="P136" s="400">
        <v>380</v>
      </c>
      <c r="Q136" s="400">
        <v>380</v>
      </c>
    </row>
    <row r="137" spans="1:17" s="6" customFormat="1" ht="60" x14ac:dyDescent="0.25">
      <c r="A137" s="1193"/>
      <c r="B137" s="1283"/>
      <c r="C137" s="1301"/>
      <c r="D137" s="1301"/>
      <c r="E137" s="1335"/>
      <c r="F137" s="1586"/>
      <c r="G137" s="1586"/>
      <c r="H137" s="1586"/>
      <c r="I137" s="1586"/>
      <c r="J137" s="1586"/>
      <c r="K137" s="658" t="s">
        <v>1018</v>
      </c>
      <c r="L137" s="46" t="s">
        <v>989</v>
      </c>
      <c r="M137" s="412">
        <v>345</v>
      </c>
      <c r="N137" s="412">
        <v>345</v>
      </c>
      <c r="O137" s="412">
        <v>345</v>
      </c>
      <c r="P137" s="412">
        <v>345</v>
      </c>
      <c r="Q137" s="412">
        <v>345</v>
      </c>
    </row>
    <row r="138" spans="1:17" s="6" customFormat="1" ht="75" x14ac:dyDescent="0.25">
      <c r="A138" s="1193"/>
      <c r="B138" s="1283"/>
      <c r="C138" s="1301" t="s">
        <v>16</v>
      </c>
      <c r="D138" s="1301"/>
      <c r="E138" s="1324" t="s">
        <v>1019</v>
      </c>
      <c r="F138" s="1586">
        <v>169908.60952</v>
      </c>
      <c r="G138" s="1586">
        <v>245310.99900000001</v>
      </c>
      <c r="H138" s="1586">
        <v>240692.6</v>
      </c>
      <c r="I138" s="1586">
        <v>240692.6</v>
      </c>
      <c r="J138" s="1586">
        <v>240692</v>
      </c>
      <c r="K138" s="141" t="s">
        <v>1020</v>
      </c>
      <c r="L138" s="122" t="s">
        <v>989</v>
      </c>
      <c r="M138" s="412">
        <v>345</v>
      </c>
      <c r="N138" s="412">
        <v>345</v>
      </c>
      <c r="O138" s="412">
        <v>345</v>
      </c>
      <c r="P138" s="412">
        <v>345</v>
      </c>
      <c r="Q138" s="412">
        <v>345</v>
      </c>
    </row>
    <row r="139" spans="1:17" s="6" customFormat="1" ht="60" x14ac:dyDescent="0.25">
      <c r="A139" s="1193"/>
      <c r="B139" s="1283"/>
      <c r="C139" s="1301"/>
      <c r="D139" s="1301"/>
      <c r="E139" s="1324"/>
      <c r="F139" s="1586"/>
      <c r="G139" s="1586"/>
      <c r="H139" s="1586"/>
      <c r="I139" s="1586"/>
      <c r="J139" s="1586"/>
      <c r="K139" s="658" t="s">
        <v>1021</v>
      </c>
      <c r="L139" s="46" t="s">
        <v>989</v>
      </c>
      <c r="M139" s="412">
        <v>305</v>
      </c>
      <c r="N139" s="412">
        <v>305</v>
      </c>
      <c r="O139" s="412">
        <v>367</v>
      </c>
      <c r="P139" s="412">
        <v>367</v>
      </c>
      <c r="Q139" s="412">
        <v>367</v>
      </c>
    </row>
    <row r="140" spans="1:17" s="6" customFormat="1" ht="45" x14ac:dyDescent="0.25">
      <c r="A140" s="1193"/>
      <c r="B140" s="1283"/>
      <c r="C140" s="422" t="s">
        <v>19</v>
      </c>
      <c r="D140" s="422"/>
      <c r="E140" s="141" t="s">
        <v>1022</v>
      </c>
      <c r="F140" s="46">
        <v>242375.64815999998</v>
      </c>
      <c r="G140" s="46">
        <v>317760.67499999999</v>
      </c>
      <c r="H140" s="46">
        <v>352792</v>
      </c>
      <c r="I140" s="46">
        <f>352792.1+0.4</f>
        <v>352792.5</v>
      </c>
      <c r="J140" s="46">
        <v>352792.1</v>
      </c>
      <c r="K140" s="141" t="s">
        <v>1023</v>
      </c>
      <c r="L140" s="122" t="s">
        <v>989</v>
      </c>
      <c r="M140" s="421" t="s">
        <v>1024</v>
      </c>
      <c r="N140" s="421" t="s">
        <v>1024</v>
      </c>
      <c r="O140" s="421" t="s">
        <v>1024</v>
      </c>
      <c r="P140" s="421" t="s">
        <v>1025</v>
      </c>
      <c r="Q140" s="421" t="s">
        <v>1024</v>
      </c>
    </row>
    <row r="141" spans="1:17" s="6" customFormat="1" x14ac:dyDescent="0.25">
      <c r="A141" s="1186"/>
      <c r="B141" s="391" t="s">
        <v>1200</v>
      </c>
      <c r="C141" s="391" t="s">
        <v>658</v>
      </c>
      <c r="D141" s="422"/>
      <c r="E141" s="502" t="s">
        <v>1026</v>
      </c>
      <c r="F141" s="46">
        <v>1993</v>
      </c>
      <c r="G141" s="46">
        <v>79560</v>
      </c>
      <c r="H141" s="46">
        <f>44589+2099332</f>
        <v>2143921</v>
      </c>
      <c r="I141" s="46">
        <v>2169680</v>
      </c>
      <c r="J141" s="46">
        <v>2408440</v>
      </c>
      <c r="K141" s="141"/>
      <c r="L141" s="122"/>
      <c r="M141" s="122"/>
      <c r="N141" s="122"/>
      <c r="O141" s="122"/>
      <c r="P141" s="122"/>
      <c r="Q141" s="122"/>
    </row>
    <row r="142" spans="1:17" s="6" customFormat="1" x14ac:dyDescent="0.25">
      <c r="A142" s="1590" t="s">
        <v>1027</v>
      </c>
      <c r="B142" s="1591"/>
      <c r="C142" s="1591"/>
      <c r="D142" s="1591"/>
      <c r="E142" s="1592"/>
      <c r="F142" s="661">
        <f>F85+F96+F112+F133</f>
        <v>6711165.5715099992</v>
      </c>
      <c r="G142" s="661">
        <f>G85+G96+G112+G133</f>
        <v>6657754.9450000003</v>
      </c>
      <c r="H142" s="661">
        <f>H85+H96+H112+H133</f>
        <v>9769167.959999999</v>
      </c>
      <c r="I142" s="661">
        <f>I85+I96+I112+I133</f>
        <v>10111737.059999999</v>
      </c>
      <c r="J142" s="661">
        <f>J85+J96+J112+J133</f>
        <v>10358542.059999999</v>
      </c>
      <c r="K142" s="662"/>
      <c r="L142" s="663"/>
      <c r="M142" s="663"/>
      <c r="N142" s="664"/>
      <c r="O142" s="664"/>
      <c r="P142" s="664"/>
      <c r="Q142" s="664"/>
    </row>
    <row r="143" spans="1:17" x14ac:dyDescent="0.25">
      <c r="A143" s="1153" t="s">
        <v>1240</v>
      </c>
      <c r="B143" s="1155"/>
      <c r="C143" s="1155"/>
      <c r="D143" s="1155"/>
      <c r="E143" s="1155"/>
      <c r="F143" s="1155"/>
      <c r="G143" s="1155"/>
      <c r="H143" s="1155"/>
      <c r="I143" s="1155"/>
      <c r="J143" s="1155"/>
      <c r="K143" s="1155"/>
      <c r="L143" s="1155"/>
      <c r="M143" s="1155"/>
      <c r="N143" s="1155"/>
      <c r="O143" s="1155"/>
      <c r="P143" s="1155"/>
      <c r="Q143" s="1156"/>
    </row>
    <row r="144" spans="1:17" ht="59.25" x14ac:dyDescent="0.25">
      <c r="A144" s="1599">
        <v>41</v>
      </c>
      <c r="B144" s="391" t="s">
        <v>8</v>
      </c>
      <c r="C144" s="665"/>
      <c r="D144" s="665"/>
      <c r="E144" s="394" t="s">
        <v>1213</v>
      </c>
      <c r="F144" s="381">
        <f>F145+F146</f>
        <v>155114.90000000002</v>
      </c>
      <c r="G144" s="381">
        <f>G145+G146</f>
        <v>152219.29999999999</v>
      </c>
      <c r="H144" s="381">
        <f>H145+H146</f>
        <v>162547.6</v>
      </c>
      <c r="I144" s="381">
        <f>I145+I146</f>
        <v>164378.5</v>
      </c>
      <c r="J144" s="381">
        <f>J145+J146</f>
        <v>166576.5</v>
      </c>
      <c r="K144" s="141" t="s">
        <v>9</v>
      </c>
      <c r="L144" s="122"/>
      <c r="M144" s="122"/>
      <c r="N144" s="122"/>
      <c r="O144" s="122"/>
      <c r="P144" s="122"/>
      <c r="Q144" s="122"/>
    </row>
    <row r="145" spans="1:17" ht="30" x14ac:dyDescent="0.25">
      <c r="A145" s="1600"/>
      <c r="B145" s="422"/>
      <c r="C145" s="422" t="s">
        <v>17</v>
      </c>
      <c r="D145" s="422"/>
      <c r="E145" s="141" t="s">
        <v>10</v>
      </c>
      <c r="F145" s="504">
        <v>74991.3</v>
      </c>
      <c r="G145" s="122">
        <v>63264.2</v>
      </c>
      <c r="H145" s="122">
        <v>73592.5</v>
      </c>
      <c r="I145" s="410">
        <v>74622.5</v>
      </c>
      <c r="J145" s="122">
        <v>75772.5</v>
      </c>
      <c r="K145" s="141" t="s">
        <v>174</v>
      </c>
      <c r="L145" s="395">
        <v>0</v>
      </c>
      <c r="M145" s="395">
        <v>0</v>
      </c>
      <c r="N145" s="395">
        <v>0</v>
      </c>
      <c r="O145" s="395">
        <v>0</v>
      </c>
      <c r="P145" s="395">
        <v>0</v>
      </c>
      <c r="Q145" s="395">
        <v>0</v>
      </c>
    </row>
    <row r="146" spans="1:17" x14ac:dyDescent="0.25">
      <c r="A146" s="1600"/>
      <c r="B146" s="422"/>
      <c r="C146" s="422" t="s">
        <v>18</v>
      </c>
      <c r="D146" s="422"/>
      <c r="E146" s="141" t="s">
        <v>11</v>
      </c>
      <c r="F146" s="504">
        <v>80123.600000000006</v>
      </c>
      <c r="G146" s="122">
        <v>88955.1</v>
      </c>
      <c r="H146" s="122">
        <v>88955.1</v>
      </c>
      <c r="I146" s="122">
        <v>89756</v>
      </c>
      <c r="J146" s="122">
        <v>90804</v>
      </c>
      <c r="K146" s="141" t="s">
        <v>174</v>
      </c>
      <c r="L146" s="395">
        <v>0</v>
      </c>
      <c r="M146" s="395">
        <v>0</v>
      </c>
      <c r="N146" s="395">
        <v>0</v>
      </c>
      <c r="O146" s="395">
        <v>0</v>
      </c>
      <c r="P146" s="395">
        <v>0</v>
      </c>
      <c r="Q146" s="395">
        <v>0</v>
      </c>
    </row>
    <row r="147" spans="1:17" ht="28.5" x14ac:dyDescent="0.25">
      <c r="A147" s="1600"/>
      <c r="B147" s="1408" t="s">
        <v>1910</v>
      </c>
      <c r="C147" s="1408"/>
      <c r="D147" s="1703"/>
      <c r="E147" s="1706" t="s">
        <v>1214</v>
      </c>
      <c r="F147" s="1709">
        <f>F150+F153+F156+F157+F160+F161+F162+F163</f>
        <v>300313.3</v>
      </c>
      <c r="G147" s="1709">
        <f>G150+G153+G156+G157+G160+G161+G162+G163</f>
        <v>428095.3</v>
      </c>
      <c r="H147" s="1709">
        <f>H150+H153+H156+H157+H160+H161+H162+H163</f>
        <v>1363687.9</v>
      </c>
      <c r="I147" s="1709">
        <f>I150+I153+I156+I157+I160+I161+I162+I163</f>
        <v>1274732.1000000001</v>
      </c>
      <c r="J147" s="1709">
        <f>J150+J153+J156+J157+J160+J161+J162+J163</f>
        <v>1406540</v>
      </c>
      <c r="K147" s="666" t="s">
        <v>175</v>
      </c>
      <c r="L147" s="395" t="s">
        <v>36</v>
      </c>
      <c r="M147" s="395">
        <v>144560.5</v>
      </c>
      <c r="N147" s="665">
        <v>165038.5</v>
      </c>
      <c r="O147" s="665">
        <v>174472.1</v>
      </c>
      <c r="P147" s="665">
        <v>184354.2</v>
      </c>
      <c r="Q147" s="665">
        <v>197197.4</v>
      </c>
    </row>
    <row r="148" spans="1:17" ht="42.75" x14ac:dyDescent="0.25">
      <c r="A148" s="1600"/>
      <c r="B148" s="1409"/>
      <c r="C148" s="1409"/>
      <c r="D148" s="1704"/>
      <c r="E148" s="1707"/>
      <c r="F148" s="1710"/>
      <c r="G148" s="1710"/>
      <c r="H148" s="1710"/>
      <c r="I148" s="1710"/>
      <c r="J148" s="1710"/>
      <c r="K148" s="502" t="s">
        <v>176</v>
      </c>
      <c r="L148" s="395" t="s">
        <v>14</v>
      </c>
      <c r="M148" s="667">
        <v>101.9</v>
      </c>
      <c r="N148" s="668">
        <v>102</v>
      </c>
      <c r="O148" s="668">
        <v>102.2</v>
      </c>
      <c r="P148" s="668">
        <v>102.3</v>
      </c>
      <c r="Q148" s="668">
        <v>102.4</v>
      </c>
    </row>
    <row r="149" spans="1:17" ht="28.5" x14ac:dyDescent="0.25">
      <c r="A149" s="1600"/>
      <c r="B149" s="1621"/>
      <c r="C149" s="1621"/>
      <c r="D149" s="1705"/>
      <c r="E149" s="1708"/>
      <c r="F149" s="1711"/>
      <c r="G149" s="1711"/>
      <c r="H149" s="1711"/>
      <c r="I149" s="1711"/>
      <c r="J149" s="1711"/>
      <c r="K149" s="669" t="s">
        <v>38</v>
      </c>
      <c r="L149" s="670" t="s">
        <v>39</v>
      </c>
      <c r="M149" s="395">
        <v>9030.9</v>
      </c>
      <c r="N149" s="395">
        <v>9030.9</v>
      </c>
      <c r="O149" s="395">
        <v>9030.9</v>
      </c>
      <c r="P149" s="395">
        <v>9030.9</v>
      </c>
      <c r="Q149" s="395">
        <v>9030.9</v>
      </c>
    </row>
    <row r="150" spans="1:17" ht="30" x14ac:dyDescent="0.25">
      <c r="A150" s="1600"/>
      <c r="B150" s="1313"/>
      <c r="C150" s="1313" t="s">
        <v>17</v>
      </c>
      <c r="D150" s="1313"/>
      <c r="E150" s="1275" t="s">
        <v>40</v>
      </c>
      <c r="F150" s="1279">
        <v>5653.8</v>
      </c>
      <c r="G150" s="1279">
        <v>4851.3</v>
      </c>
      <c r="H150" s="1279">
        <v>4801.3</v>
      </c>
      <c r="I150" s="1279">
        <v>4851.5</v>
      </c>
      <c r="J150" s="1279">
        <v>4891.5</v>
      </c>
      <c r="K150" s="467" t="s">
        <v>1383</v>
      </c>
      <c r="L150" s="122" t="s">
        <v>14</v>
      </c>
      <c r="M150" s="122"/>
      <c r="N150" s="671">
        <v>9.7000000000000003E-2</v>
      </c>
      <c r="O150" s="400"/>
      <c r="P150" s="400"/>
      <c r="Q150" s="400"/>
    </row>
    <row r="151" spans="1:17" x14ac:dyDescent="0.25">
      <c r="A151" s="1600"/>
      <c r="B151" s="1334"/>
      <c r="C151" s="1334"/>
      <c r="D151" s="1334"/>
      <c r="E151" s="1545"/>
      <c r="F151" s="1337"/>
      <c r="G151" s="1337"/>
      <c r="H151" s="1337"/>
      <c r="I151" s="1337"/>
      <c r="J151" s="1337"/>
      <c r="K151" s="467" t="s">
        <v>41</v>
      </c>
      <c r="L151" s="122" t="s">
        <v>37</v>
      </c>
      <c r="M151" s="122">
        <v>82000</v>
      </c>
      <c r="N151" s="400">
        <v>90000</v>
      </c>
      <c r="O151" s="400">
        <v>90000</v>
      </c>
      <c r="P151" s="400">
        <v>90000</v>
      </c>
      <c r="Q151" s="400">
        <v>90000</v>
      </c>
    </row>
    <row r="152" spans="1:17" x14ac:dyDescent="0.25">
      <c r="A152" s="1600"/>
      <c r="B152" s="1314"/>
      <c r="C152" s="1314"/>
      <c r="D152" s="1314"/>
      <c r="E152" s="1276"/>
      <c r="F152" s="1280"/>
      <c r="G152" s="1280"/>
      <c r="H152" s="1280"/>
      <c r="I152" s="1280"/>
      <c r="J152" s="1280"/>
      <c r="K152" s="467" t="s">
        <v>42</v>
      </c>
      <c r="L152" s="122" t="s">
        <v>37</v>
      </c>
      <c r="M152" s="122">
        <v>0</v>
      </c>
      <c r="N152" s="400">
        <v>30000</v>
      </c>
      <c r="O152" s="400">
        <v>30000</v>
      </c>
      <c r="P152" s="400">
        <v>30000</v>
      </c>
      <c r="Q152" s="400">
        <v>30000</v>
      </c>
    </row>
    <row r="153" spans="1:17" ht="30" x14ac:dyDescent="0.25">
      <c r="A153" s="1600"/>
      <c r="B153" s="1301"/>
      <c r="C153" s="1301" t="s">
        <v>18</v>
      </c>
      <c r="D153" s="1313"/>
      <c r="E153" s="1335" t="s">
        <v>43</v>
      </c>
      <c r="F153" s="1586">
        <v>5134.3999999999996</v>
      </c>
      <c r="G153" s="1586">
        <v>4337.5</v>
      </c>
      <c r="H153" s="1586">
        <v>4807.5</v>
      </c>
      <c r="I153" s="1586">
        <v>4851.3</v>
      </c>
      <c r="J153" s="1586">
        <v>4891.3</v>
      </c>
      <c r="K153" s="672" t="s">
        <v>45</v>
      </c>
      <c r="L153" s="122" t="s">
        <v>36</v>
      </c>
      <c r="M153" s="122">
        <v>139</v>
      </c>
      <c r="N153" s="400">
        <v>143</v>
      </c>
      <c r="O153" s="400">
        <v>147</v>
      </c>
      <c r="P153" s="400">
        <v>151</v>
      </c>
      <c r="Q153" s="400">
        <v>154</v>
      </c>
    </row>
    <row r="154" spans="1:17" ht="30" x14ac:dyDescent="0.25">
      <c r="A154" s="1600"/>
      <c r="B154" s="1301"/>
      <c r="C154" s="1301"/>
      <c r="D154" s="1334"/>
      <c r="E154" s="1335"/>
      <c r="F154" s="1586"/>
      <c r="G154" s="1586"/>
      <c r="H154" s="1586"/>
      <c r="I154" s="1586"/>
      <c r="J154" s="1586"/>
      <c r="K154" s="522" t="s">
        <v>44</v>
      </c>
      <c r="L154" s="464" t="s">
        <v>39</v>
      </c>
      <c r="M154" s="122">
        <v>3977.9</v>
      </c>
      <c r="N154" s="122">
        <v>3977.9</v>
      </c>
      <c r="O154" s="122">
        <v>3977.9</v>
      </c>
      <c r="P154" s="122">
        <v>3977.9</v>
      </c>
      <c r="Q154" s="122">
        <v>3977.9</v>
      </c>
    </row>
    <row r="155" spans="1:17" ht="30" x14ac:dyDescent="0.25">
      <c r="A155" s="1600"/>
      <c r="B155" s="1301"/>
      <c r="C155" s="1301"/>
      <c r="D155" s="1314"/>
      <c r="E155" s="1335"/>
      <c r="F155" s="1586"/>
      <c r="G155" s="1586"/>
      <c r="H155" s="1586"/>
      <c r="I155" s="1586"/>
      <c r="J155" s="1586"/>
      <c r="K155" s="522" t="s">
        <v>46</v>
      </c>
      <c r="L155" s="464" t="s">
        <v>12</v>
      </c>
      <c r="M155" s="122">
        <v>454</v>
      </c>
      <c r="N155" s="122">
        <v>454</v>
      </c>
      <c r="O155" s="122">
        <v>454</v>
      </c>
      <c r="P155" s="122">
        <v>454</v>
      </c>
      <c r="Q155" s="122">
        <v>454</v>
      </c>
    </row>
    <row r="156" spans="1:17" ht="45" x14ac:dyDescent="0.25">
      <c r="A156" s="1600"/>
      <c r="B156" s="422"/>
      <c r="C156" s="422" t="s">
        <v>16</v>
      </c>
      <c r="D156" s="422"/>
      <c r="E156" s="141" t="s">
        <v>47</v>
      </c>
      <c r="F156" s="46">
        <v>5921.2</v>
      </c>
      <c r="G156" s="46">
        <v>6118.7</v>
      </c>
      <c r="H156" s="46">
        <v>7085.4</v>
      </c>
      <c r="I156" s="46">
        <v>7142.1</v>
      </c>
      <c r="J156" s="46">
        <v>7186.9</v>
      </c>
      <c r="K156" s="141" t="s">
        <v>177</v>
      </c>
      <c r="L156" s="400" t="s">
        <v>48</v>
      </c>
      <c r="M156" s="122">
        <v>19</v>
      </c>
      <c r="N156" s="400">
        <v>20</v>
      </c>
      <c r="O156" s="400">
        <v>21</v>
      </c>
      <c r="P156" s="400">
        <v>21</v>
      </c>
      <c r="Q156" s="400">
        <v>22</v>
      </c>
    </row>
    <row r="157" spans="1:17" ht="30" x14ac:dyDescent="0.25">
      <c r="A157" s="1600"/>
      <c r="B157" s="1301"/>
      <c r="C157" s="1301" t="s">
        <v>19</v>
      </c>
      <c r="D157" s="1313"/>
      <c r="E157" s="1335" t="s">
        <v>49</v>
      </c>
      <c r="F157" s="1586">
        <v>16940.7</v>
      </c>
      <c r="G157" s="1586">
        <v>12335.8</v>
      </c>
      <c r="H157" s="1586">
        <v>20804.7</v>
      </c>
      <c r="I157" s="1586">
        <v>21717.200000000001</v>
      </c>
      <c r="J157" s="1586">
        <v>18340.3</v>
      </c>
      <c r="K157" s="141" t="s">
        <v>50</v>
      </c>
      <c r="L157" s="122" t="s">
        <v>51</v>
      </c>
      <c r="M157" s="400">
        <v>10344.200000000001</v>
      </c>
      <c r="N157" s="400">
        <v>20000</v>
      </c>
      <c r="O157" s="400">
        <v>30000</v>
      </c>
      <c r="P157" s="400">
        <v>40000</v>
      </c>
      <c r="Q157" s="400">
        <v>50000</v>
      </c>
    </row>
    <row r="158" spans="1:17" ht="30" x14ac:dyDescent="0.25">
      <c r="A158" s="1600"/>
      <c r="B158" s="1301"/>
      <c r="C158" s="1301"/>
      <c r="D158" s="1334"/>
      <c r="E158" s="1335"/>
      <c r="F158" s="1586"/>
      <c r="G158" s="1586"/>
      <c r="H158" s="1586"/>
      <c r="I158" s="1586"/>
      <c r="J158" s="1586"/>
      <c r="K158" s="141" t="s">
        <v>52</v>
      </c>
      <c r="L158" s="122" t="s">
        <v>53</v>
      </c>
      <c r="M158" s="400">
        <v>17.600000000000001</v>
      </c>
      <c r="N158" s="400">
        <v>18</v>
      </c>
      <c r="O158" s="400">
        <v>19</v>
      </c>
      <c r="P158" s="400">
        <v>20</v>
      </c>
      <c r="Q158" s="400">
        <v>21</v>
      </c>
    </row>
    <row r="159" spans="1:17" ht="30" x14ac:dyDescent="0.25">
      <c r="A159" s="1600"/>
      <c r="B159" s="1301"/>
      <c r="C159" s="1301"/>
      <c r="D159" s="1314"/>
      <c r="E159" s="1335"/>
      <c r="F159" s="1586"/>
      <c r="G159" s="1586"/>
      <c r="H159" s="1586"/>
      <c r="I159" s="1586"/>
      <c r="J159" s="1586"/>
      <c r="K159" s="467" t="s">
        <v>54</v>
      </c>
      <c r="L159" s="464" t="s">
        <v>13</v>
      </c>
      <c r="M159" s="122">
        <v>12476</v>
      </c>
      <c r="N159" s="400">
        <v>12000</v>
      </c>
      <c r="O159" s="400">
        <v>12000</v>
      </c>
      <c r="P159" s="400">
        <v>12000</v>
      </c>
      <c r="Q159" s="400">
        <v>12000</v>
      </c>
    </row>
    <row r="160" spans="1:17" ht="30" x14ac:dyDescent="0.25">
      <c r="A160" s="1600"/>
      <c r="B160" s="422"/>
      <c r="C160" s="422" t="s">
        <v>20</v>
      </c>
      <c r="D160" s="422"/>
      <c r="E160" s="141" t="s">
        <v>55</v>
      </c>
      <c r="F160" s="46">
        <v>82359</v>
      </c>
      <c r="G160" s="46">
        <v>0</v>
      </c>
      <c r="H160" s="46">
        <v>0</v>
      </c>
      <c r="I160" s="46">
        <v>0</v>
      </c>
      <c r="J160" s="46">
        <v>0</v>
      </c>
      <c r="K160" s="141"/>
      <c r="L160" s="395">
        <v>0</v>
      </c>
      <c r="M160" s="395">
        <v>0</v>
      </c>
      <c r="N160" s="395">
        <v>0</v>
      </c>
      <c r="O160" s="395">
        <v>0</v>
      </c>
      <c r="P160" s="395">
        <v>0</v>
      </c>
      <c r="Q160" s="395">
        <v>0</v>
      </c>
    </row>
    <row r="161" spans="1:17" ht="45" x14ac:dyDescent="0.25">
      <c r="A161" s="1600"/>
      <c r="B161" s="422"/>
      <c r="C161" s="422" t="s">
        <v>21</v>
      </c>
      <c r="D161" s="655"/>
      <c r="E161" s="141" t="s">
        <v>2039</v>
      </c>
      <c r="F161" s="46">
        <v>152943.9</v>
      </c>
      <c r="G161" s="46">
        <v>400452</v>
      </c>
      <c r="H161" s="46">
        <f>21004+534000+356000</f>
        <v>911004</v>
      </c>
      <c r="I161" s="46">
        <v>440577.5</v>
      </c>
      <c r="J161" s="46">
        <v>0</v>
      </c>
      <c r="K161" s="141" t="s">
        <v>178</v>
      </c>
      <c r="L161" s="122" t="s">
        <v>14</v>
      </c>
      <c r="M161" s="122"/>
      <c r="N161" s="400"/>
      <c r="O161" s="400"/>
      <c r="P161" s="400"/>
      <c r="Q161" s="400"/>
    </row>
    <row r="162" spans="1:17" ht="30" x14ac:dyDescent="0.25">
      <c r="A162" s="1600"/>
      <c r="B162" s="422"/>
      <c r="C162" s="422" t="s">
        <v>22</v>
      </c>
      <c r="D162" s="422"/>
      <c r="E162" s="141" t="s">
        <v>56</v>
      </c>
      <c r="F162" s="46">
        <v>31360.3</v>
      </c>
      <c r="G162" s="46">
        <v>0</v>
      </c>
      <c r="H162" s="46">
        <f>84550+89000+17800</f>
        <v>191350</v>
      </c>
      <c r="I162" s="46">
        <v>189625</v>
      </c>
      <c r="J162" s="46">
        <v>126445</v>
      </c>
      <c r="K162" s="141"/>
      <c r="L162" s="395">
        <v>0</v>
      </c>
      <c r="M162" s="395">
        <v>0</v>
      </c>
      <c r="N162" s="395">
        <v>0</v>
      </c>
      <c r="O162" s="395">
        <v>0</v>
      </c>
      <c r="P162" s="395">
        <v>0</v>
      </c>
      <c r="Q162" s="395">
        <v>0</v>
      </c>
    </row>
    <row r="163" spans="1:17" ht="30" x14ac:dyDescent="0.25">
      <c r="A163" s="1600"/>
      <c r="B163" s="422"/>
      <c r="C163" s="422" t="s">
        <v>23</v>
      </c>
      <c r="D163" s="422"/>
      <c r="E163" s="141" t="s">
        <v>179</v>
      </c>
      <c r="F163" s="46">
        <v>0</v>
      </c>
      <c r="G163" s="46">
        <v>0</v>
      </c>
      <c r="H163" s="46">
        <f>1335+89000+133500</f>
        <v>223835</v>
      </c>
      <c r="I163" s="46">
        <v>605967.5</v>
      </c>
      <c r="J163" s="46">
        <v>1244785</v>
      </c>
      <c r="K163" s="141"/>
      <c r="L163" s="395"/>
      <c r="M163" s="395"/>
      <c r="N163" s="395"/>
      <c r="O163" s="395"/>
      <c r="P163" s="395"/>
      <c r="Q163" s="395"/>
    </row>
    <row r="164" spans="1:17" ht="28.5" x14ac:dyDescent="0.25">
      <c r="A164" s="1600"/>
      <c r="B164" s="1408" t="s">
        <v>1911</v>
      </c>
      <c r="C164" s="1625"/>
      <c r="D164" s="1625"/>
      <c r="E164" s="1626" t="s">
        <v>1215</v>
      </c>
      <c r="F164" s="1619">
        <f>F168+F174+F177+F183+F186+F188+F191+F192</f>
        <v>207916.1</v>
      </c>
      <c r="G164" s="1619">
        <f>G168+G174+G177+G183+G186+G188+G191+G192</f>
        <v>214489.9</v>
      </c>
      <c r="H164" s="1619">
        <f>H168+H174+H177+H183+H186+H188+H191+H192</f>
        <v>237075.3</v>
      </c>
      <c r="I164" s="1619">
        <f>I168+I174+I177+I183+I186+I188+I191+I192</f>
        <v>237029.7</v>
      </c>
      <c r="J164" s="1619">
        <f>J168+J174+J177+J183+J186+J188+J191+J192</f>
        <v>242089.80000000005</v>
      </c>
      <c r="K164" s="394" t="s">
        <v>180</v>
      </c>
      <c r="L164" s="395" t="s">
        <v>36</v>
      </c>
      <c r="M164" s="381">
        <v>172283.2</v>
      </c>
      <c r="N164" s="770">
        <v>194134.8</v>
      </c>
      <c r="O164" s="770">
        <v>211502.3</v>
      </c>
      <c r="P164" s="770">
        <v>233232.6</v>
      </c>
      <c r="Q164" s="770">
        <v>261029.2</v>
      </c>
    </row>
    <row r="165" spans="1:17" ht="42.75" x14ac:dyDescent="0.25">
      <c r="A165" s="1600"/>
      <c r="B165" s="1409"/>
      <c r="C165" s="1625"/>
      <c r="D165" s="1625"/>
      <c r="E165" s="1626"/>
      <c r="F165" s="1619"/>
      <c r="G165" s="1619"/>
      <c r="H165" s="1619"/>
      <c r="I165" s="1619"/>
      <c r="J165" s="1619"/>
      <c r="K165" s="673" t="s">
        <v>181</v>
      </c>
      <c r="L165" s="395" t="s">
        <v>14</v>
      </c>
      <c r="M165" s="395">
        <v>88.4</v>
      </c>
      <c r="N165" s="665">
        <v>102.2</v>
      </c>
      <c r="O165" s="665">
        <v>102.2</v>
      </c>
      <c r="P165" s="665">
        <v>102.4</v>
      </c>
      <c r="Q165" s="665">
        <v>102.5</v>
      </c>
    </row>
    <row r="166" spans="1:17" ht="28.5" x14ac:dyDescent="0.25">
      <c r="A166" s="1600"/>
      <c r="B166" s="1409"/>
      <c r="C166" s="1625"/>
      <c r="D166" s="1625"/>
      <c r="E166" s="1626"/>
      <c r="F166" s="1619"/>
      <c r="G166" s="1619"/>
      <c r="H166" s="1619"/>
      <c r="I166" s="1619"/>
      <c r="J166" s="1619"/>
      <c r="K166" s="394" t="s">
        <v>182</v>
      </c>
      <c r="L166" s="395" t="s">
        <v>39</v>
      </c>
      <c r="M166" s="122"/>
      <c r="N166" s="400"/>
      <c r="O166" s="400"/>
      <c r="P166" s="400"/>
      <c r="Q166" s="400"/>
    </row>
    <row r="167" spans="1:17" ht="71.25" x14ac:dyDescent="0.25">
      <c r="A167" s="1600"/>
      <c r="B167" s="1621"/>
      <c r="C167" s="1625"/>
      <c r="D167" s="1625"/>
      <c r="E167" s="1626"/>
      <c r="F167" s="1619"/>
      <c r="G167" s="1619"/>
      <c r="H167" s="1619"/>
      <c r="I167" s="1619"/>
      <c r="J167" s="1619"/>
      <c r="K167" s="674" t="s">
        <v>58</v>
      </c>
      <c r="L167" s="670" t="s">
        <v>36</v>
      </c>
      <c r="M167" s="122"/>
      <c r="N167" s="400"/>
      <c r="O167" s="400"/>
      <c r="P167" s="400"/>
      <c r="Q167" s="400"/>
    </row>
    <row r="168" spans="1:17" ht="45" x14ac:dyDescent="0.25">
      <c r="A168" s="1600"/>
      <c r="B168" s="1301"/>
      <c r="C168" s="1301" t="s">
        <v>17</v>
      </c>
      <c r="D168" s="1313"/>
      <c r="E168" s="1335" t="s">
        <v>59</v>
      </c>
      <c r="F168" s="1586">
        <v>80376.899999999994</v>
      </c>
      <c r="G168" s="1586">
        <v>120810.2</v>
      </c>
      <c r="H168" s="1586">
        <v>147424.6</v>
      </c>
      <c r="I168" s="1586">
        <v>146969.9</v>
      </c>
      <c r="J168" s="1586">
        <v>151162.9</v>
      </c>
      <c r="K168" s="141" t="s">
        <v>60</v>
      </c>
      <c r="L168" s="122" t="s">
        <v>39</v>
      </c>
      <c r="M168" s="410">
        <v>49</v>
      </c>
      <c r="N168" s="444">
        <v>70.7</v>
      </c>
      <c r="O168" s="444">
        <v>70.7</v>
      </c>
      <c r="P168" s="444">
        <v>70.7</v>
      </c>
      <c r="Q168" s="444">
        <v>70.7</v>
      </c>
    </row>
    <row r="169" spans="1:17" ht="45" x14ac:dyDescent="0.25">
      <c r="A169" s="1600"/>
      <c r="B169" s="1301"/>
      <c r="C169" s="1301"/>
      <c r="D169" s="1334"/>
      <c r="E169" s="1335"/>
      <c r="F169" s="1586"/>
      <c r="G169" s="1586"/>
      <c r="H169" s="1586"/>
      <c r="I169" s="1586"/>
      <c r="J169" s="1586"/>
      <c r="K169" s="141" t="s">
        <v>61</v>
      </c>
      <c r="L169" s="122" t="s">
        <v>39</v>
      </c>
      <c r="M169" s="410">
        <v>7.0000000000000007E-2</v>
      </c>
      <c r="N169" s="444">
        <v>0.1</v>
      </c>
      <c r="O169" s="444">
        <v>0.1</v>
      </c>
      <c r="P169" s="444">
        <v>0.1</v>
      </c>
      <c r="Q169" s="444">
        <v>0.1</v>
      </c>
    </row>
    <row r="170" spans="1:17" ht="30" x14ac:dyDescent="0.25">
      <c r="A170" s="1600"/>
      <c r="B170" s="1301"/>
      <c r="C170" s="1301"/>
      <c r="D170" s="1334"/>
      <c r="E170" s="1335"/>
      <c r="F170" s="1586"/>
      <c r="G170" s="1586"/>
      <c r="H170" s="1586"/>
      <c r="I170" s="1586"/>
      <c r="J170" s="1586"/>
      <c r="K170" s="141" t="s">
        <v>183</v>
      </c>
      <c r="L170" s="122" t="s">
        <v>39</v>
      </c>
      <c r="M170" s="410">
        <v>65</v>
      </c>
      <c r="N170" s="444">
        <v>70</v>
      </c>
      <c r="O170" s="444">
        <v>70</v>
      </c>
      <c r="P170" s="444">
        <v>70</v>
      </c>
      <c r="Q170" s="444">
        <v>70</v>
      </c>
    </row>
    <row r="171" spans="1:17" ht="45" x14ac:dyDescent="0.25">
      <c r="A171" s="1600"/>
      <c r="B171" s="1301"/>
      <c r="C171" s="1301"/>
      <c r="D171" s="1334"/>
      <c r="E171" s="1335"/>
      <c r="F171" s="1586"/>
      <c r="G171" s="1586"/>
      <c r="H171" s="1586"/>
      <c r="I171" s="1586"/>
      <c r="J171" s="1586"/>
      <c r="K171" s="141" t="s">
        <v>63</v>
      </c>
      <c r="L171" s="122" t="s">
        <v>39</v>
      </c>
      <c r="M171" s="410">
        <v>1.1000000000000001</v>
      </c>
      <c r="N171" s="444">
        <v>1.1000000000000001</v>
      </c>
      <c r="O171" s="444">
        <v>1.1000000000000001</v>
      </c>
      <c r="P171" s="444">
        <v>1.1000000000000001</v>
      </c>
      <c r="Q171" s="444">
        <v>1.1000000000000001</v>
      </c>
    </row>
    <row r="172" spans="1:17" ht="30" x14ac:dyDescent="0.25">
      <c r="A172" s="1600"/>
      <c r="B172" s="1301"/>
      <c r="C172" s="1301"/>
      <c r="D172" s="1334"/>
      <c r="E172" s="1335"/>
      <c r="F172" s="1586"/>
      <c r="G172" s="1586"/>
      <c r="H172" s="1586"/>
      <c r="I172" s="1586"/>
      <c r="J172" s="1586"/>
      <c r="K172" s="141" t="s">
        <v>1384</v>
      </c>
      <c r="L172" s="675" t="s">
        <v>14</v>
      </c>
      <c r="M172" s="410">
        <v>100</v>
      </c>
      <c r="N172" s="444">
        <v>100</v>
      </c>
      <c r="O172" s="444">
        <v>100</v>
      </c>
      <c r="P172" s="444">
        <v>100</v>
      </c>
      <c r="Q172" s="444">
        <v>100</v>
      </c>
    </row>
    <row r="173" spans="1:17" ht="30" x14ac:dyDescent="0.25">
      <c r="A173" s="1600"/>
      <c r="B173" s="1301"/>
      <c r="C173" s="1301"/>
      <c r="D173" s="1314"/>
      <c r="E173" s="1335"/>
      <c r="F173" s="1586"/>
      <c r="G173" s="1586"/>
      <c r="H173" s="1586"/>
      <c r="I173" s="1586"/>
      <c r="J173" s="1586"/>
      <c r="K173" s="141" t="s">
        <v>1385</v>
      </c>
      <c r="L173" s="122" t="s">
        <v>14</v>
      </c>
      <c r="M173" s="410">
        <v>97</v>
      </c>
      <c r="N173" s="444">
        <v>100</v>
      </c>
      <c r="O173" s="444">
        <v>100</v>
      </c>
      <c r="P173" s="444">
        <v>100</v>
      </c>
      <c r="Q173" s="444">
        <v>100</v>
      </c>
    </row>
    <row r="174" spans="1:17" x14ac:dyDescent="0.25">
      <c r="A174" s="1600"/>
      <c r="B174" s="1301"/>
      <c r="C174" s="1301" t="s">
        <v>18</v>
      </c>
      <c r="D174" s="1313"/>
      <c r="E174" s="1335" t="s">
        <v>64</v>
      </c>
      <c r="F174" s="1586">
        <v>18447.099999999999</v>
      </c>
      <c r="G174" s="1586">
        <v>22326.799999999999</v>
      </c>
      <c r="H174" s="1586">
        <v>17111.5</v>
      </c>
      <c r="I174" s="1586">
        <v>17104.3</v>
      </c>
      <c r="J174" s="1586">
        <v>17592.2</v>
      </c>
      <c r="K174" s="141" t="s">
        <v>66</v>
      </c>
      <c r="L174" s="122" t="s">
        <v>25</v>
      </c>
      <c r="M174" s="448">
        <v>35526</v>
      </c>
      <c r="N174" s="448">
        <v>35000</v>
      </c>
      <c r="O174" s="448">
        <v>35000</v>
      </c>
      <c r="P174" s="448">
        <v>35000</v>
      </c>
      <c r="Q174" s="448">
        <v>35000</v>
      </c>
    </row>
    <row r="175" spans="1:17" x14ac:dyDescent="0.25">
      <c r="A175" s="1600"/>
      <c r="B175" s="1301"/>
      <c r="C175" s="1301"/>
      <c r="D175" s="1334"/>
      <c r="E175" s="1335"/>
      <c r="F175" s="1586"/>
      <c r="G175" s="1586"/>
      <c r="H175" s="1586"/>
      <c r="I175" s="1586"/>
      <c r="J175" s="1586"/>
      <c r="K175" s="141" t="s">
        <v>184</v>
      </c>
      <c r="L175" s="122" t="s">
        <v>25</v>
      </c>
      <c r="M175" s="401">
        <v>12174</v>
      </c>
      <c r="N175" s="448">
        <v>13000</v>
      </c>
      <c r="O175" s="448">
        <v>13000</v>
      </c>
      <c r="P175" s="448">
        <v>13000</v>
      </c>
      <c r="Q175" s="448">
        <v>13000</v>
      </c>
    </row>
    <row r="176" spans="1:17" x14ac:dyDescent="0.25">
      <c r="A176" s="1600"/>
      <c r="B176" s="1301"/>
      <c r="C176" s="1301"/>
      <c r="D176" s="1314"/>
      <c r="E176" s="1335"/>
      <c r="F176" s="1586"/>
      <c r="G176" s="1586"/>
      <c r="H176" s="1586"/>
      <c r="I176" s="1586"/>
      <c r="J176" s="1586"/>
      <c r="K176" s="467" t="s">
        <v>65</v>
      </c>
      <c r="L176" s="464" t="s">
        <v>12</v>
      </c>
      <c r="M176" s="401">
        <v>12174</v>
      </c>
      <c r="N176" s="448">
        <v>13000</v>
      </c>
      <c r="O176" s="448">
        <v>13000</v>
      </c>
      <c r="P176" s="448">
        <v>13000</v>
      </c>
      <c r="Q176" s="448">
        <v>13000</v>
      </c>
    </row>
    <row r="177" spans="1:17" ht="45" x14ac:dyDescent="0.25">
      <c r="A177" s="1600"/>
      <c r="B177" s="1221"/>
      <c r="C177" s="1221" t="s">
        <v>16</v>
      </c>
      <c r="D177" s="1204"/>
      <c r="E177" s="1624" t="s">
        <v>67</v>
      </c>
      <c r="F177" s="1586" t="s">
        <v>185</v>
      </c>
      <c r="G177" s="1586" t="s">
        <v>68</v>
      </c>
      <c r="H177" s="1586">
        <v>21618.6</v>
      </c>
      <c r="I177" s="1586" t="s">
        <v>186</v>
      </c>
      <c r="J177" s="1586" t="s">
        <v>187</v>
      </c>
      <c r="K177" s="141" t="s">
        <v>69</v>
      </c>
      <c r="L177" s="122" t="s">
        <v>39</v>
      </c>
      <c r="M177" s="122">
        <v>50500</v>
      </c>
      <c r="N177" s="122">
        <v>59052</v>
      </c>
      <c r="O177" s="122">
        <v>62000</v>
      </c>
      <c r="P177" s="122">
        <v>64000</v>
      </c>
      <c r="Q177" s="122">
        <v>660000</v>
      </c>
    </row>
    <row r="178" spans="1:17" ht="30" x14ac:dyDescent="0.25">
      <c r="A178" s="1600"/>
      <c r="B178" s="1221"/>
      <c r="C178" s="1221"/>
      <c r="D178" s="1205"/>
      <c r="E178" s="1624"/>
      <c r="F178" s="1586"/>
      <c r="G178" s="1623"/>
      <c r="H178" s="1623"/>
      <c r="I178" s="1623"/>
      <c r="J178" s="1623"/>
      <c r="K178" s="141" t="s">
        <v>188</v>
      </c>
      <c r="L178" s="410"/>
      <c r="M178" s="410"/>
      <c r="N178" s="410"/>
      <c r="O178" s="122"/>
      <c r="P178" s="122"/>
      <c r="Q178" s="122"/>
    </row>
    <row r="179" spans="1:17" x14ac:dyDescent="0.25">
      <c r="A179" s="1600"/>
      <c r="B179" s="1221"/>
      <c r="C179" s="1221"/>
      <c r="D179" s="1205"/>
      <c r="E179" s="1624"/>
      <c r="F179" s="1586"/>
      <c r="G179" s="1623"/>
      <c r="H179" s="1623"/>
      <c r="I179" s="1623"/>
      <c r="J179" s="1623"/>
      <c r="K179" s="141" t="s">
        <v>70</v>
      </c>
      <c r="L179" s="122" t="s">
        <v>189</v>
      </c>
      <c r="M179" s="400">
        <v>16000</v>
      </c>
      <c r="N179" s="122">
        <v>37000</v>
      </c>
      <c r="O179" s="410">
        <v>37500</v>
      </c>
      <c r="P179" s="122">
        <v>38000</v>
      </c>
      <c r="Q179" s="410">
        <v>38500</v>
      </c>
    </row>
    <row r="180" spans="1:17" x14ac:dyDescent="0.25">
      <c r="A180" s="1600"/>
      <c r="B180" s="1221"/>
      <c r="C180" s="1221"/>
      <c r="D180" s="1205"/>
      <c r="E180" s="1624"/>
      <c r="F180" s="1586"/>
      <c r="G180" s="1623"/>
      <c r="H180" s="1623"/>
      <c r="I180" s="1623"/>
      <c r="J180" s="1623"/>
      <c r="K180" s="141" t="s">
        <v>71</v>
      </c>
      <c r="L180" s="122" t="s">
        <v>51</v>
      </c>
      <c r="M180" s="400">
        <v>21500</v>
      </c>
      <c r="N180" s="400">
        <v>32000</v>
      </c>
      <c r="O180" s="444">
        <v>32500</v>
      </c>
      <c r="P180" s="444">
        <v>33000</v>
      </c>
      <c r="Q180" s="444">
        <v>33500</v>
      </c>
    </row>
    <row r="181" spans="1:17" x14ac:dyDescent="0.25">
      <c r="A181" s="1600"/>
      <c r="B181" s="1221"/>
      <c r="C181" s="1221"/>
      <c r="D181" s="1205"/>
      <c r="E181" s="1624"/>
      <c r="F181" s="1586"/>
      <c r="G181" s="1623"/>
      <c r="H181" s="1623"/>
      <c r="I181" s="1623"/>
      <c r="J181" s="1623"/>
      <c r="K181" s="141" t="s">
        <v>72</v>
      </c>
      <c r="L181" s="122" t="s">
        <v>73</v>
      </c>
      <c r="M181" s="400">
        <v>106900</v>
      </c>
      <c r="N181" s="444">
        <v>176500</v>
      </c>
      <c r="O181" s="444">
        <v>177000</v>
      </c>
      <c r="P181" s="444">
        <v>177500</v>
      </c>
      <c r="Q181" s="444">
        <v>178000</v>
      </c>
    </row>
    <row r="182" spans="1:17" x14ac:dyDescent="0.25">
      <c r="A182" s="1600"/>
      <c r="B182" s="1221"/>
      <c r="C182" s="1221"/>
      <c r="D182" s="1206"/>
      <c r="E182" s="1624"/>
      <c r="F182" s="1586"/>
      <c r="G182" s="1623"/>
      <c r="H182" s="1623"/>
      <c r="I182" s="1623"/>
      <c r="J182" s="1623"/>
      <c r="K182" s="141" t="s">
        <v>74</v>
      </c>
      <c r="L182" s="122" t="s">
        <v>57</v>
      </c>
      <c r="M182" s="400">
        <v>14800</v>
      </c>
      <c r="N182" s="444">
        <v>25600</v>
      </c>
      <c r="O182" s="444">
        <v>25800</v>
      </c>
      <c r="P182" s="444">
        <v>26000</v>
      </c>
      <c r="Q182" s="444">
        <v>26200</v>
      </c>
    </row>
    <row r="183" spans="1:17" ht="60" x14ac:dyDescent="0.25">
      <c r="A183" s="1600"/>
      <c r="B183" s="1301"/>
      <c r="C183" s="1301" t="s">
        <v>19</v>
      </c>
      <c r="D183" s="1313"/>
      <c r="E183" s="1335" t="s">
        <v>75</v>
      </c>
      <c r="F183" s="1586">
        <v>64730.6</v>
      </c>
      <c r="G183" s="1586">
        <v>22442.400000000001</v>
      </c>
      <c r="H183" s="1586">
        <v>23854.5</v>
      </c>
      <c r="I183" s="1586">
        <v>23776.5</v>
      </c>
      <c r="J183" s="1586">
        <v>23931.200000000001</v>
      </c>
      <c r="K183" s="141" t="s">
        <v>190</v>
      </c>
      <c r="L183" s="122" t="s">
        <v>39</v>
      </c>
      <c r="M183" s="122">
        <v>9.1</v>
      </c>
      <c r="N183" s="122">
        <v>11</v>
      </c>
      <c r="O183" s="122">
        <v>11.5</v>
      </c>
      <c r="P183" s="122">
        <v>12.5</v>
      </c>
      <c r="Q183" s="122">
        <v>12.5</v>
      </c>
    </row>
    <row r="184" spans="1:17" ht="30" x14ac:dyDescent="0.25">
      <c r="A184" s="1600"/>
      <c r="B184" s="1301"/>
      <c r="C184" s="1301"/>
      <c r="D184" s="1334"/>
      <c r="E184" s="1335"/>
      <c r="F184" s="1586"/>
      <c r="G184" s="1586"/>
      <c r="H184" s="1586"/>
      <c r="I184" s="1586"/>
      <c r="J184" s="1586"/>
      <c r="K184" s="467" t="s">
        <v>76</v>
      </c>
      <c r="L184" s="464" t="s">
        <v>39</v>
      </c>
      <c r="M184" s="122">
        <v>2</v>
      </c>
      <c r="N184" s="122">
        <v>2</v>
      </c>
      <c r="O184" s="122">
        <v>2.5</v>
      </c>
      <c r="P184" s="122">
        <v>3</v>
      </c>
      <c r="Q184" s="122">
        <v>3</v>
      </c>
    </row>
    <row r="185" spans="1:17" x14ac:dyDescent="0.25">
      <c r="A185" s="1600"/>
      <c r="B185" s="1301"/>
      <c r="C185" s="1301"/>
      <c r="D185" s="1314"/>
      <c r="E185" s="1335"/>
      <c r="F185" s="1586"/>
      <c r="G185" s="1586"/>
      <c r="H185" s="1586"/>
      <c r="I185" s="1586"/>
      <c r="J185" s="1586"/>
      <c r="K185" s="141" t="s">
        <v>77</v>
      </c>
      <c r="L185" s="122" t="s">
        <v>62</v>
      </c>
      <c r="M185" s="410">
        <v>50</v>
      </c>
      <c r="N185" s="122">
        <v>53</v>
      </c>
      <c r="O185" s="122">
        <v>60</v>
      </c>
      <c r="P185" s="122">
        <v>69</v>
      </c>
      <c r="Q185" s="122">
        <v>69</v>
      </c>
    </row>
    <row r="186" spans="1:17" ht="60" x14ac:dyDescent="0.25">
      <c r="A186" s="1600"/>
      <c r="B186" s="1301"/>
      <c r="C186" s="1301" t="s">
        <v>20</v>
      </c>
      <c r="D186" s="1313"/>
      <c r="E186" s="1335" t="s">
        <v>78</v>
      </c>
      <c r="F186" s="1586">
        <v>3594.8</v>
      </c>
      <c r="G186" s="1586">
        <v>4921.2</v>
      </c>
      <c r="H186" s="1586">
        <v>3836.3</v>
      </c>
      <c r="I186" s="1586">
        <v>4161.2</v>
      </c>
      <c r="J186" s="1586">
        <v>4161.2</v>
      </c>
      <c r="K186" s="141" t="s">
        <v>79</v>
      </c>
      <c r="L186" s="122" t="s">
        <v>39</v>
      </c>
      <c r="M186" s="410">
        <v>3.6</v>
      </c>
      <c r="N186" s="410">
        <v>3.5</v>
      </c>
      <c r="O186" s="410">
        <v>3.6</v>
      </c>
      <c r="P186" s="410">
        <v>3.7</v>
      </c>
      <c r="Q186" s="410">
        <v>3.7</v>
      </c>
    </row>
    <row r="187" spans="1:17" ht="45" x14ac:dyDescent="0.25">
      <c r="A187" s="1600"/>
      <c r="B187" s="1301"/>
      <c r="C187" s="1301"/>
      <c r="D187" s="1314"/>
      <c r="E187" s="1335"/>
      <c r="F187" s="1586"/>
      <c r="G187" s="1586"/>
      <c r="H187" s="1586"/>
      <c r="I187" s="1586"/>
      <c r="J187" s="1586"/>
      <c r="K187" s="141" t="s">
        <v>80</v>
      </c>
      <c r="L187" s="122" t="s">
        <v>51</v>
      </c>
      <c r="M187" s="401">
        <v>370</v>
      </c>
      <c r="N187" s="401">
        <v>370</v>
      </c>
      <c r="O187" s="401">
        <v>390</v>
      </c>
      <c r="P187" s="401">
        <v>410</v>
      </c>
      <c r="Q187" s="401">
        <v>410</v>
      </c>
    </row>
    <row r="188" spans="1:17" ht="30" x14ac:dyDescent="0.25">
      <c r="A188" s="1600"/>
      <c r="B188" s="1301"/>
      <c r="C188" s="1301" t="s">
        <v>21</v>
      </c>
      <c r="D188" s="1313"/>
      <c r="E188" s="1335" t="s">
        <v>81</v>
      </c>
      <c r="F188" s="1586">
        <v>6388.1</v>
      </c>
      <c r="G188" s="1586">
        <v>6431.6</v>
      </c>
      <c r="H188" s="1586">
        <v>6562.9</v>
      </c>
      <c r="I188" s="1586">
        <v>6531.6</v>
      </c>
      <c r="J188" s="1586">
        <v>6531.6</v>
      </c>
      <c r="K188" s="141" t="s">
        <v>82</v>
      </c>
      <c r="L188" s="122" t="s">
        <v>83</v>
      </c>
      <c r="M188" s="122">
        <v>1314</v>
      </c>
      <c r="N188" s="46">
        <v>1390</v>
      </c>
      <c r="O188" s="46">
        <v>1400</v>
      </c>
      <c r="P188" s="46">
        <v>1420</v>
      </c>
      <c r="Q188" s="46">
        <v>1420</v>
      </c>
    </row>
    <row r="189" spans="1:17" ht="45" x14ac:dyDescent="0.25">
      <c r="A189" s="1600"/>
      <c r="B189" s="1301"/>
      <c r="C189" s="1301"/>
      <c r="D189" s="1334"/>
      <c r="E189" s="1335"/>
      <c r="F189" s="1586"/>
      <c r="G189" s="1586"/>
      <c r="H189" s="1586"/>
      <c r="I189" s="1586"/>
      <c r="J189" s="1586"/>
      <c r="K189" s="141" t="s">
        <v>84</v>
      </c>
      <c r="L189" s="400" t="s">
        <v>85</v>
      </c>
      <c r="M189" s="122">
        <v>4641</v>
      </c>
      <c r="N189" s="46">
        <v>4500</v>
      </c>
      <c r="O189" s="46">
        <v>4500</v>
      </c>
      <c r="P189" s="46">
        <v>4500</v>
      </c>
      <c r="Q189" s="46">
        <v>4500</v>
      </c>
    </row>
    <row r="190" spans="1:17" ht="30" x14ac:dyDescent="0.25">
      <c r="A190" s="1600"/>
      <c r="B190" s="1301"/>
      <c r="C190" s="1301"/>
      <c r="D190" s="1314"/>
      <c r="E190" s="1335"/>
      <c r="F190" s="1586"/>
      <c r="G190" s="1586"/>
      <c r="H190" s="1586"/>
      <c r="I190" s="1586"/>
      <c r="J190" s="1586"/>
      <c r="K190" s="467" t="s">
        <v>86</v>
      </c>
      <c r="L190" s="464" t="s">
        <v>87</v>
      </c>
      <c r="M190" s="122">
        <v>2461</v>
      </c>
      <c r="N190" s="46">
        <v>2500</v>
      </c>
      <c r="O190" s="46">
        <v>2550</v>
      </c>
      <c r="P190" s="46">
        <v>2600</v>
      </c>
      <c r="Q190" s="46">
        <v>2650</v>
      </c>
    </row>
    <row r="191" spans="1:17" ht="60" x14ac:dyDescent="0.25">
      <c r="A191" s="1600"/>
      <c r="B191" s="514"/>
      <c r="C191" s="514" t="s">
        <v>22</v>
      </c>
      <c r="D191" s="514"/>
      <c r="E191" s="474" t="s">
        <v>88</v>
      </c>
      <c r="F191" s="535">
        <v>2915.7</v>
      </c>
      <c r="G191" s="535">
        <v>3752.8</v>
      </c>
      <c r="H191" s="535">
        <v>3752.8</v>
      </c>
      <c r="I191" s="535">
        <v>3784.5</v>
      </c>
      <c r="J191" s="535">
        <v>3819</v>
      </c>
      <c r="K191" s="474" t="s">
        <v>191</v>
      </c>
      <c r="L191" s="397" t="s">
        <v>48</v>
      </c>
      <c r="M191" s="397">
        <v>13</v>
      </c>
      <c r="N191" s="419">
        <v>15</v>
      </c>
      <c r="O191" s="419">
        <v>16</v>
      </c>
      <c r="P191" s="419">
        <v>16</v>
      </c>
      <c r="Q191" s="419">
        <v>17</v>
      </c>
    </row>
    <row r="192" spans="1:17" ht="45" x14ac:dyDescent="0.25">
      <c r="A192" s="1600"/>
      <c r="B192" s="1301"/>
      <c r="C192" s="1301" t="s">
        <v>23</v>
      </c>
      <c r="D192" s="1313"/>
      <c r="E192" s="1335" t="s">
        <v>89</v>
      </c>
      <c r="F192" s="1586">
        <v>11908.7</v>
      </c>
      <c r="G192" s="1586">
        <v>12830.6</v>
      </c>
      <c r="H192" s="1586">
        <v>12914.1</v>
      </c>
      <c r="I192" s="1586">
        <v>12943.1</v>
      </c>
      <c r="J192" s="1586">
        <v>12983.1</v>
      </c>
      <c r="K192" s="141" t="s">
        <v>90</v>
      </c>
      <c r="L192" s="122" t="s">
        <v>25</v>
      </c>
      <c r="M192" s="122">
        <v>495</v>
      </c>
      <c r="N192" s="412">
        <v>524</v>
      </c>
      <c r="O192" s="412">
        <v>300</v>
      </c>
      <c r="P192" s="412">
        <v>350</v>
      </c>
      <c r="Q192" s="412">
        <v>400</v>
      </c>
    </row>
    <row r="193" spans="1:17" ht="30" x14ac:dyDescent="0.25">
      <c r="A193" s="1600"/>
      <c r="B193" s="1301"/>
      <c r="C193" s="1301"/>
      <c r="D193" s="1314"/>
      <c r="E193" s="1335"/>
      <c r="F193" s="1586"/>
      <c r="G193" s="1586"/>
      <c r="H193" s="1586"/>
      <c r="I193" s="1586"/>
      <c r="J193" s="1586"/>
      <c r="K193" s="766" t="s">
        <v>91</v>
      </c>
      <c r="L193" s="416" t="s">
        <v>25</v>
      </c>
      <c r="M193" s="416">
        <v>15</v>
      </c>
      <c r="N193" s="417">
        <v>15</v>
      </c>
      <c r="O193" s="417">
        <v>10</v>
      </c>
      <c r="P193" s="417">
        <v>10</v>
      </c>
      <c r="Q193" s="417">
        <v>8</v>
      </c>
    </row>
    <row r="194" spans="1:17" ht="142.5" x14ac:dyDescent="0.25">
      <c r="A194" s="1600"/>
      <c r="B194" s="391" t="s">
        <v>1912</v>
      </c>
      <c r="C194" s="771"/>
      <c r="D194" s="771"/>
      <c r="E194" s="502" t="s">
        <v>1216</v>
      </c>
      <c r="F194" s="381">
        <f>F195+F197+F199+F203</f>
        <v>209347.40000000002</v>
      </c>
      <c r="G194" s="381">
        <f>G195+G197+G199+G203</f>
        <v>553883.6</v>
      </c>
      <c r="H194" s="381">
        <f>H195+H197+H199+H203</f>
        <v>566136</v>
      </c>
      <c r="I194" s="381">
        <f>I195+I197+I199+I203</f>
        <v>576411</v>
      </c>
      <c r="J194" s="381">
        <f>J195+J197+J199+J203</f>
        <v>573859</v>
      </c>
      <c r="K194" s="394" t="s">
        <v>1370</v>
      </c>
      <c r="L194" s="395" t="s">
        <v>14</v>
      </c>
      <c r="M194" s="395">
        <v>75</v>
      </c>
      <c r="N194" s="665">
        <v>80</v>
      </c>
      <c r="O194" s="665">
        <v>85</v>
      </c>
      <c r="P194" s="665">
        <v>87</v>
      </c>
      <c r="Q194" s="665">
        <v>87</v>
      </c>
    </row>
    <row r="195" spans="1:17" ht="45" x14ac:dyDescent="0.25">
      <c r="A195" s="1600"/>
      <c r="B195" s="1301"/>
      <c r="C195" s="1301" t="s">
        <v>17</v>
      </c>
      <c r="D195" s="1313"/>
      <c r="E195" s="1335" t="s">
        <v>92</v>
      </c>
      <c r="F195" s="1586">
        <v>10116.6</v>
      </c>
      <c r="G195" s="1586">
        <v>12276.3</v>
      </c>
      <c r="H195" s="1586">
        <v>13005.4</v>
      </c>
      <c r="I195" s="1586">
        <v>14095.7</v>
      </c>
      <c r="J195" s="1586">
        <v>13162.5</v>
      </c>
      <c r="K195" s="141" t="s">
        <v>93</v>
      </c>
      <c r="L195" s="122" t="s">
        <v>94</v>
      </c>
      <c r="M195" s="122">
        <v>96</v>
      </c>
      <c r="N195" s="400">
        <v>125</v>
      </c>
      <c r="O195" s="400">
        <v>125</v>
      </c>
      <c r="P195" s="400">
        <v>125</v>
      </c>
      <c r="Q195" s="400">
        <v>125</v>
      </c>
    </row>
    <row r="196" spans="1:17" ht="30" x14ac:dyDescent="0.25">
      <c r="A196" s="1600"/>
      <c r="B196" s="1301"/>
      <c r="C196" s="1301"/>
      <c r="D196" s="1314"/>
      <c r="E196" s="1335"/>
      <c r="F196" s="1586"/>
      <c r="G196" s="1586"/>
      <c r="H196" s="1586"/>
      <c r="I196" s="1586"/>
      <c r="J196" s="1586"/>
      <c r="K196" s="467" t="s">
        <v>95</v>
      </c>
      <c r="L196" s="464" t="s">
        <v>94</v>
      </c>
      <c r="M196" s="122">
        <v>515</v>
      </c>
      <c r="N196" s="400">
        <v>350</v>
      </c>
      <c r="O196" s="400">
        <v>350</v>
      </c>
      <c r="P196" s="400">
        <v>350</v>
      </c>
      <c r="Q196" s="400">
        <v>350</v>
      </c>
    </row>
    <row r="197" spans="1:17" ht="60" x14ac:dyDescent="0.25">
      <c r="A197" s="1600"/>
      <c r="B197" s="1301"/>
      <c r="C197" s="1301" t="s">
        <v>18</v>
      </c>
      <c r="D197" s="1313"/>
      <c r="E197" s="1335" t="s">
        <v>96</v>
      </c>
      <c r="F197" s="1586">
        <v>63341.3</v>
      </c>
      <c r="G197" s="1586">
        <v>214756.7</v>
      </c>
      <c r="H197" s="1586">
        <v>292549.5</v>
      </c>
      <c r="I197" s="1586">
        <v>285275.40000000002</v>
      </c>
      <c r="J197" s="1586">
        <v>288275.40000000002</v>
      </c>
      <c r="K197" s="676" t="s">
        <v>192</v>
      </c>
      <c r="L197" s="464" t="s">
        <v>14</v>
      </c>
      <c r="M197" s="122">
        <v>15</v>
      </c>
      <c r="N197" s="122">
        <v>17</v>
      </c>
      <c r="O197" s="400">
        <v>17</v>
      </c>
      <c r="P197" s="400">
        <v>20</v>
      </c>
      <c r="Q197" s="400">
        <v>25</v>
      </c>
    </row>
    <row r="198" spans="1:17" ht="60" x14ac:dyDescent="0.25">
      <c r="A198" s="1600"/>
      <c r="B198" s="1301"/>
      <c r="C198" s="1301"/>
      <c r="D198" s="1314"/>
      <c r="E198" s="1335"/>
      <c r="F198" s="1586"/>
      <c r="G198" s="1586"/>
      <c r="H198" s="1586"/>
      <c r="I198" s="1586"/>
      <c r="J198" s="1586"/>
      <c r="K198" s="126" t="s">
        <v>97</v>
      </c>
      <c r="L198" s="464" t="s">
        <v>98</v>
      </c>
      <c r="M198" s="46">
        <v>180</v>
      </c>
      <c r="N198" s="46">
        <v>200</v>
      </c>
      <c r="O198" s="570">
        <v>200</v>
      </c>
      <c r="P198" s="570">
        <v>240</v>
      </c>
      <c r="Q198" s="570">
        <v>260</v>
      </c>
    </row>
    <row r="199" spans="1:17" ht="30" x14ac:dyDescent="0.25">
      <c r="A199" s="1600"/>
      <c r="B199" s="1301"/>
      <c r="C199" s="1301" t="s">
        <v>16</v>
      </c>
      <c r="D199" s="1313"/>
      <c r="E199" s="1335" t="s">
        <v>99</v>
      </c>
      <c r="F199" s="1586">
        <v>78409.5</v>
      </c>
      <c r="G199" s="1586">
        <f>296850.6-30000+30000</f>
        <v>296850.59999999998</v>
      </c>
      <c r="H199" s="1586">
        <v>230581.1</v>
      </c>
      <c r="I199" s="1586">
        <v>247039.9</v>
      </c>
      <c r="J199" s="1586">
        <v>242421.1</v>
      </c>
      <c r="K199" s="467" t="s">
        <v>1371</v>
      </c>
      <c r="L199" s="464" t="s">
        <v>100</v>
      </c>
      <c r="M199" s="46">
        <v>46.8</v>
      </c>
      <c r="N199" s="46">
        <v>150</v>
      </c>
      <c r="O199" s="570">
        <v>140</v>
      </c>
      <c r="P199" s="570">
        <v>120</v>
      </c>
      <c r="Q199" s="570">
        <v>120</v>
      </c>
    </row>
    <row r="200" spans="1:17" ht="30" x14ac:dyDescent="0.25">
      <c r="A200" s="1600"/>
      <c r="B200" s="1301"/>
      <c r="C200" s="1301"/>
      <c r="D200" s="1334"/>
      <c r="E200" s="1335"/>
      <c r="F200" s="1622"/>
      <c r="G200" s="1622"/>
      <c r="H200" s="1622"/>
      <c r="I200" s="1622"/>
      <c r="J200" s="1622"/>
      <c r="K200" s="126" t="s">
        <v>101</v>
      </c>
      <c r="L200" s="122" t="s">
        <v>102</v>
      </c>
      <c r="M200" s="46">
        <v>0.4</v>
      </c>
      <c r="N200" s="46">
        <v>22.9</v>
      </c>
      <c r="O200" s="46">
        <v>23.1</v>
      </c>
      <c r="P200" s="570">
        <v>23.5</v>
      </c>
      <c r="Q200" s="570">
        <v>24</v>
      </c>
    </row>
    <row r="201" spans="1:17" ht="30" x14ac:dyDescent="0.25">
      <c r="A201" s="1600"/>
      <c r="B201" s="1301"/>
      <c r="C201" s="1301"/>
      <c r="D201" s="1334"/>
      <c r="E201" s="1335"/>
      <c r="F201" s="1622"/>
      <c r="G201" s="1622"/>
      <c r="H201" s="1622"/>
      <c r="I201" s="1622"/>
      <c r="J201" s="1622"/>
      <c r="K201" s="126" t="s">
        <v>103</v>
      </c>
      <c r="L201" s="122" t="s">
        <v>102</v>
      </c>
      <c r="M201" s="46">
        <v>5.3</v>
      </c>
      <c r="N201" s="46">
        <v>1470</v>
      </c>
      <c r="O201" s="46">
        <v>1500</v>
      </c>
      <c r="P201" s="570">
        <v>1550</v>
      </c>
      <c r="Q201" s="570">
        <v>1700</v>
      </c>
    </row>
    <row r="202" spans="1:17" ht="30" x14ac:dyDescent="0.25">
      <c r="A202" s="1600"/>
      <c r="B202" s="1301"/>
      <c r="C202" s="1301"/>
      <c r="D202" s="1314"/>
      <c r="E202" s="1335"/>
      <c r="F202" s="1622"/>
      <c r="G202" s="1622"/>
      <c r="H202" s="1622"/>
      <c r="I202" s="1622"/>
      <c r="J202" s="1622"/>
      <c r="K202" s="677" t="s">
        <v>105</v>
      </c>
      <c r="L202" s="464" t="s">
        <v>106</v>
      </c>
      <c r="M202" s="46">
        <v>79800</v>
      </c>
      <c r="N202" s="46">
        <v>177950</v>
      </c>
      <c r="O202" s="46">
        <v>178000</v>
      </c>
      <c r="P202" s="570">
        <v>178500</v>
      </c>
      <c r="Q202" s="570">
        <v>179000</v>
      </c>
    </row>
    <row r="203" spans="1:17" ht="30" x14ac:dyDescent="0.25">
      <c r="A203" s="1600"/>
      <c r="B203" s="422"/>
      <c r="C203" s="422" t="s">
        <v>19</v>
      </c>
      <c r="D203" s="422"/>
      <c r="E203" s="141" t="s">
        <v>107</v>
      </c>
      <c r="F203" s="46">
        <v>57480</v>
      </c>
      <c r="G203" s="46">
        <v>30000</v>
      </c>
      <c r="H203" s="46">
        <v>30000</v>
      </c>
      <c r="I203" s="46">
        <v>30000</v>
      </c>
      <c r="J203" s="46">
        <v>30000</v>
      </c>
      <c r="K203" s="126" t="s">
        <v>193</v>
      </c>
      <c r="L203" s="122" t="s">
        <v>104</v>
      </c>
      <c r="M203" s="46">
        <v>286.39999999999998</v>
      </c>
      <c r="N203" s="46">
        <v>730</v>
      </c>
      <c r="O203" s="46">
        <v>750</v>
      </c>
      <c r="P203" s="570">
        <v>800</v>
      </c>
      <c r="Q203" s="570">
        <v>830</v>
      </c>
    </row>
    <row r="204" spans="1:17" ht="57.6" customHeight="1" x14ac:dyDescent="0.25">
      <c r="A204" s="1600"/>
      <c r="B204" s="1283" t="s">
        <v>108</v>
      </c>
      <c r="C204" s="1283"/>
      <c r="D204" s="1283"/>
      <c r="E204" s="1618" t="s">
        <v>1217</v>
      </c>
      <c r="F204" s="1619">
        <f>F206+F207+F213+F215+F216+F219+F221+F223+F226</f>
        <v>615813.50000000012</v>
      </c>
      <c r="G204" s="1619">
        <f>G206+G207+G213+G215+G216+G219+G221+G223+G226</f>
        <v>3623997.6</v>
      </c>
      <c r="H204" s="1619">
        <f>H206+H207+H213+H215+H216+H219+H221+H223+H226</f>
        <v>4440298</v>
      </c>
      <c r="I204" s="1619">
        <f>I206+I207+I213+I215+I216+I219+I221+I223+I226</f>
        <v>3943714.8000000003</v>
      </c>
      <c r="J204" s="1619">
        <f>J206+J207+J213+J215+J216+J219+J221+J223+J226</f>
        <v>3405732.3</v>
      </c>
      <c r="K204" s="502" t="s">
        <v>109</v>
      </c>
      <c r="L204" s="395" t="s">
        <v>39</v>
      </c>
      <c r="M204" s="395">
        <v>1024</v>
      </c>
      <c r="N204" s="395">
        <v>1024</v>
      </c>
      <c r="O204" s="395">
        <v>1024</v>
      </c>
      <c r="P204" s="395">
        <v>1024</v>
      </c>
      <c r="Q204" s="395">
        <v>1024</v>
      </c>
    </row>
    <row r="205" spans="1:17" ht="28.5" x14ac:dyDescent="0.25">
      <c r="A205" s="1600"/>
      <c r="B205" s="1283"/>
      <c r="C205" s="1283"/>
      <c r="D205" s="1283"/>
      <c r="E205" s="1618"/>
      <c r="F205" s="1619"/>
      <c r="G205" s="1619"/>
      <c r="H205" s="1619"/>
      <c r="I205" s="1619"/>
      <c r="J205" s="1619"/>
      <c r="K205" s="502" t="s">
        <v>113</v>
      </c>
      <c r="L205" s="395" t="s">
        <v>39</v>
      </c>
      <c r="M205" s="395">
        <v>376</v>
      </c>
      <c r="N205" s="395">
        <v>1574</v>
      </c>
      <c r="O205" s="395">
        <v>1574</v>
      </c>
      <c r="P205" s="395">
        <v>1574</v>
      </c>
      <c r="Q205" s="395">
        <v>1574</v>
      </c>
    </row>
    <row r="206" spans="1:17" ht="45" x14ac:dyDescent="0.25">
      <c r="A206" s="1600"/>
      <c r="B206" s="422"/>
      <c r="C206" s="422" t="s">
        <v>17</v>
      </c>
      <c r="D206" s="422"/>
      <c r="E206" s="141" t="s">
        <v>111</v>
      </c>
      <c r="F206" s="46">
        <v>5265.3</v>
      </c>
      <c r="G206" s="46">
        <v>23720.5</v>
      </c>
      <c r="H206" s="46">
        <v>24435.5</v>
      </c>
      <c r="I206" s="46">
        <v>24610.6</v>
      </c>
      <c r="J206" s="46">
        <v>24798.6</v>
      </c>
      <c r="K206" s="141" t="s">
        <v>174</v>
      </c>
      <c r="L206" s="395">
        <v>0</v>
      </c>
      <c r="M206" s="395">
        <v>0</v>
      </c>
      <c r="N206" s="395">
        <v>0</v>
      </c>
      <c r="O206" s="395">
        <v>0</v>
      </c>
      <c r="P206" s="395">
        <v>0</v>
      </c>
      <c r="Q206" s="395">
        <v>0</v>
      </c>
    </row>
    <row r="207" spans="1:17" ht="30" x14ac:dyDescent="0.25">
      <c r="A207" s="1600"/>
      <c r="B207" s="1301"/>
      <c r="C207" s="1301" t="s">
        <v>18</v>
      </c>
      <c r="D207" s="1313"/>
      <c r="E207" s="1335" t="s">
        <v>112</v>
      </c>
      <c r="F207" s="1586">
        <v>364655.8</v>
      </c>
      <c r="G207" s="1586">
        <v>1171027.1000000001</v>
      </c>
      <c r="H207" s="1586">
        <v>1197731.8999999999</v>
      </c>
      <c r="I207" s="1586">
        <v>1198387.1000000001</v>
      </c>
      <c r="J207" s="1586">
        <v>1212680.3999999999</v>
      </c>
      <c r="K207" s="141" t="s">
        <v>115</v>
      </c>
      <c r="L207" s="122" t="s">
        <v>116</v>
      </c>
      <c r="M207" s="444">
        <v>198.3</v>
      </c>
      <c r="N207" s="122">
        <v>420</v>
      </c>
      <c r="O207" s="122">
        <v>200</v>
      </c>
      <c r="P207" s="122">
        <v>180</v>
      </c>
      <c r="Q207" s="122">
        <v>180</v>
      </c>
    </row>
    <row r="208" spans="1:17" ht="30" x14ac:dyDescent="0.25">
      <c r="A208" s="1600"/>
      <c r="B208" s="1301"/>
      <c r="C208" s="1390"/>
      <c r="D208" s="1334"/>
      <c r="E208" s="1690"/>
      <c r="F208" s="1691"/>
      <c r="G208" s="1691"/>
      <c r="H208" s="1691"/>
      <c r="I208" s="1691"/>
      <c r="J208" s="1691"/>
      <c r="K208" s="141" t="s">
        <v>117</v>
      </c>
      <c r="L208" s="122" t="s">
        <v>34</v>
      </c>
      <c r="M208" s="444">
        <v>297</v>
      </c>
      <c r="N208" s="122">
        <v>854</v>
      </c>
      <c r="O208" s="122">
        <v>600</v>
      </c>
      <c r="P208" s="122">
        <v>515</v>
      </c>
      <c r="Q208" s="122">
        <v>515</v>
      </c>
    </row>
    <row r="209" spans="1:17" ht="30" x14ac:dyDescent="0.25">
      <c r="A209" s="1600"/>
      <c r="B209" s="1301"/>
      <c r="C209" s="1390"/>
      <c r="D209" s="1334"/>
      <c r="E209" s="1690"/>
      <c r="F209" s="1691"/>
      <c r="G209" s="1691"/>
      <c r="H209" s="1691"/>
      <c r="I209" s="1691"/>
      <c r="J209" s="1691"/>
      <c r="K209" s="141" t="s">
        <v>118</v>
      </c>
      <c r="L209" s="122" t="s">
        <v>34</v>
      </c>
      <c r="M209" s="444">
        <v>484</v>
      </c>
      <c r="N209" s="122">
        <v>648</v>
      </c>
      <c r="O209" s="122">
        <v>470</v>
      </c>
      <c r="P209" s="122">
        <v>401</v>
      </c>
      <c r="Q209" s="122">
        <v>401</v>
      </c>
    </row>
    <row r="210" spans="1:17" ht="30" x14ac:dyDescent="0.25">
      <c r="A210" s="1600"/>
      <c r="B210" s="1301"/>
      <c r="C210" s="1390"/>
      <c r="D210" s="1334"/>
      <c r="E210" s="1690"/>
      <c r="F210" s="1691"/>
      <c r="G210" s="1691"/>
      <c r="H210" s="1691"/>
      <c r="I210" s="1691"/>
      <c r="J210" s="1691"/>
      <c r="K210" s="141" t="s">
        <v>119</v>
      </c>
      <c r="L210" s="122" t="s">
        <v>34</v>
      </c>
      <c r="M210" s="122">
        <v>0</v>
      </c>
      <c r="N210" s="122">
        <v>83</v>
      </c>
      <c r="O210" s="122">
        <v>68</v>
      </c>
      <c r="P210" s="122">
        <v>55</v>
      </c>
      <c r="Q210" s="122">
        <v>55</v>
      </c>
    </row>
    <row r="211" spans="1:17" x14ac:dyDescent="0.25">
      <c r="A211" s="1600"/>
      <c r="B211" s="1301"/>
      <c r="C211" s="1390"/>
      <c r="D211" s="1334"/>
      <c r="E211" s="1690"/>
      <c r="F211" s="1691"/>
      <c r="G211" s="1691"/>
      <c r="H211" s="1691"/>
      <c r="I211" s="1691"/>
      <c r="J211" s="1691"/>
      <c r="K211" s="141" t="s">
        <v>194</v>
      </c>
      <c r="L211" s="122" t="s">
        <v>34</v>
      </c>
      <c r="M211" s="122">
        <v>0</v>
      </c>
      <c r="N211" s="122">
        <v>6</v>
      </c>
      <c r="O211" s="122">
        <v>6</v>
      </c>
      <c r="P211" s="122">
        <v>6</v>
      </c>
      <c r="Q211" s="122">
        <v>4</v>
      </c>
    </row>
    <row r="212" spans="1:17" x14ac:dyDescent="0.25">
      <c r="A212" s="1600"/>
      <c r="B212" s="1301"/>
      <c r="C212" s="1390"/>
      <c r="D212" s="1314"/>
      <c r="E212" s="1690"/>
      <c r="F212" s="1691"/>
      <c r="G212" s="1691"/>
      <c r="H212" s="1691"/>
      <c r="I212" s="1691"/>
      <c r="J212" s="1691"/>
      <c r="K212" s="141" t="s">
        <v>120</v>
      </c>
      <c r="L212" s="122" t="s">
        <v>110</v>
      </c>
      <c r="M212" s="122">
        <v>0</v>
      </c>
      <c r="N212" s="122">
        <v>4900</v>
      </c>
      <c r="O212" s="122">
        <v>4900</v>
      </c>
      <c r="P212" s="122">
        <v>4900</v>
      </c>
      <c r="Q212" s="122">
        <v>4900</v>
      </c>
    </row>
    <row r="213" spans="1:17" ht="30" x14ac:dyDescent="0.25">
      <c r="A213" s="1600"/>
      <c r="B213" s="1301"/>
      <c r="C213" s="1301" t="s">
        <v>16</v>
      </c>
      <c r="D213" s="1313"/>
      <c r="E213" s="1335" t="s">
        <v>121</v>
      </c>
      <c r="F213" s="1586">
        <v>4086.7</v>
      </c>
      <c r="G213" s="1586">
        <v>8177.3</v>
      </c>
      <c r="H213" s="1586">
        <v>9324.6</v>
      </c>
      <c r="I213" s="1586">
        <v>9357.1</v>
      </c>
      <c r="J213" s="1586">
        <v>9473.2999999999993</v>
      </c>
      <c r="K213" s="678" t="s">
        <v>195</v>
      </c>
      <c r="L213" s="679" t="s">
        <v>14</v>
      </c>
      <c r="M213" s="122">
        <v>0</v>
      </c>
      <c r="N213" s="680" t="s">
        <v>172</v>
      </c>
      <c r="O213" s="122">
        <v>0</v>
      </c>
      <c r="P213" s="122">
        <v>0</v>
      </c>
      <c r="Q213" s="122">
        <v>0</v>
      </c>
    </row>
    <row r="214" spans="1:17" ht="45" x14ac:dyDescent="0.25">
      <c r="A214" s="1600"/>
      <c r="B214" s="1301"/>
      <c r="C214" s="1301"/>
      <c r="D214" s="1314"/>
      <c r="E214" s="1335"/>
      <c r="F214" s="1586"/>
      <c r="G214" s="1586"/>
      <c r="H214" s="1586"/>
      <c r="I214" s="1586"/>
      <c r="J214" s="1586"/>
      <c r="K214" s="681" t="s">
        <v>196</v>
      </c>
      <c r="L214" s="679" t="s">
        <v>14</v>
      </c>
      <c r="M214" s="122">
        <v>0</v>
      </c>
      <c r="N214" s="680" t="s">
        <v>32</v>
      </c>
      <c r="O214" s="421" t="s">
        <v>197</v>
      </c>
      <c r="P214" s="421" t="s">
        <v>198</v>
      </c>
      <c r="Q214" s="421" t="s">
        <v>171</v>
      </c>
    </row>
    <row r="215" spans="1:17" ht="45" x14ac:dyDescent="0.25">
      <c r="A215" s="1600"/>
      <c r="B215" s="422"/>
      <c r="C215" s="422" t="s">
        <v>19</v>
      </c>
      <c r="D215" s="422"/>
      <c r="E215" s="126" t="s">
        <v>122</v>
      </c>
      <c r="F215" s="46">
        <v>12541.2</v>
      </c>
      <c r="G215" s="46">
        <v>279520.8</v>
      </c>
      <c r="H215" s="46">
        <v>0</v>
      </c>
      <c r="I215" s="46">
        <v>0</v>
      </c>
      <c r="J215" s="46">
        <v>0</v>
      </c>
      <c r="K215" s="682" t="s">
        <v>123</v>
      </c>
      <c r="L215" s="126" t="s">
        <v>124</v>
      </c>
      <c r="M215" s="444">
        <v>2</v>
      </c>
      <c r="N215" s="444">
        <v>3</v>
      </c>
      <c r="O215" s="444">
        <v>0</v>
      </c>
      <c r="P215" s="410">
        <v>0</v>
      </c>
      <c r="Q215" s="412">
        <v>0</v>
      </c>
    </row>
    <row r="216" spans="1:17" x14ac:dyDescent="0.25">
      <c r="A216" s="1600"/>
      <c r="B216" s="1301"/>
      <c r="C216" s="1301" t="s">
        <v>20</v>
      </c>
      <c r="D216" s="1313"/>
      <c r="E216" s="1335" t="s">
        <v>125</v>
      </c>
      <c r="F216" s="1586">
        <v>144274.6</v>
      </c>
      <c r="G216" s="1586">
        <v>817876.8</v>
      </c>
      <c r="H216" s="1586">
        <v>17800</v>
      </c>
      <c r="I216" s="1586">
        <v>0</v>
      </c>
      <c r="J216" s="1586">
        <v>0</v>
      </c>
      <c r="K216" s="1335" t="s">
        <v>126</v>
      </c>
      <c r="L216" s="122" t="s">
        <v>26</v>
      </c>
      <c r="M216" s="444">
        <v>1941</v>
      </c>
      <c r="N216" s="570">
        <v>9004</v>
      </c>
      <c r="O216" s="570">
        <v>26000</v>
      </c>
      <c r="P216" s="400">
        <v>0</v>
      </c>
      <c r="Q216" s="400">
        <v>0</v>
      </c>
    </row>
    <row r="217" spans="1:17" x14ac:dyDescent="0.25">
      <c r="A217" s="1600"/>
      <c r="B217" s="1301"/>
      <c r="C217" s="1301"/>
      <c r="D217" s="1334"/>
      <c r="E217" s="1335"/>
      <c r="F217" s="1586"/>
      <c r="G217" s="1586"/>
      <c r="H217" s="1586"/>
      <c r="I217" s="1586"/>
      <c r="J217" s="1586"/>
      <c r="K217" s="1335"/>
      <c r="L217" s="122" t="s">
        <v>127</v>
      </c>
      <c r="M217" s="400">
        <v>2208</v>
      </c>
      <c r="N217" s="570">
        <v>1117</v>
      </c>
      <c r="O217" s="570">
        <v>2600</v>
      </c>
      <c r="P217" s="400">
        <v>0</v>
      </c>
      <c r="Q217" s="400">
        <v>0</v>
      </c>
    </row>
    <row r="218" spans="1:17" ht="60" x14ac:dyDescent="0.25">
      <c r="A218" s="1600"/>
      <c r="B218" s="1301"/>
      <c r="C218" s="1301"/>
      <c r="D218" s="1314"/>
      <c r="E218" s="1335"/>
      <c r="F218" s="1586"/>
      <c r="G218" s="1586"/>
      <c r="H218" s="1586"/>
      <c r="I218" s="1586"/>
      <c r="J218" s="1586"/>
      <c r="K218" s="126" t="s">
        <v>128</v>
      </c>
      <c r="L218" s="122" t="s">
        <v>33</v>
      </c>
      <c r="M218" s="400">
        <v>0</v>
      </c>
      <c r="N218" s="122">
        <v>0</v>
      </c>
      <c r="O218" s="122">
        <v>0</v>
      </c>
      <c r="P218" s="444">
        <v>0</v>
      </c>
      <c r="Q218" s="400">
        <v>0</v>
      </c>
    </row>
    <row r="219" spans="1:17" ht="30" x14ac:dyDescent="0.25">
      <c r="A219" s="1600"/>
      <c r="B219" s="1301"/>
      <c r="C219" s="1301" t="s">
        <v>21</v>
      </c>
      <c r="D219" s="1313"/>
      <c r="E219" s="1275" t="s">
        <v>129</v>
      </c>
      <c r="F219" s="1586">
        <v>44020.3</v>
      </c>
      <c r="G219" s="1586">
        <v>511836</v>
      </c>
      <c r="H219" s="1586">
        <f>8900+66750</f>
        <v>75650</v>
      </c>
      <c r="I219" s="1586">
        <v>0</v>
      </c>
      <c r="J219" s="1586">
        <v>0</v>
      </c>
      <c r="K219" s="141" t="s">
        <v>130</v>
      </c>
      <c r="L219" s="122" t="s">
        <v>116</v>
      </c>
      <c r="M219" s="400">
        <v>8.6</v>
      </c>
      <c r="N219" s="400">
        <v>3</v>
      </c>
      <c r="O219" s="400">
        <v>2</v>
      </c>
      <c r="P219" s="412">
        <v>0</v>
      </c>
      <c r="Q219" s="412">
        <v>0</v>
      </c>
    </row>
    <row r="220" spans="1:17" ht="30" x14ac:dyDescent="0.25">
      <c r="A220" s="1600"/>
      <c r="B220" s="1301"/>
      <c r="C220" s="1301"/>
      <c r="D220" s="1314"/>
      <c r="E220" s="1276"/>
      <c r="F220" s="1586"/>
      <c r="G220" s="1586"/>
      <c r="H220" s="1586"/>
      <c r="I220" s="1586"/>
      <c r="J220" s="1586"/>
      <c r="K220" s="141" t="s">
        <v>131</v>
      </c>
      <c r="L220" s="122" t="s">
        <v>116</v>
      </c>
      <c r="M220" s="400">
        <v>30.3</v>
      </c>
      <c r="N220" s="444">
        <v>13.8</v>
      </c>
      <c r="O220" s="444">
        <v>9</v>
      </c>
      <c r="P220" s="412">
        <v>0</v>
      </c>
      <c r="Q220" s="412">
        <v>0</v>
      </c>
    </row>
    <row r="221" spans="1:17" ht="60" x14ac:dyDescent="0.25">
      <c r="A221" s="1600"/>
      <c r="B221" s="1301"/>
      <c r="C221" s="1301" t="s">
        <v>22</v>
      </c>
      <c r="D221" s="1313"/>
      <c r="E221" s="1335" t="s">
        <v>1386</v>
      </c>
      <c r="F221" s="1586">
        <v>33306.800000000003</v>
      </c>
      <c r="G221" s="1586">
        <v>369750.7</v>
      </c>
      <c r="H221" s="1586">
        <f>118459+220453+766913</f>
        <v>1105825</v>
      </c>
      <c r="I221" s="1586">
        <v>595885</v>
      </c>
      <c r="J221" s="1586">
        <v>90440</v>
      </c>
      <c r="K221" s="141" t="s">
        <v>132</v>
      </c>
      <c r="L221" s="122" t="s">
        <v>25</v>
      </c>
      <c r="M221" s="410">
        <v>0</v>
      </c>
      <c r="N221" s="410">
        <v>1</v>
      </c>
      <c r="O221" s="410">
        <v>1</v>
      </c>
      <c r="P221" s="410">
        <v>3</v>
      </c>
      <c r="Q221" s="410">
        <v>1</v>
      </c>
    </row>
    <row r="222" spans="1:17" ht="60" x14ac:dyDescent="0.25">
      <c r="A222" s="1600"/>
      <c r="B222" s="1301"/>
      <c r="C222" s="1301"/>
      <c r="D222" s="1314"/>
      <c r="E222" s="1335"/>
      <c r="F222" s="1586"/>
      <c r="G222" s="1586"/>
      <c r="H222" s="1586"/>
      <c r="I222" s="1586"/>
      <c r="J222" s="1586"/>
      <c r="K222" s="141" t="s">
        <v>133</v>
      </c>
      <c r="L222" s="122" t="s">
        <v>25</v>
      </c>
      <c r="M222" s="410">
        <v>0</v>
      </c>
      <c r="N222" s="410">
        <v>1</v>
      </c>
      <c r="O222" s="410">
        <v>1</v>
      </c>
      <c r="P222" s="410">
        <v>2</v>
      </c>
      <c r="Q222" s="410">
        <v>1</v>
      </c>
    </row>
    <row r="223" spans="1:17" x14ac:dyDescent="0.25">
      <c r="A223" s="1600"/>
      <c r="B223" s="1301"/>
      <c r="C223" s="1301" t="s">
        <v>23</v>
      </c>
      <c r="D223" s="1313"/>
      <c r="E223" s="1335" t="s">
        <v>134</v>
      </c>
      <c r="F223" s="1586">
        <v>7662.8</v>
      </c>
      <c r="G223" s="1586">
        <v>442088.4</v>
      </c>
      <c r="H223" s="1586">
        <f>267356+17800+422750+1079125</f>
        <v>1787031</v>
      </c>
      <c r="I223" s="1586">
        <v>1652975</v>
      </c>
      <c r="J223" s="1586">
        <v>1593340</v>
      </c>
      <c r="K223" s="141" t="s">
        <v>135</v>
      </c>
      <c r="L223" s="122" t="s">
        <v>34</v>
      </c>
      <c r="M223" s="444">
        <v>0</v>
      </c>
      <c r="N223" s="444">
        <v>0</v>
      </c>
      <c r="O223" s="410">
        <v>0</v>
      </c>
      <c r="P223" s="410">
        <v>0</v>
      </c>
      <c r="Q223" s="444">
        <v>4</v>
      </c>
    </row>
    <row r="224" spans="1:17" x14ac:dyDescent="0.25">
      <c r="A224" s="1600"/>
      <c r="B224" s="1301"/>
      <c r="C224" s="1301"/>
      <c r="D224" s="1334"/>
      <c r="E224" s="1335"/>
      <c r="F224" s="1586"/>
      <c r="G224" s="1586"/>
      <c r="H224" s="1586"/>
      <c r="I224" s="1586"/>
      <c r="J224" s="1586"/>
      <c r="K224" s="141" t="s">
        <v>136</v>
      </c>
      <c r="L224" s="122" t="s">
        <v>116</v>
      </c>
      <c r="M224" s="444">
        <v>0</v>
      </c>
      <c r="N224" s="444">
        <v>0</v>
      </c>
      <c r="O224" s="410">
        <v>15</v>
      </c>
      <c r="P224" s="444">
        <v>23</v>
      </c>
      <c r="Q224" s="444">
        <v>36</v>
      </c>
    </row>
    <row r="225" spans="1:17" ht="30" x14ac:dyDescent="0.25">
      <c r="A225" s="1600"/>
      <c r="B225" s="1301"/>
      <c r="C225" s="1301"/>
      <c r="D225" s="1314"/>
      <c r="E225" s="1335"/>
      <c r="F225" s="1586"/>
      <c r="G225" s="1586"/>
      <c r="H225" s="1586"/>
      <c r="I225" s="1586"/>
      <c r="J225" s="1586"/>
      <c r="K225" s="141" t="s">
        <v>137</v>
      </c>
      <c r="L225" s="122" t="s">
        <v>34</v>
      </c>
      <c r="M225" s="444">
        <v>0</v>
      </c>
      <c r="N225" s="410">
        <v>0</v>
      </c>
      <c r="O225" s="410">
        <v>0</v>
      </c>
      <c r="P225" s="410">
        <v>12</v>
      </c>
      <c r="Q225" s="400">
        <v>0</v>
      </c>
    </row>
    <row r="226" spans="1:17" ht="90" x14ac:dyDescent="0.25">
      <c r="A226" s="1600"/>
      <c r="B226" s="422"/>
      <c r="C226" s="422" t="s">
        <v>27</v>
      </c>
      <c r="D226" s="422"/>
      <c r="E226" s="141" t="s">
        <v>199</v>
      </c>
      <c r="F226" s="46">
        <v>0</v>
      </c>
      <c r="G226" s="46">
        <v>0</v>
      </c>
      <c r="H226" s="46">
        <f>133500+89000</f>
        <v>222500</v>
      </c>
      <c r="I226" s="46">
        <v>462500</v>
      </c>
      <c r="J226" s="46">
        <v>475000</v>
      </c>
      <c r="K226" s="141" t="s">
        <v>2040</v>
      </c>
      <c r="L226" s="683" t="s">
        <v>200</v>
      </c>
      <c r="M226" s="444">
        <v>0</v>
      </c>
      <c r="N226" s="410">
        <v>0</v>
      </c>
      <c r="O226" s="410" t="s">
        <v>201</v>
      </c>
      <c r="P226" s="410" t="s">
        <v>202</v>
      </c>
      <c r="Q226" s="410" t="s">
        <v>203</v>
      </c>
    </row>
    <row r="227" spans="1:17" ht="88.5" x14ac:dyDescent="0.25">
      <c r="A227" s="1600"/>
      <c r="B227" s="391" t="s">
        <v>1913</v>
      </c>
      <c r="C227" s="391"/>
      <c r="D227" s="391"/>
      <c r="E227" s="502" t="s">
        <v>1218</v>
      </c>
      <c r="F227" s="381">
        <f>F228+F229+F232+F235+F236</f>
        <v>54883.9</v>
      </c>
      <c r="G227" s="381">
        <f>G228+G229+G232+G235+G236</f>
        <v>959677.3</v>
      </c>
      <c r="H227" s="381">
        <f>H228+H229+H232+H235+H236</f>
        <v>1206928.7999999998</v>
      </c>
      <c r="I227" s="381">
        <f>I228+I229+I232+I235+I236</f>
        <v>1213481.3</v>
      </c>
      <c r="J227" s="381">
        <f>J228+J229+J232+J235+J236</f>
        <v>1326204.2000000002</v>
      </c>
      <c r="K227" s="502" t="s">
        <v>138</v>
      </c>
      <c r="L227" s="395" t="s">
        <v>39</v>
      </c>
      <c r="M227" s="122">
        <v>0</v>
      </c>
      <c r="N227" s="122"/>
      <c r="O227" s="122"/>
      <c r="P227" s="122"/>
      <c r="Q227" s="122"/>
    </row>
    <row r="228" spans="1:17" ht="75" x14ac:dyDescent="0.25">
      <c r="A228" s="1600"/>
      <c r="B228" s="391"/>
      <c r="C228" s="422" t="s">
        <v>17</v>
      </c>
      <c r="D228" s="391"/>
      <c r="E228" s="126" t="s">
        <v>139</v>
      </c>
      <c r="F228" s="46">
        <v>8852.6</v>
      </c>
      <c r="G228" s="46">
        <v>807846.9</v>
      </c>
      <c r="H228" s="46">
        <v>1048941.8999999999</v>
      </c>
      <c r="I228" s="46">
        <f>1112183.3-57294.2</f>
        <v>1054889.1000000001</v>
      </c>
      <c r="J228" s="46">
        <v>1163369.6000000001</v>
      </c>
      <c r="K228" s="141" t="s">
        <v>174</v>
      </c>
      <c r="L228" s="395">
        <v>0</v>
      </c>
      <c r="M228" s="395">
        <v>0</v>
      </c>
      <c r="N228" s="395">
        <v>0</v>
      </c>
      <c r="O228" s="395">
        <v>0</v>
      </c>
      <c r="P228" s="395">
        <v>0</v>
      </c>
      <c r="Q228" s="395">
        <v>0</v>
      </c>
    </row>
    <row r="229" spans="1:17" ht="45" x14ac:dyDescent="0.25">
      <c r="A229" s="1600"/>
      <c r="B229" s="1301"/>
      <c r="C229" s="1301" t="s">
        <v>18</v>
      </c>
      <c r="D229" s="1301"/>
      <c r="E229" s="1335" t="s">
        <v>140</v>
      </c>
      <c r="F229" s="1586">
        <v>11463.7</v>
      </c>
      <c r="G229" s="1586">
        <v>33533</v>
      </c>
      <c r="H229" s="1586">
        <v>36899.9</v>
      </c>
      <c r="I229" s="1586">
        <v>37427.699999999997</v>
      </c>
      <c r="J229" s="1586">
        <v>38038.199999999997</v>
      </c>
      <c r="K229" s="684" t="s">
        <v>141</v>
      </c>
      <c r="L229" s="685" t="s">
        <v>142</v>
      </c>
      <c r="M229" s="686">
        <v>18</v>
      </c>
      <c r="N229" s="686">
        <v>71</v>
      </c>
      <c r="O229" s="686">
        <v>71</v>
      </c>
      <c r="P229" s="686">
        <v>71</v>
      </c>
      <c r="Q229" s="686">
        <v>71</v>
      </c>
    </row>
    <row r="230" spans="1:17" ht="60" x14ac:dyDescent="0.25">
      <c r="A230" s="1600"/>
      <c r="B230" s="1301"/>
      <c r="C230" s="1301"/>
      <c r="D230" s="1301"/>
      <c r="E230" s="1335"/>
      <c r="F230" s="1586"/>
      <c r="G230" s="1586"/>
      <c r="H230" s="1586"/>
      <c r="I230" s="1586"/>
      <c r="J230" s="1586"/>
      <c r="K230" s="687" t="s">
        <v>143</v>
      </c>
      <c r="L230" s="683" t="s">
        <v>144</v>
      </c>
      <c r="M230" s="686">
        <v>3</v>
      </c>
      <c r="N230" s="686">
        <v>8</v>
      </c>
      <c r="O230" s="686">
        <v>8</v>
      </c>
      <c r="P230" s="686">
        <v>8</v>
      </c>
      <c r="Q230" s="686">
        <v>8</v>
      </c>
    </row>
    <row r="231" spans="1:17" ht="45" x14ac:dyDescent="0.25">
      <c r="A231" s="1600"/>
      <c r="B231" s="1390"/>
      <c r="C231" s="1692"/>
      <c r="D231" s="1301"/>
      <c r="E231" s="1598"/>
      <c r="F231" s="1587"/>
      <c r="G231" s="1587"/>
      <c r="H231" s="1587"/>
      <c r="I231" s="1587"/>
      <c r="J231" s="1587"/>
      <c r="K231" s="687" t="s">
        <v>145</v>
      </c>
      <c r="L231" s="683" t="s">
        <v>146</v>
      </c>
      <c r="M231" s="686">
        <v>31</v>
      </c>
      <c r="N231" s="686">
        <v>248</v>
      </c>
      <c r="O231" s="686">
        <v>248</v>
      </c>
      <c r="P231" s="686">
        <v>248</v>
      </c>
      <c r="Q231" s="686">
        <v>248</v>
      </c>
    </row>
    <row r="232" spans="1:17" ht="45" x14ac:dyDescent="0.25">
      <c r="A232" s="1600"/>
      <c r="B232" s="1301"/>
      <c r="C232" s="1301" t="s">
        <v>16</v>
      </c>
      <c r="D232" s="1313"/>
      <c r="E232" s="1335" t="s">
        <v>147</v>
      </c>
      <c r="F232" s="1586">
        <v>13036.7</v>
      </c>
      <c r="G232" s="1586">
        <v>41377.300000000003</v>
      </c>
      <c r="H232" s="1586">
        <v>41413</v>
      </c>
      <c r="I232" s="1586">
        <v>41413</v>
      </c>
      <c r="J232" s="1586">
        <v>44766.1</v>
      </c>
      <c r="K232" s="676" t="s">
        <v>148</v>
      </c>
      <c r="L232" s="688" t="s">
        <v>149</v>
      </c>
      <c r="M232" s="400">
        <v>0</v>
      </c>
      <c r="N232" s="400">
        <v>31</v>
      </c>
      <c r="O232" s="400">
        <v>31</v>
      </c>
      <c r="P232" s="400">
        <v>31</v>
      </c>
      <c r="Q232" s="400">
        <v>31</v>
      </c>
    </row>
    <row r="233" spans="1:17" ht="60" x14ac:dyDescent="0.25">
      <c r="A233" s="1600"/>
      <c r="B233" s="1301"/>
      <c r="C233" s="1301"/>
      <c r="D233" s="1334"/>
      <c r="E233" s="1335"/>
      <c r="F233" s="1586"/>
      <c r="G233" s="1586"/>
      <c r="H233" s="1586"/>
      <c r="I233" s="1586"/>
      <c r="J233" s="1586"/>
      <c r="K233" s="687" t="s">
        <v>152</v>
      </c>
      <c r="L233" s="683" t="s">
        <v>146</v>
      </c>
      <c r="M233" s="686">
        <v>27</v>
      </c>
      <c r="N233" s="686">
        <v>109</v>
      </c>
      <c r="O233" s="686">
        <v>109</v>
      </c>
      <c r="P233" s="686">
        <v>109</v>
      </c>
      <c r="Q233" s="686">
        <v>109</v>
      </c>
    </row>
    <row r="234" spans="1:17" ht="45" x14ac:dyDescent="0.25">
      <c r="A234" s="1600"/>
      <c r="B234" s="1390"/>
      <c r="C234" s="1692"/>
      <c r="D234" s="1314"/>
      <c r="E234" s="1692"/>
      <c r="F234" s="1587"/>
      <c r="G234" s="1587"/>
      <c r="H234" s="1587"/>
      <c r="I234" s="1587"/>
      <c r="J234" s="1587"/>
      <c r="K234" s="684" t="s">
        <v>150</v>
      </c>
      <c r="L234" s="685" t="s">
        <v>151</v>
      </c>
      <c r="M234" s="689">
        <v>243</v>
      </c>
      <c r="N234" s="686">
        <v>970</v>
      </c>
      <c r="O234" s="686">
        <v>970</v>
      </c>
      <c r="P234" s="686">
        <v>970</v>
      </c>
      <c r="Q234" s="686">
        <v>970</v>
      </c>
    </row>
    <row r="235" spans="1:17" ht="150" x14ac:dyDescent="0.25">
      <c r="A235" s="1600"/>
      <c r="B235" s="422"/>
      <c r="C235" s="422" t="s">
        <v>19</v>
      </c>
      <c r="D235" s="655"/>
      <c r="E235" s="141" t="s">
        <v>153</v>
      </c>
      <c r="F235" s="46">
        <v>14524.9</v>
      </c>
      <c r="G235" s="46">
        <v>57294.2</v>
      </c>
      <c r="H235" s="46">
        <v>57294.2</v>
      </c>
      <c r="I235" s="46">
        <v>57294.2</v>
      </c>
      <c r="J235" s="46">
        <v>57294.2</v>
      </c>
      <c r="K235" s="687" t="s">
        <v>154</v>
      </c>
      <c r="L235" s="683" t="s">
        <v>155</v>
      </c>
      <c r="M235" s="126" t="s">
        <v>204</v>
      </c>
      <c r="N235" s="126" t="s">
        <v>205</v>
      </c>
      <c r="O235" s="126" t="s">
        <v>206</v>
      </c>
      <c r="P235" s="126" t="s">
        <v>207</v>
      </c>
      <c r="Q235" s="126" t="s">
        <v>208</v>
      </c>
    </row>
    <row r="236" spans="1:17" ht="45" x14ac:dyDescent="0.25">
      <c r="A236" s="1600"/>
      <c r="B236" s="1301"/>
      <c r="C236" s="1301" t="s">
        <v>20</v>
      </c>
      <c r="D236" s="1301"/>
      <c r="E236" s="1335" t="s">
        <v>156</v>
      </c>
      <c r="F236" s="1587">
        <v>7006</v>
      </c>
      <c r="G236" s="1587">
        <v>19625.900000000001</v>
      </c>
      <c r="H236" s="1587">
        <v>22379.8</v>
      </c>
      <c r="I236" s="1587">
        <v>22457.3</v>
      </c>
      <c r="J236" s="1587">
        <v>22736.1</v>
      </c>
      <c r="K236" s="684" t="s">
        <v>209</v>
      </c>
      <c r="L236" s="685" t="s">
        <v>14</v>
      </c>
      <c r="M236" s="122">
        <v>10</v>
      </c>
      <c r="N236" s="421" t="s">
        <v>210</v>
      </c>
      <c r="O236" s="421" t="s">
        <v>170</v>
      </c>
      <c r="P236" s="421" t="s">
        <v>170</v>
      </c>
      <c r="Q236" s="421" t="s">
        <v>170</v>
      </c>
    </row>
    <row r="237" spans="1:17" ht="45" x14ac:dyDescent="0.25">
      <c r="A237" s="1600"/>
      <c r="B237" s="1301"/>
      <c r="C237" s="1301"/>
      <c r="D237" s="1301"/>
      <c r="E237" s="1335"/>
      <c r="F237" s="1587"/>
      <c r="G237" s="1587"/>
      <c r="H237" s="1587"/>
      <c r="I237" s="1587"/>
      <c r="J237" s="1587"/>
      <c r="K237" s="690" t="s">
        <v>211</v>
      </c>
      <c r="L237" s="679" t="s">
        <v>14</v>
      </c>
      <c r="M237" s="122">
        <v>0</v>
      </c>
      <c r="N237" s="421" t="s">
        <v>212</v>
      </c>
      <c r="O237" s="421" t="s">
        <v>213</v>
      </c>
      <c r="P237" s="421" t="s">
        <v>214</v>
      </c>
      <c r="Q237" s="421" t="s">
        <v>215</v>
      </c>
    </row>
    <row r="238" spans="1:17" ht="28.5" x14ac:dyDescent="0.25">
      <c r="A238" s="1600"/>
      <c r="B238" s="1408" t="s">
        <v>1914</v>
      </c>
      <c r="C238" s="1617"/>
      <c r="D238" s="1617"/>
      <c r="E238" s="1618" t="s">
        <v>1219</v>
      </c>
      <c r="F238" s="1619">
        <f>F243+F244+F247+F251</f>
        <v>237437.40000000002</v>
      </c>
      <c r="G238" s="1619">
        <f>G243+G244+G247+G251</f>
        <v>642722.9</v>
      </c>
      <c r="H238" s="1619">
        <f>H243+H244+H247+H251</f>
        <v>474298.20000000007</v>
      </c>
      <c r="I238" s="1619">
        <f>I243+I244+I247+I251</f>
        <v>503195.6</v>
      </c>
      <c r="J238" s="1619">
        <f>J243+J244+J247+J251</f>
        <v>521749.8</v>
      </c>
      <c r="K238" s="502" t="s">
        <v>157</v>
      </c>
      <c r="L238" s="395" t="s">
        <v>114</v>
      </c>
      <c r="M238" s="395">
        <v>772226</v>
      </c>
      <c r="N238" s="395">
        <v>772226</v>
      </c>
      <c r="O238" s="395">
        <v>772226</v>
      </c>
      <c r="P238" s="395">
        <v>772226</v>
      </c>
      <c r="Q238" s="395">
        <v>772226</v>
      </c>
    </row>
    <row r="239" spans="1:17" ht="57" x14ac:dyDescent="0.25">
      <c r="A239" s="1600"/>
      <c r="B239" s="1409"/>
      <c r="C239" s="1617"/>
      <c r="D239" s="1617"/>
      <c r="E239" s="1618"/>
      <c r="F239" s="1619"/>
      <c r="G239" s="1619"/>
      <c r="H239" s="1619"/>
      <c r="I239" s="1619"/>
      <c r="J239" s="1619"/>
      <c r="K239" s="502" t="s">
        <v>158</v>
      </c>
      <c r="L239" s="395" t="s">
        <v>114</v>
      </c>
      <c r="M239" s="395">
        <v>2538574</v>
      </c>
      <c r="N239" s="395">
        <v>2538574</v>
      </c>
      <c r="O239" s="395">
        <v>2538574</v>
      </c>
      <c r="P239" s="395">
        <v>2538574</v>
      </c>
      <c r="Q239" s="395">
        <v>2538574</v>
      </c>
    </row>
    <row r="240" spans="1:17" ht="28.5" x14ac:dyDescent="0.25">
      <c r="A240" s="1600"/>
      <c r="B240" s="1409"/>
      <c r="C240" s="1617"/>
      <c r="D240" s="1617"/>
      <c r="E240" s="1618"/>
      <c r="F240" s="1619"/>
      <c r="G240" s="1619"/>
      <c r="H240" s="1619"/>
      <c r="I240" s="1619"/>
      <c r="J240" s="1619"/>
      <c r="K240" s="502" t="s">
        <v>159</v>
      </c>
      <c r="L240" s="395" t="s">
        <v>114</v>
      </c>
      <c r="M240" s="395">
        <v>699.4</v>
      </c>
      <c r="N240" s="395">
        <v>1130</v>
      </c>
      <c r="O240" s="395">
        <v>1140</v>
      </c>
      <c r="P240" s="395">
        <v>1150</v>
      </c>
      <c r="Q240" s="395">
        <v>1160</v>
      </c>
    </row>
    <row r="241" spans="1:17" ht="28.5" x14ac:dyDescent="0.25">
      <c r="A241" s="1600"/>
      <c r="B241" s="1409"/>
      <c r="C241" s="1617"/>
      <c r="D241" s="1617"/>
      <c r="E241" s="1618"/>
      <c r="F241" s="1619"/>
      <c r="G241" s="1619"/>
      <c r="H241" s="1619"/>
      <c r="I241" s="1619"/>
      <c r="J241" s="1619"/>
      <c r="K241" s="502" t="s">
        <v>160</v>
      </c>
      <c r="L241" s="395" t="s">
        <v>114</v>
      </c>
      <c r="M241" s="395">
        <v>239.5</v>
      </c>
      <c r="N241" s="395">
        <v>765</v>
      </c>
      <c r="O241" s="395">
        <v>770</v>
      </c>
      <c r="P241" s="395">
        <v>775</v>
      </c>
      <c r="Q241" s="395">
        <v>780</v>
      </c>
    </row>
    <row r="242" spans="1:17" ht="28.5" x14ac:dyDescent="0.25">
      <c r="A242" s="1600"/>
      <c r="B242" s="1616"/>
      <c r="C242" s="1598"/>
      <c r="D242" s="1598"/>
      <c r="E242" s="1598"/>
      <c r="F242" s="1620"/>
      <c r="G242" s="1620"/>
      <c r="H242" s="1620"/>
      <c r="I242" s="1620"/>
      <c r="J242" s="1620"/>
      <c r="K242" s="502" t="s">
        <v>161</v>
      </c>
      <c r="L242" s="394" t="s">
        <v>162</v>
      </c>
      <c r="M242" s="395">
        <v>1040</v>
      </c>
      <c r="N242" s="395">
        <v>1040</v>
      </c>
      <c r="O242" s="395">
        <v>1050</v>
      </c>
      <c r="P242" s="395">
        <v>1060</v>
      </c>
      <c r="Q242" s="395">
        <v>1070</v>
      </c>
    </row>
    <row r="243" spans="1:17" ht="30" x14ac:dyDescent="0.25">
      <c r="A243" s="1600"/>
      <c r="B243" s="391"/>
      <c r="C243" s="422" t="s">
        <v>17</v>
      </c>
      <c r="D243" s="769"/>
      <c r="E243" s="141" t="s">
        <v>163</v>
      </c>
      <c r="F243" s="46">
        <v>12409.8</v>
      </c>
      <c r="G243" s="46">
        <v>12447.2</v>
      </c>
      <c r="H243" s="46">
        <v>27404.9</v>
      </c>
      <c r="I243" s="46">
        <v>28251.5</v>
      </c>
      <c r="J243" s="46">
        <v>28288</v>
      </c>
      <c r="K243" s="141" t="s">
        <v>174</v>
      </c>
      <c r="L243" s="395">
        <v>0</v>
      </c>
      <c r="M243" s="395">
        <v>0</v>
      </c>
      <c r="N243" s="395">
        <v>0</v>
      </c>
      <c r="O243" s="395">
        <v>0</v>
      </c>
      <c r="P243" s="395">
        <v>0</v>
      </c>
      <c r="Q243" s="395">
        <v>0</v>
      </c>
    </row>
    <row r="244" spans="1:17" ht="30" x14ac:dyDescent="0.25">
      <c r="A244" s="1600"/>
      <c r="B244" s="1283"/>
      <c r="C244" s="1301" t="s">
        <v>18</v>
      </c>
      <c r="D244" s="1408"/>
      <c r="E244" s="1335" t="s">
        <v>164</v>
      </c>
      <c r="F244" s="1586">
        <v>92010.5</v>
      </c>
      <c r="G244" s="1586">
        <v>333023.7</v>
      </c>
      <c r="H244" s="1586">
        <v>427623.4</v>
      </c>
      <c r="I244" s="1586">
        <f>299339.8+138050.4</f>
        <v>437390.19999999995</v>
      </c>
      <c r="J244" s="1586">
        <f>299724.5+168239.3</f>
        <v>467963.8</v>
      </c>
      <c r="K244" s="141" t="s">
        <v>165</v>
      </c>
      <c r="L244" s="691" t="s">
        <v>216</v>
      </c>
      <c r="M244" s="122">
        <v>9</v>
      </c>
      <c r="N244" s="122">
        <v>13.1</v>
      </c>
      <c r="O244" s="122">
        <v>13.2</v>
      </c>
      <c r="P244" s="122">
        <v>13.3</v>
      </c>
      <c r="Q244" s="122">
        <v>13.4</v>
      </c>
    </row>
    <row r="245" spans="1:17" ht="60" x14ac:dyDescent="0.25">
      <c r="A245" s="1600"/>
      <c r="B245" s="1390"/>
      <c r="C245" s="1390"/>
      <c r="D245" s="1409"/>
      <c r="E245" s="1598"/>
      <c r="F245" s="1587"/>
      <c r="G245" s="1587"/>
      <c r="H245" s="1587"/>
      <c r="I245" s="1587"/>
      <c r="J245" s="1587"/>
      <c r="K245" s="141" t="s">
        <v>166</v>
      </c>
      <c r="L245" s="122" t="s">
        <v>14</v>
      </c>
      <c r="M245" s="122">
        <v>20</v>
      </c>
      <c r="N245" s="122">
        <v>100</v>
      </c>
      <c r="O245" s="122">
        <v>100</v>
      </c>
      <c r="P245" s="122">
        <v>100</v>
      </c>
      <c r="Q245" s="122">
        <v>100</v>
      </c>
    </row>
    <row r="246" spans="1:17" x14ac:dyDescent="0.25">
      <c r="A246" s="1600"/>
      <c r="B246" s="1390"/>
      <c r="C246" s="1390"/>
      <c r="D246" s="1621"/>
      <c r="E246" s="1598"/>
      <c r="F246" s="1587"/>
      <c r="G246" s="1587"/>
      <c r="H246" s="1587"/>
      <c r="I246" s="1587"/>
      <c r="J246" s="1587"/>
      <c r="K246" s="467" t="s">
        <v>167</v>
      </c>
      <c r="L246" s="464" t="s">
        <v>14</v>
      </c>
      <c r="M246" s="122">
        <v>20</v>
      </c>
      <c r="N246" s="122">
        <v>62</v>
      </c>
      <c r="O246" s="122">
        <v>62</v>
      </c>
      <c r="P246" s="122">
        <v>62</v>
      </c>
      <c r="Q246" s="122">
        <v>62</v>
      </c>
    </row>
    <row r="247" spans="1:17" x14ac:dyDescent="0.25">
      <c r="A247" s="1600"/>
      <c r="B247" s="1283"/>
      <c r="C247" s="1301" t="s">
        <v>16</v>
      </c>
      <c r="D247" s="1283"/>
      <c r="E247" s="1335" t="s">
        <v>168</v>
      </c>
      <c r="F247" s="1586">
        <v>45</v>
      </c>
      <c r="G247" s="1586">
        <v>28754.7</v>
      </c>
      <c r="H247" s="1586">
        <v>19269.900000000001</v>
      </c>
      <c r="I247" s="1586">
        <f>18834.3+18719.6</f>
        <v>37553.899999999994</v>
      </c>
      <c r="J247" s="1586">
        <f>18858.7+6639.3</f>
        <v>25498</v>
      </c>
      <c r="K247" s="141" t="s">
        <v>217</v>
      </c>
      <c r="L247" s="122" t="s">
        <v>39</v>
      </c>
      <c r="M247" s="122">
        <v>99.8</v>
      </c>
      <c r="N247" s="122">
        <v>350</v>
      </c>
      <c r="O247" s="122">
        <v>470</v>
      </c>
      <c r="P247" s="122">
        <v>300</v>
      </c>
      <c r="Q247" s="122">
        <v>300</v>
      </c>
    </row>
    <row r="248" spans="1:17" x14ac:dyDescent="0.25">
      <c r="A248" s="1600"/>
      <c r="B248" s="1283"/>
      <c r="C248" s="1301"/>
      <c r="D248" s="1283"/>
      <c r="E248" s="1335"/>
      <c r="F248" s="1586"/>
      <c r="G248" s="1586"/>
      <c r="H248" s="1586"/>
      <c r="I248" s="1586"/>
      <c r="J248" s="1586"/>
      <c r="K248" s="141" t="s">
        <v>218</v>
      </c>
      <c r="L248" s="122" t="s">
        <v>39</v>
      </c>
      <c r="M248" s="122">
        <v>1471</v>
      </c>
      <c r="N248" s="122">
        <v>800</v>
      </c>
      <c r="O248" s="122">
        <v>750</v>
      </c>
      <c r="P248" s="122">
        <v>800</v>
      </c>
      <c r="Q248" s="122">
        <v>800</v>
      </c>
    </row>
    <row r="249" spans="1:17" x14ac:dyDescent="0.25">
      <c r="A249" s="1600"/>
      <c r="B249" s="1283"/>
      <c r="C249" s="1301"/>
      <c r="D249" s="1283"/>
      <c r="E249" s="1335"/>
      <c r="F249" s="1586"/>
      <c r="G249" s="1586"/>
      <c r="H249" s="1586"/>
      <c r="I249" s="1586"/>
      <c r="J249" s="1586"/>
      <c r="K249" s="467" t="s">
        <v>219</v>
      </c>
      <c r="L249" s="464" t="s">
        <v>39</v>
      </c>
      <c r="M249" s="122">
        <v>950</v>
      </c>
      <c r="N249" s="122">
        <v>950</v>
      </c>
      <c r="O249" s="122">
        <v>1500</v>
      </c>
      <c r="P249" s="122">
        <v>1000</v>
      </c>
      <c r="Q249" s="122">
        <v>650</v>
      </c>
    </row>
    <row r="250" spans="1:17" x14ac:dyDescent="0.25">
      <c r="A250" s="1600"/>
      <c r="B250" s="1283"/>
      <c r="C250" s="1301"/>
      <c r="D250" s="1283"/>
      <c r="E250" s="1335"/>
      <c r="F250" s="1586"/>
      <c r="G250" s="1586"/>
      <c r="H250" s="1586"/>
      <c r="I250" s="1586"/>
      <c r="J250" s="1586"/>
      <c r="K250" s="467" t="s">
        <v>220</v>
      </c>
      <c r="L250" s="464" t="s">
        <v>221</v>
      </c>
      <c r="M250" s="122">
        <v>600</v>
      </c>
      <c r="N250" s="122">
        <v>1600</v>
      </c>
      <c r="O250" s="122">
        <v>2200</v>
      </c>
      <c r="P250" s="122">
        <v>1600</v>
      </c>
      <c r="Q250" s="122">
        <v>1600</v>
      </c>
    </row>
    <row r="251" spans="1:17" ht="45" x14ac:dyDescent="0.25">
      <c r="A251" s="1601"/>
      <c r="B251" s="391"/>
      <c r="C251" s="422" t="s">
        <v>19</v>
      </c>
      <c r="D251" s="769"/>
      <c r="E251" s="141" t="s">
        <v>169</v>
      </c>
      <c r="F251" s="46">
        <v>132972.1</v>
      </c>
      <c r="G251" s="46">
        <v>268497.3</v>
      </c>
      <c r="H251" s="46"/>
      <c r="I251" s="46">
        <v>0</v>
      </c>
      <c r="J251" s="46">
        <v>0</v>
      </c>
      <c r="K251" s="141"/>
      <c r="L251" s="395">
        <v>0</v>
      </c>
      <c r="M251" s="395">
        <v>0</v>
      </c>
      <c r="N251" s="395">
        <v>0</v>
      </c>
      <c r="O251" s="395">
        <v>0</v>
      </c>
      <c r="P251" s="395">
        <v>0</v>
      </c>
      <c r="Q251" s="395">
        <v>0</v>
      </c>
    </row>
    <row r="252" spans="1:17" x14ac:dyDescent="0.25">
      <c r="A252" s="1407" t="s">
        <v>15</v>
      </c>
      <c r="B252" s="1407"/>
      <c r="C252" s="1407"/>
      <c r="D252" s="1407"/>
      <c r="E252" s="1407"/>
      <c r="F252" s="498">
        <v>1780827</v>
      </c>
      <c r="G252" s="498">
        <v>6575085.9000000004</v>
      </c>
      <c r="H252" s="498">
        <f>H144+H147+H164+H194+H204+H227+H238</f>
        <v>8450971.7999999989</v>
      </c>
      <c r="I252" s="498">
        <v>7912943</v>
      </c>
      <c r="J252" s="498">
        <v>7642751.5999999996</v>
      </c>
      <c r="K252" s="497"/>
      <c r="L252" s="8"/>
      <c r="M252" s="8"/>
      <c r="N252" s="8"/>
      <c r="O252" s="8"/>
      <c r="P252" s="8"/>
      <c r="Q252" s="8"/>
    </row>
    <row r="253" spans="1:17" x14ac:dyDescent="0.25">
      <c r="A253" s="1137" t="s">
        <v>1028</v>
      </c>
      <c r="B253" s="1137" t="s">
        <v>35</v>
      </c>
      <c r="C253" s="1137"/>
      <c r="D253" s="1137"/>
      <c r="E253" s="1137"/>
      <c r="F253" s="1137"/>
      <c r="G253" s="1137"/>
      <c r="H253" s="1137"/>
      <c r="I253" s="1137"/>
      <c r="J253" s="1137"/>
      <c r="K253" s="1137"/>
      <c r="L253" s="1137"/>
      <c r="M253" s="1137"/>
      <c r="N253" s="1137"/>
      <c r="O253" s="1137"/>
      <c r="P253" s="651"/>
      <c r="Q253" s="651"/>
    </row>
    <row r="254" spans="1:17" x14ac:dyDescent="0.25">
      <c r="A254" s="1434">
        <v>43</v>
      </c>
      <c r="B254" s="1235" t="s">
        <v>8</v>
      </c>
      <c r="C254" s="1563"/>
      <c r="D254" s="1612"/>
      <c r="E254" s="692" t="s">
        <v>1177</v>
      </c>
      <c r="F254" s="1583">
        <f>F256</f>
        <v>48826.6</v>
      </c>
      <c r="G254" s="1583">
        <f>G256</f>
        <v>101841.5</v>
      </c>
      <c r="H254" s="1583">
        <v>63504.7</v>
      </c>
      <c r="I254" s="1583">
        <v>61262.7</v>
      </c>
      <c r="J254" s="1583">
        <f>J256</f>
        <v>61960.9</v>
      </c>
      <c r="K254" s="1613" t="s">
        <v>9</v>
      </c>
      <c r="L254" s="1434" t="s">
        <v>431</v>
      </c>
      <c r="M254" s="1609">
        <v>0.6</v>
      </c>
      <c r="N254" s="1609">
        <v>0.62</v>
      </c>
      <c r="O254" s="1609">
        <v>0.64</v>
      </c>
      <c r="P254" s="1609">
        <v>0.66</v>
      </c>
      <c r="Q254" s="693">
        <v>0.68</v>
      </c>
    </row>
    <row r="255" spans="1:17" ht="60" x14ac:dyDescent="0.25">
      <c r="A255" s="1435"/>
      <c r="B255" s="1235"/>
      <c r="C255" s="1564"/>
      <c r="D255" s="1612"/>
      <c r="E255" s="694" t="s">
        <v>1029</v>
      </c>
      <c r="F255" s="1585"/>
      <c r="G255" s="1585"/>
      <c r="H255" s="1585"/>
      <c r="I255" s="1585"/>
      <c r="J255" s="1585"/>
      <c r="K255" s="1614"/>
      <c r="L255" s="1436"/>
      <c r="M255" s="1610"/>
      <c r="N255" s="1610"/>
      <c r="O255" s="1610"/>
      <c r="P255" s="1610"/>
      <c r="Q255" s="695"/>
    </row>
    <row r="256" spans="1:17" ht="30" x14ac:dyDescent="0.25">
      <c r="A256" s="1435"/>
      <c r="B256" s="772"/>
      <c r="C256" s="43" t="s">
        <v>17</v>
      </c>
      <c r="D256" s="43"/>
      <c r="E256" s="764" t="s">
        <v>10</v>
      </c>
      <c r="F256" s="44">
        <v>48826.6</v>
      </c>
      <c r="G256" s="44">
        <v>101841.5</v>
      </c>
      <c r="H256" s="44">
        <v>63504.7</v>
      </c>
      <c r="I256" s="44">
        <v>61262.7</v>
      </c>
      <c r="J256" s="44">
        <v>61960.9</v>
      </c>
      <c r="K256" s="99"/>
      <c r="L256" s="99"/>
      <c r="M256" s="696"/>
      <c r="N256" s="696"/>
      <c r="O256" s="696"/>
      <c r="P256" s="696"/>
      <c r="Q256" s="697"/>
    </row>
    <row r="257" spans="1:17" ht="28.5" x14ac:dyDescent="0.25">
      <c r="A257" s="1435"/>
      <c r="B257" s="1235" t="s">
        <v>1915</v>
      </c>
      <c r="C257" s="1563"/>
      <c r="D257" s="1615"/>
      <c r="E257" s="698" t="s">
        <v>1178</v>
      </c>
      <c r="F257" s="1583">
        <f>F259+F260+F261+F262+F263+F264+F266+F267</f>
        <v>1648520.9000000001</v>
      </c>
      <c r="G257" s="1583">
        <f t="shared" ref="G257" si="13">G259+G260+G261+G262+G263+G264+G266+G267</f>
        <v>2966883.8000000003</v>
      </c>
      <c r="H257" s="1583">
        <f>H259+H260+H261+H262+H263+H264+H266+H267</f>
        <v>2127200.9</v>
      </c>
      <c r="I257" s="1583">
        <v>2155637.5</v>
      </c>
      <c r="J257" s="1583">
        <v>2179915.9</v>
      </c>
      <c r="K257" s="502" t="s">
        <v>1030</v>
      </c>
      <c r="L257" s="395" t="s">
        <v>14</v>
      </c>
      <c r="M257" s="667">
        <v>62</v>
      </c>
      <c r="N257" s="667">
        <v>65</v>
      </c>
      <c r="O257" s="667">
        <v>59</v>
      </c>
      <c r="P257" s="667">
        <v>61</v>
      </c>
      <c r="Q257" s="667">
        <v>63</v>
      </c>
    </row>
    <row r="258" spans="1:17" ht="60" x14ac:dyDescent="0.25">
      <c r="A258" s="1435"/>
      <c r="B258" s="1235"/>
      <c r="C258" s="1564"/>
      <c r="D258" s="1615"/>
      <c r="E258" s="699" t="s">
        <v>1031</v>
      </c>
      <c r="F258" s="1585"/>
      <c r="G258" s="1585"/>
      <c r="H258" s="1585"/>
      <c r="I258" s="1585"/>
      <c r="J258" s="1585"/>
      <c r="K258" s="435" t="s">
        <v>1032</v>
      </c>
      <c r="L258" s="40" t="s">
        <v>116</v>
      </c>
      <c r="M258" s="381">
        <v>11710</v>
      </c>
      <c r="N258" s="381">
        <v>11980</v>
      </c>
      <c r="O258" s="667" t="s">
        <v>1033</v>
      </c>
      <c r="P258" s="667" t="s">
        <v>1034</v>
      </c>
      <c r="Q258" s="667" t="s">
        <v>1035</v>
      </c>
    </row>
    <row r="259" spans="1:17" ht="60" x14ac:dyDescent="0.25">
      <c r="A259" s="1435"/>
      <c r="B259" s="772"/>
      <c r="C259" s="116">
        <v>1</v>
      </c>
      <c r="D259" s="116"/>
      <c r="E259" s="278" t="s">
        <v>1179</v>
      </c>
      <c r="F259" s="44">
        <v>0</v>
      </c>
      <c r="G259" s="44">
        <v>25177.8</v>
      </c>
      <c r="H259" s="44">
        <v>59550</v>
      </c>
      <c r="I259" s="44">
        <v>10000</v>
      </c>
      <c r="J259" s="44">
        <v>10000</v>
      </c>
      <c r="K259" s="140" t="s">
        <v>1036</v>
      </c>
      <c r="L259" s="19" t="s">
        <v>1037</v>
      </c>
      <c r="M259" s="117">
        <v>3</v>
      </c>
      <c r="N259" s="117" t="s">
        <v>1038</v>
      </c>
      <c r="O259" s="33" t="s">
        <v>1039</v>
      </c>
      <c r="P259" s="33" t="s">
        <v>1039</v>
      </c>
      <c r="Q259" s="33" t="s">
        <v>1039</v>
      </c>
    </row>
    <row r="260" spans="1:17" ht="45" x14ac:dyDescent="0.25">
      <c r="A260" s="1435"/>
      <c r="B260" s="772"/>
      <c r="C260" s="116">
        <v>2</v>
      </c>
      <c r="D260" s="116"/>
      <c r="E260" s="140" t="s">
        <v>1180</v>
      </c>
      <c r="F260" s="44">
        <v>11200</v>
      </c>
      <c r="G260" s="44">
        <v>28426</v>
      </c>
      <c r="H260" s="44">
        <v>35000</v>
      </c>
      <c r="I260" s="44">
        <v>40000</v>
      </c>
      <c r="J260" s="44">
        <v>40000</v>
      </c>
      <c r="K260" s="19"/>
      <c r="L260" s="19" t="s">
        <v>1040</v>
      </c>
      <c r="M260" s="421" t="s">
        <v>1041</v>
      </c>
      <c r="N260" s="43" t="s">
        <v>1042</v>
      </c>
      <c r="O260" s="700" t="s">
        <v>1043</v>
      </c>
      <c r="P260" s="700" t="s">
        <v>1044</v>
      </c>
      <c r="Q260" s="700" t="s">
        <v>1045</v>
      </c>
    </row>
    <row r="261" spans="1:17" ht="45" x14ac:dyDescent="0.25">
      <c r="A261" s="1435"/>
      <c r="B261" s="772"/>
      <c r="C261" s="43" t="s">
        <v>16</v>
      </c>
      <c r="D261" s="43"/>
      <c r="E261" s="479" t="s">
        <v>1181</v>
      </c>
      <c r="F261" s="44">
        <v>911025.6</v>
      </c>
      <c r="G261" s="44">
        <v>1948408.2</v>
      </c>
      <c r="H261" s="44">
        <v>1402753.9</v>
      </c>
      <c r="I261" s="44">
        <v>1471915.5</v>
      </c>
      <c r="J261" s="44">
        <v>1482176.5999999999</v>
      </c>
      <c r="K261" s="19"/>
      <c r="L261" s="19" t="s">
        <v>14</v>
      </c>
      <c r="M261" s="19">
        <v>3</v>
      </c>
      <c r="N261" s="19" t="s">
        <v>1046</v>
      </c>
      <c r="O261" s="33" t="s">
        <v>1047</v>
      </c>
      <c r="P261" s="33" t="s">
        <v>1048</v>
      </c>
      <c r="Q261" s="33" t="s">
        <v>1049</v>
      </c>
    </row>
    <row r="262" spans="1:17" ht="30" x14ac:dyDescent="0.25">
      <c r="A262" s="1435"/>
      <c r="B262" s="772"/>
      <c r="C262" s="43" t="s">
        <v>19</v>
      </c>
      <c r="D262" s="43"/>
      <c r="E262" s="140" t="s">
        <v>1182</v>
      </c>
      <c r="F262" s="44">
        <v>269507</v>
      </c>
      <c r="G262" s="44">
        <v>355137.8</v>
      </c>
      <c r="H262" s="44">
        <v>300000</v>
      </c>
      <c r="I262" s="44">
        <v>300000</v>
      </c>
      <c r="J262" s="44">
        <v>300001</v>
      </c>
      <c r="K262" s="19"/>
      <c r="L262" s="19" t="s">
        <v>14</v>
      </c>
      <c r="M262" s="102">
        <v>0</v>
      </c>
      <c r="N262" s="19" t="s">
        <v>1050</v>
      </c>
      <c r="O262" s="44">
        <v>41.4</v>
      </c>
      <c r="P262" s="44">
        <v>42</v>
      </c>
      <c r="Q262" s="44">
        <v>42.4</v>
      </c>
    </row>
    <row r="263" spans="1:17" ht="30" x14ac:dyDescent="0.25">
      <c r="A263" s="1435"/>
      <c r="B263" s="772"/>
      <c r="C263" s="43" t="s">
        <v>20</v>
      </c>
      <c r="D263" s="43"/>
      <c r="E263" s="140" t="s">
        <v>1183</v>
      </c>
      <c r="F263" s="44">
        <v>267103</v>
      </c>
      <c r="G263" s="44">
        <v>366117.2</v>
      </c>
      <c r="H263" s="44">
        <v>200000</v>
      </c>
      <c r="I263" s="44">
        <v>200000</v>
      </c>
      <c r="J263" s="44">
        <v>210000</v>
      </c>
      <c r="K263" s="140" t="s">
        <v>1372</v>
      </c>
      <c r="L263" s="19" t="s">
        <v>14</v>
      </c>
      <c r="M263" s="117">
        <v>60</v>
      </c>
      <c r="N263" s="117">
        <v>100</v>
      </c>
      <c r="O263" s="44">
        <v>48.5</v>
      </c>
      <c r="P263" s="44">
        <v>48.7</v>
      </c>
      <c r="Q263" s="44">
        <v>48.9</v>
      </c>
    </row>
    <row r="264" spans="1:17" ht="30" x14ac:dyDescent="0.25">
      <c r="A264" s="1435"/>
      <c r="B264" s="1611"/>
      <c r="C264" s="1236" t="s">
        <v>21</v>
      </c>
      <c r="D264" s="1236"/>
      <c r="E264" s="1172" t="s">
        <v>1184</v>
      </c>
      <c r="F264" s="1162">
        <v>7407.3</v>
      </c>
      <c r="G264" s="1162">
        <v>31162.1</v>
      </c>
      <c r="H264" s="1162">
        <v>20000</v>
      </c>
      <c r="I264" s="1162">
        <v>20000</v>
      </c>
      <c r="J264" s="1162">
        <v>20000</v>
      </c>
      <c r="K264" s="140" t="s">
        <v>1051</v>
      </c>
      <c r="L264" s="19" t="s">
        <v>34</v>
      </c>
      <c r="M264" s="19">
        <v>145</v>
      </c>
      <c r="N264" s="117">
        <v>0</v>
      </c>
      <c r="O264" s="44">
        <v>300</v>
      </c>
      <c r="P264" s="44">
        <v>400</v>
      </c>
      <c r="Q264" s="44">
        <v>600</v>
      </c>
    </row>
    <row r="265" spans="1:17" ht="30" x14ac:dyDescent="0.25">
      <c r="A265" s="1435"/>
      <c r="B265" s="1611"/>
      <c r="C265" s="1236"/>
      <c r="D265" s="1236"/>
      <c r="E265" s="1173"/>
      <c r="F265" s="1163"/>
      <c r="G265" s="1163"/>
      <c r="H265" s="1163"/>
      <c r="I265" s="1163"/>
      <c r="J265" s="1163"/>
      <c r="K265" s="140" t="s">
        <v>1052</v>
      </c>
      <c r="L265" s="19" t="s">
        <v>14</v>
      </c>
      <c r="M265" s="19">
        <v>30</v>
      </c>
      <c r="N265" s="117">
        <v>0</v>
      </c>
      <c r="O265" s="44">
        <v>8</v>
      </c>
      <c r="P265" s="44">
        <v>10</v>
      </c>
      <c r="Q265" s="44">
        <v>15</v>
      </c>
    </row>
    <row r="266" spans="1:17" ht="45" x14ac:dyDescent="0.25">
      <c r="A266" s="1435"/>
      <c r="B266" s="772"/>
      <c r="C266" s="43" t="s">
        <v>22</v>
      </c>
      <c r="D266" s="43"/>
      <c r="E266" s="140" t="s">
        <v>1185</v>
      </c>
      <c r="F266" s="44">
        <v>173578</v>
      </c>
      <c r="G266" s="44">
        <v>133454.70000000001</v>
      </c>
      <c r="H266" s="44">
        <v>109897</v>
      </c>
      <c r="I266" s="44">
        <v>113722</v>
      </c>
      <c r="J266" s="44">
        <v>117738.3</v>
      </c>
      <c r="K266" s="111" t="s">
        <v>1053</v>
      </c>
      <c r="L266" s="19" t="s">
        <v>14</v>
      </c>
      <c r="M266" s="19">
        <v>62</v>
      </c>
      <c r="N266" s="19">
        <v>250</v>
      </c>
      <c r="O266" s="701">
        <v>100</v>
      </c>
      <c r="P266" s="701">
        <v>100</v>
      </c>
      <c r="Q266" s="701">
        <v>100</v>
      </c>
    </row>
    <row r="267" spans="1:17" x14ac:dyDescent="0.25">
      <c r="A267" s="1435"/>
      <c r="B267" s="772"/>
      <c r="C267" s="43" t="s">
        <v>23</v>
      </c>
      <c r="D267" s="43"/>
      <c r="E267" s="437" t="s">
        <v>1186</v>
      </c>
      <c r="F267" s="44">
        <v>8700</v>
      </c>
      <c r="G267" s="44">
        <v>79000</v>
      </c>
      <c r="H267" s="44">
        <v>0</v>
      </c>
      <c r="I267" s="44">
        <v>0</v>
      </c>
      <c r="J267" s="44">
        <v>0</v>
      </c>
      <c r="K267" s="111" t="s">
        <v>1054</v>
      </c>
      <c r="L267" s="19" t="s">
        <v>14</v>
      </c>
      <c r="M267" s="19">
        <v>0</v>
      </c>
      <c r="N267" s="19">
        <v>0</v>
      </c>
      <c r="O267" s="701">
        <v>0</v>
      </c>
      <c r="P267" s="701">
        <v>0</v>
      </c>
      <c r="Q267" s="701">
        <v>0</v>
      </c>
    </row>
    <row r="268" spans="1:17" ht="42.75" x14ac:dyDescent="0.25">
      <c r="A268" s="1435"/>
      <c r="B268" s="1235" t="s">
        <v>1916</v>
      </c>
      <c r="C268" s="1235"/>
      <c r="D268" s="1608"/>
      <c r="E268" s="1693" t="s">
        <v>2041</v>
      </c>
      <c r="F268" s="1583">
        <f>F271+F274+F277+F280+F282+F285+F290+F293+F296+F297</f>
        <v>9207114.5</v>
      </c>
      <c r="G268" s="1583">
        <f t="shared" ref="G268" si="14">G271+G274+G277+G280+G282+G285+G290+G293+G296+G297</f>
        <v>13797146.5</v>
      </c>
      <c r="H268" s="1583">
        <f>H271+H274+H277+H280+H282+H285+H290+H293+H296+H297</f>
        <v>12177825.5</v>
      </c>
      <c r="I268" s="1583">
        <v>16840365</v>
      </c>
      <c r="J268" s="1583">
        <v>13988142</v>
      </c>
      <c r="K268" s="502" t="s">
        <v>1055</v>
      </c>
      <c r="L268" s="395" t="s">
        <v>116</v>
      </c>
      <c r="M268" s="504">
        <v>5161.5</v>
      </c>
      <c r="N268" s="504">
        <v>5161.5</v>
      </c>
      <c r="O268" s="504">
        <v>5161.5</v>
      </c>
      <c r="P268" s="504">
        <v>5161.5</v>
      </c>
      <c r="Q268" s="504">
        <v>5161.5</v>
      </c>
    </row>
    <row r="269" spans="1:17" ht="28.5" x14ac:dyDescent="0.25">
      <c r="A269" s="1435"/>
      <c r="B269" s="1235"/>
      <c r="C269" s="1235"/>
      <c r="D269" s="1608"/>
      <c r="E269" s="1694"/>
      <c r="F269" s="1584"/>
      <c r="G269" s="1584"/>
      <c r="H269" s="1584"/>
      <c r="I269" s="1584"/>
      <c r="J269" s="1584"/>
      <c r="K269" s="502" t="s">
        <v>1056</v>
      </c>
      <c r="L269" s="395" t="s">
        <v>116</v>
      </c>
      <c r="M269" s="122">
        <v>2515.1999999999998</v>
      </c>
      <c r="N269" s="122">
        <v>2500.6</v>
      </c>
      <c r="O269" s="122">
        <v>2522.1</v>
      </c>
      <c r="P269" s="122">
        <v>2597.6</v>
      </c>
      <c r="Q269" s="122">
        <v>2643.6</v>
      </c>
    </row>
    <row r="270" spans="1:17" ht="90" x14ac:dyDescent="0.25">
      <c r="A270" s="1435"/>
      <c r="B270" s="1235"/>
      <c r="C270" s="1235"/>
      <c r="D270" s="1608"/>
      <c r="E270" s="702" t="s">
        <v>1057</v>
      </c>
      <c r="F270" s="1585"/>
      <c r="G270" s="1585"/>
      <c r="H270" s="1585"/>
      <c r="I270" s="1585"/>
      <c r="J270" s="1585"/>
      <c r="K270" s="502" t="s">
        <v>1058</v>
      </c>
      <c r="L270" s="395" t="s">
        <v>14</v>
      </c>
      <c r="M270" s="703">
        <v>0.413975027746948</v>
      </c>
      <c r="N270" s="703">
        <v>0.39867480577136505</v>
      </c>
      <c r="O270" s="703">
        <v>0.39988901220865697</v>
      </c>
      <c r="P270" s="703">
        <v>0.41551767876962103</v>
      </c>
      <c r="Q270" s="703">
        <v>0.42364634533058498</v>
      </c>
    </row>
    <row r="271" spans="1:17" ht="30" x14ac:dyDescent="0.25">
      <c r="A271" s="1435"/>
      <c r="B271" s="1301"/>
      <c r="C271" s="1236" t="s">
        <v>17</v>
      </c>
      <c r="D271" s="1232"/>
      <c r="E271" s="1275" t="s">
        <v>1187</v>
      </c>
      <c r="F271" s="1162">
        <v>343723.3</v>
      </c>
      <c r="G271" s="1162">
        <v>240684.1</v>
      </c>
      <c r="H271" s="1162">
        <v>0</v>
      </c>
      <c r="I271" s="1162">
        <v>0</v>
      </c>
      <c r="J271" s="1162">
        <v>0</v>
      </c>
      <c r="K271" s="111" t="s">
        <v>1059</v>
      </c>
      <c r="L271" s="19" t="s">
        <v>116</v>
      </c>
      <c r="M271" s="122">
        <v>93</v>
      </c>
      <c r="N271" s="122">
        <v>0</v>
      </c>
      <c r="O271" s="122">
        <v>0</v>
      </c>
      <c r="P271" s="122">
        <v>0</v>
      </c>
      <c r="Q271" s="122">
        <v>0</v>
      </c>
    </row>
    <row r="272" spans="1:17" ht="30" x14ac:dyDescent="0.25">
      <c r="A272" s="1435"/>
      <c r="B272" s="1301"/>
      <c r="C272" s="1236"/>
      <c r="D272" s="1233"/>
      <c r="E272" s="1545"/>
      <c r="F272" s="1571"/>
      <c r="G272" s="1571"/>
      <c r="H272" s="1571"/>
      <c r="I272" s="1571"/>
      <c r="J272" s="1571"/>
      <c r="K272" s="111" t="s">
        <v>1060</v>
      </c>
      <c r="L272" s="122" t="s">
        <v>116</v>
      </c>
      <c r="M272" s="122">
        <v>18.7</v>
      </c>
      <c r="N272" s="122">
        <v>9.3000000000000007</v>
      </c>
      <c r="O272" s="122">
        <v>0</v>
      </c>
      <c r="P272" s="122">
        <v>0</v>
      </c>
      <c r="Q272" s="122">
        <v>0</v>
      </c>
    </row>
    <row r="273" spans="1:17" ht="45" x14ac:dyDescent="0.25">
      <c r="A273" s="1435"/>
      <c r="B273" s="1301"/>
      <c r="C273" s="1236"/>
      <c r="D273" s="1234"/>
      <c r="E273" s="1276"/>
      <c r="F273" s="1163"/>
      <c r="G273" s="1163"/>
      <c r="H273" s="1163"/>
      <c r="I273" s="1163"/>
      <c r="J273" s="1163"/>
      <c r="K273" s="111" t="s">
        <v>1061</v>
      </c>
      <c r="L273" s="40" t="s">
        <v>898</v>
      </c>
      <c r="M273" s="122">
        <v>17.3</v>
      </c>
      <c r="N273" s="122">
        <v>0</v>
      </c>
      <c r="O273" s="122">
        <v>0</v>
      </c>
      <c r="P273" s="122">
        <v>0</v>
      </c>
      <c r="Q273" s="122">
        <v>0</v>
      </c>
    </row>
    <row r="274" spans="1:17" ht="30" x14ac:dyDescent="0.25">
      <c r="A274" s="1435"/>
      <c r="B274" s="1301"/>
      <c r="C274" s="1301" t="s">
        <v>18</v>
      </c>
      <c r="D274" s="1301"/>
      <c r="E274" s="1275" t="s">
        <v>1188</v>
      </c>
      <c r="F274" s="1162">
        <v>1303492.5</v>
      </c>
      <c r="G274" s="1162">
        <v>119806.39999999999</v>
      </c>
      <c r="H274" s="1162">
        <v>1477400</v>
      </c>
      <c r="I274" s="1162">
        <v>6197500</v>
      </c>
      <c r="J274" s="1162">
        <v>4328010</v>
      </c>
      <c r="K274" s="111" t="s">
        <v>1059</v>
      </c>
      <c r="L274" s="122" t="s">
        <v>116</v>
      </c>
      <c r="M274" s="122">
        <v>1043.0999999999999</v>
      </c>
      <c r="N274" s="122">
        <v>1043.0999999999999</v>
      </c>
      <c r="O274" s="122">
        <v>1043.0999999999999</v>
      </c>
      <c r="P274" s="122">
        <v>1043.0999999999999</v>
      </c>
      <c r="Q274" s="122">
        <v>1043.0999999999999</v>
      </c>
    </row>
    <row r="275" spans="1:17" ht="30" x14ac:dyDescent="0.25">
      <c r="A275" s="1435"/>
      <c r="B275" s="1301"/>
      <c r="C275" s="1301"/>
      <c r="D275" s="1301"/>
      <c r="E275" s="1545"/>
      <c r="F275" s="1571"/>
      <c r="G275" s="1571"/>
      <c r="H275" s="1571"/>
      <c r="I275" s="1571"/>
      <c r="J275" s="1571"/>
      <c r="K275" s="111" t="s">
        <v>1060</v>
      </c>
      <c r="L275" s="122" t="s">
        <v>116</v>
      </c>
      <c r="M275" s="122">
        <v>642.70000000000005</v>
      </c>
      <c r="N275" s="122">
        <v>648.1</v>
      </c>
      <c r="O275" s="122">
        <v>648.1</v>
      </c>
      <c r="P275" s="122">
        <v>648.1</v>
      </c>
      <c r="Q275" s="122">
        <v>648.1</v>
      </c>
    </row>
    <row r="276" spans="1:17" ht="60" x14ac:dyDescent="0.25">
      <c r="A276" s="1435"/>
      <c r="B276" s="1301"/>
      <c r="C276" s="1301"/>
      <c r="D276" s="1301"/>
      <c r="E276" s="1276"/>
      <c r="F276" s="1163"/>
      <c r="G276" s="1163"/>
      <c r="H276" s="1163"/>
      <c r="I276" s="1163"/>
      <c r="J276" s="1163"/>
      <c r="K276" s="111" t="s">
        <v>1062</v>
      </c>
      <c r="L276" s="122" t="s">
        <v>14</v>
      </c>
      <c r="M276" s="122">
        <v>100</v>
      </c>
      <c r="N276" s="122">
        <v>100</v>
      </c>
      <c r="O276" s="122">
        <v>100</v>
      </c>
      <c r="P276" s="122">
        <v>100</v>
      </c>
      <c r="Q276" s="122">
        <v>100</v>
      </c>
    </row>
    <row r="277" spans="1:17" ht="30" x14ac:dyDescent="0.25">
      <c r="A277" s="1435"/>
      <c r="B277" s="1301"/>
      <c r="C277" s="1313" t="s">
        <v>16</v>
      </c>
      <c r="D277" s="1301"/>
      <c r="E277" s="1602" t="s">
        <v>1189</v>
      </c>
      <c r="F277" s="1162">
        <v>2814457.9</v>
      </c>
      <c r="G277" s="1162">
        <v>2626793.5</v>
      </c>
      <c r="H277" s="1162">
        <v>1710669</v>
      </c>
      <c r="I277" s="1162">
        <v>314592.5</v>
      </c>
      <c r="J277" s="1162">
        <v>264005</v>
      </c>
      <c r="K277" s="111" t="s">
        <v>1059</v>
      </c>
      <c r="L277" s="122" t="s">
        <v>1063</v>
      </c>
      <c r="M277" s="122">
        <v>648.1</v>
      </c>
      <c r="N277" s="122">
        <v>648.1</v>
      </c>
      <c r="O277" s="122">
        <v>648.1</v>
      </c>
      <c r="P277" s="122">
        <v>648.1</v>
      </c>
      <c r="Q277" s="122">
        <v>648.1</v>
      </c>
    </row>
    <row r="278" spans="1:17" ht="30" x14ac:dyDescent="0.25">
      <c r="A278" s="1435"/>
      <c r="B278" s="1301"/>
      <c r="C278" s="1334"/>
      <c r="D278" s="1301"/>
      <c r="E278" s="1603"/>
      <c r="F278" s="1571"/>
      <c r="G278" s="1571"/>
      <c r="H278" s="1571"/>
      <c r="I278" s="1571"/>
      <c r="J278" s="1571"/>
      <c r="K278" s="111" t="s">
        <v>1060</v>
      </c>
      <c r="L278" s="122" t="s">
        <v>116</v>
      </c>
      <c r="M278" s="122">
        <v>609.70000000000005</v>
      </c>
      <c r="N278" s="122">
        <v>648.1</v>
      </c>
      <c r="O278" s="122">
        <v>648.1</v>
      </c>
      <c r="P278" s="122">
        <v>648.1</v>
      </c>
      <c r="Q278" s="122">
        <v>648.1</v>
      </c>
    </row>
    <row r="279" spans="1:17" ht="45" x14ac:dyDescent="0.25">
      <c r="A279" s="1435"/>
      <c r="B279" s="1301"/>
      <c r="C279" s="1314"/>
      <c r="D279" s="1301"/>
      <c r="E279" s="1604"/>
      <c r="F279" s="1163"/>
      <c r="G279" s="1163"/>
      <c r="H279" s="1163"/>
      <c r="I279" s="1163"/>
      <c r="J279" s="1163"/>
      <c r="K279" s="111" t="s">
        <v>1064</v>
      </c>
      <c r="L279" s="122" t="s">
        <v>14</v>
      </c>
      <c r="M279" s="704">
        <v>0.94074988427711781</v>
      </c>
      <c r="N279" s="704">
        <v>1</v>
      </c>
      <c r="O279" s="704">
        <v>1</v>
      </c>
      <c r="P279" s="704">
        <v>1</v>
      </c>
      <c r="Q279" s="704">
        <v>1</v>
      </c>
    </row>
    <row r="280" spans="1:17" x14ac:dyDescent="0.25">
      <c r="A280" s="1435"/>
      <c r="B280" s="1301"/>
      <c r="C280" s="1313"/>
      <c r="D280" s="1301"/>
      <c r="E280" s="1605" t="s">
        <v>1190</v>
      </c>
      <c r="F280" s="1162">
        <v>170000</v>
      </c>
      <c r="G280" s="1162">
        <v>1189072.3999999999</v>
      </c>
      <c r="H280" s="1162">
        <v>1068000</v>
      </c>
      <c r="I280" s="1162">
        <v>228197.5</v>
      </c>
      <c r="J280" s="1162">
        <v>0</v>
      </c>
      <c r="K280" s="140" t="s">
        <v>1065</v>
      </c>
      <c r="L280" s="122" t="s">
        <v>1066</v>
      </c>
      <c r="M280" s="652">
        <v>0</v>
      </c>
      <c r="N280" s="652">
        <v>0.1</v>
      </c>
      <c r="O280" s="652">
        <v>0.25</v>
      </c>
      <c r="P280" s="652">
        <v>0.2</v>
      </c>
      <c r="Q280" s="652">
        <v>0.2</v>
      </c>
    </row>
    <row r="281" spans="1:17" ht="30" x14ac:dyDescent="0.25">
      <c r="A281" s="1435"/>
      <c r="B281" s="1301"/>
      <c r="C281" s="1314"/>
      <c r="D281" s="1301"/>
      <c r="E281" s="1606"/>
      <c r="F281" s="1163"/>
      <c r="G281" s="1163"/>
      <c r="H281" s="1163"/>
      <c r="I281" s="1163"/>
      <c r="J281" s="1163"/>
      <c r="K281" s="140" t="s">
        <v>1067</v>
      </c>
      <c r="L281" s="122" t="s">
        <v>14</v>
      </c>
      <c r="M281" s="705">
        <v>0</v>
      </c>
      <c r="N281" s="705">
        <v>0</v>
      </c>
      <c r="O281" s="705">
        <v>0</v>
      </c>
      <c r="P281" s="705">
        <v>0</v>
      </c>
      <c r="Q281" s="652">
        <v>1</v>
      </c>
    </row>
    <row r="282" spans="1:17" ht="30" x14ac:dyDescent="0.25">
      <c r="A282" s="1435"/>
      <c r="B282" s="1301"/>
      <c r="C282" s="1301" t="s">
        <v>19</v>
      </c>
      <c r="D282" s="1301"/>
      <c r="E282" s="1530" t="s">
        <v>1191</v>
      </c>
      <c r="F282" s="1162">
        <v>4342055.8</v>
      </c>
      <c r="G282" s="1162">
        <v>8546503.1999999993</v>
      </c>
      <c r="H282" s="1162">
        <v>3813854.7</v>
      </c>
      <c r="I282" s="1162">
        <v>2565487.5</v>
      </c>
      <c r="J282" s="1162">
        <v>321195</v>
      </c>
      <c r="K282" s="111" t="s">
        <v>1059</v>
      </c>
      <c r="L282" s="122" t="s">
        <v>116</v>
      </c>
      <c r="M282" s="122">
        <v>845</v>
      </c>
      <c r="N282" s="122">
        <v>845</v>
      </c>
      <c r="O282" s="122">
        <v>845</v>
      </c>
      <c r="P282" s="122">
        <v>845</v>
      </c>
      <c r="Q282" s="122">
        <v>845</v>
      </c>
    </row>
    <row r="283" spans="1:17" ht="30" x14ac:dyDescent="0.25">
      <c r="A283" s="1435"/>
      <c r="B283" s="1301"/>
      <c r="C283" s="1301"/>
      <c r="D283" s="1301"/>
      <c r="E283" s="1719"/>
      <c r="F283" s="1571"/>
      <c r="G283" s="1571"/>
      <c r="H283" s="1571"/>
      <c r="I283" s="1571"/>
      <c r="J283" s="1571"/>
      <c r="K283" s="111" t="s">
        <v>1060</v>
      </c>
      <c r="L283" s="122" t="s">
        <v>116</v>
      </c>
      <c r="M283" s="122">
        <v>279.5</v>
      </c>
      <c r="N283" s="122">
        <v>382.5</v>
      </c>
      <c r="O283" s="122">
        <v>388.5</v>
      </c>
      <c r="P283" s="122">
        <v>388.5</v>
      </c>
      <c r="Q283" s="122">
        <v>388.5</v>
      </c>
    </row>
    <row r="284" spans="1:17" ht="45" x14ac:dyDescent="0.25">
      <c r="A284" s="1435"/>
      <c r="B284" s="1301"/>
      <c r="C284" s="1301"/>
      <c r="D284" s="1301"/>
      <c r="E284" s="1720"/>
      <c r="F284" s="1163"/>
      <c r="G284" s="1163"/>
      <c r="H284" s="1163"/>
      <c r="I284" s="1163"/>
      <c r="J284" s="1163"/>
      <c r="K284" s="111" t="s">
        <v>1068</v>
      </c>
      <c r="L284" s="122" t="s">
        <v>14</v>
      </c>
      <c r="M284" s="706">
        <v>0.78856310679611652</v>
      </c>
      <c r="N284" s="706">
        <v>0.93507281553398047</v>
      </c>
      <c r="O284" s="706">
        <v>0.94296116504854366</v>
      </c>
      <c r="P284" s="706">
        <v>0.94296116504854366</v>
      </c>
      <c r="Q284" s="706">
        <v>0.94296116504854366</v>
      </c>
    </row>
    <row r="285" spans="1:17" ht="30" x14ac:dyDescent="0.25">
      <c r="A285" s="1435"/>
      <c r="B285" s="1301"/>
      <c r="C285" s="1301" t="s">
        <v>20</v>
      </c>
      <c r="D285" s="1301"/>
      <c r="E285" s="1129" t="s">
        <v>1192</v>
      </c>
      <c r="F285" s="1162">
        <v>17000</v>
      </c>
      <c r="G285" s="1162">
        <v>565345.69999999995</v>
      </c>
      <c r="H285" s="1162">
        <v>361624.8</v>
      </c>
      <c r="I285" s="1162">
        <v>1302585</v>
      </c>
      <c r="J285" s="1162">
        <v>2415470</v>
      </c>
      <c r="K285" s="111" t="s">
        <v>1059</v>
      </c>
      <c r="L285" s="19" t="s">
        <v>116</v>
      </c>
      <c r="M285" s="445" t="s">
        <v>1069</v>
      </c>
      <c r="N285" s="448">
        <v>199</v>
      </c>
      <c r="O285" s="448">
        <v>199</v>
      </c>
      <c r="P285" s="448">
        <v>199</v>
      </c>
      <c r="Q285" s="448">
        <v>199</v>
      </c>
    </row>
    <row r="286" spans="1:17" ht="30" x14ac:dyDescent="0.25">
      <c r="A286" s="1435"/>
      <c r="B286" s="1301"/>
      <c r="C286" s="1301"/>
      <c r="D286" s="1301"/>
      <c r="E286" s="1721"/>
      <c r="F286" s="1571"/>
      <c r="G286" s="1571"/>
      <c r="H286" s="1571"/>
      <c r="I286" s="1571"/>
      <c r="J286" s="1571"/>
      <c r="K286" s="111" t="s">
        <v>1060</v>
      </c>
      <c r="L286" s="19" t="s">
        <v>116</v>
      </c>
      <c r="M286" s="444">
        <v>30</v>
      </c>
      <c r="N286" s="444">
        <v>0</v>
      </c>
      <c r="O286" s="444">
        <v>0</v>
      </c>
      <c r="P286" s="444">
        <v>0</v>
      </c>
      <c r="Q286" s="444">
        <v>0</v>
      </c>
    </row>
    <row r="287" spans="1:17" ht="60" x14ac:dyDescent="0.25">
      <c r="A287" s="1435"/>
      <c r="B287" s="1301"/>
      <c r="C287" s="1301"/>
      <c r="D287" s="1301"/>
      <c r="E287" s="1721"/>
      <c r="F287" s="1571"/>
      <c r="G287" s="1571"/>
      <c r="H287" s="1571"/>
      <c r="I287" s="1571"/>
      <c r="J287" s="1571"/>
      <c r="K287" s="111" t="s">
        <v>1070</v>
      </c>
      <c r="L287" s="122" t="s">
        <v>14</v>
      </c>
      <c r="M287" s="122">
        <v>100</v>
      </c>
      <c r="N287" s="400">
        <v>0</v>
      </c>
      <c r="O287" s="400">
        <v>0</v>
      </c>
      <c r="P287" s="400">
        <v>0</v>
      </c>
      <c r="Q287" s="400">
        <v>0</v>
      </c>
    </row>
    <row r="288" spans="1:17" ht="30" x14ac:dyDescent="0.25">
      <c r="A288" s="1435"/>
      <c r="B288" s="1301"/>
      <c r="C288" s="1301"/>
      <c r="D288" s="1301"/>
      <c r="E288" s="1721"/>
      <c r="F288" s="1571"/>
      <c r="G288" s="1571"/>
      <c r="H288" s="1571"/>
      <c r="I288" s="1571"/>
      <c r="J288" s="1571"/>
      <c r="K288" s="111" t="s">
        <v>1071</v>
      </c>
      <c r="L288" s="19" t="s">
        <v>14</v>
      </c>
      <c r="M288" s="445">
        <v>0</v>
      </c>
      <c r="N288" s="448">
        <v>0</v>
      </c>
      <c r="O288" s="448">
        <v>0</v>
      </c>
      <c r="P288" s="444">
        <v>0</v>
      </c>
      <c r="Q288" s="400">
        <v>0</v>
      </c>
    </row>
    <row r="289" spans="1:17" ht="45" x14ac:dyDescent="0.25">
      <c r="A289" s="1435"/>
      <c r="B289" s="1301"/>
      <c r="C289" s="1301"/>
      <c r="D289" s="1301"/>
      <c r="E289" s="1130"/>
      <c r="F289" s="1163"/>
      <c r="G289" s="1163"/>
      <c r="H289" s="1163"/>
      <c r="I289" s="1163"/>
      <c r="J289" s="1163"/>
      <c r="K289" s="111" t="s">
        <v>1072</v>
      </c>
      <c r="L289" s="19" t="s">
        <v>14</v>
      </c>
      <c r="M289" s="122">
        <v>0</v>
      </c>
      <c r="N289" s="122">
        <v>0</v>
      </c>
      <c r="O289" s="400">
        <v>0</v>
      </c>
      <c r="P289" s="444">
        <v>0</v>
      </c>
      <c r="Q289" s="400"/>
    </row>
    <row r="290" spans="1:17" ht="30" x14ac:dyDescent="0.25">
      <c r="A290" s="1435"/>
      <c r="B290" s="1301"/>
      <c r="C290" s="1301" t="s">
        <v>21</v>
      </c>
      <c r="D290" s="1301"/>
      <c r="E290" s="1275" t="s">
        <v>1193</v>
      </c>
      <c r="F290" s="1162">
        <v>2797</v>
      </c>
      <c r="G290" s="1162">
        <v>45512.800000000003</v>
      </c>
      <c r="H290" s="1162">
        <v>1734877</v>
      </c>
      <c r="I290" s="1162">
        <v>4197002.5</v>
      </c>
      <c r="J290" s="1162">
        <v>5262962</v>
      </c>
      <c r="K290" s="141" t="s">
        <v>1073</v>
      </c>
      <c r="L290" s="122" t="s">
        <v>116</v>
      </c>
      <c r="M290" s="707">
        <v>445</v>
      </c>
      <c r="N290" s="707">
        <v>445</v>
      </c>
      <c r="O290" s="707">
        <v>445</v>
      </c>
      <c r="P290" s="707">
        <v>445</v>
      </c>
      <c r="Q290" s="707">
        <v>445</v>
      </c>
    </row>
    <row r="291" spans="1:17" ht="30" x14ac:dyDescent="0.25">
      <c r="A291" s="1435"/>
      <c r="B291" s="1301"/>
      <c r="C291" s="1301"/>
      <c r="D291" s="1301"/>
      <c r="E291" s="1545"/>
      <c r="F291" s="1571"/>
      <c r="G291" s="1571"/>
      <c r="H291" s="1571"/>
      <c r="I291" s="1571"/>
      <c r="J291" s="1571"/>
      <c r="K291" s="141" t="s">
        <v>1074</v>
      </c>
      <c r="L291" s="122" t="s">
        <v>116</v>
      </c>
      <c r="M291" s="707">
        <v>87</v>
      </c>
      <c r="N291" s="707">
        <v>87</v>
      </c>
      <c r="O291" s="707">
        <v>87</v>
      </c>
      <c r="P291" s="707">
        <v>87</v>
      </c>
      <c r="Q291" s="707">
        <v>102.5</v>
      </c>
    </row>
    <row r="292" spans="1:17" ht="60" x14ac:dyDescent="0.25">
      <c r="A292" s="1435"/>
      <c r="B292" s="1301"/>
      <c r="C292" s="1301"/>
      <c r="D292" s="1301"/>
      <c r="E292" s="1276"/>
      <c r="F292" s="1163"/>
      <c r="G292" s="1163"/>
      <c r="H292" s="1163"/>
      <c r="I292" s="1163"/>
      <c r="J292" s="1163"/>
      <c r="K292" s="141" t="s">
        <v>1075</v>
      </c>
      <c r="L292" s="122" t="s">
        <v>14</v>
      </c>
      <c r="M292" s="708">
        <v>0</v>
      </c>
      <c r="N292" s="708">
        <v>0</v>
      </c>
      <c r="O292" s="708">
        <v>0</v>
      </c>
      <c r="P292" s="708">
        <v>0</v>
      </c>
      <c r="Q292" s="708">
        <v>0.2303370786516854</v>
      </c>
    </row>
    <row r="293" spans="1:17" ht="30" x14ac:dyDescent="0.25">
      <c r="A293" s="1435"/>
      <c r="B293" s="1301"/>
      <c r="C293" s="1301"/>
      <c r="D293" s="1301"/>
      <c r="E293" s="1275" t="s">
        <v>1194</v>
      </c>
      <c r="F293" s="1162">
        <v>213588</v>
      </c>
      <c r="G293" s="1162">
        <v>309528.40000000002</v>
      </c>
      <c r="H293" s="1162">
        <v>1121400</v>
      </c>
      <c r="I293" s="1162">
        <v>2035000</v>
      </c>
      <c r="J293" s="1162">
        <v>1396500</v>
      </c>
      <c r="K293" s="111" t="s">
        <v>1055</v>
      </c>
      <c r="L293" s="19" t="s">
        <v>116</v>
      </c>
      <c r="M293" s="401">
        <v>442</v>
      </c>
      <c r="N293" s="448">
        <v>442</v>
      </c>
      <c r="O293" s="448">
        <v>442</v>
      </c>
      <c r="P293" s="448">
        <v>442</v>
      </c>
      <c r="Q293" s="448">
        <v>442</v>
      </c>
    </row>
    <row r="294" spans="1:17" x14ac:dyDescent="0.25">
      <c r="A294" s="1435"/>
      <c r="B294" s="1301"/>
      <c r="C294" s="1301"/>
      <c r="D294" s="1301"/>
      <c r="E294" s="1545"/>
      <c r="F294" s="1571"/>
      <c r="G294" s="1571"/>
      <c r="H294" s="1571"/>
      <c r="I294" s="1571"/>
      <c r="J294" s="1571"/>
      <c r="K294" s="111" t="s">
        <v>1056</v>
      </c>
      <c r="L294" s="122" t="s">
        <v>116</v>
      </c>
      <c r="M294" s="709">
        <v>0</v>
      </c>
      <c r="N294" s="710">
        <v>0</v>
      </c>
      <c r="O294" s="448">
        <v>0</v>
      </c>
      <c r="P294" s="444">
        <v>40</v>
      </c>
      <c r="Q294" s="444">
        <v>40.5</v>
      </c>
    </row>
    <row r="295" spans="1:17" ht="45" x14ac:dyDescent="0.25">
      <c r="A295" s="1435"/>
      <c r="B295" s="1301"/>
      <c r="C295" s="1301"/>
      <c r="D295" s="1301"/>
      <c r="E295" s="1276"/>
      <c r="F295" s="1163"/>
      <c r="G295" s="1163"/>
      <c r="H295" s="1163"/>
      <c r="I295" s="1163"/>
      <c r="J295" s="1163"/>
      <c r="K295" s="111" t="s">
        <v>1076</v>
      </c>
      <c r="L295" s="122" t="s">
        <v>14</v>
      </c>
      <c r="M295" s="122">
        <v>0</v>
      </c>
      <c r="N295" s="711">
        <v>0</v>
      </c>
      <c r="O295" s="444">
        <v>56.368563685636857</v>
      </c>
      <c r="P295" s="444">
        <v>78.048780487804876</v>
      </c>
      <c r="Q295" s="444">
        <v>100</v>
      </c>
    </row>
    <row r="296" spans="1:17" ht="30" x14ac:dyDescent="0.25">
      <c r="A296" s="1435"/>
      <c r="B296" s="422"/>
      <c r="C296" s="422" t="s">
        <v>22</v>
      </c>
      <c r="D296" s="422"/>
      <c r="E296" s="712" t="s">
        <v>1077</v>
      </c>
      <c r="F296" s="44">
        <v>0</v>
      </c>
      <c r="G296" s="44">
        <v>153900</v>
      </c>
      <c r="H296" s="44">
        <v>445000</v>
      </c>
      <c r="I296" s="44">
        <v>0</v>
      </c>
      <c r="J296" s="44">
        <v>0</v>
      </c>
      <c r="K296" s="111" t="s">
        <v>1373</v>
      </c>
      <c r="L296" s="122" t="s">
        <v>14</v>
      </c>
      <c r="M296" s="122">
        <v>0</v>
      </c>
      <c r="N296" s="711">
        <v>0</v>
      </c>
      <c r="O296" s="444">
        <v>0</v>
      </c>
      <c r="P296" s="444">
        <v>0</v>
      </c>
      <c r="Q296" s="444">
        <v>0</v>
      </c>
    </row>
    <row r="297" spans="1:17" ht="45" x14ac:dyDescent="0.25">
      <c r="A297" s="1435"/>
      <c r="B297" s="422"/>
      <c r="C297" s="422" t="s">
        <v>23</v>
      </c>
      <c r="D297" s="422"/>
      <c r="E297" s="713" t="s">
        <v>1078</v>
      </c>
      <c r="F297" s="44">
        <v>0</v>
      </c>
      <c r="G297" s="44">
        <v>0</v>
      </c>
      <c r="H297" s="44">
        <v>445000</v>
      </c>
      <c r="I297" s="44">
        <v>0</v>
      </c>
      <c r="J297" s="44">
        <v>0</v>
      </c>
      <c r="K297" s="111" t="s">
        <v>1374</v>
      </c>
      <c r="L297" s="122" t="s">
        <v>14</v>
      </c>
      <c r="M297" s="122">
        <v>0</v>
      </c>
      <c r="N297" s="711">
        <v>0</v>
      </c>
      <c r="O297" s="444">
        <v>0</v>
      </c>
      <c r="P297" s="444">
        <v>0</v>
      </c>
      <c r="Q297" s="444">
        <v>0</v>
      </c>
    </row>
    <row r="298" spans="1:17" ht="57" x14ac:dyDescent="0.25">
      <c r="A298" s="1435"/>
      <c r="B298" s="1283" t="s">
        <v>1917</v>
      </c>
      <c r="C298" s="1283"/>
      <c r="D298" s="1607"/>
      <c r="E298" s="357" t="s">
        <v>1195</v>
      </c>
      <c r="F298" s="1583">
        <f>F301</f>
        <v>125320</v>
      </c>
      <c r="G298" s="1583">
        <f t="shared" ref="G298:J298" si="15">G301</f>
        <v>218586</v>
      </c>
      <c r="H298" s="1583">
        <f>H301</f>
        <v>172380.4</v>
      </c>
      <c r="I298" s="1583">
        <f t="shared" si="15"/>
        <v>172380.4</v>
      </c>
      <c r="J298" s="1583">
        <f t="shared" si="15"/>
        <v>172780.4</v>
      </c>
      <c r="K298" s="39" t="s">
        <v>1079</v>
      </c>
      <c r="L298" s="40" t="s">
        <v>14</v>
      </c>
      <c r="M298" s="41">
        <v>88.1</v>
      </c>
      <c r="N298" s="41">
        <v>88.2</v>
      </c>
      <c r="O298" s="41">
        <v>88.5</v>
      </c>
      <c r="P298" s="41">
        <v>88.5</v>
      </c>
      <c r="Q298" s="41">
        <v>88.5</v>
      </c>
    </row>
    <row r="299" spans="1:17" ht="71.25" x14ac:dyDescent="0.25">
      <c r="A299" s="1435"/>
      <c r="B299" s="1283"/>
      <c r="C299" s="1283"/>
      <c r="D299" s="1607"/>
      <c r="E299" s="1578" t="s">
        <v>1081</v>
      </c>
      <c r="F299" s="1584"/>
      <c r="G299" s="1584"/>
      <c r="H299" s="1584"/>
      <c r="I299" s="1584"/>
      <c r="J299" s="1584"/>
      <c r="K299" s="42" t="s">
        <v>1080</v>
      </c>
      <c r="L299" s="40" t="s">
        <v>14</v>
      </c>
      <c r="M299" s="41">
        <v>52</v>
      </c>
      <c r="N299" s="41">
        <v>70</v>
      </c>
      <c r="O299" s="41">
        <v>75</v>
      </c>
      <c r="P299" s="41">
        <v>80</v>
      </c>
      <c r="Q299" s="41">
        <v>85</v>
      </c>
    </row>
    <row r="300" spans="1:17" ht="28.5" x14ac:dyDescent="0.25">
      <c r="A300" s="1435"/>
      <c r="B300" s="1283"/>
      <c r="C300" s="1283"/>
      <c r="D300" s="1283"/>
      <c r="E300" s="1579"/>
      <c r="F300" s="1585"/>
      <c r="G300" s="1585"/>
      <c r="H300" s="1585"/>
      <c r="I300" s="1585"/>
      <c r="J300" s="1585"/>
      <c r="K300" s="42" t="s">
        <v>1082</v>
      </c>
      <c r="L300" s="41" t="s">
        <v>1083</v>
      </c>
      <c r="M300" s="41" t="s">
        <v>1084</v>
      </c>
      <c r="N300" s="41" t="s">
        <v>1085</v>
      </c>
      <c r="O300" s="41" t="s">
        <v>1086</v>
      </c>
      <c r="P300" s="41" t="s">
        <v>1087</v>
      </c>
      <c r="Q300" s="41" t="s">
        <v>1088</v>
      </c>
    </row>
    <row r="301" spans="1:17" ht="30" x14ac:dyDescent="0.25">
      <c r="A301" s="1435"/>
      <c r="B301" s="514"/>
      <c r="C301" s="1313" t="s">
        <v>17</v>
      </c>
      <c r="D301" s="514"/>
      <c r="E301" s="1172" t="s">
        <v>1387</v>
      </c>
      <c r="F301" s="1568">
        <v>125320</v>
      </c>
      <c r="G301" s="1568">
        <v>218586</v>
      </c>
      <c r="H301" s="1568">
        <v>172380.4</v>
      </c>
      <c r="I301" s="1568">
        <v>172380.4</v>
      </c>
      <c r="J301" s="1568">
        <v>172780.4</v>
      </c>
      <c r="K301" s="111" t="s">
        <v>1375</v>
      </c>
      <c r="L301" s="19" t="s">
        <v>34</v>
      </c>
      <c r="M301" s="45">
        <v>15483</v>
      </c>
      <c r="N301" s="45">
        <v>6818</v>
      </c>
      <c r="O301" s="45">
        <v>6166</v>
      </c>
      <c r="P301" s="45">
        <v>6300</v>
      </c>
      <c r="Q301" s="45">
        <v>6300</v>
      </c>
    </row>
    <row r="302" spans="1:17" ht="45" x14ac:dyDescent="0.25">
      <c r="A302" s="1435"/>
      <c r="B302" s="576"/>
      <c r="C302" s="1334"/>
      <c r="D302" s="576"/>
      <c r="E302" s="1341"/>
      <c r="F302" s="1569"/>
      <c r="G302" s="1569"/>
      <c r="H302" s="1569"/>
      <c r="I302" s="1569"/>
      <c r="J302" s="1569"/>
      <c r="K302" s="111" t="s">
        <v>1376</v>
      </c>
      <c r="L302" s="19" t="s">
        <v>34</v>
      </c>
      <c r="M302" s="45">
        <v>19283</v>
      </c>
      <c r="N302" s="45">
        <v>18500</v>
      </c>
      <c r="O302" s="45">
        <v>19000</v>
      </c>
      <c r="P302" s="45">
        <v>19000</v>
      </c>
      <c r="Q302" s="45">
        <v>19000</v>
      </c>
    </row>
    <row r="303" spans="1:17" ht="45" x14ac:dyDescent="0.25">
      <c r="A303" s="1436"/>
      <c r="B303" s="476"/>
      <c r="C303" s="1314"/>
      <c r="D303" s="476"/>
      <c r="E303" s="1173"/>
      <c r="F303" s="1570"/>
      <c r="G303" s="1570"/>
      <c r="H303" s="1570"/>
      <c r="I303" s="1570"/>
      <c r="J303" s="1570"/>
      <c r="K303" s="111" t="s">
        <v>1388</v>
      </c>
      <c r="L303" s="19" t="s">
        <v>34</v>
      </c>
      <c r="M303" s="45">
        <v>8545</v>
      </c>
      <c r="N303" s="45">
        <v>8600</v>
      </c>
      <c r="O303" s="45">
        <v>9500</v>
      </c>
      <c r="P303" s="45">
        <v>9500</v>
      </c>
      <c r="Q303" s="45">
        <v>9500</v>
      </c>
    </row>
    <row r="304" spans="1:17" x14ac:dyDescent="0.25">
      <c r="A304" s="1407" t="s">
        <v>15</v>
      </c>
      <c r="B304" s="1407"/>
      <c r="C304" s="1407"/>
      <c r="D304" s="1407"/>
      <c r="E304" s="1407"/>
      <c r="F304" s="63">
        <f>F254+F257+F268+F298</f>
        <v>11029782</v>
      </c>
      <c r="G304" s="63">
        <f>G254+G257+G268+G298</f>
        <v>17084457.800000001</v>
      </c>
      <c r="H304" s="63">
        <f>H254+H257+H268+H298</f>
        <v>14540911.5</v>
      </c>
      <c r="I304" s="63">
        <f t="shared" ref="I304" si="16">I254+I257+I268+I298</f>
        <v>19229645.599999998</v>
      </c>
      <c r="J304" s="63">
        <f>J254+J257+J268+J298</f>
        <v>16402799.200000001</v>
      </c>
      <c r="K304" s="48"/>
      <c r="L304" s="8"/>
      <c r="M304" s="8"/>
      <c r="N304" s="8"/>
      <c r="O304" s="8"/>
      <c r="P304" s="8"/>
      <c r="Q304" s="8"/>
    </row>
    <row r="305" spans="1:17" x14ac:dyDescent="0.25">
      <c r="A305" s="1565" t="s">
        <v>1089</v>
      </c>
      <c r="B305" s="1566"/>
      <c r="C305" s="1566"/>
      <c r="D305" s="1566"/>
      <c r="E305" s="1566"/>
      <c r="F305" s="1566"/>
      <c r="G305" s="1566"/>
      <c r="H305" s="1566"/>
      <c r="I305" s="1566"/>
      <c r="J305" s="1566"/>
      <c r="K305" s="1566"/>
      <c r="L305" s="1566"/>
      <c r="M305" s="1566"/>
      <c r="N305" s="1566"/>
      <c r="O305" s="1566"/>
      <c r="P305" s="1566"/>
      <c r="Q305" s="1567"/>
    </row>
    <row r="306" spans="1:17" ht="60" x14ac:dyDescent="0.25">
      <c r="A306" s="1074">
        <v>55</v>
      </c>
      <c r="B306" s="38" t="s">
        <v>8</v>
      </c>
      <c r="C306" s="43"/>
      <c r="D306" s="43"/>
      <c r="E306" s="493" t="s">
        <v>2042</v>
      </c>
      <c r="F306" s="499">
        <v>62909.7</v>
      </c>
      <c r="G306" s="499">
        <v>45830.1</v>
      </c>
      <c r="H306" s="499">
        <f>H307</f>
        <v>43916.9</v>
      </c>
      <c r="I306" s="499">
        <f t="shared" ref="I306:J306" si="17">I307</f>
        <v>47391.5</v>
      </c>
      <c r="J306" s="499">
        <f t="shared" si="17"/>
        <v>47965.4</v>
      </c>
      <c r="K306" s="488"/>
      <c r="L306" s="80"/>
      <c r="M306" s="110"/>
      <c r="N306" s="110"/>
      <c r="O306" s="80"/>
      <c r="P306" s="80"/>
      <c r="Q306" s="80"/>
    </row>
    <row r="307" spans="1:17" ht="30" x14ac:dyDescent="0.25">
      <c r="A307" s="1075"/>
      <c r="B307" s="1076"/>
      <c r="C307" s="729" t="s">
        <v>17</v>
      </c>
      <c r="D307" s="1077"/>
      <c r="E307" s="714" t="s">
        <v>10</v>
      </c>
      <c r="F307" s="778">
        <v>0</v>
      </c>
      <c r="G307" s="778">
        <v>27434.799999999999</v>
      </c>
      <c r="H307" s="778">
        <v>43916.9</v>
      </c>
      <c r="I307" s="778">
        <v>47391.5</v>
      </c>
      <c r="J307" s="778">
        <v>47965.4</v>
      </c>
      <c r="K307" s="488" t="s">
        <v>9</v>
      </c>
      <c r="L307" s="80" t="s">
        <v>224</v>
      </c>
      <c r="M307" s="110">
        <v>27.3</v>
      </c>
      <c r="N307" s="493">
        <v>26.5</v>
      </c>
      <c r="O307" s="493">
        <v>35</v>
      </c>
      <c r="P307" s="493">
        <v>35</v>
      </c>
      <c r="Q307" s="493">
        <v>35</v>
      </c>
    </row>
    <row r="308" spans="1:17" ht="35.25" customHeight="1" x14ac:dyDescent="0.25">
      <c r="A308" s="1075"/>
      <c r="B308" s="1076"/>
      <c r="C308" s="729" t="s">
        <v>18</v>
      </c>
      <c r="D308" s="1077"/>
      <c r="E308" s="1081" t="s">
        <v>1929</v>
      </c>
      <c r="F308" s="578">
        <v>62909.7</v>
      </c>
      <c r="G308" s="778">
        <v>18395.3</v>
      </c>
      <c r="H308" s="778">
        <v>0</v>
      </c>
      <c r="I308" s="778">
        <v>0</v>
      </c>
      <c r="J308" s="778">
        <v>0</v>
      </c>
      <c r="K308" s="1082" t="s">
        <v>1930</v>
      </c>
      <c r="L308" s="80" t="s">
        <v>14</v>
      </c>
      <c r="M308" s="80">
        <v>10</v>
      </c>
      <c r="N308" s="493">
        <v>0</v>
      </c>
      <c r="O308" s="493">
        <v>0</v>
      </c>
      <c r="P308" s="493">
        <v>0</v>
      </c>
      <c r="Q308" s="493">
        <v>0</v>
      </c>
    </row>
    <row r="309" spans="1:17" ht="74.25" x14ac:dyDescent="0.25">
      <c r="A309" s="1075"/>
      <c r="B309" s="50" t="s">
        <v>1905</v>
      </c>
      <c r="C309" s="33"/>
      <c r="D309" s="50"/>
      <c r="E309" s="492" t="s">
        <v>2043</v>
      </c>
      <c r="F309" s="80" t="s">
        <v>170</v>
      </c>
      <c r="G309" s="80" t="s">
        <v>1160</v>
      </c>
      <c r="H309" s="81">
        <f>H310+H315+H316</f>
        <v>1583380.4000000001</v>
      </c>
      <c r="I309" s="81">
        <f t="shared" ref="I309:J309" si="18">I310+I315+I316</f>
        <v>1423580.4000000001</v>
      </c>
      <c r="J309" s="81">
        <f t="shared" si="18"/>
        <v>1437804.7000000002</v>
      </c>
      <c r="K309" s="492" t="s">
        <v>1161</v>
      </c>
      <c r="L309" s="492" t="s">
        <v>14</v>
      </c>
      <c r="M309" s="80" t="s">
        <v>1162</v>
      </c>
      <c r="N309" s="80">
        <v>102.5</v>
      </c>
      <c r="O309" s="80">
        <v>105.8</v>
      </c>
      <c r="P309" s="80">
        <v>106</v>
      </c>
      <c r="Q309" s="110">
        <v>107</v>
      </c>
    </row>
    <row r="310" spans="1:17" ht="30" x14ac:dyDescent="0.25">
      <c r="A310" s="1075"/>
      <c r="B310" s="1712"/>
      <c r="C310" s="1343" t="s">
        <v>23</v>
      </c>
      <c r="D310" s="773"/>
      <c r="E310" s="1714" t="s">
        <v>1163</v>
      </c>
      <c r="F310" s="1717">
        <v>0</v>
      </c>
      <c r="G310" s="1717">
        <v>1407063.7</v>
      </c>
      <c r="H310" s="1718">
        <v>1549487</v>
      </c>
      <c r="I310" s="1718">
        <v>1389487</v>
      </c>
      <c r="J310" s="1718">
        <v>1403711.3</v>
      </c>
      <c r="K310" s="493" t="s">
        <v>1164</v>
      </c>
      <c r="L310" s="726" t="s">
        <v>1165</v>
      </c>
      <c r="M310" s="759">
        <v>353.7</v>
      </c>
      <c r="N310" s="759">
        <v>353.5</v>
      </c>
      <c r="O310" s="759">
        <v>353.3</v>
      </c>
      <c r="P310" s="727">
        <v>353.2</v>
      </c>
      <c r="Q310" s="759">
        <v>353</v>
      </c>
    </row>
    <row r="311" spans="1:17" ht="30" x14ac:dyDescent="0.25">
      <c r="A311" s="1075"/>
      <c r="B311" s="1713"/>
      <c r="C311" s="1344"/>
      <c r="D311" s="774"/>
      <c r="E311" s="1715"/>
      <c r="F311" s="1717"/>
      <c r="G311" s="1717"/>
      <c r="H311" s="1718"/>
      <c r="I311" s="1718"/>
      <c r="J311" s="1718"/>
      <c r="K311" s="1284" t="s">
        <v>1166</v>
      </c>
      <c r="L311" s="579" t="s">
        <v>1167</v>
      </c>
      <c r="M311" s="759">
        <v>417</v>
      </c>
      <c r="N311" s="759">
        <v>416.8</v>
      </c>
      <c r="O311" s="759">
        <v>416.6</v>
      </c>
      <c r="P311" s="727">
        <v>416.4</v>
      </c>
      <c r="Q311" s="759">
        <v>416.2</v>
      </c>
    </row>
    <row r="312" spans="1:17" ht="30" x14ac:dyDescent="0.25">
      <c r="A312" s="1075"/>
      <c r="B312" s="1713"/>
      <c r="C312" s="1344"/>
      <c r="D312" s="774"/>
      <c r="E312" s="1715"/>
      <c r="F312" s="1717"/>
      <c r="G312" s="1717"/>
      <c r="H312" s="1718"/>
      <c r="I312" s="1718"/>
      <c r="J312" s="1718"/>
      <c r="K312" s="1562"/>
      <c r="L312" s="579" t="s">
        <v>1168</v>
      </c>
      <c r="M312" s="759">
        <v>160</v>
      </c>
      <c r="N312" s="759">
        <v>159.9</v>
      </c>
      <c r="O312" s="759">
        <v>159.80000000000001</v>
      </c>
      <c r="P312" s="727">
        <v>159.69999999999999</v>
      </c>
      <c r="Q312" s="759">
        <v>159.6</v>
      </c>
    </row>
    <row r="313" spans="1:17" x14ac:dyDescent="0.25">
      <c r="A313" s="1075"/>
      <c r="B313" s="1713"/>
      <c r="C313" s="1344"/>
      <c r="D313" s="774"/>
      <c r="E313" s="1715"/>
      <c r="F313" s="1717"/>
      <c r="G313" s="1717"/>
      <c r="H313" s="1718"/>
      <c r="I313" s="1718"/>
      <c r="J313" s="1718"/>
      <c r="K313" s="1562"/>
      <c r="L313" s="579" t="s">
        <v>1169</v>
      </c>
      <c r="M313" s="759">
        <v>142</v>
      </c>
      <c r="N313" s="759">
        <v>142</v>
      </c>
      <c r="O313" s="759">
        <v>142</v>
      </c>
      <c r="P313" s="727">
        <v>142</v>
      </c>
      <c r="Q313" s="759">
        <v>142</v>
      </c>
    </row>
    <row r="314" spans="1:17" x14ac:dyDescent="0.25">
      <c r="A314" s="1075"/>
      <c r="B314" s="1713"/>
      <c r="C314" s="1345"/>
      <c r="D314" s="774"/>
      <c r="E314" s="1716"/>
      <c r="F314" s="1717"/>
      <c r="G314" s="1717"/>
      <c r="H314" s="1718"/>
      <c r="I314" s="1718"/>
      <c r="J314" s="1718"/>
      <c r="K314" s="1285"/>
      <c r="L314" s="579" t="s">
        <v>1170</v>
      </c>
      <c r="M314" s="759">
        <v>1195</v>
      </c>
      <c r="N314" s="759">
        <v>1195</v>
      </c>
      <c r="O314" s="759">
        <v>1195</v>
      </c>
      <c r="P314" s="727">
        <v>1195</v>
      </c>
      <c r="Q314" s="759">
        <v>1195</v>
      </c>
    </row>
    <row r="315" spans="1:17" ht="60" x14ac:dyDescent="0.25">
      <c r="A315" s="1075"/>
      <c r="B315" s="33"/>
      <c r="C315" s="33" t="s">
        <v>27</v>
      </c>
      <c r="D315" s="50"/>
      <c r="E315" s="721" t="s">
        <v>1171</v>
      </c>
      <c r="F315" s="759"/>
      <c r="G315" s="759">
        <v>13938.1</v>
      </c>
      <c r="H315" s="759">
        <v>21026.3</v>
      </c>
      <c r="I315" s="759">
        <v>21026.3</v>
      </c>
      <c r="J315" s="759">
        <v>21026.3</v>
      </c>
      <c r="K315" s="493" t="s">
        <v>1172</v>
      </c>
      <c r="L315" s="759" t="s">
        <v>51</v>
      </c>
      <c r="M315" s="83" t="s">
        <v>1173</v>
      </c>
      <c r="N315" s="759">
        <v>101.5</v>
      </c>
      <c r="O315" s="759">
        <v>101.5</v>
      </c>
      <c r="P315" s="759">
        <v>103</v>
      </c>
      <c r="Q315" s="759">
        <v>103</v>
      </c>
    </row>
    <row r="316" spans="1:17" ht="45" x14ac:dyDescent="0.25">
      <c r="A316" s="1078"/>
      <c r="B316" s="767"/>
      <c r="C316" s="767" t="s">
        <v>28</v>
      </c>
      <c r="D316" s="773"/>
      <c r="E316" s="493" t="s">
        <v>1174</v>
      </c>
      <c r="F316" s="800"/>
      <c r="G316" s="759">
        <v>12627.2</v>
      </c>
      <c r="H316" s="759">
        <v>12867.1</v>
      </c>
      <c r="I316" s="759">
        <v>13067.1</v>
      </c>
      <c r="J316" s="800">
        <v>13067.1</v>
      </c>
      <c r="K316" s="776" t="s">
        <v>1175</v>
      </c>
      <c r="L316" s="765" t="s">
        <v>14</v>
      </c>
      <c r="M316" s="765" t="s">
        <v>1176</v>
      </c>
      <c r="N316" s="765">
        <v>115</v>
      </c>
      <c r="O316" s="765">
        <v>120</v>
      </c>
      <c r="P316" s="765">
        <v>125</v>
      </c>
      <c r="Q316" s="800">
        <v>125</v>
      </c>
    </row>
    <row r="317" spans="1:17" ht="88.5" x14ac:dyDescent="0.25">
      <c r="A317" s="1075"/>
      <c r="B317" s="773" t="s">
        <v>1906</v>
      </c>
      <c r="C317" s="750"/>
      <c r="D317" s="729"/>
      <c r="E317" s="492" t="s">
        <v>2044</v>
      </c>
      <c r="F317" s="715">
        <v>23655.1</v>
      </c>
      <c r="G317" s="716">
        <v>36553.800000000003</v>
      </c>
      <c r="H317" s="716">
        <f>H318+H321</f>
        <v>29320.799999999999</v>
      </c>
      <c r="I317" s="716">
        <f t="shared" ref="I317:J317" si="19">I318+I321</f>
        <v>33509.300000000003</v>
      </c>
      <c r="J317" s="716">
        <f t="shared" si="19"/>
        <v>33994.199999999997</v>
      </c>
      <c r="K317" s="68" t="s">
        <v>1090</v>
      </c>
      <c r="L317" s="80" t="s">
        <v>14</v>
      </c>
      <c r="M317" s="80">
        <v>20</v>
      </c>
      <c r="N317" s="80">
        <v>31.5</v>
      </c>
      <c r="O317" s="110">
        <v>31.8</v>
      </c>
      <c r="P317" s="110">
        <v>26.6</v>
      </c>
      <c r="Q317" s="110">
        <v>26.6</v>
      </c>
    </row>
    <row r="318" spans="1:17" ht="30" x14ac:dyDescent="0.25">
      <c r="A318" s="1075"/>
      <c r="B318" s="1343"/>
      <c r="C318" s="1343" t="s">
        <v>17</v>
      </c>
      <c r="D318" s="773"/>
      <c r="E318" s="1284" t="s">
        <v>2045</v>
      </c>
      <c r="F318" s="1572">
        <v>11596.8</v>
      </c>
      <c r="G318" s="1575">
        <v>18276.8</v>
      </c>
      <c r="H318" s="1575">
        <v>14660.4</v>
      </c>
      <c r="I318" s="1575">
        <v>16754.599999999999</v>
      </c>
      <c r="J318" s="1575">
        <v>16997.099999999999</v>
      </c>
      <c r="K318" s="579" t="s">
        <v>1091</v>
      </c>
      <c r="L318" s="83" t="s">
        <v>34</v>
      </c>
      <c r="M318" s="83">
        <v>31</v>
      </c>
      <c r="N318" s="83">
        <v>31</v>
      </c>
      <c r="O318" s="759">
        <v>36</v>
      </c>
      <c r="P318" s="759">
        <v>36</v>
      </c>
      <c r="Q318" s="759">
        <v>36</v>
      </c>
    </row>
    <row r="319" spans="1:17" ht="30" x14ac:dyDescent="0.25">
      <c r="A319" s="1075"/>
      <c r="B319" s="1344"/>
      <c r="C319" s="1344"/>
      <c r="D319" s="774"/>
      <c r="E319" s="1562"/>
      <c r="F319" s="1573"/>
      <c r="G319" s="1576"/>
      <c r="H319" s="1576"/>
      <c r="I319" s="1576"/>
      <c r="J319" s="1576"/>
      <c r="K319" s="579" t="s">
        <v>1092</v>
      </c>
      <c r="L319" s="83" t="s">
        <v>34</v>
      </c>
      <c r="M319" s="83">
        <v>12</v>
      </c>
      <c r="N319" s="83">
        <v>12</v>
      </c>
      <c r="O319" s="759">
        <v>12</v>
      </c>
      <c r="P319" s="759">
        <v>12</v>
      </c>
      <c r="Q319" s="759">
        <v>12</v>
      </c>
    </row>
    <row r="320" spans="1:17" x14ac:dyDescent="0.25">
      <c r="A320" s="1075"/>
      <c r="B320" s="1345"/>
      <c r="C320" s="1345"/>
      <c r="D320" s="775"/>
      <c r="E320" s="1285"/>
      <c r="F320" s="1574"/>
      <c r="G320" s="1577"/>
      <c r="H320" s="1577"/>
      <c r="I320" s="1577"/>
      <c r="J320" s="1577"/>
      <c r="K320" s="717" t="s">
        <v>1093</v>
      </c>
      <c r="L320" s="83" t="s">
        <v>34</v>
      </c>
      <c r="M320" s="83">
        <v>2</v>
      </c>
      <c r="N320" s="83">
        <v>2</v>
      </c>
      <c r="O320" s="759">
        <v>2</v>
      </c>
      <c r="P320" s="759">
        <v>2</v>
      </c>
      <c r="Q320" s="759">
        <v>2</v>
      </c>
    </row>
    <row r="321" spans="1:17" ht="30" x14ac:dyDescent="0.25">
      <c r="A321" s="1075"/>
      <c r="B321" s="768"/>
      <c r="C321" s="768" t="s">
        <v>18</v>
      </c>
      <c r="D321" s="775"/>
      <c r="E321" s="493" t="s">
        <v>1094</v>
      </c>
      <c r="F321" s="778">
        <v>12058.3</v>
      </c>
      <c r="G321" s="779">
        <v>18277</v>
      </c>
      <c r="H321" s="779">
        <v>14660.4</v>
      </c>
      <c r="I321" s="779">
        <v>16754.7</v>
      </c>
      <c r="J321" s="779">
        <v>16997.099999999999</v>
      </c>
      <c r="K321" s="717" t="s">
        <v>1095</v>
      </c>
      <c r="L321" s="83" t="s">
        <v>14</v>
      </c>
      <c r="M321" s="83">
        <v>17.100000000000001</v>
      </c>
      <c r="N321" s="83">
        <v>26.7</v>
      </c>
      <c r="O321" s="759">
        <v>26.7</v>
      </c>
      <c r="P321" s="759">
        <v>26.7</v>
      </c>
      <c r="Q321" s="759">
        <v>26.7</v>
      </c>
    </row>
    <row r="322" spans="1:17" ht="59.25" x14ac:dyDescent="0.25">
      <c r="A322" s="1075"/>
      <c r="B322" s="775" t="s">
        <v>1907</v>
      </c>
      <c r="C322" s="775"/>
      <c r="D322" s="775"/>
      <c r="E322" s="492" t="s">
        <v>2046</v>
      </c>
      <c r="F322" s="715">
        <v>26927.9</v>
      </c>
      <c r="G322" s="715">
        <v>22178.5</v>
      </c>
      <c r="H322" s="715">
        <f>H328</f>
        <v>29244</v>
      </c>
      <c r="I322" s="715">
        <f t="shared" ref="I322:J322" si="20">I328</f>
        <v>22842.5</v>
      </c>
      <c r="J322" s="715">
        <f t="shared" si="20"/>
        <v>23070.9</v>
      </c>
      <c r="K322" s="718" t="s">
        <v>1096</v>
      </c>
      <c r="L322" s="80" t="s">
        <v>14</v>
      </c>
      <c r="M322" s="80"/>
      <c r="N322" s="80">
        <v>1</v>
      </c>
      <c r="O322" s="110">
        <v>1</v>
      </c>
      <c r="P322" s="110">
        <v>1</v>
      </c>
      <c r="Q322" s="110">
        <v>1</v>
      </c>
    </row>
    <row r="323" spans="1:17" ht="45" x14ac:dyDescent="0.25">
      <c r="A323" s="1075"/>
      <c r="B323" s="768"/>
      <c r="C323" s="768" t="s">
        <v>17</v>
      </c>
      <c r="D323" s="775"/>
      <c r="E323" s="493" t="s">
        <v>1097</v>
      </c>
      <c r="F323" s="778">
        <v>10688.9</v>
      </c>
      <c r="G323" s="779">
        <v>0</v>
      </c>
      <c r="H323" s="779">
        <v>0</v>
      </c>
      <c r="I323" s="779">
        <v>0</v>
      </c>
      <c r="J323" s="779">
        <v>0</v>
      </c>
      <c r="K323" s="579" t="s">
        <v>1098</v>
      </c>
      <c r="L323" s="80" t="s">
        <v>25</v>
      </c>
      <c r="M323" s="83">
        <v>4249</v>
      </c>
      <c r="N323" s="80">
        <v>0</v>
      </c>
      <c r="O323" s="110">
        <v>0</v>
      </c>
      <c r="P323" s="110">
        <v>0</v>
      </c>
      <c r="Q323" s="110">
        <v>0</v>
      </c>
    </row>
    <row r="324" spans="1:17" x14ac:dyDescent="0.25">
      <c r="A324" s="1075"/>
      <c r="B324" s="1343"/>
      <c r="C324" s="1343" t="s">
        <v>18</v>
      </c>
      <c r="D324" s="773"/>
      <c r="E324" s="1284" t="s">
        <v>1099</v>
      </c>
      <c r="F324" s="1572">
        <v>16239</v>
      </c>
      <c r="G324" s="1575">
        <v>0</v>
      </c>
      <c r="H324" s="1575">
        <v>0</v>
      </c>
      <c r="I324" s="1575">
        <v>0</v>
      </c>
      <c r="J324" s="1575">
        <v>0</v>
      </c>
      <c r="K324" s="717" t="s">
        <v>1100</v>
      </c>
      <c r="L324" s="83" t="s">
        <v>12</v>
      </c>
      <c r="M324" s="83">
        <v>41</v>
      </c>
      <c r="N324" s="83">
        <v>0</v>
      </c>
      <c r="O324" s="83">
        <v>0</v>
      </c>
      <c r="P324" s="83">
        <v>0</v>
      </c>
      <c r="Q324" s="83">
        <v>0</v>
      </c>
    </row>
    <row r="325" spans="1:17" ht="30" x14ac:dyDescent="0.25">
      <c r="A325" s="1075"/>
      <c r="B325" s="1344"/>
      <c r="C325" s="1344"/>
      <c r="D325" s="774"/>
      <c r="E325" s="1562"/>
      <c r="F325" s="1573"/>
      <c r="G325" s="1576"/>
      <c r="H325" s="1576"/>
      <c r="I325" s="1576"/>
      <c r="J325" s="1576"/>
      <c r="K325" s="717" t="s">
        <v>2047</v>
      </c>
      <c r="L325" s="83" t="s">
        <v>25</v>
      </c>
      <c r="M325" s="83">
        <v>24</v>
      </c>
      <c r="N325" s="83">
        <v>0</v>
      </c>
      <c r="O325" s="83">
        <v>0</v>
      </c>
      <c r="P325" s="83">
        <v>0</v>
      </c>
      <c r="Q325" s="83">
        <v>0</v>
      </c>
    </row>
    <row r="326" spans="1:17" ht="30" x14ac:dyDescent="0.25">
      <c r="A326" s="1075"/>
      <c r="B326" s="1344"/>
      <c r="C326" s="1345"/>
      <c r="D326" s="774"/>
      <c r="E326" s="1285"/>
      <c r="F326" s="1574"/>
      <c r="G326" s="1577"/>
      <c r="H326" s="1577"/>
      <c r="I326" s="1577"/>
      <c r="J326" s="1577"/>
      <c r="K326" s="719" t="s">
        <v>1101</v>
      </c>
      <c r="L326" s="83" t="s">
        <v>25</v>
      </c>
      <c r="M326" s="83">
        <v>90</v>
      </c>
      <c r="N326" s="83">
        <v>0</v>
      </c>
      <c r="O326" s="83">
        <v>0</v>
      </c>
      <c r="P326" s="83">
        <v>0</v>
      </c>
      <c r="Q326" s="83">
        <v>0</v>
      </c>
    </row>
    <row r="327" spans="1:17" x14ac:dyDescent="0.25">
      <c r="A327" s="1075"/>
      <c r="B327" s="33"/>
      <c r="C327" s="33" t="s">
        <v>16</v>
      </c>
      <c r="D327" s="50"/>
      <c r="E327" s="493" t="s">
        <v>1102</v>
      </c>
      <c r="F327" s="778">
        <v>0</v>
      </c>
      <c r="G327" s="779">
        <v>1050.2</v>
      </c>
      <c r="H327" s="779">
        <v>0</v>
      </c>
      <c r="I327" s="779">
        <v>0</v>
      </c>
      <c r="J327" s="779">
        <v>0</v>
      </c>
      <c r="K327" s="83"/>
      <c r="L327" s="492"/>
      <c r="M327" s="83"/>
      <c r="N327" s="83"/>
      <c r="O327" s="83"/>
      <c r="P327" s="83"/>
      <c r="Q327" s="83"/>
    </row>
    <row r="328" spans="1:17" ht="30" x14ac:dyDescent="0.25">
      <c r="A328" s="1075"/>
      <c r="B328" s="33"/>
      <c r="C328" s="33" t="s">
        <v>18</v>
      </c>
      <c r="D328" s="50"/>
      <c r="E328" s="579" t="s">
        <v>1103</v>
      </c>
      <c r="F328" s="777">
        <v>0</v>
      </c>
      <c r="G328" s="720">
        <v>21128.3</v>
      </c>
      <c r="H328" s="720">
        <v>29244</v>
      </c>
      <c r="I328" s="720">
        <v>22842.5</v>
      </c>
      <c r="J328" s="720">
        <v>23070.9</v>
      </c>
      <c r="K328" s="719" t="s">
        <v>1104</v>
      </c>
      <c r="L328" s="765" t="s">
        <v>14</v>
      </c>
      <c r="M328" s="83">
        <v>0</v>
      </c>
      <c r="N328" s="765">
        <v>0</v>
      </c>
      <c r="O328" s="765">
        <v>3</v>
      </c>
      <c r="P328" s="765">
        <v>3</v>
      </c>
      <c r="Q328" s="765">
        <v>3</v>
      </c>
    </row>
    <row r="329" spans="1:17" ht="74.25" x14ac:dyDescent="0.25">
      <c r="A329" s="1075"/>
      <c r="B329" s="50" t="s">
        <v>1908</v>
      </c>
      <c r="C329" s="33"/>
      <c r="D329" s="50"/>
      <c r="E329" s="488" t="s">
        <v>2048</v>
      </c>
      <c r="F329" s="499">
        <v>5685.2</v>
      </c>
      <c r="G329" s="499">
        <v>10559.2</v>
      </c>
      <c r="H329" s="499">
        <f>H330+H331+H332</f>
        <v>9821.7999999999993</v>
      </c>
      <c r="I329" s="499">
        <f t="shared" ref="I329:J329" si="21">I330+I331+I332</f>
        <v>9915.2000000000007</v>
      </c>
      <c r="J329" s="499">
        <f t="shared" si="21"/>
        <v>10197.4</v>
      </c>
      <c r="K329" s="492"/>
      <c r="L329" s="83"/>
      <c r="M329" s="83"/>
      <c r="N329" s="83"/>
      <c r="O329" s="83"/>
      <c r="P329" s="83"/>
      <c r="Q329" s="759"/>
    </row>
    <row r="330" spans="1:17" ht="75" x14ac:dyDescent="0.25">
      <c r="A330" s="1075"/>
      <c r="B330" s="33"/>
      <c r="C330" s="33" t="s">
        <v>17</v>
      </c>
      <c r="D330" s="50"/>
      <c r="E330" s="579" t="s">
        <v>1105</v>
      </c>
      <c r="F330" s="777">
        <v>3685.2</v>
      </c>
      <c r="G330" s="720">
        <v>7059.2</v>
      </c>
      <c r="H330" s="720">
        <v>7821.8</v>
      </c>
      <c r="I330" s="720">
        <v>7915.2</v>
      </c>
      <c r="J330" s="720">
        <v>8197.4</v>
      </c>
      <c r="K330" s="717" t="s">
        <v>1106</v>
      </c>
      <c r="L330" s="83" t="s">
        <v>1107</v>
      </c>
      <c r="M330" s="83">
        <v>1</v>
      </c>
      <c r="N330" s="83" t="s">
        <v>1108</v>
      </c>
      <c r="O330" s="759">
        <v>1</v>
      </c>
      <c r="P330" s="759">
        <v>1</v>
      </c>
      <c r="Q330" s="759">
        <v>1</v>
      </c>
    </row>
    <row r="331" spans="1:17" ht="60" x14ac:dyDescent="0.25">
      <c r="A331" s="1075"/>
      <c r="B331" s="33"/>
      <c r="C331" s="33" t="s">
        <v>18</v>
      </c>
      <c r="D331" s="50"/>
      <c r="E331" s="493" t="s">
        <v>1109</v>
      </c>
      <c r="F331" s="778">
        <v>2000</v>
      </c>
      <c r="G331" s="779">
        <v>3500</v>
      </c>
      <c r="H331" s="779">
        <v>2000</v>
      </c>
      <c r="I331" s="779">
        <v>2000</v>
      </c>
      <c r="J331" s="779">
        <v>2000</v>
      </c>
      <c r="K331" s="717" t="s">
        <v>2049</v>
      </c>
      <c r="L331" s="83" t="s">
        <v>14</v>
      </c>
      <c r="M331" s="83">
        <v>15</v>
      </c>
      <c r="N331" s="83">
        <v>15</v>
      </c>
      <c r="O331" s="759">
        <v>15</v>
      </c>
      <c r="P331" s="759">
        <v>15</v>
      </c>
      <c r="Q331" s="759">
        <v>15</v>
      </c>
    </row>
    <row r="332" spans="1:17" ht="45" x14ac:dyDescent="0.25">
      <c r="A332" s="1075"/>
      <c r="B332" s="33"/>
      <c r="C332" s="33" t="s">
        <v>16</v>
      </c>
      <c r="D332" s="50"/>
      <c r="E332" s="493" t="s">
        <v>1110</v>
      </c>
      <c r="F332" s="778">
        <v>0</v>
      </c>
      <c r="G332" s="779">
        <v>1000</v>
      </c>
      <c r="H332" s="779">
        <v>0</v>
      </c>
      <c r="I332" s="779">
        <v>0</v>
      </c>
      <c r="J332" s="779">
        <v>0</v>
      </c>
      <c r="K332" s="493" t="s">
        <v>1110</v>
      </c>
      <c r="L332" s="83" t="s">
        <v>12</v>
      </c>
      <c r="M332" s="83">
        <v>0</v>
      </c>
      <c r="N332" s="83">
        <v>1</v>
      </c>
      <c r="O332" s="759">
        <v>0</v>
      </c>
      <c r="P332" s="759">
        <v>0</v>
      </c>
      <c r="Q332" s="759">
        <v>0</v>
      </c>
    </row>
    <row r="333" spans="1:17" ht="74.25" x14ac:dyDescent="0.25">
      <c r="A333" s="1075"/>
      <c r="B333" s="50" t="s">
        <v>1909</v>
      </c>
      <c r="C333" s="33"/>
      <c r="D333" s="50"/>
      <c r="E333" s="721" t="s">
        <v>1220</v>
      </c>
      <c r="F333" s="81">
        <v>7951272.0300000003</v>
      </c>
      <c r="G333" s="722">
        <v>8436339.0800000001</v>
      </c>
      <c r="H333" s="722">
        <f>H334+H335+H336+H337+H338+H339+H342+H343+H344</f>
        <v>9134782</v>
      </c>
      <c r="I333" s="722">
        <f t="shared" ref="I333:J333" si="22">I334+I335+I336+I337+I338+I339+I342+I343+I344</f>
        <v>10947190</v>
      </c>
      <c r="J333" s="722">
        <f t="shared" si="22"/>
        <v>5131995</v>
      </c>
      <c r="K333" s="488" t="s">
        <v>1111</v>
      </c>
      <c r="L333" s="80" t="s">
        <v>14</v>
      </c>
      <c r="M333" s="80" t="s">
        <v>1112</v>
      </c>
      <c r="N333" s="110">
        <v>100.95</v>
      </c>
      <c r="O333" s="110">
        <v>100.97</v>
      </c>
      <c r="P333" s="110">
        <v>101</v>
      </c>
      <c r="Q333" s="110">
        <v>101.2</v>
      </c>
    </row>
    <row r="334" spans="1:17" ht="45" x14ac:dyDescent="0.25">
      <c r="A334" s="1075"/>
      <c r="B334" s="33"/>
      <c r="C334" s="33" t="s">
        <v>19</v>
      </c>
      <c r="D334" s="50"/>
      <c r="E334" s="579" t="s">
        <v>1113</v>
      </c>
      <c r="F334" s="810">
        <v>447082.47</v>
      </c>
      <c r="G334" s="810">
        <v>477978.8</v>
      </c>
      <c r="H334" s="810">
        <v>60253</v>
      </c>
      <c r="I334" s="810"/>
      <c r="J334" s="810"/>
      <c r="K334" s="579" t="s">
        <v>1114</v>
      </c>
      <c r="L334" s="83" t="s">
        <v>1115</v>
      </c>
      <c r="M334" s="83" t="s">
        <v>1116</v>
      </c>
      <c r="N334" s="83" t="s">
        <v>1117</v>
      </c>
      <c r="O334" s="83" t="s">
        <v>1118</v>
      </c>
      <c r="P334" s="83">
        <v>0</v>
      </c>
      <c r="Q334" s="759">
        <v>0</v>
      </c>
    </row>
    <row r="335" spans="1:17" x14ac:dyDescent="0.25">
      <c r="A335" s="1075"/>
      <c r="B335" s="33"/>
      <c r="C335" s="33" t="s">
        <v>21</v>
      </c>
      <c r="D335" s="50"/>
      <c r="E335" s="579" t="s">
        <v>1119</v>
      </c>
      <c r="F335" s="810">
        <v>3521066.3</v>
      </c>
      <c r="G335" s="810">
        <v>2486161.6</v>
      </c>
      <c r="H335" s="810">
        <v>1414299</v>
      </c>
      <c r="I335" s="810"/>
      <c r="J335" s="810"/>
      <c r="K335" s="579" t="s">
        <v>1120</v>
      </c>
      <c r="L335" s="83" t="s">
        <v>1115</v>
      </c>
      <c r="M335" s="83" t="s">
        <v>1121</v>
      </c>
      <c r="N335" s="1722" t="s">
        <v>1122</v>
      </c>
      <c r="O335" s="1723"/>
      <c r="P335" s="1724"/>
      <c r="Q335" s="759"/>
    </row>
    <row r="336" spans="1:17" ht="30" x14ac:dyDescent="0.25">
      <c r="A336" s="1075"/>
      <c r="B336" s="33"/>
      <c r="C336" s="33" t="s">
        <v>23</v>
      </c>
      <c r="D336" s="50"/>
      <c r="E336" s="721" t="s">
        <v>1123</v>
      </c>
      <c r="F336" s="810">
        <v>241467.66</v>
      </c>
      <c r="G336" s="810">
        <v>0</v>
      </c>
      <c r="H336" s="810"/>
      <c r="I336" s="722"/>
      <c r="J336" s="722"/>
      <c r="K336" s="579" t="s">
        <v>1124</v>
      </c>
      <c r="L336" s="83" t="s">
        <v>1115</v>
      </c>
      <c r="M336" s="83" t="s">
        <v>1125</v>
      </c>
      <c r="N336" s="83">
        <v>0</v>
      </c>
      <c r="O336" s="83">
        <v>0</v>
      </c>
      <c r="P336" s="759">
        <v>0</v>
      </c>
      <c r="Q336" s="759">
        <v>0</v>
      </c>
    </row>
    <row r="337" spans="1:17" ht="30" x14ac:dyDescent="0.25">
      <c r="A337" s="1075"/>
      <c r="B337" s="33"/>
      <c r="C337" s="33" t="s">
        <v>27</v>
      </c>
      <c r="D337" s="50"/>
      <c r="E337" s="721" t="s">
        <v>1126</v>
      </c>
      <c r="F337" s="810">
        <v>31818.45</v>
      </c>
      <c r="G337" s="810">
        <v>945880</v>
      </c>
      <c r="H337" s="810">
        <v>978110</v>
      </c>
      <c r="I337" s="810">
        <v>6598025</v>
      </c>
      <c r="J337" s="810">
        <v>2469810</v>
      </c>
      <c r="K337" s="579" t="s">
        <v>1127</v>
      </c>
      <c r="L337" s="83" t="s">
        <v>1115</v>
      </c>
      <c r="M337" s="83">
        <v>0</v>
      </c>
      <c r="N337" s="1725" t="s">
        <v>1128</v>
      </c>
      <c r="O337" s="1725"/>
      <c r="P337" s="1725"/>
      <c r="Q337" s="723"/>
    </row>
    <row r="338" spans="1:17" ht="90" x14ac:dyDescent="0.25">
      <c r="A338" s="1075"/>
      <c r="B338" s="33"/>
      <c r="C338" s="33" t="s">
        <v>28</v>
      </c>
      <c r="D338" s="50"/>
      <c r="E338" s="493" t="s">
        <v>1129</v>
      </c>
      <c r="F338" s="810">
        <v>2164443.7200000002</v>
      </c>
      <c r="G338" s="810">
        <v>2315107.6</v>
      </c>
      <c r="H338" s="810">
        <v>3539708</v>
      </c>
      <c r="I338" s="810">
        <v>2711360</v>
      </c>
      <c r="J338" s="810">
        <v>735110</v>
      </c>
      <c r="K338" s="579" t="s">
        <v>1130</v>
      </c>
      <c r="L338" s="83" t="s">
        <v>1115</v>
      </c>
      <c r="M338" s="83">
        <v>0</v>
      </c>
      <c r="N338" s="83" t="s">
        <v>1131</v>
      </c>
      <c r="O338" s="83" t="s">
        <v>1132</v>
      </c>
      <c r="P338" s="83">
        <v>0</v>
      </c>
      <c r="Q338" s="83">
        <v>0</v>
      </c>
    </row>
    <row r="339" spans="1:17" ht="90" x14ac:dyDescent="0.25">
      <c r="A339" s="1075"/>
      <c r="B339" s="1343"/>
      <c r="C339" s="1343" t="s">
        <v>518</v>
      </c>
      <c r="D339" s="773"/>
      <c r="E339" s="1284" t="s">
        <v>2050</v>
      </c>
      <c r="F339" s="1726">
        <v>130702.07</v>
      </c>
      <c r="G339" s="1726">
        <v>1429498.72</v>
      </c>
      <c r="H339" s="1726">
        <v>1996359</v>
      </c>
      <c r="I339" s="1726">
        <v>149110</v>
      </c>
      <c r="J339" s="1726"/>
      <c r="K339" s="493" t="s">
        <v>1133</v>
      </c>
      <c r="L339" s="83" t="s">
        <v>1134</v>
      </c>
      <c r="M339" s="83">
        <v>0</v>
      </c>
      <c r="N339" s="493">
        <v>0</v>
      </c>
      <c r="O339" s="493" t="s">
        <v>1135</v>
      </c>
      <c r="P339" s="724">
        <v>0</v>
      </c>
      <c r="Q339" s="759">
        <v>0</v>
      </c>
    </row>
    <row r="340" spans="1:17" ht="30" x14ac:dyDescent="0.25">
      <c r="A340" s="1075"/>
      <c r="B340" s="1344"/>
      <c r="C340" s="1344"/>
      <c r="D340" s="774"/>
      <c r="E340" s="1562"/>
      <c r="F340" s="1727"/>
      <c r="G340" s="1727"/>
      <c r="H340" s="1727"/>
      <c r="I340" s="1727"/>
      <c r="J340" s="1727"/>
      <c r="K340" s="725" t="s">
        <v>1136</v>
      </c>
      <c r="L340" s="83" t="s">
        <v>1137</v>
      </c>
      <c r="M340" s="83"/>
      <c r="N340" s="1722" t="s">
        <v>1138</v>
      </c>
      <c r="O340" s="1723"/>
      <c r="P340" s="1724"/>
      <c r="Q340" s="759"/>
    </row>
    <row r="341" spans="1:17" ht="60" x14ac:dyDescent="0.25">
      <c r="A341" s="1075"/>
      <c r="B341" s="1345"/>
      <c r="C341" s="1345"/>
      <c r="D341" s="775"/>
      <c r="E341" s="1285"/>
      <c r="F341" s="1728"/>
      <c r="G341" s="1728"/>
      <c r="H341" s="1728"/>
      <c r="I341" s="1728"/>
      <c r="J341" s="1728"/>
      <c r="K341" s="725" t="s">
        <v>1139</v>
      </c>
      <c r="L341" s="83" t="s">
        <v>1140</v>
      </c>
      <c r="M341" s="83">
        <v>0</v>
      </c>
      <c r="N341" s="493"/>
      <c r="O341" s="493" t="s">
        <v>1141</v>
      </c>
      <c r="P341" s="724">
        <v>0</v>
      </c>
      <c r="Q341" s="759">
        <v>0</v>
      </c>
    </row>
    <row r="342" spans="1:17" ht="75" x14ac:dyDescent="0.25">
      <c r="A342" s="1075"/>
      <c r="B342" s="33"/>
      <c r="C342" s="33" t="s">
        <v>524</v>
      </c>
      <c r="D342" s="50"/>
      <c r="E342" s="579" t="s">
        <v>2051</v>
      </c>
      <c r="F342" s="84" t="s">
        <v>1142</v>
      </c>
      <c r="G342" s="810">
        <v>195540.8</v>
      </c>
      <c r="H342" s="810"/>
      <c r="I342" s="810"/>
      <c r="J342" s="810"/>
      <c r="K342" s="493" t="s">
        <v>1143</v>
      </c>
      <c r="L342" s="493" t="s">
        <v>1144</v>
      </c>
      <c r="M342" s="83">
        <v>0</v>
      </c>
      <c r="N342" s="496"/>
      <c r="O342" s="496" t="s">
        <v>1145</v>
      </c>
      <c r="P342" s="496" t="s">
        <v>1146</v>
      </c>
      <c r="Q342" s="496" t="s">
        <v>1147</v>
      </c>
    </row>
    <row r="343" spans="1:17" ht="60" x14ac:dyDescent="0.25">
      <c r="A343" s="1075"/>
      <c r="B343" s="33"/>
      <c r="C343" s="33" t="s">
        <v>462</v>
      </c>
      <c r="D343" s="50"/>
      <c r="E343" s="579" t="s">
        <v>2052</v>
      </c>
      <c r="F343" s="84" t="s">
        <v>1148</v>
      </c>
      <c r="G343" s="810">
        <v>315588</v>
      </c>
      <c r="H343" s="810">
        <v>168210</v>
      </c>
      <c r="I343" s="722"/>
      <c r="J343" s="722"/>
      <c r="K343" s="493" t="s">
        <v>1149</v>
      </c>
      <c r="L343" s="493" t="s">
        <v>1150</v>
      </c>
      <c r="M343" s="83">
        <v>0</v>
      </c>
      <c r="N343" s="493"/>
      <c r="O343" s="493" t="s">
        <v>1151</v>
      </c>
      <c r="P343" s="493" t="s">
        <v>1152</v>
      </c>
      <c r="Q343" s="759">
        <v>0</v>
      </c>
    </row>
    <row r="344" spans="1:17" ht="75" x14ac:dyDescent="0.25">
      <c r="A344" s="1075"/>
      <c r="B344" s="33"/>
      <c r="C344" s="33" t="s">
        <v>512</v>
      </c>
      <c r="D344" s="50"/>
      <c r="E344" s="579" t="s">
        <v>1153</v>
      </c>
      <c r="F344" s="83" t="s">
        <v>1154</v>
      </c>
      <c r="G344" s="82">
        <v>270583.56</v>
      </c>
      <c r="H344" s="82">
        <v>977843</v>
      </c>
      <c r="I344" s="82">
        <v>1488695</v>
      </c>
      <c r="J344" s="82">
        <v>1927075</v>
      </c>
      <c r="K344" s="493" t="s">
        <v>1155</v>
      </c>
      <c r="L344" s="493" t="s">
        <v>25</v>
      </c>
      <c r="M344" s="83">
        <v>0</v>
      </c>
      <c r="N344" s="83" t="s">
        <v>1156</v>
      </c>
      <c r="O344" s="83" t="s">
        <v>1157</v>
      </c>
      <c r="P344" s="83" t="s">
        <v>1158</v>
      </c>
      <c r="Q344" s="83" t="s">
        <v>1159</v>
      </c>
    </row>
    <row r="345" spans="1:17" x14ac:dyDescent="0.25">
      <c r="A345" s="1597" t="s">
        <v>15</v>
      </c>
      <c r="B345" s="1597"/>
      <c r="C345" s="1597"/>
      <c r="D345" s="1597"/>
      <c r="E345" s="1597"/>
      <c r="F345" s="501">
        <v>8099293.2300000004</v>
      </c>
      <c r="G345" s="501">
        <v>9985089.6799999978</v>
      </c>
      <c r="H345" s="501">
        <f>H306+H317+H322+H329+H333+H309</f>
        <v>10830465.9</v>
      </c>
      <c r="I345" s="501">
        <f>I306+I317+I322+I329+I333+I309</f>
        <v>12484428.9</v>
      </c>
      <c r="J345" s="501">
        <f>J306+J317+J322+J329+J333+J309</f>
        <v>6685027.6000000006</v>
      </c>
      <c r="K345" s="1261"/>
      <c r="L345" s="1262"/>
      <c r="M345" s="1262"/>
      <c r="N345" s="1262"/>
      <c r="O345" s="1262"/>
      <c r="P345" s="1263"/>
      <c r="Q345" s="500"/>
    </row>
  </sheetData>
  <mergeCells count="710">
    <mergeCell ref="K345:P345"/>
    <mergeCell ref="A254:A303"/>
    <mergeCell ref="N335:P335"/>
    <mergeCell ref="N337:P337"/>
    <mergeCell ref="B339:B341"/>
    <mergeCell ref="E339:E341"/>
    <mergeCell ref="F339:F341"/>
    <mergeCell ref="G339:G341"/>
    <mergeCell ref="H339:H341"/>
    <mergeCell ref="I339:I341"/>
    <mergeCell ref="J339:J341"/>
    <mergeCell ref="N340:P340"/>
    <mergeCell ref="I318:I320"/>
    <mergeCell ref="J318:J320"/>
    <mergeCell ref="B324:B326"/>
    <mergeCell ref="C324:C326"/>
    <mergeCell ref="E324:E326"/>
    <mergeCell ref="F324:F326"/>
    <mergeCell ref="G324:G326"/>
    <mergeCell ref="H324:H326"/>
    <mergeCell ref="I324:I326"/>
    <mergeCell ref="J324:J326"/>
    <mergeCell ref="C282:C284"/>
    <mergeCell ref="D282:D284"/>
    <mergeCell ref="B186:B187"/>
    <mergeCell ref="C186:C187"/>
    <mergeCell ref="E186:E187"/>
    <mergeCell ref="F186:F187"/>
    <mergeCell ref="G186:G187"/>
    <mergeCell ref="H186:H187"/>
    <mergeCell ref="I186:I187"/>
    <mergeCell ref="J186:J187"/>
    <mergeCell ref="B310:B314"/>
    <mergeCell ref="C310:C314"/>
    <mergeCell ref="E310:E314"/>
    <mergeCell ref="F310:F314"/>
    <mergeCell ref="G310:G314"/>
    <mergeCell ref="H310:H314"/>
    <mergeCell ref="I310:I314"/>
    <mergeCell ref="J310:J314"/>
    <mergeCell ref="J268:J270"/>
    <mergeCell ref="E282:E284"/>
    <mergeCell ref="F282:F284"/>
    <mergeCell ref="G282:G284"/>
    <mergeCell ref="H282:H284"/>
    <mergeCell ref="I282:I284"/>
    <mergeCell ref="J282:J284"/>
    <mergeCell ref="E285:E289"/>
    <mergeCell ref="G63:G64"/>
    <mergeCell ref="H63:H64"/>
    <mergeCell ref="A143:Q143"/>
    <mergeCell ref="B147:B149"/>
    <mergeCell ref="C147:C149"/>
    <mergeCell ref="D147:D149"/>
    <mergeCell ref="E147:E149"/>
    <mergeCell ref="F147:F149"/>
    <mergeCell ref="G147:G149"/>
    <mergeCell ref="H147:H149"/>
    <mergeCell ref="I147:I149"/>
    <mergeCell ref="J147:J149"/>
    <mergeCell ref="A56:A82"/>
    <mergeCell ref="B70:B71"/>
    <mergeCell ref="C70:C71"/>
    <mergeCell ref="C72:C73"/>
    <mergeCell ref="D72:D73"/>
    <mergeCell ref="B63:B64"/>
    <mergeCell ref="C63:C64"/>
    <mergeCell ref="C66:C68"/>
    <mergeCell ref="D66:D68"/>
    <mergeCell ref="P85:P88"/>
    <mergeCell ref="A84:O84"/>
    <mergeCell ref="Q85:Q88"/>
    <mergeCell ref="E23:E24"/>
    <mergeCell ref="B30:B39"/>
    <mergeCell ref="J40:J41"/>
    <mergeCell ref="G60:G62"/>
    <mergeCell ref="L1:Q1"/>
    <mergeCell ref="B57:B58"/>
    <mergeCell ref="C60:C62"/>
    <mergeCell ref="D60:D62"/>
    <mergeCell ref="E38:E39"/>
    <mergeCell ref="C38:C39"/>
    <mergeCell ref="D38:D39"/>
    <mergeCell ref="E12:E13"/>
    <mergeCell ref="D12:D13"/>
    <mergeCell ref="C12:C13"/>
    <mergeCell ref="E17:E18"/>
    <mergeCell ref="C17:C18"/>
    <mergeCell ref="H38:H39"/>
    <mergeCell ref="I38:I39"/>
    <mergeCell ref="J38:J39"/>
    <mergeCell ref="F40:F41"/>
    <mergeCell ref="G40:G41"/>
    <mergeCell ref="A3:Q3"/>
    <mergeCell ref="A5:A6"/>
    <mergeCell ref="B5:B6"/>
    <mergeCell ref="J207:J212"/>
    <mergeCell ref="H40:H41"/>
    <mergeCell ref="E31:E35"/>
    <mergeCell ref="I63:I64"/>
    <mergeCell ref="A55:O55"/>
    <mergeCell ref="B60:B62"/>
    <mergeCell ref="E60:E62"/>
    <mergeCell ref="F60:F62"/>
    <mergeCell ref="A8:A53"/>
    <mergeCell ref="A54:E54"/>
    <mergeCell ref="F23:F24"/>
    <mergeCell ref="G23:G24"/>
    <mergeCell ref="H23:H24"/>
    <mergeCell ref="I23:I24"/>
    <mergeCell ref="J23:J24"/>
    <mergeCell ref="I12:I13"/>
    <mergeCell ref="J12:J13"/>
    <mergeCell ref="F17:F18"/>
    <mergeCell ref="G17:G18"/>
    <mergeCell ref="H17:H18"/>
    <mergeCell ref="C31:C35"/>
    <mergeCell ref="J31:J35"/>
    <mergeCell ref="G12:G13"/>
    <mergeCell ref="H12:H13"/>
    <mergeCell ref="F264:F265"/>
    <mergeCell ref="G264:G265"/>
    <mergeCell ref="H264:H265"/>
    <mergeCell ref="I264:I265"/>
    <mergeCell ref="J264:J265"/>
    <mergeCell ref="E268:E269"/>
    <mergeCell ref="F268:F270"/>
    <mergeCell ref="G268:G270"/>
    <mergeCell ref="H268:H270"/>
    <mergeCell ref="I268:I270"/>
    <mergeCell ref="J236:J237"/>
    <mergeCell ref="J238:J242"/>
    <mergeCell ref="J244:J246"/>
    <mergeCell ref="J285:J289"/>
    <mergeCell ref="G247:G250"/>
    <mergeCell ref="H247:H250"/>
    <mergeCell ref="I247:I250"/>
    <mergeCell ref="J247:J250"/>
    <mergeCell ref="M254:M255"/>
    <mergeCell ref="H277:H279"/>
    <mergeCell ref="I277:I279"/>
    <mergeCell ref="J277:J279"/>
    <mergeCell ref="G271:G273"/>
    <mergeCell ref="H271:H273"/>
    <mergeCell ref="I271:I273"/>
    <mergeCell ref="J271:J273"/>
    <mergeCell ref="J280:J281"/>
    <mergeCell ref="H280:H281"/>
    <mergeCell ref="I280:I281"/>
    <mergeCell ref="G274:G276"/>
    <mergeCell ref="H274:H276"/>
    <mergeCell ref="I274:I276"/>
    <mergeCell ref="H254:H255"/>
    <mergeCell ref="C244:C246"/>
    <mergeCell ref="E244:E246"/>
    <mergeCell ref="F244:F246"/>
    <mergeCell ref="G244:G246"/>
    <mergeCell ref="H244:H246"/>
    <mergeCell ref="I244:I246"/>
    <mergeCell ref="I238:I242"/>
    <mergeCell ref="F236:F237"/>
    <mergeCell ref="G236:G237"/>
    <mergeCell ref="H236:H237"/>
    <mergeCell ref="I236:I237"/>
    <mergeCell ref="B221:B222"/>
    <mergeCell ref="C221:C222"/>
    <mergeCell ref="E221:E222"/>
    <mergeCell ref="F221:F222"/>
    <mergeCell ref="G221:G222"/>
    <mergeCell ref="H221:H222"/>
    <mergeCell ref="I221:I222"/>
    <mergeCell ref="J221:J222"/>
    <mergeCell ref="B232:B234"/>
    <mergeCell ref="C232:C234"/>
    <mergeCell ref="E232:E234"/>
    <mergeCell ref="F232:F234"/>
    <mergeCell ref="G232:G234"/>
    <mergeCell ref="H232:H234"/>
    <mergeCell ref="B223:B225"/>
    <mergeCell ref="C223:C225"/>
    <mergeCell ref="E223:E225"/>
    <mergeCell ref="F223:F225"/>
    <mergeCell ref="G223:G225"/>
    <mergeCell ref="H223:H225"/>
    <mergeCell ref="I223:I225"/>
    <mergeCell ref="J223:J225"/>
    <mergeCell ref="B229:B231"/>
    <mergeCell ref="C229:C231"/>
    <mergeCell ref="B207:B212"/>
    <mergeCell ref="E207:E212"/>
    <mergeCell ref="F207:F212"/>
    <mergeCell ref="G207:G212"/>
    <mergeCell ref="H207:H212"/>
    <mergeCell ref="I207:I212"/>
    <mergeCell ref="C207:C212"/>
    <mergeCell ref="B213:B214"/>
    <mergeCell ref="C213:C214"/>
    <mergeCell ref="E213:E214"/>
    <mergeCell ref="F213:F214"/>
    <mergeCell ref="G213:G214"/>
    <mergeCell ref="H213:H214"/>
    <mergeCell ref="I213:I214"/>
    <mergeCell ref="J213:J214"/>
    <mergeCell ref="O27:O28"/>
    <mergeCell ref="P27:P28"/>
    <mergeCell ref="Q27:Q28"/>
    <mergeCell ref="N27:N28"/>
    <mergeCell ref="J72:J73"/>
    <mergeCell ref="D70:D71"/>
    <mergeCell ref="M27:M28"/>
    <mergeCell ref="K27:K28"/>
    <mergeCell ref="L27:L28"/>
    <mergeCell ref="F50:F51"/>
    <mergeCell ref="G50:G51"/>
    <mergeCell ref="H50:H51"/>
    <mergeCell ref="I50:I51"/>
    <mergeCell ref="J50:J51"/>
    <mergeCell ref="F38:F39"/>
    <mergeCell ref="I40:I41"/>
    <mergeCell ref="G38:G39"/>
    <mergeCell ref="E40:E41"/>
    <mergeCell ref="D31:D35"/>
    <mergeCell ref="F31:F35"/>
    <mergeCell ref="G31:G35"/>
    <mergeCell ref="H31:H35"/>
    <mergeCell ref="I31:I35"/>
    <mergeCell ref="C5:C6"/>
    <mergeCell ref="D5:D6"/>
    <mergeCell ref="E5:E6"/>
    <mergeCell ref="F5:J5"/>
    <mergeCell ref="K5:K6"/>
    <mergeCell ref="L5:L6"/>
    <mergeCell ref="N5:Q5"/>
    <mergeCell ref="A7:Q7"/>
    <mergeCell ref="C19:C22"/>
    <mergeCell ref="D19:D22"/>
    <mergeCell ref="B17:B18"/>
    <mergeCell ref="B12:B13"/>
    <mergeCell ref="B19:B22"/>
    <mergeCell ref="E19:E22"/>
    <mergeCell ref="D17:D18"/>
    <mergeCell ref="I17:I18"/>
    <mergeCell ref="J17:J18"/>
    <mergeCell ref="F12:F13"/>
    <mergeCell ref="B72:B73"/>
    <mergeCell ref="E50:E51"/>
    <mergeCell ref="H60:H62"/>
    <mergeCell ref="I60:I62"/>
    <mergeCell ref="J60:J62"/>
    <mergeCell ref="D63:D64"/>
    <mergeCell ref="E63:E64"/>
    <mergeCell ref="F63:F64"/>
    <mergeCell ref="F19:F22"/>
    <mergeCell ref="G19:G22"/>
    <mergeCell ref="H19:H22"/>
    <mergeCell ref="I19:I22"/>
    <mergeCell ref="J19:J22"/>
    <mergeCell ref="E72:E73"/>
    <mergeCell ref="J63:J64"/>
    <mergeCell ref="E66:E68"/>
    <mergeCell ref="H66:H68"/>
    <mergeCell ref="I66:I68"/>
    <mergeCell ref="F66:F68"/>
    <mergeCell ref="H72:H73"/>
    <mergeCell ref="I72:I73"/>
    <mergeCell ref="E70:E71"/>
    <mergeCell ref="C23:C24"/>
    <mergeCell ref="D23:D24"/>
    <mergeCell ref="J66:J68"/>
    <mergeCell ref="G66:G68"/>
    <mergeCell ref="F70:F71"/>
    <mergeCell ref="G70:G71"/>
    <mergeCell ref="H70:H71"/>
    <mergeCell ref="I70:I71"/>
    <mergeCell ref="J70:J71"/>
    <mergeCell ref="F72:F73"/>
    <mergeCell ref="G72:G73"/>
    <mergeCell ref="H89:H93"/>
    <mergeCell ref="I89:I93"/>
    <mergeCell ref="J89:J93"/>
    <mergeCell ref="C94:C95"/>
    <mergeCell ref="D94:D95"/>
    <mergeCell ref="E94:E95"/>
    <mergeCell ref="F94:F95"/>
    <mergeCell ref="G94:G95"/>
    <mergeCell ref="H94:H95"/>
    <mergeCell ref="I94:I95"/>
    <mergeCell ref="J94:J95"/>
    <mergeCell ref="M85:M88"/>
    <mergeCell ref="L85:L88"/>
    <mergeCell ref="N85:N88"/>
    <mergeCell ref="O85:O88"/>
    <mergeCell ref="H103:H104"/>
    <mergeCell ref="I103:I104"/>
    <mergeCell ref="J110:J111"/>
    <mergeCell ref="K85:K88"/>
    <mergeCell ref="D85:D88"/>
    <mergeCell ref="E85:E88"/>
    <mergeCell ref="F85:F88"/>
    <mergeCell ref="G85:G88"/>
    <mergeCell ref="H85:H88"/>
    <mergeCell ref="I85:I88"/>
    <mergeCell ref="J85:J88"/>
    <mergeCell ref="D110:D111"/>
    <mergeCell ref="E110:E111"/>
    <mergeCell ref="F110:F111"/>
    <mergeCell ref="G110:G111"/>
    <mergeCell ref="H110:H111"/>
    <mergeCell ref="I110:I111"/>
    <mergeCell ref="H105:H107"/>
    <mergeCell ref="D89:D93"/>
    <mergeCell ref="E89:E93"/>
    <mergeCell ref="F105:F107"/>
    <mergeCell ref="G105:G107"/>
    <mergeCell ref="C103:C104"/>
    <mergeCell ref="D103:D104"/>
    <mergeCell ref="E103:E104"/>
    <mergeCell ref="F103:F104"/>
    <mergeCell ref="G103:G104"/>
    <mergeCell ref="B85:B88"/>
    <mergeCell ref="C85:C88"/>
    <mergeCell ref="B89:B95"/>
    <mergeCell ref="C89:C93"/>
    <mergeCell ref="F89:F93"/>
    <mergeCell ref="G89:G93"/>
    <mergeCell ref="F117:F118"/>
    <mergeCell ref="G117:G118"/>
    <mergeCell ref="J105:J107"/>
    <mergeCell ref="A85:A141"/>
    <mergeCell ref="J97:J100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C97:C100"/>
    <mergeCell ref="D97:D100"/>
    <mergeCell ref="E97:E100"/>
    <mergeCell ref="F97:F100"/>
    <mergeCell ref="G97:G100"/>
    <mergeCell ref="H97:H100"/>
    <mergeCell ref="I97:I100"/>
    <mergeCell ref="J103:J104"/>
    <mergeCell ref="I105:I107"/>
    <mergeCell ref="C105:C107"/>
    <mergeCell ref="D105:D107"/>
    <mergeCell ref="I113:I114"/>
    <mergeCell ref="J113:J114"/>
    <mergeCell ref="C115:C116"/>
    <mergeCell ref="D115:D116"/>
    <mergeCell ref="E115:E116"/>
    <mergeCell ref="C110:C111"/>
    <mergeCell ref="F115:F116"/>
    <mergeCell ref="G115:G116"/>
    <mergeCell ref="H115:H116"/>
    <mergeCell ref="I115:I116"/>
    <mergeCell ref="J115:J116"/>
    <mergeCell ref="F138:F139"/>
    <mergeCell ref="G138:G139"/>
    <mergeCell ref="H138:H139"/>
    <mergeCell ref="I138:I139"/>
    <mergeCell ref="J138:J139"/>
    <mergeCell ref="B97:B111"/>
    <mergeCell ref="H117:H118"/>
    <mergeCell ref="I117:I118"/>
    <mergeCell ref="J117:J118"/>
    <mergeCell ref="C120:C124"/>
    <mergeCell ref="D120:D124"/>
    <mergeCell ref="E120:E124"/>
    <mergeCell ref="F120:F124"/>
    <mergeCell ref="G120:G124"/>
    <mergeCell ref="H120:H124"/>
    <mergeCell ref="I120:I124"/>
    <mergeCell ref="J120:J124"/>
    <mergeCell ref="B113:B132"/>
    <mergeCell ref="C113:C114"/>
    <mergeCell ref="D113:D114"/>
    <mergeCell ref="E113:E114"/>
    <mergeCell ref="F113:F114"/>
    <mergeCell ref="G113:G114"/>
    <mergeCell ref="H113:H114"/>
    <mergeCell ref="H134:H135"/>
    <mergeCell ref="I134:I135"/>
    <mergeCell ref="J134:J135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F134:F135"/>
    <mergeCell ref="G134:G135"/>
    <mergeCell ref="G153:G155"/>
    <mergeCell ref="H153:H155"/>
    <mergeCell ref="I153:I155"/>
    <mergeCell ref="J153:J155"/>
    <mergeCell ref="B150:B152"/>
    <mergeCell ref="C150:C152"/>
    <mergeCell ref="E150:E152"/>
    <mergeCell ref="F150:F152"/>
    <mergeCell ref="G150:G152"/>
    <mergeCell ref="H150:H152"/>
    <mergeCell ref="I150:I152"/>
    <mergeCell ref="J150:J152"/>
    <mergeCell ref="B153:B155"/>
    <mergeCell ref="C153:C155"/>
    <mergeCell ref="E153:E155"/>
    <mergeCell ref="F153:F155"/>
    <mergeCell ref="D153:D155"/>
    <mergeCell ref="D150:D152"/>
    <mergeCell ref="I157:I159"/>
    <mergeCell ref="J157:J159"/>
    <mergeCell ref="B164:B167"/>
    <mergeCell ref="C164:C167"/>
    <mergeCell ref="D164:D167"/>
    <mergeCell ref="E164:E167"/>
    <mergeCell ref="F164:F167"/>
    <mergeCell ref="G164:G167"/>
    <mergeCell ref="H164:H167"/>
    <mergeCell ref="I164:I167"/>
    <mergeCell ref="J164:J167"/>
    <mergeCell ref="B157:B159"/>
    <mergeCell ref="C157:C159"/>
    <mergeCell ref="E157:E159"/>
    <mergeCell ref="F157:F159"/>
    <mergeCell ref="G157:G159"/>
    <mergeCell ref="H157:H159"/>
    <mergeCell ref="D157:D159"/>
    <mergeCell ref="I168:I173"/>
    <mergeCell ref="J168:J173"/>
    <mergeCell ref="B174:B176"/>
    <mergeCell ref="C174:C176"/>
    <mergeCell ref="E174:E176"/>
    <mergeCell ref="F174:F176"/>
    <mergeCell ref="G174:G176"/>
    <mergeCell ref="H174:H176"/>
    <mergeCell ref="I174:I176"/>
    <mergeCell ref="J174:J176"/>
    <mergeCell ref="B168:B173"/>
    <mergeCell ref="C168:C173"/>
    <mergeCell ref="E168:E173"/>
    <mergeCell ref="F168:F173"/>
    <mergeCell ref="G168:G173"/>
    <mergeCell ref="H168:H173"/>
    <mergeCell ref="D168:D173"/>
    <mergeCell ref="D174:D176"/>
    <mergeCell ref="F177:F182"/>
    <mergeCell ref="G177:G182"/>
    <mergeCell ref="H177:H182"/>
    <mergeCell ref="I177:I182"/>
    <mergeCell ref="J177:J182"/>
    <mergeCell ref="B183:B185"/>
    <mergeCell ref="C183:C185"/>
    <mergeCell ref="E183:E185"/>
    <mergeCell ref="F183:F185"/>
    <mergeCell ref="G183:G185"/>
    <mergeCell ref="H183:H185"/>
    <mergeCell ref="I183:I185"/>
    <mergeCell ref="J183:J185"/>
    <mergeCell ref="D177:D182"/>
    <mergeCell ref="B177:B182"/>
    <mergeCell ref="C177:C182"/>
    <mergeCell ref="E177:E182"/>
    <mergeCell ref="I188:I190"/>
    <mergeCell ref="J188:J190"/>
    <mergeCell ref="B192:B193"/>
    <mergeCell ref="C192:C193"/>
    <mergeCell ref="E192:E193"/>
    <mergeCell ref="F192:F193"/>
    <mergeCell ref="G192:G193"/>
    <mergeCell ref="H192:H193"/>
    <mergeCell ref="I192:I193"/>
    <mergeCell ref="J192:J193"/>
    <mergeCell ref="D192:D193"/>
    <mergeCell ref="E188:E190"/>
    <mergeCell ref="F188:F190"/>
    <mergeCell ref="G188:G190"/>
    <mergeCell ref="H188:H190"/>
    <mergeCell ref="B188:B190"/>
    <mergeCell ref="C188:C190"/>
    <mergeCell ref="I195:I196"/>
    <mergeCell ref="J195:J196"/>
    <mergeCell ref="B197:B198"/>
    <mergeCell ref="C197:C198"/>
    <mergeCell ref="E197:E198"/>
    <mergeCell ref="F197:F198"/>
    <mergeCell ref="G197:G198"/>
    <mergeCell ref="H197:H198"/>
    <mergeCell ref="I197:I198"/>
    <mergeCell ref="J197:J198"/>
    <mergeCell ref="D195:D196"/>
    <mergeCell ref="D197:D198"/>
    <mergeCell ref="E195:E196"/>
    <mergeCell ref="F195:F196"/>
    <mergeCell ref="G195:G196"/>
    <mergeCell ref="H195:H196"/>
    <mergeCell ref="B195:B196"/>
    <mergeCell ref="C195:C196"/>
    <mergeCell ref="F199:F202"/>
    <mergeCell ref="G199:G202"/>
    <mergeCell ref="H199:H202"/>
    <mergeCell ref="I199:I202"/>
    <mergeCell ref="J199:J202"/>
    <mergeCell ref="B204:B205"/>
    <mergeCell ref="C204:C205"/>
    <mergeCell ref="D204:D205"/>
    <mergeCell ref="E204:E205"/>
    <mergeCell ref="F204:F205"/>
    <mergeCell ref="G204:G205"/>
    <mergeCell ref="H204:H205"/>
    <mergeCell ref="I204:I205"/>
    <mergeCell ref="J204:J205"/>
    <mergeCell ref="D199:D202"/>
    <mergeCell ref="K216:K217"/>
    <mergeCell ref="B219:B220"/>
    <mergeCell ref="C219:C220"/>
    <mergeCell ref="E219:E220"/>
    <mergeCell ref="F219:F220"/>
    <mergeCell ref="G219:G220"/>
    <mergeCell ref="H219:H220"/>
    <mergeCell ref="I219:I220"/>
    <mergeCell ref="J219:J220"/>
    <mergeCell ref="D216:D218"/>
    <mergeCell ref="D219:D220"/>
    <mergeCell ref="B216:B218"/>
    <mergeCell ref="C216:C218"/>
    <mergeCell ref="E216:E218"/>
    <mergeCell ref="F216:F218"/>
    <mergeCell ref="G216:G218"/>
    <mergeCell ref="H216:H218"/>
    <mergeCell ref="I216:I218"/>
    <mergeCell ref="J216:J218"/>
    <mergeCell ref="H229:H231"/>
    <mergeCell ref="I229:I231"/>
    <mergeCell ref="J229:J231"/>
    <mergeCell ref="D223:D225"/>
    <mergeCell ref="D229:D231"/>
    <mergeCell ref="B257:B258"/>
    <mergeCell ref="D257:D258"/>
    <mergeCell ref="C254:C255"/>
    <mergeCell ref="H257:H258"/>
    <mergeCell ref="I257:I258"/>
    <mergeCell ref="J257:J258"/>
    <mergeCell ref="I232:I234"/>
    <mergeCell ref="J232:J234"/>
    <mergeCell ref="D236:D237"/>
    <mergeCell ref="B238:B242"/>
    <mergeCell ref="C238:C242"/>
    <mergeCell ref="D238:D242"/>
    <mergeCell ref="E238:E242"/>
    <mergeCell ref="F238:F242"/>
    <mergeCell ref="G238:G242"/>
    <mergeCell ref="H238:H242"/>
    <mergeCell ref="D244:D246"/>
    <mergeCell ref="C236:C237"/>
    <mergeCell ref="B244:B246"/>
    <mergeCell ref="B247:B250"/>
    <mergeCell ref="C247:C250"/>
    <mergeCell ref="D247:D250"/>
    <mergeCell ref="P254:P255"/>
    <mergeCell ref="F257:F258"/>
    <mergeCell ref="G257:G258"/>
    <mergeCell ref="F254:F255"/>
    <mergeCell ref="G254:G255"/>
    <mergeCell ref="E264:E265"/>
    <mergeCell ref="B264:B265"/>
    <mergeCell ref="C264:C265"/>
    <mergeCell ref="D264:D265"/>
    <mergeCell ref="A252:E252"/>
    <mergeCell ref="A253:O253"/>
    <mergeCell ref="B254:B255"/>
    <mergeCell ref="D254:D255"/>
    <mergeCell ref="E247:E250"/>
    <mergeCell ref="F247:F250"/>
    <mergeCell ref="N254:N255"/>
    <mergeCell ref="O254:O255"/>
    <mergeCell ref="I254:I255"/>
    <mergeCell ref="J254:J255"/>
    <mergeCell ref="K254:K255"/>
    <mergeCell ref="L254:L255"/>
    <mergeCell ref="B268:B270"/>
    <mergeCell ref="C301:C303"/>
    <mergeCell ref="B274:B276"/>
    <mergeCell ref="C274:C276"/>
    <mergeCell ref="D274:D276"/>
    <mergeCell ref="C285:C289"/>
    <mergeCell ref="D285:D289"/>
    <mergeCell ref="C277:C279"/>
    <mergeCell ref="C280:C281"/>
    <mergeCell ref="B277:B279"/>
    <mergeCell ref="D277:D279"/>
    <mergeCell ref="B280:B281"/>
    <mergeCell ref="B282:B284"/>
    <mergeCell ref="D298:D300"/>
    <mergeCell ref="D268:D270"/>
    <mergeCell ref="B271:B273"/>
    <mergeCell ref="C271:C273"/>
    <mergeCell ref="D271:D273"/>
    <mergeCell ref="D280:D281"/>
    <mergeCell ref="E293:E295"/>
    <mergeCell ref="F293:F295"/>
    <mergeCell ref="G293:G295"/>
    <mergeCell ref="H293:H295"/>
    <mergeCell ref="F280:F281"/>
    <mergeCell ref="G280:G281"/>
    <mergeCell ref="C268:C270"/>
    <mergeCell ref="E271:E273"/>
    <mergeCell ref="F271:F273"/>
    <mergeCell ref="F274:F276"/>
    <mergeCell ref="A345:E345"/>
    <mergeCell ref="D186:D187"/>
    <mergeCell ref="D183:D185"/>
    <mergeCell ref="D188:D190"/>
    <mergeCell ref="A304:E304"/>
    <mergeCell ref="D232:D234"/>
    <mergeCell ref="B236:B237"/>
    <mergeCell ref="E236:E237"/>
    <mergeCell ref="E229:E231"/>
    <mergeCell ref="B199:B202"/>
    <mergeCell ref="C199:C202"/>
    <mergeCell ref="E199:E202"/>
    <mergeCell ref="A144:A251"/>
    <mergeCell ref="D207:D212"/>
    <mergeCell ref="D213:D214"/>
    <mergeCell ref="D221:D222"/>
    <mergeCell ref="E274:E276"/>
    <mergeCell ref="C298:C300"/>
    <mergeCell ref="E277:E279"/>
    <mergeCell ref="B285:B289"/>
    <mergeCell ref="E280:E281"/>
    <mergeCell ref="B290:B292"/>
    <mergeCell ref="C290:C292"/>
    <mergeCell ref="B293:B295"/>
    <mergeCell ref="B23:B24"/>
    <mergeCell ref="B40:B41"/>
    <mergeCell ref="C40:C41"/>
    <mergeCell ref="D40:D41"/>
    <mergeCell ref="C134:C135"/>
    <mergeCell ref="A142:E142"/>
    <mergeCell ref="C125:C129"/>
    <mergeCell ref="D125:D129"/>
    <mergeCell ref="E125:E129"/>
    <mergeCell ref="B134:B140"/>
    <mergeCell ref="D134:D135"/>
    <mergeCell ref="E134:E135"/>
    <mergeCell ref="C138:C139"/>
    <mergeCell ref="D138:D139"/>
    <mergeCell ref="E138:E139"/>
    <mergeCell ref="C117:C118"/>
    <mergeCell ref="D117:D118"/>
    <mergeCell ref="E117:E118"/>
    <mergeCell ref="E105:E107"/>
    <mergeCell ref="B50:B51"/>
    <mergeCell ref="B66:B68"/>
    <mergeCell ref="D50:D51"/>
    <mergeCell ref="C50:C51"/>
    <mergeCell ref="A83:E83"/>
    <mergeCell ref="F125:F129"/>
    <mergeCell ref="G125:G129"/>
    <mergeCell ref="H125:H129"/>
    <mergeCell ref="I125:I129"/>
    <mergeCell ref="J125:J129"/>
    <mergeCell ref="H298:H300"/>
    <mergeCell ref="I298:I300"/>
    <mergeCell ref="J298:J300"/>
    <mergeCell ref="J274:J276"/>
    <mergeCell ref="J293:J295"/>
    <mergeCell ref="F290:F292"/>
    <mergeCell ref="G290:G292"/>
    <mergeCell ref="H290:H292"/>
    <mergeCell ref="I290:I292"/>
    <mergeCell ref="J290:J292"/>
    <mergeCell ref="I293:I295"/>
    <mergeCell ref="G285:G289"/>
    <mergeCell ref="H285:H289"/>
    <mergeCell ref="I285:I289"/>
    <mergeCell ref="F298:F300"/>
    <mergeCell ref="G298:G300"/>
    <mergeCell ref="F285:F289"/>
    <mergeCell ref="F229:F231"/>
    <mergeCell ref="G229:G231"/>
    <mergeCell ref="K311:K314"/>
    <mergeCell ref="C339:C341"/>
    <mergeCell ref="C257:C258"/>
    <mergeCell ref="A305:Q305"/>
    <mergeCell ref="D293:D295"/>
    <mergeCell ref="B298:B300"/>
    <mergeCell ref="I301:I303"/>
    <mergeCell ref="J301:J303"/>
    <mergeCell ref="G277:G279"/>
    <mergeCell ref="F277:F279"/>
    <mergeCell ref="E290:E292"/>
    <mergeCell ref="D290:D292"/>
    <mergeCell ref="B318:B320"/>
    <mergeCell ref="C318:C320"/>
    <mergeCell ref="E318:E320"/>
    <mergeCell ref="F318:F320"/>
    <mergeCell ref="G318:G320"/>
    <mergeCell ref="H318:H320"/>
    <mergeCell ref="C293:C295"/>
    <mergeCell ref="E299:E300"/>
    <mergeCell ref="E301:E303"/>
    <mergeCell ref="F301:F303"/>
    <mergeCell ref="G301:G303"/>
    <mergeCell ref="H301:H303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49" fitToHeight="0" orientation="landscape" r:id="rId1"/>
  <headerFooter>
    <oddFooter>&amp;R&amp;"Times New Roman,обычный"&amp;10&amp;P</oddFooter>
  </headerFooter>
  <rowBreaks count="4" manualBreakCount="4">
    <brk id="52" max="16" man="1"/>
    <brk id="163" max="16" man="1"/>
    <brk id="191" max="16" man="1"/>
    <brk id="216" max="1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9F970A2-FDC9-49BF-BB18-972C9F98B84D}"/>
</file>

<file path=customXml/itemProps2.xml><?xml version="1.0" encoding="utf-8"?>
<ds:datastoreItem xmlns:ds="http://schemas.openxmlformats.org/officeDocument/2006/customXml" ds:itemID="{C596BE20-1EAC-44B5-9031-699B2B2E790A}"/>
</file>

<file path=customXml/itemProps3.xml><?xml version="1.0" encoding="utf-8"?>
<ds:datastoreItem xmlns:ds="http://schemas.openxmlformats.org/officeDocument/2006/customXml" ds:itemID="{7C076C1B-8B10-49F0-A6F1-61100F8F02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11 приложение  </vt:lpstr>
      <vt:lpstr>11-1 приложение по пилотам рус</vt:lpstr>
      <vt:lpstr>'11 приложение  '!Заголовки_для_печати</vt:lpstr>
      <vt:lpstr>'11-1 приложение по пилотам рус'!Заголовки_для_печати</vt:lpstr>
      <vt:lpstr>'11 приложение  '!Область_печати</vt:lpstr>
      <vt:lpstr>'11-1 приложение по пилотам рус'!Область_печати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2023-01-09T02:39:54Z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