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80" windowWidth="15195" windowHeight="5655" tabRatio="587" firstSheet="1" activeTab="1"/>
  </bookViews>
  <sheets>
    <sheet name="Анализ на 2014 год" sheetId="5" state="hidden" r:id="rId1"/>
    <sheet name="3-1-тиркеме" sheetId="11" r:id="rId2"/>
  </sheets>
  <definedNames>
    <definedName name="_xlnm.Print_Titles" localSheetId="1">'3-1-тиркеме'!$7:$8</definedName>
    <definedName name="_xlnm.Print_Titles" localSheetId="0">'Анализ на 2014 год'!$10:$11</definedName>
    <definedName name="_xlnm.Print_Area" localSheetId="1">'3-1-тиркеме'!$A$1:$H$131</definedName>
    <definedName name="_xlnm.Print_Area" localSheetId="0">'Анализ на 2014 год'!$A$6:$Z$160</definedName>
  </definedNames>
  <calcPr calcId="144525" refMode="R1C1"/>
</workbook>
</file>

<file path=xl/calcChain.xml><?xml version="1.0" encoding="utf-8"?>
<calcChain xmlns="http://schemas.openxmlformats.org/spreadsheetml/2006/main">
  <c r="U155" i="5" l="1"/>
  <c r="Z155" i="5" s="1"/>
  <c r="W136" i="5" l="1"/>
  <c r="W123" i="5"/>
  <c r="W100" i="5"/>
  <c r="W99" i="5" s="1"/>
  <c r="W76" i="5"/>
  <c r="W71" i="5"/>
  <c r="W63" i="5"/>
  <c r="W58" i="5"/>
  <c r="W55" i="5"/>
  <c r="W15" i="5"/>
  <c r="T146" i="5" l="1"/>
  <c r="S116" i="5"/>
  <c r="T76" i="5"/>
  <c r="T77" i="5"/>
  <c r="T73" i="5"/>
  <c r="T100" i="5" l="1"/>
  <c r="S99" i="5"/>
  <c r="T63" i="5" l="1"/>
  <c r="T116" i="5"/>
  <c r="T110" i="5"/>
  <c r="S108" i="5"/>
  <c r="T112" i="5"/>
  <c r="S112" i="5"/>
  <c r="T111" i="5"/>
  <c r="S111" i="5"/>
  <c r="T104" i="5"/>
  <c r="T40" i="5"/>
  <c r="K176" i="5" l="1"/>
  <c r="J176" i="5"/>
  <c r="S103" i="5" l="1"/>
  <c r="T156" i="5"/>
  <c r="T152" i="5"/>
  <c r="T125" i="5"/>
  <c r="T115" i="5"/>
  <c r="T114" i="5"/>
  <c r="T38" i="5"/>
  <c r="P172" i="5" l="1"/>
  <c r="P173" i="5"/>
  <c r="P174" i="5"/>
  <c r="P175" i="5"/>
  <c r="O172" i="5"/>
  <c r="O173" i="5"/>
  <c r="O174" i="5"/>
  <c r="O175" i="5"/>
  <c r="O176" i="5"/>
  <c r="O177" i="5"/>
  <c r="O178" i="5"/>
  <c r="O179" i="5"/>
  <c r="P179" i="5"/>
  <c r="Q182" i="5" l="1"/>
  <c r="N182" i="5"/>
  <c r="M182" i="5"/>
  <c r="P181" i="5"/>
  <c r="O181" i="5"/>
  <c r="P180" i="5"/>
  <c r="O180" i="5"/>
  <c r="P178" i="5"/>
  <c r="P177" i="5"/>
  <c r="P176" i="5"/>
  <c r="P171" i="5"/>
  <c r="O171" i="5"/>
  <c r="P170" i="5"/>
  <c r="O170" i="5"/>
  <c r="P169" i="5"/>
  <c r="O169" i="5"/>
  <c r="L182" i="5"/>
  <c r="K179" i="5"/>
  <c r="J179" i="5"/>
  <c r="O182" i="5" l="1"/>
  <c r="P182" i="5"/>
  <c r="T45" i="5"/>
  <c r="U45" i="5" l="1"/>
  <c r="U74" i="5" l="1"/>
  <c r="Z74" i="5" s="1"/>
  <c r="T62" i="5" l="1"/>
  <c r="T48" i="5" l="1"/>
  <c r="T55" i="5" l="1"/>
  <c r="T44" i="5" l="1"/>
  <c r="T58" i="5" l="1"/>
  <c r="T53" i="5"/>
  <c r="T135" i="5"/>
  <c r="W160" i="5" l="1"/>
  <c r="AB119" i="5" l="1"/>
  <c r="S146" i="5" l="1"/>
  <c r="U146" i="5" s="1"/>
  <c r="T147" i="5"/>
  <c r="AA13" i="5" l="1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N52" i="5"/>
  <c r="N53" i="5"/>
  <c r="N54" i="5"/>
  <c r="N55" i="5"/>
  <c r="N159" i="5"/>
  <c r="U159" i="5"/>
  <c r="V62" i="5"/>
  <c r="U62" i="5"/>
  <c r="U147" i="5"/>
  <c r="U152" i="5"/>
  <c r="V152" i="5"/>
  <c r="S160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6" i="5"/>
  <c r="V47" i="5"/>
  <c r="V48" i="5"/>
  <c r="V49" i="5"/>
  <c r="V50" i="5"/>
  <c r="V51" i="5"/>
  <c r="V52" i="5"/>
  <c r="V53" i="5"/>
  <c r="V54" i="5"/>
  <c r="V55" i="5"/>
  <c r="V58" i="5"/>
  <c r="V59" i="5"/>
  <c r="V60" i="5"/>
  <c r="V61" i="5"/>
  <c r="V63" i="5"/>
  <c r="V64" i="5"/>
  <c r="V65" i="5"/>
  <c r="V66" i="5"/>
  <c r="V67" i="5"/>
  <c r="V68" i="5"/>
  <c r="V69" i="5"/>
  <c r="V70" i="5"/>
  <c r="V71" i="5"/>
  <c r="V72" i="5"/>
  <c r="V73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3" i="5"/>
  <c r="V154" i="5"/>
  <c r="V156" i="5"/>
  <c r="V157" i="5"/>
  <c r="V158" i="5"/>
  <c r="V159" i="5"/>
  <c r="Y160" i="5" l="1"/>
  <c r="T56" i="5"/>
  <c r="V56" i="5" s="1"/>
  <c r="T57" i="5"/>
  <c r="V57" i="5" s="1"/>
  <c r="U26" i="5" l="1"/>
  <c r="R26" i="5"/>
  <c r="Q26" i="5"/>
  <c r="N26" i="5"/>
  <c r="K26" i="5"/>
  <c r="J26" i="5"/>
  <c r="U27" i="5"/>
  <c r="R27" i="5"/>
  <c r="Q27" i="5"/>
  <c r="N27" i="5"/>
  <c r="Z27" i="5" l="1"/>
  <c r="Z26" i="5"/>
  <c r="M77" i="5" l="1"/>
  <c r="M123" i="5"/>
  <c r="N124" i="5"/>
  <c r="U124" i="5"/>
  <c r="U76" i="5"/>
  <c r="T160" i="5" l="1"/>
  <c r="V45" i="5"/>
  <c r="V160" i="5" s="1"/>
  <c r="Z124" i="5"/>
  <c r="U56" i="5"/>
  <c r="R56" i="5"/>
  <c r="Q56" i="5"/>
  <c r="N56" i="5"/>
  <c r="I56" i="5"/>
  <c r="K56" i="5" s="1"/>
  <c r="U16" i="5"/>
  <c r="R16" i="5"/>
  <c r="Q16" i="5"/>
  <c r="N16" i="5"/>
  <c r="K16" i="5"/>
  <c r="J16" i="5"/>
  <c r="Z16" i="5" l="1"/>
  <c r="Z56" i="5"/>
  <c r="J56" i="5"/>
  <c r="AA149" i="5" l="1"/>
  <c r="AA150" i="5"/>
  <c r="AA151" i="5"/>
  <c r="AA152" i="5"/>
  <c r="AA153" i="5"/>
  <c r="AA154" i="5"/>
  <c r="AA156" i="5"/>
  <c r="AA157" i="5"/>
  <c r="AA158" i="5"/>
  <c r="AA159" i="5"/>
  <c r="X160" i="5"/>
  <c r="AA160" i="5" l="1"/>
  <c r="U38" i="5"/>
  <c r="U115" i="5" l="1"/>
  <c r="U14" i="5"/>
  <c r="U15" i="5"/>
  <c r="U17" i="5"/>
  <c r="U18" i="5"/>
  <c r="U19" i="5"/>
  <c r="U20" i="5"/>
  <c r="U21" i="5"/>
  <c r="U22" i="5"/>
  <c r="U23" i="5"/>
  <c r="U24" i="5"/>
  <c r="U25" i="5"/>
  <c r="U28" i="5"/>
  <c r="U29" i="5"/>
  <c r="U30" i="5"/>
  <c r="U31" i="5"/>
  <c r="U32" i="5"/>
  <c r="U33" i="5"/>
  <c r="U34" i="5"/>
  <c r="U35" i="5"/>
  <c r="U36" i="5"/>
  <c r="U37" i="5"/>
  <c r="Z38" i="5"/>
  <c r="U39" i="5"/>
  <c r="U40" i="5"/>
  <c r="U41" i="5"/>
  <c r="U42" i="5"/>
  <c r="U43" i="5"/>
  <c r="U44" i="5"/>
  <c r="U46" i="5"/>
  <c r="U47" i="5"/>
  <c r="U48" i="5"/>
  <c r="U49" i="5"/>
  <c r="U50" i="5"/>
  <c r="U51" i="5"/>
  <c r="U52" i="5"/>
  <c r="U53" i="5"/>
  <c r="U54" i="5"/>
  <c r="U55" i="5"/>
  <c r="U57" i="5"/>
  <c r="U58" i="5"/>
  <c r="U59" i="5"/>
  <c r="U60" i="5"/>
  <c r="U61" i="5"/>
  <c r="Z62" i="5"/>
  <c r="U63" i="5"/>
  <c r="U64" i="5"/>
  <c r="U65" i="5"/>
  <c r="U66" i="5"/>
  <c r="U67" i="5"/>
  <c r="U68" i="5"/>
  <c r="U69" i="5"/>
  <c r="U70" i="5"/>
  <c r="U71" i="5"/>
  <c r="U72" i="5"/>
  <c r="U73" i="5"/>
  <c r="U75" i="5"/>
  <c r="Z76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6" i="5"/>
  <c r="U117" i="5"/>
  <c r="U118" i="5"/>
  <c r="U119" i="5"/>
  <c r="U120" i="5"/>
  <c r="U121" i="5"/>
  <c r="U122" i="5"/>
  <c r="U123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8" i="5"/>
  <c r="U149" i="5"/>
  <c r="U150" i="5"/>
  <c r="U151" i="5"/>
  <c r="U153" i="5"/>
  <c r="U154" i="5"/>
  <c r="U156" i="5"/>
  <c r="U157" i="5"/>
  <c r="U158" i="5"/>
  <c r="U13" i="5"/>
  <c r="L160" i="5"/>
  <c r="Z73" i="5" l="1"/>
  <c r="Z147" i="5"/>
  <c r="Z159" i="5"/>
  <c r="Z150" i="5"/>
  <c r="Z146" i="5"/>
  <c r="Z158" i="5"/>
  <c r="Z153" i="5"/>
  <c r="Z149" i="5"/>
  <c r="Z145" i="5"/>
  <c r="Z141" i="5"/>
  <c r="Z157" i="5"/>
  <c r="Z152" i="5"/>
  <c r="Z148" i="5"/>
  <c r="Z144" i="5"/>
  <c r="Z156" i="5"/>
  <c r="Z143" i="5"/>
  <c r="Z151" i="5"/>
  <c r="Z154" i="5"/>
  <c r="Z142" i="5"/>
  <c r="Z111" i="5"/>
  <c r="Z98" i="5"/>
  <c r="Z137" i="5"/>
  <c r="Z133" i="5"/>
  <c r="Z131" i="5"/>
  <c r="Z127" i="5"/>
  <c r="Z122" i="5"/>
  <c r="Z118" i="5"/>
  <c r="Z113" i="5"/>
  <c r="Z109" i="5"/>
  <c r="Z105" i="5"/>
  <c r="Z101" i="5"/>
  <c r="Z96" i="5"/>
  <c r="Z92" i="5"/>
  <c r="Z88" i="5"/>
  <c r="Z84" i="5"/>
  <c r="Z80" i="5"/>
  <c r="Z75" i="5"/>
  <c r="Z139" i="5"/>
  <c r="Z129" i="5"/>
  <c r="Z120" i="5"/>
  <c r="Z103" i="5"/>
  <c r="Z90" i="5"/>
  <c r="Z82" i="5"/>
  <c r="Z140" i="5"/>
  <c r="Z136" i="5"/>
  <c r="Z130" i="5"/>
  <c r="Z126" i="5"/>
  <c r="Z121" i="5"/>
  <c r="Z117" i="5"/>
  <c r="Z112" i="5"/>
  <c r="Z108" i="5"/>
  <c r="Z104" i="5"/>
  <c r="Z95" i="5"/>
  <c r="Z91" i="5"/>
  <c r="Z87" i="5"/>
  <c r="Z83" i="5"/>
  <c r="Z79" i="5"/>
  <c r="Z135" i="5"/>
  <c r="Z107" i="5"/>
  <c r="Z94" i="5"/>
  <c r="Z86" i="5"/>
  <c r="Z78" i="5"/>
  <c r="Z138" i="5"/>
  <c r="Z134" i="5"/>
  <c r="Z132" i="5"/>
  <c r="Z128" i="5"/>
  <c r="Z123" i="5"/>
  <c r="Z119" i="5"/>
  <c r="Z114" i="5"/>
  <c r="Z110" i="5"/>
  <c r="Z106" i="5"/>
  <c r="Z97" i="5"/>
  <c r="Z93" i="5"/>
  <c r="Z89" i="5"/>
  <c r="Z85" i="5"/>
  <c r="Z81" i="5"/>
  <c r="Z115" i="5"/>
  <c r="Z71" i="5"/>
  <c r="Z67" i="5"/>
  <c r="Z59" i="5"/>
  <c r="Z54" i="5"/>
  <c r="Z46" i="5"/>
  <c r="Z42" i="5"/>
  <c r="Z34" i="5"/>
  <c r="Z30" i="5"/>
  <c r="Z25" i="5"/>
  <c r="Z21" i="5"/>
  <c r="Z17" i="5"/>
  <c r="Z70" i="5"/>
  <c r="Z66" i="5"/>
  <c r="Z58" i="5"/>
  <c r="Z53" i="5"/>
  <c r="Z49" i="5"/>
  <c r="Z45" i="5"/>
  <c r="Z41" i="5"/>
  <c r="Z37" i="5"/>
  <c r="Z33" i="5"/>
  <c r="Z29" i="5"/>
  <c r="Z24" i="5"/>
  <c r="Z20" i="5"/>
  <c r="Z15" i="5"/>
  <c r="Z69" i="5"/>
  <c r="Z65" i="5"/>
  <c r="Z61" i="5"/>
  <c r="Z57" i="5"/>
  <c r="Z52" i="5"/>
  <c r="Z48" i="5"/>
  <c r="Z44" i="5"/>
  <c r="Z40" i="5"/>
  <c r="Z36" i="5"/>
  <c r="Z32" i="5"/>
  <c r="Z28" i="5"/>
  <c r="Z23" i="5"/>
  <c r="Z19" i="5"/>
  <c r="Z14" i="5"/>
  <c r="Z72" i="5"/>
  <c r="Z68" i="5"/>
  <c r="Z60" i="5"/>
  <c r="Z55" i="5"/>
  <c r="Z51" i="5"/>
  <c r="Z47" i="5"/>
  <c r="Z43" i="5"/>
  <c r="Z39" i="5"/>
  <c r="Z35" i="5"/>
  <c r="Z31" i="5"/>
  <c r="Z22" i="5"/>
  <c r="Z18" i="5"/>
  <c r="Z13" i="5"/>
  <c r="Z50" i="5"/>
  <c r="Z102" i="5"/>
  <c r="Z99" i="5"/>
  <c r="Z116" i="5"/>
  <c r="Z64" i="5"/>
  <c r="Z63" i="5"/>
  <c r="Z125" i="5"/>
  <c r="G34" i="5"/>
  <c r="Q47" i="5" l="1"/>
  <c r="R47" i="5"/>
  <c r="N47" i="5"/>
  <c r="R37" i="5" l="1"/>
  <c r="Q37" i="5"/>
  <c r="N37" i="5"/>
  <c r="K37" i="5"/>
  <c r="J37" i="5"/>
  <c r="R36" i="5"/>
  <c r="Q36" i="5"/>
  <c r="N36" i="5"/>
  <c r="K36" i="5"/>
  <c r="J36" i="5"/>
  <c r="I64" i="5"/>
  <c r="R52" i="5"/>
  <c r="R53" i="5"/>
  <c r="R54" i="5"/>
  <c r="R55" i="5"/>
  <c r="Q52" i="5"/>
  <c r="Q53" i="5"/>
  <c r="Q54" i="5"/>
  <c r="K52" i="5"/>
  <c r="K53" i="5"/>
  <c r="K54" i="5"/>
  <c r="K55" i="5"/>
  <c r="K57" i="5"/>
  <c r="N13" i="5" l="1"/>
  <c r="N14" i="5"/>
  <c r="N15" i="5"/>
  <c r="N17" i="5"/>
  <c r="N18" i="5"/>
  <c r="N19" i="5"/>
  <c r="N20" i="5"/>
  <c r="N21" i="5"/>
  <c r="N22" i="5"/>
  <c r="N23" i="5"/>
  <c r="N24" i="5"/>
  <c r="N25" i="5"/>
  <c r="N28" i="5"/>
  <c r="N29" i="5"/>
  <c r="N30" i="5"/>
  <c r="N31" i="5"/>
  <c r="N32" i="5"/>
  <c r="N33" i="5"/>
  <c r="N34" i="5"/>
  <c r="N35" i="5"/>
  <c r="N38" i="5"/>
  <c r="N39" i="5"/>
  <c r="N40" i="5"/>
  <c r="N41" i="5"/>
  <c r="N42" i="5"/>
  <c r="N43" i="5"/>
  <c r="N44" i="5"/>
  <c r="N45" i="5"/>
  <c r="N46" i="5"/>
  <c r="N48" i="5"/>
  <c r="N49" i="5"/>
  <c r="N50" i="5"/>
  <c r="N51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5" i="5"/>
  <c r="N76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6" i="5"/>
  <c r="N157" i="5"/>
  <c r="N158" i="5"/>
  <c r="N73" i="5"/>
  <c r="K159" i="5"/>
  <c r="J159" i="5"/>
  <c r="K158" i="5"/>
  <c r="J158" i="5"/>
  <c r="K157" i="5"/>
  <c r="J157" i="5"/>
  <c r="K156" i="5"/>
  <c r="J156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6" i="5"/>
  <c r="J76" i="5"/>
  <c r="K75" i="5"/>
  <c r="J75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J57" i="5"/>
  <c r="J55" i="5"/>
  <c r="J54" i="5"/>
  <c r="K51" i="5"/>
  <c r="J51" i="5"/>
  <c r="K50" i="5"/>
  <c r="J50" i="5"/>
  <c r="K49" i="5"/>
  <c r="J49" i="5"/>
  <c r="K48" i="5"/>
  <c r="J48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5" i="5"/>
  <c r="J15" i="5"/>
  <c r="K14" i="5"/>
  <c r="J14" i="5"/>
  <c r="K13" i="5"/>
  <c r="J13" i="5"/>
  <c r="H77" i="5"/>
  <c r="K77" i="5" s="1"/>
  <c r="R75" i="5"/>
  <c r="R76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6" i="5"/>
  <c r="R157" i="5"/>
  <c r="R158" i="5"/>
  <c r="R159" i="5"/>
  <c r="R13" i="5"/>
  <c r="R14" i="5"/>
  <c r="R15" i="5"/>
  <c r="R17" i="5"/>
  <c r="R18" i="5"/>
  <c r="R19" i="5"/>
  <c r="R20" i="5"/>
  <c r="R21" i="5"/>
  <c r="R22" i="5"/>
  <c r="R23" i="5"/>
  <c r="R24" i="5"/>
  <c r="R25" i="5"/>
  <c r="R28" i="5"/>
  <c r="R29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5" i="5"/>
  <c r="R46" i="5"/>
  <c r="R48" i="5"/>
  <c r="R49" i="5"/>
  <c r="R50" i="5"/>
  <c r="R51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J77" i="5" l="1"/>
  <c r="Q13" i="5"/>
  <c r="Q14" i="5"/>
  <c r="Q15" i="5"/>
  <c r="Q17" i="5"/>
  <c r="Q18" i="5"/>
  <c r="Q19" i="5"/>
  <c r="Q20" i="5"/>
  <c r="Q21" i="5"/>
  <c r="Q22" i="5"/>
  <c r="Q23" i="5"/>
  <c r="Q24" i="5"/>
  <c r="Q25" i="5"/>
  <c r="Q28" i="5"/>
  <c r="Q29" i="5"/>
  <c r="Q30" i="5"/>
  <c r="Q31" i="5"/>
  <c r="Q32" i="5"/>
  <c r="Q33" i="5"/>
  <c r="Q34" i="5"/>
  <c r="Q35" i="5"/>
  <c r="Q38" i="5"/>
  <c r="Q39" i="5"/>
  <c r="Q40" i="5"/>
  <c r="Q41" i="5"/>
  <c r="Q42" i="5"/>
  <c r="Q43" i="5"/>
  <c r="Q44" i="5"/>
  <c r="Q45" i="5"/>
  <c r="Q46" i="5"/>
  <c r="Q48" i="5"/>
  <c r="Q49" i="5"/>
  <c r="Q50" i="5"/>
  <c r="Q51" i="5"/>
  <c r="Q55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5" i="5"/>
  <c r="Q76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6" i="5"/>
  <c r="Q157" i="5"/>
  <c r="Q158" i="5"/>
  <c r="Q159" i="5"/>
  <c r="O100" i="5"/>
  <c r="P100" i="5"/>
  <c r="O77" i="5"/>
  <c r="P77" i="5"/>
  <c r="M100" i="5"/>
  <c r="U100" i="5" s="1"/>
  <c r="Z100" i="5" l="1"/>
  <c r="Q100" i="5"/>
  <c r="U77" i="5"/>
  <c r="M160" i="5"/>
  <c r="P160" i="5"/>
  <c r="O160" i="5"/>
  <c r="Q77" i="5"/>
  <c r="R77" i="5"/>
  <c r="N77" i="5"/>
  <c r="R100" i="5"/>
  <c r="N100" i="5"/>
  <c r="I78" i="5"/>
  <c r="I99" i="5"/>
  <c r="I100" i="5"/>
  <c r="F160" i="5"/>
  <c r="D121" i="5"/>
  <c r="D15" i="5"/>
  <c r="E104" i="5"/>
  <c r="U160" i="5" l="1"/>
  <c r="U161" i="5" s="1"/>
  <c r="Q160" i="5"/>
  <c r="Z77" i="5"/>
  <c r="Z160" i="5" s="1"/>
  <c r="Z161" i="5" s="1"/>
  <c r="N160" i="5"/>
  <c r="R160" i="5"/>
  <c r="J100" i="5"/>
  <c r="K100" i="5"/>
  <c r="K99" i="5"/>
  <c r="J99" i="5"/>
  <c r="J78" i="5"/>
  <c r="K78" i="5"/>
  <c r="D160" i="5"/>
  <c r="D162" i="5" s="1"/>
  <c r="H160" i="5" l="1"/>
  <c r="E160" i="5"/>
  <c r="G160" i="5"/>
  <c r="G162" i="5" l="1"/>
  <c r="G161" i="5"/>
  <c r="G164" i="5" s="1"/>
  <c r="G163" i="5"/>
  <c r="I160" i="5"/>
  <c r="J160" i="5" s="1"/>
  <c r="K160" i="5" l="1"/>
</calcChain>
</file>

<file path=xl/sharedStrings.xml><?xml version="1.0" encoding="utf-8"?>
<sst xmlns="http://schemas.openxmlformats.org/spreadsheetml/2006/main" count="341" uniqueCount="310">
  <si>
    <t>Код министерства/ведомства</t>
  </si>
  <si>
    <t>Код выплатного центра</t>
  </si>
  <si>
    <t>Министерства и ведомства</t>
  </si>
  <si>
    <t>2013 год</t>
  </si>
  <si>
    <t>Управделами Президента КР (подвед.учр.)</t>
  </si>
  <si>
    <t>Управделами Президента КР (подвед.учр.образ.)</t>
  </si>
  <si>
    <t>Управделами Президента  КР (подвед.учр.культ.)</t>
  </si>
  <si>
    <t xml:space="preserve">Лечебно-оздоров. объед. Управделами Президента КР </t>
  </si>
  <si>
    <t>Архив Президента КР</t>
  </si>
  <si>
    <t>Верховный суд КР (аппарат)</t>
  </si>
  <si>
    <t>Судебный департамент КР (подвед.учр.)</t>
  </si>
  <si>
    <t>Центральная комиссия по выборам и проведению референдумов КР</t>
  </si>
  <si>
    <t>Министерство юстиции КР (аппарат)</t>
  </si>
  <si>
    <t>Министерство юстиции КР (подвед.орг.)</t>
  </si>
  <si>
    <t xml:space="preserve">Гос центр судебных экспертиз при Министерстве юстиции КР 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</si>
  <si>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</si>
  <si>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</si>
  <si>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</si>
  <si>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</si>
  <si>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>Министерство финансов КР (аппарат)</t>
  </si>
  <si>
    <t>Учебный центр при Министерстве финансов КР</t>
  </si>
  <si>
    <t>Министерство финансов КР (учр., перед. из рай.бюджета на РБ)</t>
  </si>
  <si>
    <t xml:space="preserve">Фонд развития Иссык-кульской области </t>
  </si>
  <si>
    <t xml:space="preserve">Фонд развития Нарынской   области  </t>
  </si>
  <si>
    <t>Национальный центр информационных технологий</t>
  </si>
  <si>
    <t>Центр аккредитации при Министерстве экономики КР</t>
  </si>
  <si>
    <t>Министерство обороны КР (аппарат)</t>
  </si>
  <si>
    <t>Министерство обороны КР (подвед. учр.)</t>
  </si>
  <si>
    <t>Министерство обороны КР (подвед.учр.образ.)</t>
  </si>
  <si>
    <t>Министерство обороны КР (подвед.учр.здрав.)</t>
  </si>
  <si>
    <t>Государственная служба исполнения наказаний при ПКР</t>
  </si>
  <si>
    <t>Департамент исполнения наказаний при ГСИН (образ.)</t>
  </si>
  <si>
    <t>Департамент исполнения наказаний при ГСИН (здрав.)</t>
  </si>
  <si>
    <t>Деп.по охр. исправ. учрежд.и кон-нию осужд. лиц, заключ под стражу при ГСИН</t>
  </si>
  <si>
    <t>Министерство внутренних дел КР (подвед.орг.)</t>
  </si>
  <si>
    <t>ГУГССО при Министерство внутренних дел КР</t>
  </si>
  <si>
    <t>Министерство внутренних дел КР (подвед.учр.образ.)</t>
  </si>
  <si>
    <t>Внутренние войска при Министерстве внутренних дел КР</t>
  </si>
  <si>
    <t>Академия  при Министерстве внутренних дел КР</t>
  </si>
  <si>
    <t>Министерство образования и науки КР(аппарат)</t>
  </si>
  <si>
    <t>Министерство образования и науки КР (культ.)</t>
  </si>
  <si>
    <t>Министерство образования и науки КР (подвед.учр.образ.)</t>
  </si>
  <si>
    <t>Министерство образования и науки КР (подвед.учр.наука)</t>
  </si>
  <si>
    <t>Фонд обязательного медицинского страхования при ПКР (ФОМС)</t>
  </si>
  <si>
    <t>Министерство здравоохранения КР (аппарат)</t>
  </si>
  <si>
    <t>Министерство здравоохранения КР (подвед.учр.здрав.)</t>
  </si>
  <si>
    <t xml:space="preserve">Министерство здравоохранения КР (подвед.учр.образ.) </t>
  </si>
  <si>
    <t>Министерство  социального развития КР (аппарат)</t>
  </si>
  <si>
    <t>Министерство  социального развития КР (подвед.учр.)</t>
  </si>
  <si>
    <t>Академия государственного управления при Президенте КР</t>
  </si>
  <si>
    <t>Министерство сельского хозяйства  и мелиорации КР (аппарат)</t>
  </si>
  <si>
    <t>Министерство сельского хозяйства  и мелиорации КР (подвед.учр.)</t>
  </si>
  <si>
    <t xml:space="preserve"> Деп. по водн.хоз-ву и  мелиорации (подвед.учр.)</t>
  </si>
  <si>
    <t>Министерство энергетики и промышленности КР (аппарат)</t>
  </si>
  <si>
    <t>Гос.департамент по регулированию ТЭК при Министерстве энергетики и промышленности КР</t>
  </si>
  <si>
    <t>Министерство транспорта и коммуникаций КР (аппарат)</t>
  </si>
  <si>
    <t>Департамент дорожного х-ва (аппарат.)</t>
  </si>
  <si>
    <t>Департамент дорожного х-ва (подвед.учр.)</t>
  </si>
  <si>
    <t>Агентство гражд.авиации при Министерстве транспорта и коммуникаций КР</t>
  </si>
  <si>
    <t>Гос. Фельдъегерская служба при Министерстве транспорта и коммуникаций КР</t>
  </si>
  <si>
    <t>Кырг.авиационный колледж им. И. Абдраимова</t>
  </si>
  <si>
    <t>Министерство культуры  и туризма КР (аппарат)</t>
  </si>
  <si>
    <t>Министерство культуры  и туризма КР (культура)</t>
  </si>
  <si>
    <t>Министерство культуры  и туризма КР  (образование)</t>
  </si>
  <si>
    <t>КНК "Манас Ордо" при ПКР</t>
  </si>
  <si>
    <t>Департамент кинематографии при Министерстве культуры  и туризма КР (аппарат)</t>
  </si>
  <si>
    <t>Департамент кинематографии при Министерстве культуры  и туризма КР (подвед.учр.)</t>
  </si>
  <si>
    <t>Кырг.Нац. информ. агентство “Кабар“</t>
  </si>
  <si>
    <t>Областные редакции газет</t>
  </si>
  <si>
    <t>Областные телерадиокомпании</t>
  </si>
  <si>
    <t>Министерство чрезвычайных ситуаций КР  (подвед.учр.)</t>
  </si>
  <si>
    <t>Министерство чрезвычайных ситуаций КР (Агентство по гидромет)</t>
  </si>
  <si>
    <t>Агентство по пожарной безопасности. при Министерстве чрезвычайных ситуаций КР (подвед.учр.)</t>
  </si>
  <si>
    <t>Государственная таможенная служба при ПКР (аппарат)</t>
  </si>
  <si>
    <t>Государственная таможенная служба при ПКР (подвед.учр.)</t>
  </si>
  <si>
    <t>Государственное агентство охраны окружающей среды и лесного хозяйства при ПКР (аппарат)</t>
  </si>
  <si>
    <t>Государственное агентство охраны окружающей среды и лесного хозяйства при ПКР (подвед.учр.)</t>
  </si>
  <si>
    <t>Государственная регистрационная служба при ПКР  (аппарат)</t>
  </si>
  <si>
    <t>Государственная регистрационная служба при ПКР  (подвед.учр.)</t>
  </si>
  <si>
    <t xml:space="preserve"> Архивное агентство при ГРС при ПКР (аппарат)</t>
  </si>
  <si>
    <t xml:space="preserve"> Архивное агентство при ГРС при ПКР (подвед.учр.)</t>
  </si>
  <si>
    <t>Государственное агентство КР по геологии и минеральным ресурсам (аппарат)</t>
  </si>
  <si>
    <t>Государственное картографо-геодезическая служба КР</t>
  </si>
  <si>
    <t>Государственный фонд развития экономики  КР</t>
  </si>
  <si>
    <t>Государственное агентство связи при ПКР (аппарат)</t>
  </si>
  <si>
    <t>Государственное агентство связи при ПКР (подвед.учр.)</t>
  </si>
  <si>
    <t>Государственный комитет национальной безопасности КР (аппарат)</t>
  </si>
  <si>
    <t>Государственный комитет национальной безопасности КР (подвед.учр.)</t>
  </si>
  <si>
    <t>Национальный статистический комитет КР (аппарат)</t>
  </si>
  <si>
    <t>Национальный статистический комитет КР (подвед.учр.)</t>
  </si>
  <si>
    <t>Фонд по управлению государственным имуществом КР (аппарат)</t>
  </si>
  <si>
    <t>Фонд государственных материальных резервов КР</t>
  </si>
  <si>
    <t>Высшая аттестационная комиссия КР (аппарат)</t>
  </si>
  <si>
    <t>Национальная академия наук КР</t>
  </si>
  <si>
    <t>ОТРК</t>
  </si>
  <si>
    <t>Общественное телевидение-ЭлТР</t>
  </si>
  <si>
    <t>Республиканский спецкомбинат ЖКХ</t>
  </si>
  <si>
    <t>ВСЕГО</t>
  </si>
  <si>
    <t>утверждено</t>
  </si>
  <si>
    <t>уточнено</t>
  </si>
  <si>
    <t>факт</t>
  </si>
  <si>
    <t>откл.</t>
  </si>
  <si>
    <t>исп. (%)</t>
  </si>
  <si>
    <t>ГИ по ветеринарной и фитосанитарной безопасности при ПКР (аппарат)</t>
  </si>
  <si>
    <t>Государственная инспекция по экологической и технической безопасности (аппарат)</t>
  </si>
  <si>
    <t>ГПИЗ "Кыргызгипрозем" Кыргызской Республики</t>
  </si>
  <si>
    <t>Министерство внутренних дел КР (здрав.)</t>
  </si>
  <si>
    <t>Департамент по развитию конкуренции при МЭ КР (аппарат)</t>
  </si>
  <si>
    <t>Департамент по развитию конкуренции при МЭ КР (подвед.)</t>
  </si>
  <si>
    <t>Центр по стандартизации и метрологии при МЭ КР</t>
  </si>
  <si>
    <t>Министерство финансов КР (учр., перед. из МБ на РБ)</t>
  </si>
  <si>
    <t>Министерство финансов КР (терр. органы)</t>
  </si>
  <si>
    <t>Департамент драгоценных металлов при МФ КР</t>
  </si>
  <si>
    <t>УД ЖК КР (образ)</t>
  </si>
  <si>
    <t>Автотранспортное предприятие УД ЖК КР</t>
  </si>
  <si>
    <t>Общественная региональная телерадиовещательная компания "Ынтымак"</t>
  </si>
  <si>
    <t>Агентство  профессионально-технического образования (аппарат)</t>
  </si>
  <si>
    <t xml:space="preserve">Центр трудоустройства граждан Кыргызской Республики за рубежом </t>
  </si>
  <si>
    <t>Министерство труда, миграции и молодежи КР (аппарат)</t>
  </si>
  <si>
    <t>Национальный институт стратегических исследований Кыргызской республики</t>
  </si>
  <si>
    <t>9 Служба ГКНБ КР</t>
  </si>
  <si>
    <t>ГА архитектуры, строительства и жилищно-коммунального хозяйства (аппарат)</t>
  </si>
  <si>
    <t>Министерство внутренних дел КР (аппарат)</t>
  </si>
  <si>
    <t>Генеральная прокуратура КР (аппарат)</t>
  </si>
  <si>
    <t>Генеральная прокуратура КР (подвед)</t>
  </si>
  <si>
    <t>Аппарат Омбудсмена (Акыйкатчы) Кыргызской Республики</t>
  </si>
  <si>
    <t>Национальная комиссия по государственному языку при Президенте Кыргызской Республики</t>
  </si>
  <si>
    <t>Министерство финансов (общегосударственные мероприятия и выплаты)</t>
  </si>
  <si>
    <t xml:space="preserve">Министерство здравоохранения КР (культура) </t>
  </si>
  <si>
    <t>ГИ по ветеринарной и фитосанитарной безопасности при ПКР (подвед)</t>
  </si>
  <si>
    <t>Государственная комиссия по делам религий</t>
  </si>
  <si>
    <t>Государственная пограничная служба КР (подвед)</t>
  </si>
  <si>
    <t>Государственная пограничная служба КР (образ.)</t>
  </si>
  <si>
    <t>Государственное агентсво антимонопольного регулирования при ПКР (аппарат)</t>
  </si>
  <si>
    <t>Государственное агентсво антимонопольного регулирования при ПКР (подвед)</t>
  </si>
  <si>
    <t xml:space="preserve">Госучреждение "Иссык-Кульской племенной конный завод №54" </t>
  </si>
  <si>
    <t xml:space="preserve">Госпредприятие "Государственное подсобное хозяйство "Элита"" </t>
  </si>
  <si>
    <t>Предложения МФ</t>
  </si>
  <si>
    <t>уточнен.</t>
  </si>
  <si>
    <t>(-)</t>
  </si>
  <si>
    <t>(+)</t>
  </si>
  <si>
    <t>Агентство  профессионально-технического образования (подвед.уч.)</t>
  </si>
  <si>
    <t xml:space="preserve">Остаток на начало года </t>
  </si>
  <si>
    <t>9 месяцев 2013 года</t>
  </si>
  <si>
    <t>Государственная служба  по контролю наркотиков  при ПКР (аппарат)</t>
  </si>
  <si>
    <t>Минтранскоммуникаций (ГАВТ) (аппарат)</t>
  </si>
  <si>
    <t>Минтранскоммуникаций (ГАВТ) (подвед. учр.)</t>
  </si>
  <si>
    <t>Государственное агентство по физической культуре и спорту при ПКР  (подвед.учр.)</t>
  </si>
  <si>
    <t>план</t>
  </si>
  <si>
    <t>2014 год</t>
  </si>
  <si>
    <t>9 месяцев 2014 года</t>
  </si>
  <si>
    <t>2012 год</t>
  </si>
  <si>
    <t>Ошская специальная больница при Управления делами Президента Кыргызской Республики</t>
  </si>
  <si>
    <t>Министерство сельского хозяйства  Кыргызской Республики (Департамент аграрного развития)</t>
  </si>
  <si>
    <t>Государственная транспортная инспекция при Министерстве транспорта и коммуникаций Кыргызской Республики</t>
  </si>
  <si>
    <t>Государственная служба финансовой разведки Кыргызской Республики (аппарат)</t>
  </si>
  <si>
    <t>Фонд по управлению государственным имуществом КР (подвед)</t>
  </si>
  <si>
    <t>Министерство финансов (капитальная вложения)</t>
  </si>
  <si>
    <t>Дпеартамент туризма (аппарат)</t>
  </si>
  <si>
    <t>Национальная гвардия КР (аппарат)</t>
  </si>
  <si>
    <t>Национальная гвардия КР (подвед)</t>
  </si>
  <si>
    <t>Гп "Центр единого окна" при Минстерстве экономики КР</t>
  </si>
  <si>
    <t>Всего расходов</t>
  </si>
  <si>
    <t>утвержд. Остат.</t>
  </si>
  <si>
    <t>Государственное агентство по физической культуре и спорту при ПКР  (подвед.учр. образ.)</t>
  </si>
  <si>
    <t>Генеральная прокуратура КР (подвед.культ.)</t>
  </si>
  <si>
    <t>Верховный суд КР (подвед.учр.образ.)</t>
  </si>
  <si>
    <t>Министрликтер жана ведомстволор</t>
  </si>
  <si>
    <t xml:space="preserve">КР Юстиция министрлигине караштуу сот экспертиза мамлекеттик борбору </t>
  </si>
  <si>
    <t xml:space="preserve">КР Тышкы иштер министрлиги (аппарат) </t>
  </si>
  <si>
    <t xml:space="preserve">Нарын облусунун өнүктүрүү фонду </t>
  </si>
  <si>
    <t>КР Финансы министрлигинин Окуу борбору</t>
  </si>
  <si>
    <t>ЖБтен  РБке өткөрүлүп берилүүчү мекемелер</t>
  </si>
  <si>
    <t xml:space="preserve">КР Финансы министрлиги  (райбюджеттен РБ өткөрүлүп берилүүчү мекемелер) </t>
  </si>
  <si>
    <t xml:space="preserve">Маалыматтык технологиялар улуттук борбору </t>
  </si>
  <si>
    <t xml:space="preserve">КР Билим берүү жана илим министрлиги (маданият) </t>
  </si>
  <si>
    <t xml:space="preserve">КР Билим берүү жана илим министрлиги (вед.билим берүү) </t>
  </si>
  <si>
    <t>КР Саламаттык сактоо министрлиги (аппарат)</t>
  </si>
  <si>
    <t>КР Саламаттык сактоо министрлиги (вед.саламат сакт.мекемелер)</t>
  </si>
  <si>
    <t>КР Саламаттык сактоо министрлиги (вед.билим берүү мекемелер)</t>
  </si>
  <si>
    <t xml:space="preserve">КР Саламаттык сактоо министрлиги (маданият) </t>
  </si>
  <si>
    <t xml:space="preserve">КР Президентине караштуу мамлекеттик башкаруу академиясы </t>
  </si>
  <si>
    <t>И. Абдраимов атындагы Кырг.авиациалык колледжи</t>
  </si>
  <si>
    <t xml:space="preserve">КР Өзгөчө кырдаалдар министрлиги  (вед.мекемелер) </t>
  </si>
  <si>
    <t>КР Өкмөтүнө караштуу мамлекеттик бажы кызматы (аппарат)</t>
  </si>
  <si>
    <t>КР Өкмөтүнө караштуу мамлекеттик бажы кызматы (вед.мекемелер)</t>
  </si>
  <si>
    <t xml:space="preserve">КР Өкмөтүнө караштуу Ветеринардык жана фитосанитардык коопсуздук боюнча мамлекеттик инспекциясы (вед.мекемелер) </t>
  </si>
  <si>
    <t>КР Жогорку аттестациялык комиссиясы (аппарат)</t>
  </si>
  <si>
    <t xml:space="preserve">КР Улуттук илимдер академиясы </t>
  </si>
  <si>
    <t>тыс.сом</t>
  </si>
  <si>
    <t>Фонд обязательного медицинского страхования при ПКР (аппарат)</t>
  </si>
  <si>
    <t xml:space="preserve">Дополнительные требуемые суммы </t>
  </si>
  <si>
    <t>Доп. на 2014 год</t>
  </si>
  <si>
    <t>утверждено 2014 год</t>
  </si>
  <si>
    <t>уточнен. 2014 г</t>
  </si>
  <si>
    <t>факт 27.11.14г</t>
  </si>
  <si>
    <t>Анализ специальных средств за  2014год</t>
  </si>
  <si>
    <t>23.12.14г.</t>
  </si>
  <si>
    <t>факт 22.12.14г</t>
  </si>
  <si>
    <t>Гос. агентство по регулированию ТЭК при Правительстве КР</t>
  </si>
  <si>
    <t>Бардыгы</t>
  </si>
  <si>
    <t xml:space="preserve">КР Президентинин жана Өкмөтүнүн Иш башкармалыгы (вед.мекемелер) </t>
  </si>
  <si>
    <t xml:space="preserve">КР Президентинин жана Өкмөтүнүн ИБ (вед.маданият мекемелери) </t>
  </si>
  <si>
    <t xml:space="preserve">КР Президентинин жана Өкмөтүнүн ИБ (вед.билим берүү мекемелери) </t>
  </si>
  <si>
    <t xml:space="preserve">КР Тышкы иштер министрлиги  (ведом.өкүлчүлүк) </t>
  </si>
  <si>
    <t>КР Билим берүү жана илим министрлигине караштуу Кесиптик-техникалык билим берүү агенттиги  (аппарат)</t>
  </si>
  <si>
    <t>КР Билим берүү жана илим министрлигине караштуу Кесиптик-техникалык билим берүү агенттиги  (вед.мекемелер)</t>
  </si>
  <si>
    <t xml:space="preserve">КР Маданият, маалымат жана туризм министрлиги (маданият) </t>
  </si>
  <si>
    <t xml:space="preserve">КР Маданият, маалымат жана туризм министрлиги (аппарат) </t>
  </si>
  <si>
    <t xml:space="preserve">КР Маданият, маалымат жана туризм министрлиги (билим берүү) </t>
  </si>
  <si>
    <t>КР Маданият, маалымат жана туризм министирлигине караштуу кинемотография Департаменти (аппарат)</t>
  </si>
  <si>
    <t>КР Маданият, маалымат жана туризм министирлигине караштуу кинемотография Департаменти (вед.мекемелер)</t>
  </si>
  <si>
    <t xml:space="preserve">КР Эмгек жана социалдык өнүгүү министрлиги  (аппарат) </t>
  </si>
  <si>
    <t xml:space="preserve">КР Экономика министрлигинин алдындагы  Кыргыз аккредитациялоо борбору </t>
  </si>
  <si>
    <t xml:space="preserve">КР Экономика министрлигине караштуу  стандартташтыруу жана метрология боюнча борбору </t>
  </si>
  <si>
    <t>КР Транспорт жана жолдор министирлигинин алдындагы Жол чарба департаменти (вед.мекемелер)</t>
  </si>
  <si>
    <t>МДИК изилдөө менен диний кырдаал борбору</t>
  </si>
  <si>
    <t>(миң сом)</t>
  </si>
  <si>
    <t>Министрликтердин/
ведомстволордун коду</t>
  </si>
  <si>
    <t>Төлөм борборунун 
коду</t>
  </si>
  <si>
    <t>(Атайын эсептин каражаттары)</t>
  </si>
  <si>
    <t xml:space="preserve">КР Тышкы иштер министрлиги (КР чет өлкөлөрүндөгү мек.) </t>
  </si>
  <si>
    <t xml:space="preserve">КР Тышкы иштер министрлиги (Дипакадемия) </t>
  </si>
  <si>
    <t>КР Президентине караштуу Мамлекеттик тил боюнча улуттук комиссиясы</t>
  </si>
  <si>
    <t xml:space="preserve">КР Өкмөтүнө караштуу Курчап турган чөйрөнү коргоо жана токой чарбасы мамлекеттик  агенттиги  (вед.мекемелер) </t>
  </si>
  <si>
    <t xml:space="preserve">КР Өкмөтүнө караштуу Мамлекеттик каттоо кызматы (аппарат) </t>
  </si>
  <si>
    <t xml:space="preserve">КР Өкмөтүнө караштуу Мамлекеттик каттоо кызматы (вед.мекемелер) </t>
  </si>
  <si>
    <t xml:space="preserve">КР Өкмөтүнө караштуу Мамлекеттик каттоо кызматына караштуу Архив агенттиги (аппарат) </t>
  </si>
  <si>
    <t xml:space="preserve">КР Өкмөтүнө караштуу Мамлекеттик каттоо кызматына караштуу Архив агенттиги  (вед.мекемелер) </t>
  </si>
  <si>
    <t>КР Өкмөтүнө караштуу Дин иштери боюнча мамлекеттик комиссиясы</t>
  </si>
  <si>
    <t xml:space="preserve">КР Өкмөтүнө караштуу Милдеттүү медициналык камсыздандыруу фонду (вед.мекемелер) </t>
  </si>
  <si>
    <t>КР Өкмөтүнө караштуу Милдеттүү медициналык камсыздандыруу фонду (ММКФ) (бирдиктүү төлөм)</t>
  </si>
  <si>
    <t>КР Өкмөтүнө караштуу Интеллектуалдык менчик жана инновациялар мамлекеттик кызматы (Кыргызпатент) </t>
  </si>
  <si>
    <t>КР Өкмөтүнө караштуу Жазаларды аткаруу мамлекеттик кызматы (саламаттыкты сактоо)</t>
  </si>
  <si>
    <t>КР Өкмөтүнө караштуу Жазаларды аткаруу мамлекеттик кызматы (ЖАМК)</t>
  </si>
  <si>
    <t>КР Өкмөтүнө караштуу Жазаларды аткаруу мамлекеттик кызматы (билим берүү)</t>
  </si>
  <si>
    <t xml:space="preserve">Ысык-Көл областынын өнүктүрүү фонду </t>
  </si>
  <si>
    <t xml:space="preserve">КР Жогорку соту (вед. мекемелер) </t>
  </si>
  <si>
    <t xml:space="preserve">КР Юстиция министрлиги (вед.уюмдар) </t>
  </si>
  <si>
    <t>КР өнөр жай, энергетика жана жер казынасын пайдалануу мамлекеттик комитети (аппарат)</t>
  </si>
  <si>
    <t xml:space="preserve">КР Президенттинин жана Өкмөтүнүн ИБ дарылоо-ден соолукту чыңдоочу бирикмеси </t>
  </si>
  <si>
    <t>КР Жогорку Кенешинин  Иш башкармалыгы (билим берүү мек.)</t>
  </si>
  <si>
    <t>2019-ж.
(болжол)</t>
  </si>
  <si>
    <t>2020-ж.
(болжол)</t>
  </si>
  <si>
    <t xml:space="preserve">КР Айыл чарба, тамак-аш өнөр жайы жана мелиорация министирлиги (вед. мекемелер) </t>
  </si>
  <si>
    <t xml:space="preserve">КР Айыл чарба, тамак-аш өнөр жайы жана мелиорация министирлигине караштуу Суу чарбачылык жана мелиорация департаменти (вед. мекемелер) </t>
  </si>
  <si>
    <t xml:space="preserve">КР Жогорку соту (аппарат) </t>
  </si>
  <si>
    <t xml:space="preserve">КР Шайлоо жана референдумдарды өткөрүү боюнча борбордук комиссиясы (шайлоо) </t>
  </si>
  <si>
    <t xml:space="preserve">КР Башкы прокуратурасы (вед.мекемелер) </t>
  </si>
  <si>
    <t xml:space="preserve">КР Юстиция министрлиги (аппарат) </t>
  </si>
  <si>
    <t xml:space="preserve">Райондорду өнүктүрүү фонду </t>
  </si>
  <si>
    <t xml:space="preserve">КР Финансы министрлиги (аппарат) </t>
  </si>
  <si>
    <t xml:space="preserve">КР Финансы министрлиги (аймактык органдар) </t>
  </si>
  <si>
    <t>КР Экономика министрлигинин алдындагы "тышкы соода чөйрөсүндөгү" «Бирдиктүү терезе борбору» МИ</t>
  </si>
  <si>
    <t xml:space="preserve">КР Билим берүү жана илим министрлиги  (аппарат) </t>
  </si>
  <si>
    <t xml:space="preserve">КР Өкмөтүнө караштуу Милдеттүү медициналык камсыздандыруу фонду </t>
  </si>
  <si>
    <t>КР Өкмөтүнө караштуу Жазаларды аткаруу мамлекеттик кызматына караштуу абактагыларды жетектөө жана сактоо департаменти</t>
  </si>
  <si>
    <t xml:space="preserve">КР Айыл чарба, тамак-аш өнөр жайы жана мелиорация министирлиги (аппарат) </t>
  </si>
  <si>
    <t>КР Транспорт жана жолдор министрлиги (аппарат)</t>
  </si>
  <si>
    <t>КР Транспорт жана жолдор министирлигинин алдындагы Жол чарба департаменти (аппарат)</t>
  </si>
  <si>
    <t xml:space="preserve">КР Эмгек жана социалдык өнүгүү министрлиги (вед.мекемелер) </t>
  </si>
  <si>
    <t>КР Айыл чарба, тамак-аш өнөр жайы жана мелиорация министирлиги (Агрардык өнүктүрүү департаменти)</t>
  </si>
  <si>
    <t>КР Транспорт жана жолдор министрлигинин алдындагы Автомобиль жана сууда жүрүүчү транспортунун мамлекеттик агенттиги (вед. мекемелер)</t>
  </si>
  <si>
    <t xml:space="preserve">“Кабар“ Кыргыз мамлекттик маалымат агенттиги </t>
  </si>
  <si>
    <t xml:space="preserve">КР Өкмөтүнө караштуу Курчап турган чөйрөнү коргоо жана токой чарбасы мамлекеттик  агенттиги (аппарат) </t>
  </si>
  <si>
    <t xml:space="preserve">КР Өкмөтүнө караштуу Экологиялык жана техникалык коопсуздук боюнча мамлекеттик инспекциясы (аппарат) </t>
  </si>
  <si>
    <t>КР Өкмөтүнө караштуу Архитектура, курулуш жана турак жай-коммуналдык чарба мамлекеттик агенттиги (аппарат)</t>
  </si>
  <si>
    <t xml:space="preserve">КР Өкмөтүнө караштуу Дене тарбия жана спорт боюнча Мамлекеттик агенттиги  (маданият) </t>
  </si>
  <si>
    <t>КР Өкмөтүнө караштуу Дене тарбия жана спорт боюнча Мамлекеттик агенттиги (вед.мекемелер билим берүү)</t>
  </si>
  <si>
    <t>КР Өкмөтүнө караштуу Банги заттарын контролдоо боюнча мамлекеттик кызмат (аппарат)</t>
  </si>
  <si>
    <t>КР Өкмөтүнө караштуу монополияга каршы жөнгө салуу Мамлкеттик агентиги (аппарат)</t>
  </si>
  <si>
    <t>КР Өкмөтүнө караштуу монополияга каршы жөнгө салуу Мамлкеттик агентиги (вед.мекемелер)</t>
  </si>
  <si>
    <t>КР Улуттук статистикалык комитети (аппарат)</t>
  </si>
  <si>
    <t xml:space="preserve">КР Улуттук статистикалык комитети (вед.мекемелер) </t>
  </si>
  <si>
    <t>КР Өкмөтүнө караштуу Мамлекеттик миграция кызматынын Маалыматтык-консультациялык борбору</t>
  </si>
  <si>
    <t xml:space="preserve">КР Өкмөтүнө караштуу Мамлекеттик мүлктү башкаруу боюнча фонду (вед.мекемелер) </t>
  </si>
  <si>
    <t xml:space="preserve">КР Өкмөтүнө караштуу Мамлекеттик материалдык резервдер фонду </t>
  </si>
  <si>
    <t xml:space="preserve">Кыйноолордун жана башка катаал адамгерчиликсиз же кадыр-баркты басмырлаган мамиленин жана жазанын түрлөрүнүн алдын алуу боюнча Кыргыз Республикасынын улуттук борбору </t>
  </si>
  <si>
    <t xml:space="preserve">КР телерадиоберүү компаниялары </t>
  </si>
  <si>
    <t xml:space="preserve">ЭлТР Коомдук телекөрсөтүү </t>
  </si>
  <si>
    <t>Тарых жана маданият жылына даярдоо жана өткөрүү боюнча мамлекеттик дирекция</t>
  </si>
  <si>
    <t xml:space="preserve">Республикалык атайын комбинат ТКЧ </t>
  </si>
  <si>
    <t>Кыргыз Республиканын 2018-жылга республикалык бюджети жана 2019-2020-жылдарга болжолу</t>
  </si>
  <si>
    <t>2017-ж.
(факт)</t>
  </si>
  <si>
    <t xml:space="preserve">КР Башкы прокуратурасы (аппарат) </t>
  </si>
  <si>
    <t xml:space="preserve">Областарды өнүктүрүү фонду </t>
  </si>
  <si>
    <t>Кыргыз Республикасынын Финансы министрлиги  (жаратылыш кырсыктарын жоюу боюнча иш-чаралар)</t>
  </si>
  <si>
    <t xml:space="preserve">КР Билим берүү жана илим министрлиги (илим боюнча ведомстволук мекемелер) </t>
  </si>
  <si>
    <t>Кыргыз Республикасынын Маданият, маалымат жана туризм министрлигинин алдындагы Маалымат жана массалык коммуникациялар департаменти (областтык телерадиокомпаниялар)</t>
  </si>
  <si>
    <t>Кыргыз Республикасынын Маданият, маалымат жана туризм министрлигинин алдындагы Маалымат жана массалык коммуникациялар департаменти (гезиттердин облустук редакциялары)</t>
  </si>
  <si>
    <t xml:space="preserve">КР Өзгөчө кырдаалдар министрлиги  (гидрометеорология боюнча агенттик) </t>
  </si>
  <si>
    <t>Кыргыз Республикасынын Өзгөчө кырдаалдар министрлигине  караштуу Өрт коопсуздугу боюнча агенттиги (вед.мек.)</t>
  </si>
  <si>
    <t>Жергиликтүү өз лдынча башкаруу иштери жана этностор аралык мамилелер боюнча малекеттик агенттиги</t>
  </si>
  <si>
    <t>Финансы министрлигине караштуу Бюджеттик кредиттерди башкаруу бюнча мамлекеттик агенттиги</t>
  </si>
  <si>
    <t>КР Маалыматтык технологиялар жана байланыш мамлекеттик комитети (аппарат)</t>
  </si>
  <si>
    <t>КР Өкмөтүнө караштуу Мамлекеттик миграция кызматы</t>
  </si>
  <si>
    <t>2018-ж.
(бекит.)</t>
  </si>
  <si>
    <t>2018-ж.
(такт.)</t>
  </si>
  <si>
    <t>КР Жогорку сотуна караштуу Сот департаменти (вед.мекемелер)</t>
  </si>
  <si>
    <t xml:space="preserve">КР Акыйкатчысы </t>
  </si>
  <si>
    <t>КР «Кыргызгипрозем» жерди уюштуруу боюнча мамлекеттик долбоордук институту</t>
  </si>
  <si>
    <t xml:space="preserve">КНК "Манас Ордосу" </t>
  </si>
  <si>
    <t>КР Маданият, маалымат жана туризм министрлигине караштуу Туризм департаменти</t>
  </si>
  <si>
    <t>КР өнөр жай, энергетика жана жер казынасын пайдалануу мамлекеттик комитетине караштуу  Картография-геодезия мамлекеттик кызматы</t>
  </si>
  <si>
    <t xml:space="preserve">КР Маалыматтык технологиялар жана байланыш мамлекеттик комитетинин алдындагы Мамлекеттик байланыш агенттиги </t>
  </si>
  <si>
    <t>КР Маалыматтык технологиялар жана байланыш мамлекеттик комитетинин алдындагы Мамлекеттик байланыш агенттиги  караштуу мамлекеттик фельдкызматы</t>
  </si>
  <si>
    <t>ЮНЕСКО иштери боюнча КР Улуттук комиссиясынын катчылыгы</t>
  </si>
  <si>
    <t>КР Стратегиялык изилдөөлөр улуттук институту</t>
  </si>
  <si>
    <t xml:space="preserve">КР Өкмөтүнө караштуу сот экспертиза мамлекеттик борбору </t>
  </si>
  <si>
    <t>«Кыргыз Республикасынын 2018-жылга
республикалык бюджети жана 2019-2020-жылдарга 
болжолу жөнүндө» Кыргыз Республикасынын 
Мыйзамына өзгөртүүлөрдү киргизүү туралуу»
 Кыргыз Республикасынын Мыйзамына
3-1-тиркеме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</si>
</sst>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8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0"/>
      <name val="Arial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165" fontId="0" fillId="2" borderId="0" xfId="0" applyNumberFormat="1" applyFill="1"/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165" fontId="0" fillId="2" borderId="2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1" fillId="2" borderId="3" xfId="0" applyFont="1" applyFill="1" applyBorder="1"/>
    <xf numFmtId="165" fontId="3" fillId="2" borderId="3" xfId="0" applyNumberFormat="1" applyFont="1" applyFill="1" applyBorder="1"/>
    <xf numFmtId="0" fontId="3" fillId="2" borderId="3" xfId="0" applyFont="1" applyFill="1" applyBorder="1"/>
    <xf numFmtId="165" fontId="0" fillId="2" borderId="3" xfId="0" applyNumberFormat="1" applyFill="1" applyBorder="1"/>
    <xf numFmtId="165" fontId="0" fillId="2" borderId="6" xfId="0" applyNumberFormat="1" applyFill="1" applyBorder="1"/>
    <xf numFmtId="0" fontId="3" fillId="2" borderId="0" xfId="0" applyFont="1" applyFill="1"/>
    <xf numFmtId="165" fontId="3" fillId="2" borderId="0" xfId="0" applyNumberFormat="1" applyFont="1" applyFill="1"/>
    <xf numFmtId="0" fontId="0" fillId="4" borderId="0" xfId="0" applyFill="1"/>
    <xf numFmtId="164" fontId="3" fillId="2" borderId="0" xfId="0" applyNumberFormat="1" applyFont="1" applyFill="1"/>
    <xf numFmtId="0" fontId="8" fillId="3" borderId="1" xfId="0" applyFont="1" applyFill="1" applyBorder="1" applyAlignment="1">
      <alignment horizontal="center" vertical="center" wrapText="1"/>
    </xf>
    <xf numFmtId="165" fontId="13" fillId="4" borderId="13" xfId="0" applyNumberFormat="1" applyFont="1" applyFill="1" applyBorder="1" applyAlignment="1" applyProtection="1">
      <alignment wrapText="1"/>
    </xf>
    <xf numFmtId="165" fontId="3" fillId="0" borderId="13" xfId="0" applyNumberFormat="1" applyFont="1" applyBorder="1" applyAlignment="1">
      <alignment vertical="center" wrapText="1"/>
    </xf>
    <xf numFmtId="165" fontId="13" fillId="2" borderId="13" xfId="0" applyNumberFormat="1" applyFont="1" applyFill="1" applyBorder="1" applyAlignment="1">
      <alignment wrapText="1"/>
    </xf>
    <xf numFmtId="165" fontId="13" fillId="4" borderId="13" xfId="0" applyNumberFormat="1" applyFont="1" applyFill="1" applyBorder="1" applyAlignment="1">
      <alignment wrapText="1"/>
    </xf>
    <xf numFmtId="165" fontId="3" fillId="2" borderId="13" xfId="0" applyNumberFormat="1" applyFont="1" applyFill="1" applyBorder="1" applyAlignment="1">
      <alignment wrapText="1"/>
    </xf>
    <xf numFmtId="1" fontId="9" fillId="4" borderId="10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165" fontId="3" fillId="4" borderId="13" xfId="0" applyNumberFormat="1" applyFont="1" applyFill="1" applyBorder="1" applyAlignment="1">
      <alignment vertical="center" wrapText="1"/>
    </xf>
    <xf numFmtId="164" fontId="3" fillId="0" borderId="13" xfId="0" applyNumberFormat="1" applyFont="1" applyBorder="1" applyAlignment="1">
      <alignment vertical="center" wrapText="1"/>
    </xf>
    <xf numFmtId="165" fontId="13" fillId="4" borderId="13" xfId="0" applyNumberFormat="1" applyFont="1" applyFill="1" applyBorder="1" applyAlignment="1">
      <alignment vertical="center" wrapText="1"/>
    </xf>
    <xf numFmtId="165" fontId="12" fillId="4" borderId="13" xfId="0" applyNumberFormat="1" applyFont="1" applyFill="1" applyBorder="1" applyAlignment="1">
      <alignment vertical="center" wrapText="1"/>
    </xf>
    <xf numFmtId="164" fontId="14" fillId="2" borderId="13" xfId="0" applyNumberFormat="1" applyFont="1" applyFill="1" applyBorder="1" applyAlignment="1">
      <alignment horizontal="right" vertical="center"/>
    </xf>
    <xf numFmtId="165" fontId="14" fillId="2" borderId="13" xfId="0" applyNumberFormat="1" applyFont="1" applyFill="1" applyBorder="1" applyAlignment="1">
      <alignment vertical="center" wrapText="1"/>
    </xf>
    <xf numFmtId="165" fontId="3" fillId="2" borderId="13" xfId="0" applyNumberFormat="1" applyFont="1" applyFill="1" applyBorder="1" applyAlignment="1">
      <alignment vertical="center" wrapText="1"/>
    </xf>
    <xf numFmtId="0" fontId="0" fillId="4" borderId="13" xfId="0" applyFill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 wrapText="1"/>
    </xf>
    <xf numFmtId="165" fontId="8" fillId="5" borderId="17" xfId="0" applyNumberFormat="1" applyFont="1" applyFill="1" applyBorder="1" applyAlignment="1">
      <alignment vertical="center" wrapText="1"/>
    </xf>
    <xf numFmtId="1" fontId="9" fillId="4" borderId="14" xfId="0" applyNumberFormat="1" applyFont="1" applyFill="1" applyBorder="1" applyAlignment="1">
      <alignment horizontal="center" vertical="center"/>
    </xf>
    <xf numFmtId="165" fontId="3" fillId="2" borderId="15" xfId="0" applyNumberFormat="1" applyFont="1" applyFill="1" applyBorder="1" applyAlignment="1">
      <alignment vertical="center" wrapText="1"/>
    </xf>
    <xf numFmtId="165" fontId="3" fillId="4" borderId="15" xfId="0" applyNumberFormat="1" applyFont="1" applyFill="1" applyBorder="1" applyAlignment="1">
      <alignment vertical="center" wrapText="1"/>
    </xf>
    <xf numFmtId="165" fontId="8" fillId="5" borderId="18" xfId="0" applyNumberFormat="1" applyFont="1" applyFill="1" applyBorder="1" applyAlignment="1">
      <alignment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165" fontId="3" fillId="5" borderId="13" xfId="0" applyNumberFormat="1" applyFont="1" applyFill="1" applyBorder="1" applyAlignment="1">
      <alignment vertical="center" wrapText="1"/>
    </xf>
    <xf numFmtId="165" fontId="13" fillId="5" borderId="13" xfId="0" applyNumberFormat="1" applyFont="1" applyFill="1" applyBorder="1" applyAlignment="1">
      <alignment wrapText="1"/>
    </xf>
    <xf numFmtId="164" fontId="3" fillId="5" borderId="13" xfId="0" applyNumberFormat="1" applyFont="1" applyFill="1" applyBorder="1" applyAlignment="1">
      <alignment vertical="center" wrapText="1"/>
    </xf>
    <xf numFmtId="165" fontId="3" fillId="5" borderId="15" xfId="0" applyNumberFormat="1" applyFont="1" applyFill="1" applyBorder="1" applyAlignment="1">
      <alignment vertical="center" wrapText="1"/>
    </xf>
    <xf numFmtId="0" fontId="0" fillId="5" borderId="0" xfId="0" applyFill="1"/>
    <xf numFmtId="164" fontId="0" fillId="4" borderId="0" xfId="0" applyNumberFormat="1" applyFill="1"/>
    <xf numFmtId="0" fontId="8" fillId="3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 wrapText="1"/>
    </xf>
    <xf numFmtId="164" fontId="3" fillId="4" borderId="13" xfId="0" applyNumberFormat="1" applyFont="1" applyFill="1" applyBorder="1" applyAlignment="1">
      <alignment horizontal="right" vertical="center"/>
    </xf>
    <xf numFmtId="165" fontId="15" fillId="4" borderId="13" xfId="0" applyNumberFormat="1" applyFont="1" applyFill="1" applyBorder="1" applyAlignment="1">
      <alignment vertical="center" wrapText="1"/>
    </xf>
    <xf numFmtId="164" fontId="14" fillId="2" borderId="15" xfId="0" applyNumberFormat="1" applyFont="1" applyFill="1" applyBorder="1" applyAlignment="1">
      <alignment horizontal="right" vertical="center"/>
    </xf>
    <xf numFmtId="165" fontId="14" fillId="2" borderId="15" xfId="0" applyNumberFormat="1" applyFont="1" applyFill="1" applyBorder="1" applyAlignment="1">
      <alignment vertical="center" wrapText="1"/>
    </xf>
    <xf numFmtId="1" fontId="9" fillId="4" borderId="20" xfId="0" applyNumberFormat="1" applyFont="1" applyFill="1" applyBorder="1" applyAlignment="1">
      <alignment horizontal="center" vertical="center"/>
    </xf>
    <xf numFmtId="165" fontId="14" fillId="2" borderId="21" xfId="0" applyNumberFormat="1" applyFont="1" applyFill="1" applyBorder="1" applyAlignment="1">
      <alignment vertical="center" wrapText="1"/>
    </xf>
    <xf numFmtId="165" fontId="3" fillId="4" borderId="21" xfId="0" applyNumberFormat="1" applyFont="1" applyFill="1" applyBorder="1" applyAlignment="1">
      <alignment vertical="center" wrapText="1"/>
    </xf>
    <xf numFmtId="165" fontId="16" fillId="2" borderId="0" xfId="0" applyNumberFormat="1" applyFont="1" applyFill="1"/>
    <xf numFmtId="0" fontId="0" fillId="6" borderId="0" xfId="0" applyFill="1"/>
    <xf numFmtId="165" fontId="0" fillId="0" borderId="0" xfId="0" applyNumberFormat="1"/>
    <xf numFmtId="0" fontId="8" fillId="2" borderId="0" xfId="0" applyFont="1" applyFill="1"/>
    <xf numFmtId="0" fontId="10" fillId="0" borderId="0" xfId="0" applyFont="1"/>
    <xf numFmtId="4" fontId="0" fillId="2" borderId="0" xfId="0" applyNumberFormat="1" applyFill="1"/>
    <xf numFmtId="164" fontId="3" fillId="4" borderId="13" xfId="0" applyNumberFormat="1" applyFont="1" applyFill="1" applyBorder="1" applyAlignment="1">
      <alignment vertical="center" wrapText="1"/>
    </xf>
    <xf numFmtId="165" fontId="0" fillId="4" borderId="0" xfId="0" applyNumberFormat="1" applyFill="1"/>
    <xf numFmtId="165" fontId="15" fillId="2" borderId="0" xfId="0" applyNumberFormat="1" applyFont="1" applyFill="1"/>
    <xf numFmtId="164" fontId="7" fillId="2" borderId="22" xfId="0" applyNumberFormat="1" applyFont="1" applyFill="1" applyBorder="1" applyAlignment="1">
      <alignment horizontal="center" textRotation="90" wrapText="1"/>
    </xf>
    <xf numFmtId="164" fontId="7" fillId="2" borderId="0" xfId="0" applyNumberFormat="1" applyFont="1" applyFill="1" applyBorder="1" applyAlignment="1">
      <alignment horizontal="center" textRotation="90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8" fillId="4" borderId="13" xfId="0" applyFont="1" applyFill="1" applyBorder="1" applyAlignment="1">
      <alignment vertical="center" wrapText="1"/>
    </xf>
    <xf numFmtId="0" fontId="3" fillId="2" borderId="0" xfId="0" applyFont="1" applyFill="1" applyBorder="1"/>
    <xf numFmtId="0" fontId="0" fillId="0" borderId="0" xfId="0" applyBorder="1"/>
    <xf numFmtId="165" fontId="13" fillId="4" borderId="0" xfId="0" applyNumberFormat="1" applyFont="1" applyFill="1" applyBorder="1" applyAlignment="1">
      <alignment vertical="center" wrapText="1"/>
    </xf>
    <xf numFmtId="165" fontId="8" fillId="4" borderId="0" xfId="0" applyNumberFormat="1" applyFont="1" applyFill="1" applyBorder="1" applyAlignment="1">
      <alignment vertical="center" wrapText="1"/>
    </xf>
    <xf numFmtId="165" fontId="8" fillId="4" borderId="13" xfId="0" applyNumberFormat="1" applyFont="1" applyFill="1" applyBorder="1" applyAlignment="1">
      <alignment vertical="center" wrapText="1"/>
    </xf>
    <xf numFmtId="164" fontId="8" fillId="0" borderId="13" xfId="0" applyNumberFormat="1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165" fontId="8" fillId="4" borderId="15" xfId="0" applyNumberFormat="1" applyFont="1" applyFill="1" applyBorder="1" applyAlignment="1">
      <alignment vertical="center" wrapText="1"/>
    </xf>
    <xf numFmtId="165" fontId="12" fillId="5" borderId="13" xfId="0" applyNumberFormat="1" applyFont="1" applyFill="1" applyBorder="1" applyAlignment="1">
      <alignment vertical="center" wrapText="1"/>
    </xf>
    <xf numFmtId="165" fontId="15" fillId="5" borderId="13" xfId="0" applyNumberFormat="1" applyFont="1" applyFill="1" applyBorder="1" applyAlignment="1">
      <alignment vertical="center" wrapText="1"/>
    </xf>
    <xf numFmtId="165" fontId="17" fillId="2" borderId="3" xfId="0" applyNumberFormat="1" applyFont="1" applyFill="1" applyBorder="1"/>
    <xf numFmtId="164" fontId="3" fillId="2" borderId="13" xfId="0" applyNumberFormat="1" applyFont="1" applyFill="1" applyBorder="1" applyAlignment="1">
      <alignment horizontal="right" vertical="center"/>
    </xf>
    <xf numFmtId="1" fontId="8" fillId="4" borderId="23" xfId="0" applyNumberFormat="1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165" fontId="3" fillId="4" borderId="23" xfId="0" applyNumberFormat="1" applyFont="1" applyFill="1" applyBorder="1" applyAlignment="1">
      <alignment vertical="center" wrapText="1"/>
    </xf>
    <xf numFmtId="164" fontId="3" fillId="4" borderId="23" xfId="0" applyNumberFormat="1" applyFont="1" applyFill="1" applyBorder="1" applyAlignment="1">
      <alignment vertical="center" wrapText="1"/>
    </xf>
    <xf numFmtId="0" fontId="8" fillId="4" borderId="23" xfId="0" applyFont="1" applyFill="1" applyBorder="1" applyAlignment="1">
      <alignment vertical="center" wrapText="1"/>
    </xf>
    <xf numFmtId="165" fontId="8" fillId="4" borderId="23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2" fontId="3" fillId="4" borderId="23" xfId="0" applyNumberFormat="1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165" fontId="3" fillId="4" borderId="0" xfId="0" applyNumberFormat="1" applyFont="1" applyFill="1" applyAlignment="1">
      <alignment vertical="center"/>
    </xf>
    <xf numFmtId="165" fontId="3" fillId="4" borderId="23" xfId="0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textRotation="90" wrapText="1"/>
    </xf>
    <xf numFmtId="164" fontId="7" fillId="2" borderId="8" xfId="0" applyNumberFormat="1" applyFont="1" applyFill="1" applyBorder="1" applyAlignment="1">
      <alignment horizontal="center" textRotation="90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textRotation="90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right" vertical="center" wrapText="1"/>
    </xf>
    <xf numFmtId="165" fontId="8" fillId="0" borderId="25" xfId="0" applyNumberFormat="1" applyFont="1" applyFill="1" applyBorder="1" applyAlignment="1">
      <alignment horizontal="center" vertical="center" wrapText="1"/>
    </xf>
    <xf numFmtId="165" fontId="8" fillId="0" borderId="26" xfId="0" applyNumberFormat="1" applyFont="1" applyFill="1" applyBorder="1" applyAlignment="1">
      <alignment horizontal="center" vertical="center" wrapText="1"/>
    </xf>
    <xf numFmtId="1" fontId="8" fillId="0" borderId="25" xfId="0" applyNumberFormat="1" applyFont="1" applyFill="1" applyBorder="1" applyAlignment="1">
      <alignment horizontal="center" vertical="center" wrapText="1"/>
    </xf>
    <xf numFmtId="1" fontId="8" fillId="0" borderId="26" xfId="0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8" fillId="4" borderId="23" xfId="0" applyNumberFormat="1" applyFont="1" applyFill="1" applyBorder="1" applyAlignment="1">
      <alignment horizontal="center" vertical="center" textRotation="90" wrapText="1"/>
    </xf>
    <xf numFmtId="164" fontId="8" fillId="4" borderId="23" xfId="0" applyNumberFormat="1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righ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3"/>
  <sheetViews>
    <sheetView zoomScaleNormal="100" workbookViewId="0">
      <pane xSplit="3" ySplit="11" topLeftCell="Q141" activePane="bottomRight" state="frozen"/>
      <selection pane="topRight" activeCell="D1" sqref="D1"/>
      <selection pane="bottomLeft" activeCell="A7" sqref="A7"/>
      <selection pane="bottomRight" activeCell="X184" sqref="X184"/>
    </sheetView>
  </sheetViews>
  <sheetFormatPr defaultRowHeight="12.75" x14ac:dyDescent="0.2"/>
  <cols>
    <col min="1" max="1" width="6.140625" style="1" customWidth="1"/>
    <col min="2" max="2" width="5.42578125" style="1" customWidth="1"/>
    <col min="3" max="3" width="78.42578125" style="23" customWidth="1"/>
    <col min="4" max="6" width="10.5703125" style="23" hidden="1" customWidth="1"/>
    <col min="7" max="7" width="10" style="23" hidden="1" customWidth="1"/>
    <col min="8" max="8" width="11.28515625" style="23" hidden="1" customWidth="1"/>
    <col min="9" max="10" width="10.5703125" style="23" hidden="1" customWidth="1"/>
    <col min="11" max="11" width="9.140625" style="23" hidden="1" customWidth="1"/>
    <col min="12" max="12" width="10.42578125" style="23" customWidth="1"/>
    <col min="13" max="13" width="10" style="23" customWidth="1"/>
    <col min="14" max="14" width="10.85546875" style="23" customWidth="1"/>
    <col min="15" max="16" width="10" style="23" customWidth="1"/>
    <col min="17" max="17" width="10.5703125" style="23" customWidth="1"/>
    <col min="18" max="18" width="7.140625" style="23" customWidth="1"/>
    <col min="19" max="19" width="9.42578125" style="23" customWidth="1"/>
    <col min="20" max="20" width="10.5703125" style="23" customWidth="1"/>
    <col min="21" max="21" width="11.42578125" style="23" customWidth="1"/>
    <col min="22" max="22" width="10.5703125" style="23" hidden="1" customWidth="1"/>
    <col min="23" max="23" width="10.28515625" style="3" customWidth="1"/>
    <col min="24" max="24" width="10.42578125" style="3" customWidth="1"/>
    <col min="25" max="25" width="12.42578125" style="3" customWidth="1"/>
    <col min="26" max="26" width="11.5703125" style="3" customWidth="1"/>
    <col min="27" max="27" width="10.5703125" customWidth="1"/>
  </cols>
  <sheetData>
    <row r="1" spans="1:27" hidden="1" x14ac:dyDescent="0.2"/>
    <row r="2" spans="1:27" hidden="1" x14ac:dyDescent="0.2"/>
    <row r="3" spans="1:27" hidden="1" x14ac:dyDescent="0.2"/>
    <row r="4" spans="1:27" hidden="1" x14ac:dyDescent="0.2"/>
    <row r="5" spans="1:27" hidden="1" x14ac:dyDescent="0.2"/>
    <row r="6" spans="1:27" x14ac:dyDescent="0.2">
      <c r="A6" s="12"/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</row>
    <row r="7" spans="1:27" ht="15.75" x14ac:dyDescent="0.25">
      <c r="A7" s="16"/>
      <c r="B7" s="17"/>
      <c r="C7" s="18" t="s">
        <v>196</v>
      </c>
      <c r="D7" s="19"/>
      <c r="E7" s="19"/>
      <c r="F7" s="20"/>
      <c r="G7" s="20"/>
      <c r="H7" s="20"/>
      <c r="I7" s="20"/>
      <c r="J7" s="20"/>
      <c r="K7" s="20"/>
      <c r="L7" s="20"/>
      <c r="M7" s="20"/>
      <c r="N7" s="19"/>
      <c r="O7" s="20"/>
      <c r="P7" s="20"/>
      <c r="Q7" s="19"/>
      <c r="R7" s="20"/>
      <c r="S7" s="19"/>
      <c r="T7" s="20"/>
      <c r="U7" s="20"/>
      <c r="V7" s="20"/>
      <c r="W7" s="21"/>
      <c r="X7" s="21"/>
      <c r="Y7" s="21"/>
      <c r="Z7" s="21"/>
    </row>
    <row r="8" spans="1:27" ht="15.75" x14ac:dyDescent="0.25">
      <c r="A8" s="4"/>
      <c r="B8" s="5"/>
      <c r="C8" s="6"/>
      <c r="D8" s="5"/>
      <c r="E8" s="5"/>
      <c r="F8" s="5"/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/>
      <c r="T8" s="5"/>
      <c r="U8" s="5"/>
      <c r="V8" s="5"/>
      <c r="W8" s="21"/>
      <c r="X8" s="21"/>
      <c r="Y8" s="21"/>
      <c r="Z8" s="102" t="s">
        <v>197</v>
      </c>
    </row>
    <row r="9" spans="1:27" ht="15" x14ac:dyDescent="0.25">
      <c r="A9" s="8"/>
      <c r="B9" s="9"/>
      <c r="C9" s="10"/>
      <c r="D9" s="9"/>
      <c r="E9" s="9"/>
      <c r="F9" s="9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2"/>
      <c r="X9" s="22"/>
      <c r="Y9" s="22"/>
      <c r="Z9" s="22" t="s">
        <v>189</v>
      </c>
    </row>
    <row r="10" spans="1:27" ht="12.75" customHeight="1" x14ac:dyDescent="0.2">
      <c r="A10" s="117" t="s">
        <v>0</v>
      </c>
      <c r="B10" s="117" t="s">
        <v>1</v>
      </c>
      <c r="C10" s="119" t="s">
        <v>2</v>
      </c>
      <c r="D10" s="27" t="s">
        <v>151</v>
      </c>
      <c r="E10" s="121" t="s">
        <v>3</v>
      </c>
      <c r="F10" s="121"/>
      <c r="G10" s="121"/>
      <c r="H10" s="122" t="s">
        <v>143</v>
      </c>
      <c r="I10" s="122"/>
      <c r="J10" s="122"/>
      <c r="K10" s="122"/>
      <c r="L10" s="121" t="s">
        <v>149</v>
      </c>
      <c r="M10" s="121"/>
      <c r="N10" s="123" t="s">
        <v>101</v>
      </c>
      <c r="O10" s="122" t="s">
        <v>150</v>
      </c>
      <c r="P10" s="122"/>
      <c r="Q10" s="122"/>
      <c r="R10" s="122"/>
      <c r="S10" s="122" t="s">
        <v>137</v>
      </c>
      <c r="T10" s="122"/>
      <c r="U10" s="122"/>
      <c r="V10" s="123" t="s">
        <v>101</v>
      </c>
      <c r="W10" s="123" t="s">
        <v>198</v>
      </c>
      <c r="X10" s="123" t="s">
        <v>142</v>
      </c>
      <c r="Y10" s="123" t="s">
        <v>163</v>
      </c>
      <c r="Z10" s="123" t="s">
        <v>162</v>
      </c>
    </row>
    <row r="11" spans="1:27" ht="25.5" x14ac:dyDescent="0.2">
      <c r="A11" s="118"/>
      <c r="B11" s="118"/>
      <c r="C11" s="120"/>
      <c r="D11" s="66" t="s">
        <v>100</v>
      </c>
      <c r="E11" s="67" t="s">
        <v>98</v>
      </c>
      <c r="F11" s="66" t="s">
        <v>99</v>
      </c>
      <c r="G11" s="66" t="s">
        <v>100</v>
      </c>
      <c r="H11" s="66" t="s">
        <v>148</v>
      </c>
      <c r="I11" s="66" t="s">
        <v>100</v>
      </c>
      <c r="J11" s="66" t="s">
        <v>101</v>
      </c>
      <c r="K11" s="66" t="s">
        <v>102</v>
      </c>
      <c r="L11" s="67" t="s">
        <v>98</v>
      </c>
      <c r="M11" s="66" t="s">
        <v>99</v>
      </c>
      <c r="N11" s="124"/>
      <c r="O11" s="66" t="s">
        <v>148</v>
      </c>
      <c r="P11" s="66" t="s">
        <v>100</v>
      </c>
      <c r="Q11" s="66" t="s">
        <v>101</v>
      </c>
      <c r="R11" s="66" t="s">
        <v>102</v>
      </c>
      <c r="S11" s="68" t="s">
        <v>139</v>
      </c>
      <c r="T11" s="68" t="s">
        <v>140</v>
      </c>
      <c r="U11" s="69" t="s">
        <v>138</v>
      </c>
      <c r="V11" s="124"/>
      <c r="W11" s="124"/>
      <c r="X11" s="124"/>
      <c r="Y11" s="125"/>
      <c r="Z11" s="124"/>
    </row>
    <row r="12" spans="1:27" s="25" customFormat="1" x14ac:dyDescent="0.2">
      <c r="A12" s="33">
        <v>1</v>
      </c>
      <c r="B12" s="34">
        <v>2</v>
      </c>
      <c r="C12" s="34">
        <v>3</v>
      </c>
      <c r="D12" s="34">
        <v>4</v>
      </c>
      <c r="E12" s="34">
        <v>5</v>
      </c>
      <c r="F12" s="34">
        <v>6</v>
      </c>
      <c r="G12" s="34">
        <v>7</v>
      </c>
      <c r="H12" s="34">
        <v>8</v>
      </c>
      <c r="I12" s="34">
        <v>9</v>
      </c>
      <c r="J12" s="34">
        <v>10</v>
      </c>
      <c r="K12" s="34">
        <v>11</v>
      </c>
      <c r="L12" s="34">
        <v>12</v>
      </c>
      <c r="M12" s="34">
        <v>13</v>
      </c>
      <c r="N12" s="34">
        <v>14</v>
      </c>
      <c r="O12" s="34">
        <v>15</v>
      </c>
      <c r="P12" s="34">
        <v>16</v>
      </c>
      <c r="Q12" s="34">
        <v>17</v>
      </c>
      <c r="R12" s="34">
        <v>18</v>
      </c>
      <c r="S12" s="34">
        <v>19</v>
      </c>
      <c r="T12" s="34">
        <v>21</v>
      </c>
      <c r="U12" s="34">
        <v>22</v>
      </c>
      <c r="V12" s="34">
        <v>23</v>
      </c>
      <c r="W12" s="34">
        <v>24</v>
      </c>
      <c r="X12" s="34">
        <v>25</v>
      </c>
      <c r="Y12" s="74"/>
      <c r="Z12" s="53"/>
    </row>
    <row r="13" spans="1:27" s="25" customFormat="1" x14ac:dyDescent="0.2">
      <c r="A13" s="35">
        <v>11</v>
      </c>
      <c r="B13" s="36">
        <v>210</v>
      </c>
      <c r="C13" s="37" t="s">
        <v>113</v>
      </c>
      <c r="D13" s="38">
        <v>1857.6</v>
      </c>
      <c r="E13" s="38"/>
      <c r="F13" s="38">
        <v>5400</v>
      </c>
      <c r="G13" s="38">
        <v>5027.058</v>
      </c>
      <c r="H13" s="70">
        <v>3600</v>
      </c>
      <c r="I13" s="70">
        <v>2757.9</v>
      </c>
      <c r="J13" s="38">
        <f t="shared" ref="J13:J81" si="0">I13-H13</f>
        <v>-842.09999999999991</v>
      </c>
      <c r="K13" s="39">
        <f t="shared" ref="K13:K72" si="1">IF(H13=0," ",I13/H13*100)</f>
        <v>76.608333333333334</v>
      </c>
      <c r="L13" s="38">
        <v>5556.6</v>
      </c>
      <c r="M13" s="38">
        <v>5556.6</v>
      </c>
      <c r="N13" s="38">
        <f t="shared" ref="N13:N72" si="2">M13-L13</f>
        <v>0</v>
      </c>
      <c r="O13" s="38">
        <v>4863.1000000000004</v>
      </c>
      <c r="P13" s="38">
        <v>3426.7</v>
      </c>
      <c r="Q13" s="38">
        <f t="shared" ref="Q13:Q81" si="3">P13-O13</f>
        <v>-1436.4000000000005</v>
      </c>
      <c r="R13" s="39">
        <f t="shared" ref="R13:R72" si="4">IF(O13=0," ",P13/O13*100)</f>
        <v>70.463284736073689</v>
      </c>
      <c r="S13" s="38"/>
      <c r="T13" s="100">
        <v>707</v>
      </c>
      <c r="U13" s="40">
        <f t="shared" ref="U13:U44" si="5">T13+S13+M13</f>
        <v>6263.6</v>
      </c>
      <c r="V13" s="40">
        <f t="shared" ref="V13:V77" si="6">T13+S13</f>
        <v>707</v>
      </c>
      <c r="W13" s="103">
        <v>6193</v>
      </c>
      <c r="X13" s="42"/>
      <c r="Y13" s="42"/>
      <c r="Z13" s="72">
        <f t="shared" ref="Z13:Z78" si="7">X13+U13</f>
        <v>6263.6</v>
      </c>
      <c r="AA13" s="65">
        <f t="shared" ref="AA13:AA76" si="8">X13-Y13</f>
        <v>0</v>
      </c>
    </row>
    <row r="14" spans="1:27" s="25" customFormat="1" x14ac:dyDescent="0.2">
      <c r="A14" s="35">
        <v>11</v>
      </c>
      <c r="B14" s="36">
        <v>310</v>
      </c>
      <c r="C14" s="37" t="s">
        <v>114</v>
      </c>
      <c r="D14" s="38">
        <v>810</v>
      </c>
      <c r="E14" s="38"/>
      <c r="F14" s="30">
        <v>363.8</v>
      </c>
      <c r="G14" s="38">
        <v>196.91499999999999</v>
      </c>
      <c r="H14" s="38">
        <v>242.6</v>
      </c>
      <c r="I14" s="38">
        <v>160</v>
      </c>
      <c r="J14" s="38">
        <f t="shared" si="0"/>
        <v>-82.6</v>
      </c>
      <c r="K14" s="39">
        <f t="shared" si="1"/>
        <v>65.952184666117063</v>
      </c>
      <c r="L14" s="38">
        <v>400</v>
      </c>
      <c r="M14" s="38">
        <v>400</v>
      </c>
      <c r="N14" s="38">
        <f t="shared" si="2"/>
        <v>0</v>
      </c>
      <c r="O14" s="38">
        <v>315</v>
      </c>
      <c r="P14" s="38">
        <v>208.1</v>
      </c>
      <c r="Q14" s="38">
        <f t="shared" si="3"/>
        <v>-106.9</v>
      </c>
      <c r="R14" s="39">
        <f t="shared" si="4"/>
        <v>66.063492063492063</v>
      </c>
      <c r="S14" s="38"/>
      <c r="T14" s="38"/>
      <c r="U14" s="40">
        <f t="shared" si="5"/>
        <v>400</v>
      </c>
      <c r="V14" s="40">
        <f t="shared" si="6"/>
        <v>0</v>
      </c>
      <c r="W14" s="44">
        <v>339.3</v>
      </c>
      <c r="X14" s="43">
        <v>71.7</v>
      </c>
      <c r="Y14" s="43">
        <v>71.7</v>
      </c>
      <c r="Z14" s="73">
        <f t="shared" si="7"/>
        <v>471.7</v>
      </c>
      <c r="AA14" s="65">
        <f t="shared" si="8"/>
        <v>0</v>
      </c>
    </row>
    <row r="15" spans="1:27" s="25" customFormat="1" x14ac:dyDescent="0.2">
      <c r="A15" s="35">
        <v>12</v>
      </c>
      <c r="B15" s="36">
        <v>220</v>
      </c>
      <c r="C15" s="37" t="s">
        <v>4</v>
      </c>
      <c r="D15" s="29">
        <f>44999.4+7064.1+1850.7+11128.6+2398.6+14635.5</f>
        <v>82076.899999999994</v>
      </c>
      <c r="E15" s="41">
        <v>39573.5</v>
      </c>
      <c r="F15" s="28">
        <v>104108.79999999999</v>
      </c>
      <c r="G15" s="38">
        <v>94477.742760000008</v>
      </c>
      <c r="H15" s="38">
        <v>67967.600000000006</v>
      </c>
      <c r="I15" s="38">
        <v>57960.800000000003</v>
      </c>
      <c r="J15" s="38">
        <f t="shared" si="0"/>
        <v>-10006.800000000003</v>
      </c>
      <c r="K15" s="39">
        <f t="shared" si="1"/>
        <v>85.277102619483401</v>
      </c>
      <c r="L15" s="38">
        <v>108909.9</v>
      </c>
      <c r="M15" s="38">
        <v>120909.9</v>
      </c>
      <c r="N15" s="38">
        <f t="shared" si="2"/>
        <v>12000</v>
      </c>
      <c r="O15" s="38">
        <v>103614.8</v>
      </c>
      <c r="P15" s="38">
        <v>60100.6</v>
      </c>
      <c r="Q15" s="38">
        <f t="shared" si="3"/>
        <v>-43514.200000000004</v>
      </c>
      <c r="R15" s="39">
        <f t="shared" si="4"/>
        <v>58.003875894177284</v>
      </c>
      <c r="S15" s="38"/>
      <c r="T15" s="38"/>
      <c r="U15" s="40">
        <f t="shared" si="5"/>
        <v>120909.9</v>
      </c>
      <c r="V15" s="40">
        <f t="shared" si="6"/>
        <v>0</v>
      </c>
      <c r="W15" s="44">
        <f>100557.2-W16-W17</f>
        <v>89209.600000000006</v>
      </c>
      <c r="X15" s="43">
        <v>6766.4</v>
      </c>
      <c r="Y15" s="43">
        <v>6766.4</v>
      </c>
      <c r="Z15" s="73">
        <f t="shared" si="7"/>
        <v>127676.29999999999</v>
      </c>
      <c r="AA15" s="65">
        <f t="shared" si="8"/>
        <v>0</v>
      </c>
    </row>
    <row r="16" spans="1:27" s="25" customFormat="1" x14ac:dyDescent="0.2">
      <c r="A16" s="35">
        <v>12</v>
      </c>
      <c r="B16" s="36">
        <v>220</v>
      </c>
      <c r="C16" s="37" t="s">
        <v>6</v>
      </c>
      <c r="D16" s="29">
        <v>202.2</v>
      </c>
      <c r="E16" s="41">
        <v>216</v>
      </c>
      <c r="F16" s="30"/>
      <c r="G16" s="38"/>
      <c r="H16" s="38">
        <v>190.7</v>
      </c>
      <c r="I16" s="38">
        <v>225.2</v>
      </c>
      <c r="J16" s="38">
        <f t="shared" ref="J16" si="9">I16-H16</f>
        <v>34.5</v>
      </c>
      <c r="K16" s="39">
        <f t="shared" ref="K16" si="10">IF(H16=0," ",I16/H16*100)</f>
        <v>118.09124278972207</v>
      </c>
      <c r="L16" s="38">
        <v>375.9</v>
      </c>
      <c r="M16" s="38">
        <v>375.9</v>
      </c>
      <c r="N16" s="38">
        <f t="shared" ref="N16" si="11">M16-L16</f>
        <v>0</v>
      </c>
      <c r="O16" s="38">
        <v>290</v>
      </c>
      <c r="P16" s="38">
        <v>228.5</v>
      </c>
      <c r="Q16" s="38">
        <f t="shared" ref="Q16" si="12">P16-O16</f>
        <v>-61.5</v>
      </c>
      <c r="R16" s="39">
        <f t="shared" ref="R16" si="13">IF(O16=0," ",P16/O16*100)</f>
        <v>78.793103448275858</v>
      </c>
      <c r="S16" s="38"/>
      <c r="T16" s="38"/>
      <c r="U16" s="40">
        <f t="shared" ref="U16" si="14">T16+S16+M16</f>
        <v>375.9</v>
      </c>
      <c r="V16" s="40">
        <f t="shared" si="6"/>
        <v>0</v>
      </c>
      <c r="W16" s="44">
        <v>320.2</v>
      </c>
      <c r="X16" s="43">
        <v>119.9</v>
      </c>
      <c r="Y16" s="43">
        <v>119.9</v>
      </c>
      <c r="Z16" s="73">
        <f t="shared" ref="Z16" si="15">X16+U16</f>
        <v>495.79999999999995</v>
      </c>
      <c r="AA16" s="65">
        <f t="shared" si="8"/>
        <v>0</v>
      </c>
    </row>
    <row r="17" spans="1:27" s="25" customFormat="1" x14ac:dyDescent="0.2">
      <c r="A17" s="35">
        <v>12</v>
      </c>
      <c r="B17" s="36">
        <v>220</v>
      </c>
      <c r="C17" s="37" t="s">
        <v>5</v>
      </c>
      <c r="D17" s="29"/>
      <c r="E17" s="41">
        <v>16429.5</v>
      </c>
      <c r="F17" s="28"/>
      <c r="G17" s="38"/>
      <c r="H17" s="38">
        <v>10509.8</v>
      </c>
      <c r="I17" s="38">
        <v>8497.9</v>
      </c>
      <c r="J17" s="38">
        <f t="shared" si="0"/>
        <v>-2011.8999999999996</v>
      </c>
      <c r="K17" s="39">
        <f t="shared" si="1"/>
        <v>80.856914498848695</v>
      </c>
      <c r="L17" s="38">
        <v>12425.9</v>
      </c>
      <c r="M17" s="38">
        <v>12425.9</v>
      </c>
      <c r="N17" s="38">
        <f t="shared" si="2"/>
        <v>0</v>
      </c>
      <c r="O17" s="38">
        <v>8953.6</v>
      </c>
      <c r="P17" s="38">
        <v>7171.1</v>
      </c>
      <c r="Q17" s="38">
        <f t="shared" si="3"/>
        <v>-1782.5</v>
      </c>
      <c r="R17" s="39">
        <f t="shared" si="4"/>
        <v>80.091806647605438</v>
      </c>
      <c r="S17" s="38"/>
      <c r="T17" s="38"/>
      <c r="U17" s="40">
        <f t="shared" si="5"/>
        <v>12425.9</v>
      </c>
      <c r="V17" s="40">
        <f t="shared" si="6"/>
        <v>0</v>
      </c>
      <c r="W17" s="44">
        <v>11027.4</v>
      </c>
      <c r="X17" s="43">
        <v>1152.8</v>
      </c>
      <c r="Y17" s="43">
        <v>1152.8</v>
      </c>
      <c r="Z17" s="73">
        <f t="shared" si="7"/>
        <v>13578.699999999999</v>
      </c>
      <c r="AA17" s="65">
        <f t="shared" si="8"/>
        <v>0</v>
      </c>
    </row>
    <row r="18" spans="1:27" s="25" customFormat="1" x14ac:dyDescent="0.2">
      <c r="A18" s="35">
        <v>12</v>
      </c>
      <c r="B18" s="36">
        <v>230</v>
      </c>
      <c r="C18" s="37" t="s">
        <v>7</v>
      </c>
      <c r="D18" s="41">
        <v>35267.300000000003</v>
      </c>
      <c r="E18" s="41">
        <v>36400</v>
      </c>
      <c r="F18" s="30">
        <v>43668.3</v>
      </c>
      <c r="G18" s="38">
        <v>42542.457470000001</v>
      </c>
      <c r="H18" s="38">
        <v>31273.599999999999</v>
      </c>
      <c r="I18" s="38">
        <v>31649.599999999999</v>
      </c>
      <c r="J18" s="38">
        <f t="shared" si="0"/>
        <v>376</v>
      </c>
      <c r="K18" s="39">
        <f t="shared" si="1"/>
        <v>101.20229202905966</v>
      </c>
      <c r="L18" s="38">
        <v>39415.599999999999</v>
      </c>
      <c r="M18" s="38">
        <v>39607</v>
      </c>
      <c r="N18" s="38">
        <f t="shared" si="2"/>
        <v>191.40000000000146</v>
      </c>
      <c r="O18" s="38">
        <v>34926.300000000003</v>
      </c>
      <c r="P18" s="38">
        <v>34928.199999999997</v>
      </c>
      <c r="Q18" s="38">
        <f t="shared" si="3"/>
        <v>1.8999999999941792</v>
      </c>
      <c r="R18" s="39">
        <f t="shared" si="4"/>
        <v>100.00544002657021</v>
      </c>
      <c r="S18" s="38"/>
      <c r="T18" s="60">
        <v>13556.7</v>
      </c>
      <c r="U18" s="40">
        <f t="shared" si="5"/>
        <v>53163.7</v>
      </c>
      <c r="V18" s="40">
        <f t="shared" si="6"/>
        <v>13556.7</v>
      </c>
      <c r="W18" s="44">
        <v>49892.7</v>
      </c>
      <c r="X18" s="43">
        <v>1156.3</v>
      </c>
      <c r="Y18" s="43">
        <v>1156.3</v>
      </c>
      <c r="Z18" s="73">
        <f t="shared" si="7"/>
        <v>54320</v>
      </c>
      <c r="AA18" s="65">
        <f t="shared" si="8"/>
        <v>0</v>
      </c>
    </row>
    <row r="19" spans="1:27" s="25" customFormat="1" x14ac:dyDescent="0.2">
      <c r="A19" s="35">
        <v>12</v>
      </c>
      <c r="B19" s="36">
        <v>240</v>
      </c>
      <c r="C19" s="37" t="s">
        <v>152</v>
      </c>
      <c r="D19" s="41">
        <v>602</v>
      </c>
      <c r="E19" s="41"/>
      <c r="F19" s="30"/>
      <c r="G19" s="38"/>
      <c r="H19" s="38"/>
      <c r="I19" s="38"/>
      <c r="J19" s="38">
        <f t="shared" si="0"/>
        <v>0</v>
      </c>
      <c r="K19" s="39" t="str">
        <f t="shared" si="1"/>
        <v xml:space="preserve"> </v>
      </c>
      <c r="L19" s="38"/>
      <c r="M19" s="38"/>
      <c r="N19" s="38">
        <f t="shared" si="2"/>
        <v>0</v>
      </c>
      <c r="O19" s="38"/>
      <c r="P19" s="38"/>
      <c r="Q19" s="38">
        <f t="shared" si="3"/>
        <v>0</v>
      </c>
      <c r="R19" s="39" t="str">
        <f t="shared" si="4"/>
        <v xml:space="preserve"> </v>
      </c>
      <c r="S19" s="38"/>
      <c r="T19" s="38"/>
      <c r="U19" s="40">
        <f t="shared" si="5"/>
        <v>0</v>
      </c>
      <c r="V19" s="40">
        <f t="shared" si="6"/>
        <v>0</v>
      </c>
      <c r="W19" s="44"/>
      <c r="X19" s="43"/>
      <c r="Y19" s="43"/>
      <c r="Z19" s="73">
        <f t="shared" si="7"/>
        <v>0</v>
      </c>
      <c r="AA19" s="65">
        <f t="shared" si="8"/>
        <v>0</v>
      </c>
    </row>
    <row r="20" spans="1:27" s="25" customFormat="1" x14ac:dyDescent="0.2">
      <c r="A20" s="35">
        <v>13</v>
      </c>
      <c r="B20" s="36">
        <v>120</v>
      </c>
      <c r="C20" s="37" t="s">
        <v>8</v>
      </c>
      <c r="D20" s="38">
        <v>23.1</v>
      </c>
      <c r="E20" s="38">
        <v>75</v>
      </c>
      <c r="F20" s="30">
        <v>75</v>
      </c>
      <c r="G20" s="38">
        <v>9.7029999999999994</v>
      </c>
      <c r="H20" s="38">
        <v>56.3</v>
      </c>
      <c r="I20" s="38">
        <v>8.6999999999999993</v>
      </c>
      <c r="J20" s="38">
        <f t="shared" si="0"/>
        <v>-47.599999999999994</v>
      </c>
      <c r="K20" s="39">
        <f t="shared" si="1"/>
        <v>15.452930728241562</v>
      </c>
      <c r="L20" s="38">
        <v>60</v>
      </c>
      <c r="M20" s="38">
        <v>60</v>
      </c>
      <c r="N20" s="38">
        <f t="shared" si="2"/>
        <v>0</v>
      </c>
      <c r="O20" s="38">
        <v>41</v>
      </c>
      <c r="P20" s="38">
        <v>36</v>
      </c>
      <c r="Q20" s="38">
        <f t="shared" si="3"/>
        <v>-5</v>
      </c>
      <c r="R20" s="39">
        <f t="shared" si="4"/>
        <v>87.804878048780495</v>
      </c>
      <c r="S20" s="38"/>
      <c r="T20" s="38"/>
      <c r="U20" s="40">
        <f t="shared" si="5"/>
        <v>60</v>
      </c>
      <c r="V20" s="40">
        <f t="shared" si="6"/>
        <v>0</v>
      </c>
      <c r="W20" s="44">
        <v>39.1</v>
      </c>
      <c r="X20" s="43"/>
      <c r="Y20" s="43"/>
      <c r="Z20" s="73">
        <f t="shared" si="7"/>
        <v>60</v>
      </c>
      <c r="AA20" s="65">
        <f t="shared" si="8"/>
        <v>0</v>
      </c>
    </row>
    <row r="21" spans="1:27" s="25" customFormat="1" x14ac:dyDescent="0.2">
      <c r="A21" s="35">
        <v>16</v>
      </c>
      <c r="B21" s="36">
        <v>110</v>
      </c>
      <c r="C21" s="37" t="s">
        <v>9</v>
      </c>
      <c r="D21" s="38">
        <v>345.7</v>
      </c>
      <c r="E21" s="38">
        <v>693.6</v>
      </c>
      <c r="F21" s="30">
        <v>693.6</v>
      </c>
      <c r="G21" s="30">
        <v>573.21780000000001</v>
      </c>
      <c r="H21" s="38">
        <v>567.29999999999995</v>
      </c>
      <c r="I21" s="38">
        <v>460.3</v>
      </c>
      <c r="J21" s="38">
        <f t="shared" si="0"/>
        <v>-106.99999999999994</v>
      </c>
      <c r="K21" s="39">
        <f t="shared" si="1"/>
        <v>81.138727304777021</v>
      </c>
      <c r="L21" s="38">
        <v>693.6</v>
      </c>
      <c r="M21" s="38">
        <v>2566.4</v>
      </c>
      <c r="N21" s="38">
        <f t="shared" si="2"/>
        <v>1872.8000000000002</v>
      </c>
      <c r="O21" s="38">
        <v>2330.8000000000002</v>
      </c>
      <c r="P21" s="38">
        <v>2593</v>
      </c>
      <c r="Q21" s="38">
        <f t="shared" si="3"/>
        <v>262.19999999999982</v>
      </c>
      <c r="R21" s="39">
        <f t="shared" si="4"/>
        <v>111.24935644413934</v>
      </c>
      <c r="S21" s="38"/>
      <c r="T21" s="60">
        <v>2000</v>
      </c>
      <c r="U21" s="40">
        <f t="shared" si="5"/>
        <v>4566.3999999999996</v>
      </c>
      <c r="V21" s="40">
        <f t="shared" si="6"/>
        <v>2000</v>
      </c>
      <c r="W21" s="44">
        <v>3795.8</v>
      </c>
      <c r="X21" s="43">
        <v>31.4</v>
      </c>
      <c r="Y21" s="43">
        <v>31.4</v>
      </c>
      <c r="Z21" s="73">
        <f t="shared" si="7"/>
        <v>4597.7999999999993</v>
      </c>
      <c r="AA21" s="65">
        <f t="shared" si="8"/>
        <v>0</v>
      </c>
    </row>
    <row r="22" spans="1:27" s="25" customFormat="1" x14ac:dyDescent="0.2">
      <c r="A22" s="35">
        <v>16</v>
      </c>
      <c r="B22" s="36">
        <v>120</v>
      </c>
      <c r="C22" s="37" t="s">
        <v>166</v>
      </c>
      <c r="D22" s="38"/>
      <c r="E22" s="38">
        <v>963.2</v>
      </c>
      <c r="F22" s="30">
        <v>963.2</v>
      </c>
      <c r="G22" s="30">
        <v>-25.965</v>
      </c>
      <c r="H22" s="38">
        <v>642.20000000000005</v>
      </c>
      <c r="I22" s="38">
        <v>-106</v>
      </c>
      <c r="J22" s="38">
        <f t="shared" si="0"/>
        <v>-748.2</v>
      </c>
      <c r="K22" s="39">
        <f t="shared" si="1"/>
        <v>-16.5057614450327</v>
      </c>
      <c r="L22" s="38">
        <v>720</v>
      </c>
      <c r="M22" s="38">
        <v>1115.9000000000001</v>
      </c>
      <c r="N22" s="38">
        <f t="shared" si="2"/>
        <v>395.90000000000009</v>
      </c>
      <c r="O22" s="38">
        <v>1115.9000000000001</v>
      </c>
      <c r="P22" s="38">
        <v>1115.8</v>
      </c>
      <c r="Q22" s="38">
        <f t="shared" si="3"/>
        <v>-0.10000000000013642</v>
      </c>
      <c r="R22" s="39">
        <f t="shared" si="4"/>
        <v>99.99103862353256</v>
      </c>
      <c r="S22" s="38"/>
      <c r="T22" s="41"/>
      <c r="U22" s="40">
        <f t="shared" si="5"/>
        <v>1115.9000000000001</v>
      </c>
      <c r="V22" s="40">
        <f t="shared" si="6"/>
        <v>0</v>
      </c>
      <c r="W22" s="44">
        <v>1115.8</v>
      </c>
      <c r="X22" s="43">
        <v>614.5</v>
      </c>
      <c r="Y22" s="43">
        <v>614.5</v>
      </c>
      <c r="Z22" s="73">
        <f t="shared" si="7"/>
        <v>1730.4</v>
      </c>
      <c r="AA22" s="65">
        <f t="shared" si="8"/>
        <v>0</v>
      </c>
    </row>
    <row r="23" spans="1:27" s="25" customFormat="1" x14ac:dyDescent="0.2">
      <c r="A23" s="35">
        <v>16</v>
      </c>
      <c r="B23" s="36">
        <v>320</v>
      </c>
      <c r="C23" s="37" t="s">
        <v>10</v>
      </c>
      <c r="D23" s="38">
        <v>4302</v>
      </c>
      <c r="E23" s="38">
        <v>8091.7</v>
      </c>
      <c r="F23" s="30">
        <v>7881.4000000000015</v>
      </c>
      <c r="G23" s="30">
        <v>6148.3847100000003</v>
      </c>
      <c r="H23" s="38">
        <v>5858.4</v>
      </c>
      <c r="I23" s="38">
        <v>5040.7</v>
      </c>
      <c r="J23" s="38">
        <f t="shared" si="0"/>
        <v>-817.69999999999982</v>
      </c>
      <c r="K23" s="39">
        <f t="shared" si="1"/>
        <v>86.042264099412819</v>
      </c>
      <c r="L23" s="38">
        <v>8091.7</v>
      </c>
      <c r="M23" s="38">
        <v>9016.7000000000007</v>
      </c>
      <c r="N23" s="38">
        <f t="shared" si="2"/>
        <v>925.00000000000091</v>
      </c>
      <c r="O23" s="38">
        <v>6125.7</v>
      </c>
      <c r="P23" s="38">
        <v>6307.8</v>
      </c>
      <c r="Q23" s="38">
        <f t="shared" si="3"/>
        <v>182.10000000000036</v>
      </c>
      <c r="R23" s="39">
        <f t="shared" si="4"/>
        <v>102.97272148489154</v>
      </c>
      <c r="S23" s="38"/>
      <c r="T23" s="60">
        <v>2473</v>
      </c>
      <c r="U23" s="40">
        <f t="shared" si="5"/>
        <v>11489.7</v>
      </c>
      <c r="V23" s="40">
        <f t="shared" si="6"/>
        <v>2473</v>
      </c>
      <c r="W23" s="44">
        <v>10697.7</v>
      </c>
      <c r="X23" s="44">
        <v>1004.9</v>
      </c>
      <c r="Y23" s="44">
        <v>1004.9</v>
      </c>
      <c r="Z23" s="73">
        <f t="shared" si="7"/>
        <v>12494.6</v>
      </c>
      <c r="AA23" s="65">
        <f t="shared" si="8"/>
        <v>0</v>
      </c>
    </row>
    <row r="24" spans="1:27" s="25" customFormat="1" ht="11.25" customHeight="1" x14ac:dyDescent="0.2">
      <c r="A24" s="35">
        <v>18</v>
      </c>
      <c r="B24" s="36">
        <v>120</v>
      </c>
      <c r="C24" s="37" t="s">
        <v>11</v>
      </c>
      <c r="D24" s="38">
        <v>86.6</v>
      </c>
      <c r="E24" s="38">
        <v>4500</v>
      </c>
      <c r="F24" s="28">
        <v>1026.3</v>
      </c>
      <c r="G24" s="30">
        <v>1021.33</v>
      </c>
      <c r="H24" s="38">
        <v>3375</v>
      </c>
      <c r="I24" s="38">
        <v>1016.3</v>
      </c>
      <c r="J24" s="38">
        <f t="shared" si="0"/>
        <v>-2358.6999999999998</v>
      </c>
      <c r="K24" s="39">
        <f t="shared" si="1"/>
        <v>30.112592592592591</v>
      </c>
      <c r="L24" s="38">
        <v>3500</v>
      </c>
      <c r="M24" s="38">
        <v>5000</v>
      </c>
      <c r="N24" s="38">
        <f t="shared" si="2"/>
        <v>1500</v>
      </c>
      <c r="O24" s="38">
        <v>4300</v>
      </c>
      <c r="P24" s="38">
        <v>4819.8</v>
      </c>
      <c r="Q24" s="38">
        <f t="shared" si="3"/>
        <v>519.80000000000018</v>
      </c>
      <c r="R24" s="39">
        <f t="shared" si="4"/>
        <v>112.08837209302327</v>
      </c>
      <c r="S24" s="38"/>
      <c r="T24" s="60">
        <v>1500</v>
      </c>
      <c r="U24" s="40">
        <f t="shared" si="5"/>
        <v>6500</v>
      </c>
      <c r="V24" s="40">
        <f t="shared" si="6"/>
        <v>1500</v>
      </c>
      <c r="W24" s="44">
        <v>6319.8</v>
      </c>
      <c r="X24" s="44">
        <v>2101.3000000000002</v>
      </c>
      <c r="Y24" s="44">
        <v>2101.3000000000002</v>
      </c>
      <c r="Z24" s="73">
        <f t="shared" si="7"/>
        <v>8601.2999999999993</v>
      </c>
      <c r="AA24" s="65">
        <f t="shared" si="8"/>
        <v>0</v>
      </c>
    </row>
    <row r="25" spans="1:27" s="25" customFormat="1" x14ac:dyDescent="0.2">
      <c r="A25" s="35">
        <v>19</v>
      </c>
      <c r="B25" s="36">
        <v>110</v>
      </c>
      <c r="C25" s="37" t="s">
        <v>123</v>
      </c>
      <c r="D25" s="38">
        <v>1824.7</v>
      </c>
      <c r="E25" s="38"/>
      <c r="F25" s="30">
        <v>7487</v>
      </c>
      <c r="G25" s="30">
        <v>6956.1750000000002</v>
      </c>
      <c r="H25" s="38">
        <v>1287</v>
      </c>
      <c r="I25" s="38">
        <v>6287</v>
      </c>
      <c r="J25" s="38">
        <f t="shared" si="0"/>
        <v>5000</v>
      </c>
      <c r="K25" s="39">
        <f t="shared" si="1"/>
        <v>488.50038850038845</v>
      </c>
      <c r="L25" s="38"/>
      <c r="M25" s="38">
        <v>-3800</v>
      </c>
      <c r="N25" s="38">
        <f t="shared" si="2"/>
        <v>-3800</v>
      </c>
      <c r="O25" s="38">
        <v>-3800</v>
      </c>
      <c r="P25" s="38">
        <v>-3800</v>
      </c>
      <c r="Q25" s="38">
        <f t="shared" si="3"/>
        <v>0</v>
      </c>
      <c r="R25" s="39">
        <f t="shared" si="4"/>
        <v>100</v>
      </c>
      <c r="S25" s="38"/>
      <c r="T25" s="100">
        <v>637.29999999999995</v>
      </c>
      <c r="U25" s="40">
        <f t="shared" si="5"/>
        <v>-3162.7</v>
      </c>
      <c r="V25" s="40">
        <f t="shared" si="6"/>
        <v>637.29999999999995</v>
      </c>
      <c r="W25" s="44">
        <v>-3163.7</v>
      </c>
      <c r="X25" s="43">
        <v>5727.3</v>
      </c>
      <c r="Y25" s="43">
        <v>5727.3</v>
      </c>
      <c r="Z25" s="73">
        <f t="shared" si="7"/>
        <v>2564.6000000000004</v>
      </c>
      <c r="AA25" s="65">
        <f t="shared" si="8"/>
        <v>0</v>
      </c>
    </row>
    <row r="26" spans="1:27" s="25" customFormat="1" x14ac:dyDescent="0.2">
      <c r="A26" s="35">
        <v>19</v>
      </c>
      <c r="B26" s="36">
        <v>120</v>
      </c>
      <c r="C26" s="37" t="s">
        <v>124</v>
      </c>
      <c r="D26" s="38">
        <v>601.70000000000005</v>
      </c>
      <c r="E26" s="38"/>
      <c r="F26" s="30">
        <v>545</v>
      </c>
      <c r="G26" s="30">
        <v>444.99900000000002</v>
      </c>
      <c r="H26" s="38"/>
      <c r="I26" s="71">
        <v>600</v>
      </c>
      <c r="J26" s="38">
        <f t="shared" si="0"/>
        <v>600</v>
      </c>
      <c r="K26" s="39" t="str">
        <f t="shared" si="1"/>
        <v xml:space="preserve"> </v>
      </c>
      <c r="L26" s="38"/>
      <c r="M26" s="38"/>
      <c r="N26" s="38">
        <f t="shared" si="2"/>
        <v>0</v>
      </c>
      <c r="O26" s="38"/>
      <c r="P26" s="38"/>
      <c r="Q26" s="38">
        <f t="shared" si="3"/>
        <v>0</v>
      </c>
      <c r="R26" s="39" t="str">
        <f t="shared" si="4"/>
        <v xml:space="preserve"> </v>
      </c>
      <c r="S26" s="38"/>
      <c r="T26" s="100">
        <v>200</v>
      </c>
      <c r="U26" s="40">
        <f t="shared" si="5"/>
        <v>200</v>
      </c>
      <c r="V26" s="40">
        <f t="shared" si="6"/>
        <v>200</v>
      </c>
      <c r="W26" s="44">
        <v>20</v>
      </c>
      <c r="X26" s="44">
        <v>276.8</v>
      </c>
      <c r="Y26" s="44">
        <v>276.8</v>
      </c>
      <c r="Z26" s="54">
        <f t="shared" si="7"/>
        <v>476.8</v>
      </c>
      <c r="AA26" s="65">
        <f t="shared" si="8"/>
        <v>0</v>
      </c>
    </row>
    <row r="27" spans="1:27" s="25" customFormat="1" x14ac:dyDescent="0.2">
      <c r="A27" s="35">
        <v>19</v>
      </c>
      <c r="B27" s="36">
        <v>120</v>
      </c>
      <c r="C27" s="37" t="s">
        <v>165</v>
      </c>
      <c r="D27" s="38"/>
      <c r="E27" s="38"/>
      <c r="F27" s="30"/>
      <c r="G27" s="30"/>
      <c r="H27" s="38"/>
      <c r="I27" s="71"/>
      <c r="J27" s="38"/>
      <c r="K27" s="39"/>
      <c r="L27" s="38"/>
      <c r="M27" s="38">
        <v>3800</v>
      </c>
      <c r="N27" s="38">
        <f t="shared" si="2"/>
        <v>3800</v>
      </c>
      <c r="O27" s="38">
        <v>3800</v>
      </c>
      <c r="P27" s="38">
        <v>3800</v>
      </c>
      <c r="Q27" s="38">
        <f t="shared" si="3"/>
        <v>0</v>
      </c>
      <c r="R27" s="39">
        <f t="shared" si="4"/>
        <v>100</v>
      </c>
      <c r="S27" s="38"/>
      <c r="T27" s="38"/>
      <c r="U27" s="40">
        <f t="shared" si="5"/>
        <v>3800</v>
      </c>
      <c r="V27" s="40">
        <f t="shared" si="6"/>
        <v>0</v>
      </c>
      <c r="W27" s="44">
        <v>3800</v>
      </c>
      <c r="X27" s="44"/>
      <c r="Y27" s="44"/>
      <c r="Z27" s="54">
        <f t="shared" si="7"/>
        <v>3800</v>
      </c>
      <c r="AA27" s="65">
        <f t="shared" si="8"/>
        <v>0</v>
      </c>
    </row>
    <row r="28" spans="1:27" s="25" customFormat="1" x14ac:dyDescent="0.2">
      <c r="A28" s="35">
        <v>21</v>
      </c>
      <c r="B28" s="36">
        <v>110</v>
      </c>
      <c r="C28" s="37" t="s">
        <v>125</v>
      </c>
      <c r="D28" s="38">
        <v>244.5</v>
      </c>
      <c r="E28" s="38"/>
      <c r="F28" s="30"/>
      <c r="G28" s="38"/>
      <c r="H28" s="38"/>
      <c r="I28" s="38"/>
      <c r="J28" s="38">
        <f t="shared" si="0"/>
        <v>0</v>
      </c>
      <c r="K28" s="39" t="str">
        <f t="shared" si="1"/>
        <v xml:space="preserve"> </v>
      </c>
      <c r="L28" s="38"/>
      <c r="M28" s="38">
        <v>257.2</v>
      </c>
      <c r="N28" s="38">
        <f t="shared" si="2"/>
        <v>257.2</v>
      </c>
      <c r="O28" s="38">
        <v>257.2</v>
      </c>
      <c r="P28" s="38">
        <v>337.2</v>
      </c>
      <c r="Q28" s="38">
        <f t="shared" si="3"/>
        <v>80</v>
      </c>
      <c r="R28" s="39">
        <f t="shared" si="4"/>
        <v>131.10419906687403</v>
      </c>
      <c r="S28" s="38"/>
      <c r="T28" s="60">
        <v>80</v>
      </c>
      <c r="U28" s="40">
        <f t="shared" si="5"/>
        <v>337.2</v>
      </c>
      <c r="V28" s="40">
        <f t="shared" si="6"/>
        <v>80</v>
      </c>
      <c r="W28" s="44">
        <v>337.2</v>
      </c>
      <c r="X28" s="44"/>
      <c r="Y28" s="44"/>
      <c r="Z28" s="54">
        <f t="shared" si="7"/>
        <v>337.2</v>
      </c>
      <c r="AA28" s="65">
        <f t="shared" si="8"/>
        <v>0</v>
      </c>
    </row>
    <row r="29" spans="1:27" s="25" customFormat="1" x14ac:dyDescent="0.2">
      <c r="A29" s="35">
        <v>22</v>
      </c>
      <c r="B29" s="36">
        <v>110</v>
      </c>
      <c r="C29" s="37" t="s">
        <v>12</v>
      </c>
      <c r="D29" s="38">
        <v>12528.9</v>
      </c>
      <c r="E29" s="38">
        <v>15210</v>
      </c>
      <c r="F29" s="30">
        <v>19210</v>
      </c>
      <c r="G29" s="30">
        <v>16021.400369999999</v>
      </c>
      <c r="H29" s="38">
        <v>11744.7</v>
      </c>
      <c r="I29" s="38">
        <v>11345.1</v>
      </c>
      <c r="J29" s="38">
        <f t="shared" si="0"/>
        <v>-399.60000000000036</v>
      </c>
      <c r="K29" s="39">
        <f t="shared" si="1"/>
        <v>96.59761424302026</v>
      </c>
      <c r="L29" s="38">
        <v>16525.599999999999</v>
      </c>
      <c r="M29" s="38">
        <v>22525.599999999999</v>
      </c>
      <c r="N29" s="38">
        <f t="shared" si="2"/>
        <v>6000</v>
      </c>
      <c r="O29" s="38">
        <v>19242.2</v>
      </c>
      <c r="P29" s="38">
        <v>17158.099999999999</v>
      </c>
      <c r="Q29" s="38">
        <f t="shared" si="3"/>
        <v>-2084.1000000000022</v>
      </c>
      <c r="R29" s="39">
        <f t="shared" si="4"/>
        <v>89.169117876334298</v>
      </c>
      <c r="S29" s="38"/>
      <c r="T29" s="60">
        <v>4000</v>
      </c>
      <c r="U29" s="40">
        <f t="shared" si="5"/>
        <v>26525.599999999999</v>
      </c>
      <c r="V29" s="40">
        <f t="shared" si="6"/>
        <v>4000</v>
      </c>
      <c r="W29" s="44">
        <v>25293.200000000001</v>
      </c>
      <c r="X29" s="43">
        <v>241.9</v>
      </c>
      <c r="Y29" s="43">
        <v>241.9</v>
      </c>
      <c r="Z29" s="73">
        <f t="shared" si="7"/>
        <v>26767.5</v>
      </c>
      <c r="AA29" s="65">
        <f t="shared" si="8"/>
        <v>0</v>
      </c>
    </row>
    <row r="30" spans="1:27" s="25" customFormat="1" x14ac:dyDescent="0.2">
      <c r="A30" s="35">
        <v>22</v>
      </c>
      <c r="B30" s="36">
        <v>120</v>
      </c>
      <c r="C30" s="37" t="s">
        <v>13</v>
      </c>
      <c r="D30" s="38">
        <v>11470.7</v>
      </c>
      <c r="E30" s="38">
        <v>10450</v>
      </c>
      <c r="F30" s="30">
        <v>16050</v>
      </c>
      <c r="G30" s="30">
        <v>12509.306060000001</v>
      </c>
      <c r="H30" s="38">
        <v>8941.5</v>
      </c>
      <c r="I30" s="38">
        <v>8789.1</v>
      </c>
      <c r="J30" s="38">
        <f t="shared" si="0"/>
        <v>-152.39999999999964</v>
      </c>
      <c r="K30" s="39">
        <f t="shared" si="1"/>
        <v>98.29558798859253</v>
      </c>
      <c r="L30" s="38">
        <v>14342</v>
      </c>
      <c r="M30" s="38">
        <v>14342</v>
      </c>
      <c r="N30" s="38">
        <f t="shared" si="2"/>
        <v>0</v>
      </c>
      <c r="O30" s="38">
        <v>12404.2</v>
      </c>
      <c r="P30" s="38">
        <v>11281.6</v>
      </c>
      <c r="Q30" s="38">
        <f t="shared" si="3"/>
        <v>-1122.6000000000004</v>
      </c>
      <c r="R30" s="39">
        <f t="shared" si="4"/>
        <v>90.949839570468058</v>
      </c>
      <c r="S30" s="38"/>
      <c r="T30" s="60">
        <v>3199.6</v>
      </c>
      <c r="U30" s="40">
        <f t="shared" si="5"/>
        <v>17541.599999999999</v>
      </c>
      <c r="V30" s="40">
        <f t="shared" si="6"/>
        <v>3199.6</v>
      </c>
      <c r="W30" s="44">
        <v>16373.2</v>
      </c>
      <c r="X30" s="43">
        <v>474</v>
      </c>
      <c r="Y30" s="43">
        <v>474</v>
      </c>
      <c r="Z30" s="73">
        <f t="shared" si="7"/>
        <v>18015.599999999999</v>
      </c>
      <c r="AA30" s="65">
        <f t="shared" si="8"/>
        <v>0</v>
      </c>
    </row>
    <row r="31" spans="1:27" s="25" customFormat="1" x14ac:dyDescent="0.2">
      <c r="A31" s="35">
        <v>22</v>
      </c>
      <c r="B31" s="36">
        <v>210</v>
      </c>
      <c r="C31" s="37" t="s">
        <v>14</v>
      </c>
      <c r="D31" s="38">
        <v>860.7</v>
      </c>
      <c r="E31" s="38">
        <v>2326</v>
      </c>
      <c r="F31" s="30">
        <v>2326</v>
      </c>
      <c r="G31" s="30">
        <v>391.82620000000003</v>
      </c>
      <c r="H31" s="38">
        <v>1749.8</v>
      </c>
      <c r="I31" s="38">
        <v>295.10000000000002</v>
      </c>
      <c r="J31" s="38">
        <f t="shared" si="0"/>
        <v>-1454.6999999999998</v>
      </c>
      <c r="K31" s="39">
        <f t="shared" si="1"/>
        <v>16.86478454680535</v>
      </c>
      <c r="L31" s="38">
        <v>2326</v>
      </c>
      <c r="M31" s="38">
        <v>2326</v>
      </c>
      <c r="N31" s="38">
        <f t="shared" si="2"/>
        <v>0</v>
      </c>
      <c r="O31" s="38">
        <v>1596.8</v>
      </c>
      <c r="P31" s="38">
        <v>278</v>
      </c>
      <c r="Q31" s="38">
        <f t="shared" si="3"/>
        <v>-1318.8</v>
      </c>
      <c r="R31" s="39">
        <f t="shared" si="4"/>
        <v>17.409819639278556</v>
      </c>
      <c r="S31" s="38"/>
      <c r="T31" s="38"/>
      <c r="U31" s="40">
        <f t="shared" si="5"/>
        <v>2326</v>
      </c>
      <c r="V31" s="40">
        <f t="shared" si="6"/>
        <v>0</v>
      </c>
      <c r="W31" s="44">
        <v>413.7</v>
      </c>
      <c r="X31" s="43">
        <v>63.3</v>
      </c>
      <c r="Y31" s="43">
        <v>63.3</v>
      </c>
      <c r="Z31" s="73">
        <f t="shared" si="7"/>
        <v>2389.3000000000002</v>
      </c>
      <c r="AA31" s="65">
        <f t="shared" si="8"/>
        <v>0</v>
      </c>
    </row>
    <row r="32" spans="1:27" s="25" customFormat="1" x14ac:dyDescent="0.2">
      <c r="A32" s="35">
        <v>23</v>
      </c>
      <c r="B32" s="36">
        <v>110</v>
      </c>
      <c r="C32" s="37" t="s">
        <v>15</v>
      </c>
      <c r="D32" s="38">
        <v>73817.3</v>
      </c>
      <c r="E32" s="38">
        <v>84179.6</v>
      </c>
      <c r="F32" s="30">
        <v>80179.600000000006</v>
      </c>
      <c r="G32" s="30">
        <v>88401.195900000006</v>
      </c>
      <c r="H32" s="38">
        <v>59134.7</v>
      </c>
      <c r="I32" s="38">
        <v>62198.8</v>
      </c>
      <c r="J32" s="38">
        <f t="shared" si="0"/>
        <v>3064.1000000000058</v>
      </c>
      <c r="K32" s="39">
        <f t="shared" si="1"/>
        <v>105.18156006541</v>
      </c>
      <c r="L32" s="38">
        <v>80000</v>
      </c>
      <c r="M32" s="38">
        <v>80000</v>
      </c>
      <c r="N32" s="38">
        <f t="shared" si="2"/>
        <v>0</v>
      </c>
      <c r="O32" s="38">
        <v>57332.9</v>
      </c>
      <c r="P32" s="38">
        <v>59604.6</v>
      </c>
      <c r="Q32" s="38">
        <f t="shared" si="3"/>
        <v>2271.6999999999971</v>
      </c>
      <c r="R32" s="39">
        <f t="shared" si="4"/>
        <v>103.96229738945702</v>
      </c>
      <c r="S32" s="38"/>
      <c r="T32" s="60">
        <v>12000</v>
      </c>
      <c r="U32" s="40">
        <f t="shared" si="5"/>
        <v>92000</v>
      </c>
      <c r="V32" s="40">
        <f t="shared" si="6"/>
        <v>12000</v>
      </c>
      <c r="W32" s="44">
        <v>80847.199999999997</v>
      </c>
      <c r="X32" s="43">
        <v>113933.7</v>
      </c>
      <c r="Y32" s="43">
        <v>113933.7</v>
      </c>
      <c r="Z32" s="73">
        <f t="shared" si="7"/>
        <v>205933.7</v>
      </c>
      <c r="AA32" s="65">
        <f t="shared" si="8"/>
        <v>0</v>
      </c>
    </row>
    <row r="33" spans="1:27" s="25" customFormat="1" x14ac:dyDescent="0.2">
      <c r="A33" s="35">
        <v>23</v>
      </c>
      <c r="B33" s="36">
        <v>120</v>
      </c>
      <c r="C33" s="37" t="s">
        <v>16</v>
      </c>
      <c r="D33" s="38">
        <v>12698.7</v>
      </c>
      <c r="E33" s="38">
        <v>6373.1</v>
      </c>
      <c r="F33" s="30">
        <v>15373.1</v>
      </c>
      <c r="G33" s="30">
        <v>14765.693539999998</v>
      </c>
      <c r="H33" s="38">
        <v>7779.9</v>
      </c>
      <c r="I33" s="38">
        <v>9940.2999999999993</v>
      </c>
      <c r="J33" s="38">
        <f t="shared" si="0"/>
        <v>2160.3999999999996</v>
      </c>
      <c r="K33" s="39">
        <f t="shared" si="1"/>
        <v>127.76899446008304</v>
      </c>
      <c r="L33" s="38">
        <v>8000</v>
      </c>
      <c r="M33" s="38">
        <v>8000</v>
      </c>
      <c r="N33" s="38">
        <f t="shared" si="2"/>
        <v>0</v>
      </c>
      <c r="O33" s="38">
        <v>6037.2</v>
      </c>
      <c r="P33" s="38">
        <v>10745.7</v>
      </c>
      <c r="Q33" s="38">
        <f t="shared" si="3"/>
        <v>4708.5000000000009</v>
      </c>
      <c r="R33" s="39">
        <f t="shared" si="4"/>
        <v>177.991452991453</v>
      </c>
      <c r="S33" s="38"/>
      <c r="T33" s="60">
        <v>8000</v>
      </c>
      <c r="U33" s="40">
        <f t="shared" si="5"/>
        <v>16000</v>
      </c>
      <c r="V33" s="40">
        <f t="shared" si="6"/>
        <v>8000</v>
      </c>
      <c r="W33" s="44">
        <v>13236.1</v>
      </c>
      <c r="X33" s="43">
        <v>30872.6</v>
      </c>
      <c r="Y33" s="43">
        <v>30872.6</v>
      </c>
      <c r="Z33" s="73">
        <f t="shared" si="7"/>
        <v>46872.6</v>
      </c>
      <c r="AA33" s="65">
        <f t="shared" si="8"/>
        <v>0</v>
      </c>
    </row>
    <row r="34" spans="1:27" s="25" customFormat="1" x14ac:dyDescent="0.2">
      <c r="A34" s="35">
        <v>23</v>
      </c>
      <c r="B34" s="36">
        <v>140</v>
      </c>
      <c r="C34" s="37" t="s">
        <v>17</v>
      </c>
      <c r="D34" s="38">
        <v>157630.39999999999</v>
      </c>
      <c r="E34" s="38">
        <v>196110.5</v>
      </c>
      <c r="F34" s="30">
        <v>201110.5</v>
      </c>
      <c r="G34" s="30">
        <f>151879.9+107.9</f>
        <v>151987.79999999999</v>
      </c>
      <c r="H34" s="38">
        <v>152082.79999999999</v>
      </c>
      <c r="I34" s="38">
        <v>107.9</v>
      </c>
      <c r="J34" s="38">
        <f t="shared" si="0"/>
        <v>-151974.9</v>
      </c>
      <c r="K34" s="39">
        <f t="shared" si="1"/>
        <v>7.094819401010502E-2</v>
      </c>
      <c r="L34" s="38">
        <v>176300</v>
      </c>
      <c r="M34" s="38">
        <v>176300</v>
      </c>
      <c r="N34" s="38">
        <f t="shared" si="2"/>
        <v>0</v>
      </c>
      <c r="O34" s="38">
        <v>125866.9</v>
      </c>
      <c r="P34" s="38">
        <v>239</v>
      </c>
      <c r="Q34" s="38">
        <f t="shared" si="3"/>
        <v>-125627.9</v>
      </c>
      <c r="R34" s="39">
        <f t="shared" si="4"/>
        <v>0.1898831225683639</v>
      </c>
      <c r="S34" s="38"/>
      <c r="T34" s="38"/>
      <c r="U34" s="40">
        <f t="shared" si="5"/>
        <v>176300</v>
      </c>
      <c r="V34" s="40">
        <f t="shared" si="6"/>
        <v>0</v>
      </c>
      <c r="W34" s="44">
        <v>334.8</v>
      </c>
      <c r="X34" s="43">
        <v>206535.9</v>
      </c>
      <c r="Y34" s="43">
        <v>206535.9</v>
      </c>
      <c r="Z34" s="73">
        <f t="shared" si="7"/>
        <v>382835.9</v>
      </c>
      <c r="AA34" s="65">
        <f t="shared" si="8"/>
        <v>0</v>
      </c>
    </row>
    <row r="35" spans="1:27" s="25" customFormat="1" x14ac:dyDescent="0.2">
      <c r="A35" s="35">
        <v>23</v>
      </c>
      <c r="B35" s="36">
        <v>150</v>
      </c>
      <c r="C35" s="37" t="s">
        <v>18</v>
      </c>
      <c r="D35" s="38">
        <v>8030.6</v>
      </c>
      <c r="E35" s="38">
        <v>12500</v>
      </c>
      <c r="F35" s="30">
        <v>12500</v>
      </c>
      <c r="G35" s="30">
        <v>11729.007</v>
      </c>
      <c r="H35" s="38">
        <v>9375</v>
      </c>
      <c r="I35" s="38">
        <v>7697.2</v>
      </c>
      <c r="J35" s="38">
        <f t="shared" si="0"/>
        <v>-1677.8000000000002</v>
      </c>
      <c r="K35" s="39">
        <f t="shared" si="1"/>
        <v>82.103466666666662</v>
      </c>
      <c r="L35" s="38">
        <v>12700</v>
      </c>
      <c r="M35" s="38">
        <v>12700</v>
      </c>
      <c r="N35" s="38">
        <f t="shared" si="2"/>
        <v>0</v>
      </c>
      <c r="O35" s="38">
        <v>9530</v>
      </c>
      <c r="P35" s="38">
        <v>7352.6</v>
      </c>
      <c r="Q35" s="38">
        <f t="shared" si="3"/>
        <v>-2177.3999999999996</v>
      </c>
      <c r="R35" s="39">
        <f t="shared" si="4"/>
        <v>77.152151101783844</v>
      </c>
      <c r="S35" s="38"/>
      <c r="T35" s="41"/>
      <c r="U35" s="40">
        <f t="shared" si="5"/>
        <v>12700</v>
      </c>
      <c r="V35" s="40">
        <f t="shared" si="6"/>
        <v>0</v>
      </c>
      <c r="W35" s="44">
        <v>11926.4</v>
      </c>
      <c r="X35" s="43">
        <v>4361.1000000000004</v>
      </c>
      <c r="Y35" s="43">
        <v>4361.1000000000004</v>
      </c>
      <c r="Z35" s="73">
        <f t="shared" si="7"/>
        <v>17061.099999999999</v>
      </c>
      <c r="AA35" s="65">
        <f t="shared" si="8"/>
        <v>0</v>
      </c>
    </row>
    <row r="36" spans="1:27" s="25" customFormat="1" x14ac:dyDescent="0.2">
      <c r="A36" s="35">
        <v>24</v>
      </c>
      <c r="B36" s="36">
        <v>120</v>
      </c>
      <c r="C36" s="37" t="s">
        <v>22</v>
      </c>
      <c r="D36" s="38">
        <v>310195</v>
      </c>
      <c r="E36" s="38">
        <v>400000</v>
      </c>
      <c r="F36" s="30">
        <v>400000</v>
      </c>
      <c r="G36" s="28">
        <v>391718.5</v>
      </c>
      <c r="H36" s="38">
        <v>389867.3</v>
      </c>
      <c r="I36" s="38">
        <v>232317.6</v>
      </c>
      <c r="J36" s="38">
        <f t="shared" ref="J36:J37" si="16">I36-H36</f>
        <v>-157549.69999999998</v>
      </c>
      <c r="K36" s="39">
        <f t="shared" ref="K36:K37" si="17">IF(H36=0," ",I36/H36*100)</f>
        <v>59.588890886719661</v>
      </c>
      <c r="L36" s="38">
        <v>275323</v>
      </c>
      <c r="M36" s="38">
        <v>366600</v>
      </c>
      <c r="N36" s="38">
        <f t="shared" ref="N36:N37" si="18">M36-L36</f>
        <v>91277</v>
      </c>
      <c r="O36" s="38">
        <v>320870.7</v>
      </c>
      <c r="P36" s="38">
        <v>234345.7</v>
      </c>
      <c r="Q36" s="38">
        <f t="shared" ref="Q36:Q37" si="19">P36-O36</f>
        <v>-86525</v>
      </c>
      <c r="R36" s="39">
        <f t="shared" ref="R36:R37" si="20">IF(O36=0," ",P36/O36*100)</f>
        <v>73.034309458607467</v>
      </c>
      <c r="S36" s="38"/>
      <c r="T36" s="60">
        <v>20000</v>
      </c>
      <c r="U36" s="40">
        <f t="shared" si="5"/>
        <v>386600</v>
      </c>
      <c r="V36" s="40">
        <f t="shared" si="6"/>
        <v>20000</v>
      </c>
      <c r="W36" s="44">
        <v>402994.9</v>
      </c>
      <c r="X36" s="43">
        <v>50055.1</v>
      </c>
      <c r="Y36" s="43">
        <v>50055.1</v>
      </c>
      <c r="Z36" s="73">
        <f t="shared" si="7"/>
        <v>436655.1</v>
      </c>
      <c r="AA36" s="65">
        <f t="shared" si="8"/>
        <v>0</v>
      </c>
    </row>
    <row r="37" spans="1:27" s="25" customFormat="1" x14ac:dyDescent="0.2">
      <c r="A37" s="35">
        <v>24</v>
      </c>
      <c r="B37" s="36">
        <v>130</v>
      </c>
      <c r="C37" s="37" t="s">
        <v>23</v>
      </c>
      <c r="D37" s="38">
        <v>12495.6</v>
      </c>
      <c r="E37" s="38">
        <v>9050</v>
      </c>
      <c r="F37" s="30">
        <v>9850</v>
      </c>
      <c r="G37" s="28">
        <v>9853.4</v>
      </c>
      <c r="H37" s="38">
        <v>8210</v>
      </c>
      <c r="I37" s="38">
        <v>6797.7</v>
      </c>
      <c r="J37" s="38">
        <f t="shared" si="16"/>
        <v>-1412.3000000000002</v>
      </c>
      <c r="K37" s="39">
        <f t="shared" si="17"/>
        <v>82.797807551766141</v>
      </c>
      <c r="L37" s="38"/>
      <c r="M37" s="38">
        <v>9050</v>
      </c>
      <c r="N37" s="38">
        <f t="shared" si="18"/>
        <v>9050</v>
      </c>
      <c r="O37" s="38">
        <v>8210</v>
      </c>
      <c r="P37" s="38">
        <v>2173.9</v>
      </c>
      <c r="Q37" s="38">
        <f t="shared" si="19"/>
        <v>-6036.1</v>
      </c>
      <c r="R37" s="39">
        <f t="shared" si="20"/>
        <v>26.478684531059681</v>
      </c>
      <c r="S37" s="60">
        <v>-6000</v>
      </c>
      <c r="T37" s="38"/>
      <c r="U37" s="40">
        <f t="shared" si="5"/>
        <v>3050</v>
      </c>
      <c r="V37" s="40">
        <f t="shared" si="6"/>
        <v>-6000</v>
      </c>
      <c r="W37" s="44">
        <v>2803.9</v>
      </c>
      <c r="X37" s="75">
        <v>0</v>
      </c>
      <c r="Y37" s="75">
        <v>0</v>
      </c>
      <c r="Z37" s="73">
        <f t="shared" si="7"/>
        <v>3050</v>
      </c>
      <c r="AA37" s="65">
        <f t="shared" si="8"/>
        <v>0</v>
      </c>
    </row>
    <row r="38" spans="1:27" s="25" customFormat="1" x14ac:dyDescent="0.2">
      <c r="A38" s="35">
        <v>25</v>
      </c>
      <c r="B38" s="36">
        <v>110</v>
      </c>
      <c r="C38" s="37" t="s">
        <v>19</v>
      </c>
      <c r="D38" s="38">
        <v>35816.300000000003</v>
      </c>
      <c r="E38" s="38">
        <v>26727</v>
      </c>
      <c r="F38" s="30">
        <v>39603.199999999997</v>
      </c>
      <c r="G38" s="30">
        <v>35987.896280000001</v>
      </c>
      <c r="H38" s="38">
        <v>28002.6</v>
      </c>
      <c r="I38" s="38">
        <v>25493.5</v>
      </c>
      <c r="J38" s="38">
        <f t="shared" si="0"/>
        <v>-2509.0999999999985</v>
      </c>
      <c r="K38" s="39">
        <f t="shared" si="1"/>
        <v>91.039760593659167</v>
      </c>
      <c r="L38" s="38">
        <v>32321.5</v>
      </c>
      <c r="M38" s="38">
        <v>28534.1</v>
      </c>
      <c r="N38" s="38">
        <f t="shared" si="2"/>
        <v>-3787.4000000000015</v>
      </c>
      <c r="O38" s="38">
        <v>27787.1</v>
      </c>
      <c r="P38" s="38">
        <v>26494</v>
      </c>
      <c r="Q38" s="38">
        <f t="shared" si="3"/>
        <v>-1293.0999999999985</v>
      </c>
      <c r="R38" s="39">
        <f t="shared" si="4"/>
        <v>95.346401747573523</v>
      </c>
      <c r="S38" s="38"/>
      <c r="T38" s="38">
        <f>5916.093+8100</f>
        <v>14016.093000000001</v>
      </c>
      <c r="U38" s="40">
        <f>T38+S38+M38</f>
        <v>42550.192999999999</v>
      </c>
      <c r="V38" s="40">
        <f t="shared" si="6"/>
        <v>14016.093000000001</v>
      </c>
      <c r="W38" s="44">
        <v>35333</v>
      </c>
      <c r="X38" s="43">
        <v>593.9</v>
      </c>
      <c r="Y38" s="43">
        <v>593.9</v>
      </c>
      <c r="Z38" s="73">
        <f t="shared" si="7"/>
        <v>43144.093000000001</v>
      </c>
      <c r="AA38" s="65">
        <f t="shared" si="8"/>
        <v>0</v>
      </c>
    </row>
    <row r="39" spans="1:27" s="25" customFormat="1" x14ac:dyDescent="0.2">
      <c r="A39" s="35">
        <v>25</v>
      </c>
      <c r="B39" s="36">
        <v>120</v>
      </c>
      <c r="C39" s="37" t="s">
        <v>111</v>
      </c>
      <c r="D39" s="38">
        <v>218</v>
      </c>
      <c r="E39" s="38"/>
      <c r="F39" s="30">
        <v>1251.3</v>
      </c>
      <c r="G39" s="30">
        <v>1179.5680400000001</v>
      </c>
      <c r="H39" s="38">
        <v>1233.7</v>
      </c>
      <c r="I39" s="38">
        <v>1173.4000000000001</v>
      </c>
      <c r="J39" s="38">
        <f t="shared" si="0"/>
        <v>-60.299999999999955</v>
      </c>
      <c r="K39" s="39">
        <f t="shared" si="1"/>
        <v>95.112263921536851</v>
      </c>
      <c r="L39" s="38"/>
      <c r="M39" s="38">
        <v>3154</v>
      </c>
      <c r="N39" s="38">
        <f t="shared" si="2"/>
        <v>3154</v>
      </c>
      <c r="O39" s="38">
        <v>3154</v>
      </c>
      <c r="P39" s="38">
        <v>3154</v>
      </c>
      <c r="Q39" s="38">
        <f t="shared" si="3"/>
        <v>0</v>
      </c>
      <c r="R39" s="39">
        <f t="shared" si="4"/>
        <v>100</v>
      </c>
      <c r="S39" s="38"/>
      <c r="T39" s="38"/>
      <c r="U39" s="40">
        <f t="shared" si="5"/>
        <v>3154</v>
      </c>
      <c r="V39" s="40">
        <f t="shared" si="6"/>
        <v>0</v>
      </c>
      <c r="W39" s="44">
        <v>3154</v>
      </c>
      <c r="X39" s="43"/>
      <c r="Y39" s="43"/>
      <c r="Z39" s="73">
        <f t="shared" si="7"/>
        <v>3154</v>
      </c>
      <c r="AA39" s="65">
        <f t="shared" si="8"/>
        <v>0</v>
      </c>
    </row>
    <row r="40" spans="1:27" s="25" customFormat="1" x14ac:dyDescent="0.2">
      <c r="A40" s="35">
        <v>25</v>
      </c>
      <c r="B40" s="36">
        <v>220</v>
      </c>
      <c r="C40" s="37" t="s">
        <v>20</v>
      </c>
      <c r="D40" s="38">
        <v>2198.6</v>
      </c>
      <c r="E40" s="38">
        <v>1120</v>
      </c>
      <c r="F40" s="30">
        <v>2752</v>
      </c>
      <c r="G40" s="30">
        <v>2378.7644100000002</v>
      </c>
      <c r="H40" s="38">
        <v>2567.4</v>
      </c>
      <c r="I40" s="38">
        <v>1841.2</v>
      </c>
      <c r="J40" s="38">
        <f t="shared" si="0"/>
        <v>-726.2</v>
      </c>
      <c r="K40" s="39">
        <f t="shared" si="1"/>
        <v>71.714575056477372</v>
      </c>
      <c r="L40" s="38">
        <v>1800</v>
      </c>
      <c r="M40" s="38">
        <v>2006.43</v>
      </c>
      <c r="N40" s="38">
        <f t="shared" si="2"/>
        <v>206.43000000000006</v>
      </c>
      <c r="O40" s="38">
        <v>1934.9</v>
      </c>
      <c r="P40" s="38">
        <v>2161.6999999999998</v>
      </c>
      <c r="Q40" s="38">
        <f t="shared" si="3"/>
        <v>226.79999999999973</v>
      </c>
      <c r="R40" s="39">
        <f t="shared" si="4"/>
        <v>111.72153599669232</v>
      </c>
      <c r="S40" s="38"/>
      <c r="T40" s="101">
        <f>1000+700</f>
        <v>1700</v>
      </c>
      <c r="U40" s="40">
        <f t="shared" si="5"/>
        <v>3706.4300000000003</v>
      </c>
      <c r="V40" s="40">
        <f t="shared" si="6"/>
        <v>1700</v>
      </c>
      <c r="W40" s="44">
        <v>3132.2</v>
      </c>
      <c r="X40" s="43">
        <v>275.2</v>
      </c>
      <c r="Y40" s="43">
        <v>275.2</v>
      </c>
      <c r="Z40" s="73">
        <f t="shared" si="7"/>
        <v>3981.63</v>
      </c>
      <c r="AA40" s="65">
        <f t="shared" si="8"/>
        <v>0</v>
      </c>
    </row>
    <row r="41" spans="1:27" s="25" customFormat="1" x14ac:dyDescent="0.2">
      <c r="A41" s="35">
        <v>25</v>
      </c>
      <c r="B41" s="36">
        <v>310</v>
      </c>
      <c r="C41" s="37" t="s">
        <v>112</v>
      </c>
      <c r="D41" s="38">
        <v>677</v>
      </c>
      <c r="E41" s="38"/>
      <c r="F41" s="30">
        <v>705.6</v>
      </c>
      <c r="G41" s="30">
        <v>705.48400000000004</v>
      </c>
      <c r="H41" s="38">
        <v>477.7</v>
      </c>
      <c r="I41" s="38">
        <v>447.6</v>
      </c>
      <c r="J41" s="38">
        <f t="shared" si="0"/>
        <v>-30.099999999999966</v>
      </c>
      <c r="K41" s="39">
        <f t="shared" si="1"/>
        <v>93.698974251622374</v>
      </c>
      <c r="L41" s="38"/>
      <c r="M41" s="38">
        <v>427</v>
      </c>
      <c r="N41" s="38">
        <f t="shared" si="2"/>
        <v>427</v>
      </c>
      <c r="O41" s="38">
        <v>427</v>
      </c>
      <c r="P41" s="38">
        <v>427</v>
      </c>
      <c r="Q41" s="38">
        <f t="shared" si="3"/>
        <v>0</v>
      </c>
      <c r="R41" s="39">
        <f t="shared" si="4"/>
        <v>100</v>
      </c>
      <c r="S41" s="38"/>
      <c r="T41" s="38"/>
      <c r="U41" s="40">
        <f t="shared" si="5"/>
        <v>427</v>
      </c>
      <c r="V41" s="40">
        <f t="shared" si="6"/>
        <v>0</v>
      </c>
      <c r="W41" s="44">
        <v>427</v>
      </c>
      <c r="X41" s="43"/>
      <c r="Y41" s="43"/>
      <c r="Z41" s="73">
        <f t="shared" si="7"/>
        <v>427</v>
      </c>
      <c r="AA41" s="65">
        <f t="shared" si="8"/>
        <v>0</v>
      </c>
    </row>
    <row r="42" spans="1:27" s="25" customFormat="1" x14ac:dyDescent="0.2">
      <c r="A42" s="35">
        <v>26</v>
      </c>
      <c r="B42" s="36">
        <v>640</v>
      </c>
      <c r="C42" s="37" t="s">
        <v>157</v>
      </c>
      <c r="D42" s="38"/>
      <c r="E42" s="38"/>
      <c r="F42" s="30"/>
      <c r="G42" s="30">
        <v>2000</v>
      </c>
      <c r="H42" s="38"/>
      <c r="I42" s="38"/>
      <c r="J42" s="38">
        <f t="shared" si="0"/>
        <v>0</v>
      </c>
      <c r="K42" s="39" t="str">
        <f t="shared" si="1"/>
        <v xml:space="preserve"> </v>
      </c>
      <c r="L42" s="38"/>
      <c r="M42" s="38">
        <v>348300</v>
      </c>
      <c r="N42" s="38">
        <f t="shared" si="2"/>
        <v>348300</v>
      </c>
      <c r="O42" s="38">
        <v>348300</v>
      </c>
      <c r="P42" s="38">
        <v>343603</v>
      </c>
      <c r="Q42" s="38">
        <f t="shared" si="3"/>
        <v>-4697</v>
      </c>
      <c r="R42" s="39">
        <f t="shared" si="4"/>
        <v>98.651449899511917</v>
      </c>
      <c r="S42" s="38"/>
      <c r="T42" s="38"/>
      <c r="U42" s="40">
        <f t="shared" si="5"/>
        <v>348300</v>
      </c>
      <c r="V42" s="40">
        <f t="shared" si="6"/>
        <v>0</v>
      </c>
      <c r="W42" s="44">
        <v>343603</v>
      </c>
      <c r="X42" s="43">
        <v>2000</v>
      </c>
      <c r="Y42" s="43">
        <v>2000</v>
      </c>
      <c r="Z42" s="73">
        <f t="shared" si="7"/>
        <v>350300</v>
      </c>
      <c r="AA42" s="65">
        <f t="shared" si="8"/>
        <v>0</v>
      </c>
    </row>
    <row r="43" spans="1:27" s="25" customFormat="1" x14ac:dyDescent="0.2">
      <c r="A43" s="35">
        <v>26</v>
      </c>
      <c r="B43" s="36">
        <v>651</v>
      </c>
      <c r="C43" s="37" t="s">
        <v>127</v>
      </c>
      <c r="D43" s="38"/>
      <c r="E43" s="38"/>
      <c r="F43" s="30">
        <v>24700</v>
      </c>
      <c r="G43" s="30">
        <v>24700</v>
      </c>
      <c r="H43" s="38">
        <v>24700</v>
      </c>
      <c r="I43" s="38">
        <v>24700</v>
      </c>
      <c r="J43" s="38">
        <f t="shared" si="0"/>
        <v>0</v>
      </c>
      <c r="K43" s="39">
        <f t="shared" si="1"/>
        <v>100</v>
      </c>
      <c r="L43" s="38"/>
      <c r="M43" s="38">
        <v>2970</v>
      </c>
      <c r="N43" s="38">
        <f t="shared" si="2"/>
        <v>2970</v>
      </c>
      <c r="O43" s="38">
        <v>2970</v>
      </c>
      <c r="P43" s="38">
        <v>542.5</v>
      </c>
      <c r="Q43" s="38">
        <f t="shared" si="3"/>
        <v>-2427.5</v>
      </c>
      <c r="R43" s="39">
        <f t="shared" si="4"/>
        <v>18.265993265993266</v>
      </c>
      <c r="S43" s="38"/>
      <c r="T43" s="38"/>
      <c r="U43" s="40">
        <f t="shared" si="5"/>
        <v>2970</v>
      </c>
      <c r="V43" s="40">
        <f t="shared" si="6"/>
        <v>0</v>
      </c>
      <c r="W43" s="44">
        <v>2512.5</v>
      </c>
      <c r="X43" s="44">
        <v>363.5</v>
      </c>
      <c r="Y43" s="44">
        <v>363.5</v>
      </c>
      <c r="Z43" s="73">
        <f t="shared" si="7"/>
        <v>3333.5</v>
      </c>
      <c r="AA43" s="65">
        <f t="shared" si="8"/>
        <v>0</v>
      </c>
    </row>
    <row r="44" spans="1:27" s="25" customFormat="1" x14ac:dyDescent="0.2">
      <c r="A44" s="35">
        <v>26</v>
      </c>
      <c r="B44" s="36">
        <v>720</v>
      </c>
      <c r="C44" s="37" t="s">
        <v>110</v>
      </c>
      <c r="D44" s="38">
        <v>3250.8</v>
      </c>
      <c r="E44" s="38"/>
      <c r="F44" s="28">
        <v>1482.9</v>
      </c>
      <c r="G44" s="30">
        <v>952.30000000001201</v>
      </c>
      <c r="H44" s="38">
        <v>1033.5999999999999</v>
      </c>
      <c r="I44" s="38">
        <v>457.5</v>
      </c>
      <c r="J44" s="38">
        <f t="shared" si="0"/>
        <v>-576.09999999999991</v>
      </c>
      <c r="K44" s="39">
        <f t="shared" si="1"/>
        <v>44.262770897832823</v>
      </c>
      <c r="L44" s="38"/>
      <c r="M44" s="38">
        <v>634.1</v>
      </c>
      <c r="N44" s="38">
        <f t="shared" si="2"/>
        <v>634.1</v>
      </c>
      <c r="O44" s="38">
        <v>465.8</v>
      </c>
      <c r="P44" s="38">
        <v>438.2</v>
      </c>
      <c r="Q44" s="38">
        <f t="shared" si="3"/>
        <v>-27.600000000000023</v>
      </c>
      <c r="R44" s="39">
        <f t="shared" si="4"/>
        <v>94.074710176041208</v>
      </c>
      <c r="S44" s="38"/>
      <c r="T44" s="60">
        <f>247.8+183</f>
        <v>430.8</v>
      </c>
      <c r="U44" s="40">
        <f t="shared" si="5"/>
        <v>1064.9000000000001</v>
      </c>
      <c r="V44" s="40">
        <f t="shared" si="6"/>
        <v>430.8</v>
      </c>
      <c r="W44" s="44">
        <v>1117.8</v>
      </c>
      <c r="X44" s="75">
        <v>688</v>
      </c>
      <c r="Y44" s="75">
        <v>688</v>
      </c>
      <c r="Z44" s="73">
        <f t="shared" si="7"/>
        <v>1752.9</v>
      </c>
      <c r="AA44" s="65">
        <f t="shared" si="8"/>
        <v>0</v>
      </c>
    </row>
    <row r="45" spans="1:27" s="25" customFormat="1" x14ac:dyDescent="0.2">
      <c r="A45" s="35">
        <v>26</v>
      </c>
      <c r="B45" s="36">
        <v>730</v>
      </c>
      <c r="C45" s="37" t="s">
        <v>21</v>
      </c>
      <c r="D45" s="38">
        <v>2744.9</v>
      </c>
      <c r="E45" s="38">
        <v>2187.9</v>
      </c>
      <c r="F45" s="30">
        <v>3864.8</v>
      </c>
      <c r="G45" s="30">
        <v>4980.6544100000001</v>
      </c>
      <c r="H45" s="38">
        <v>3662.1</v>
      </c>
      <c r="I45" s="38">
        <v>3271.7</v>
      </c>
      <c r="J45" s="38">
        <f t="shared" si="0"/>
        <v>-390.40000000000009</v>
      </c>
      <c r="K45" s="39">
        <f t="shared" si="1"/>
        <v>89.339450042325439</v>
      </c>
      <c r="L45" s="38"/>
      <c r="M45" s="38">
        <v>1672.6</v>
      </c>
      <c r="N45" s="38">
        <f t="shared" si="2"/>
        <v>1672.6</v>
      </c>
      <c r="O45" s="38">
        <v>1630.3</v>
      </c>
      <c r="P45" s="38">
        <v>2350.6</v>
      </c>
      <c r="Q45" s="38">
        <f t="shared" si="3"/>
        <v>720.3</v>
      </c>
      <c r="R45" s="39">
        <f t="shared" si="4"/>
        <v>144.182052382997</v>
      </c>
      <c r="S45" s="38"/>
      <c r="T45" s="60">
        <f>170+190</f>
        <v>360</v>
      </c>
      <c r="U45" s="40">
        <f>T45+S45+M45</f>
        <v>2032.6</v>
      </c>
      <c r="V45" s="40">
        <f t="shared" si="6"/>
        <v>360</v>
      </c>
      <c r="W45" s="44">
        <v>2300.8000000000002</v>
      </c>
      <c r="X45" s="43">
        <v>1565.6</v>
      </c>
      <c r="Y45" s="43">
        <v>1565.6</v>
      </c>
      <c r="Z45" s="73">
        <f t="shared" si="7"/>
        <v>3598.2</v>
      </c>
      <c r="AA45" s="65">
        <f t="shared" si="8"/>
        <v>0</v>
      </c>
    </row>
    <row r="46" spans="1:27" s="25" customFormat="1" x14ac:dyDescent="0.2">
      <c r="A46" s="35">
        <v>27</v>
      </c>
      <c r="B46" s="36">
        <v>120</v>
      </c>
      <c r="C46" s="37" t="s">
        <v>24</v>
      </c>
      <c r="D46" s="38">
        <v>7509.4</v>
      </c>
      <c r="E46" s="38">
        <v>9500</v>
      </c>
      <c r="F46" s="30">
        <v>6500</v>
      </c>
      <c r="G46" s="30">
        <v>5515.2734600000003</v>
      </c>
      <c r="H46" s="38">
        <v>8391.5</v>
      </c>
      <c r="I46" s="38">
        <v>4443.8999999999996</v>
      </c>
      <c r="J46" s="38">
        <f t="shared" si="0"/>
        <v>-3947.6000000000004</v>
      </c>
      <c r="K46" s="39">
        <f t="shared" si="1"/>
        <v>52.957159029970803</v>
      </c>
      <c r="L46" s="38">
        <v>9000</v>
      </c>
      <c r="M46" s="38">
        <v>9000</v>
      </c>
      <c r="N46" s="38">
        <f t="shared" si="2"/>
        <v>0</v>
      </c>
      <c r="O46" s="38">
        <v>7800</v>
      </c>
      <c r="P46" s="38">
        <v>4791.8999999999996</v>
      </c>
      <c r="Q46" s="38">
        <f t="shared" si="3"/>
        <v>-3008.1000000000004</v>
      </c>
      <c r="R46" s="39">
        <f t="shared" si="4"/>
        <v>61.434615384615377</v>
      </c>
      <c r="S46" s="38"/>
      <c r="T46" s="41"/>
      <c r="U46" s="40">
        <f t="shared" ref="U46:U77" si="21">T46+S46+M46</f>
        <v>9000</v>
      </c>
      <c r="V46" s="40">
        <f t="shared" si="6"/>
        <v>0</v>
      </c>
      <c r="W46" s="44">
        <v>6434.9</v>
      </c>
      <c r="X46" s="43">
        <v>86.5</v>
      </c>
      <c r="Y46" s="43">
        <v>86.5</v>
      </c>
      <c r="Z46" s="73">
        <f t="shared" si="7"/>
        <v>9086.5</v>
      </c>
      <c r="AA46" s="65">
        <f t="shared" si="8"/>
        <v>0</v>
      </c>
    </row>
    <row r="47" spans="1:27" s="25" customFormat="1" x14ac:dyDescent="0.2">
      <c r="A47" s="35">
        <v>28</v>
      </c>
      <c r="B47" s="36">
        <v>220</v>
      </c>
      <c r="C47" s="37" t="s">
        <v>161</v>
      </c>
      <c r="D47" s="38"/>
      <c r="E47" s="38"/>
      <c r="F47" s="30"/>
      <c r="G47" s="30"/>
      <c r="H47" s="38"/>
      <c r="I47" s="38"/>
      <c r="J47" s="38"/>
      <c r="K47" s="39"/>
      <c r="L47" s="38"/>
      <c r="M47" s="38">
        <v>453.2</v>
      </c>
      <c r="N47" s="38">
        <f t="shared" si="2"/>
        <v>453.2</v>
      </c>
      <c r="O47" s="38">
        <v>162.30000000000001</v>
      </c>
      <c r="P47" s="38"/>
      <c r="Q47" s="38">
        <f t="shared" ref="Q47" si="22">P47-O47</f>
        <v>-162.30000000000001</v>
      </c>
      <c r="R47" s="39">
        <f t="shared" ref="R47" si="23">IF(O47=0," ",P47/O47*100)</f>
        <v>0</v>
      </c>
      <c r="S47" s="38"/>
      <c r="T47" s="41"/>
      <c r="U47" s="40">
        <f t="shared" si="21"/>
        <v>453.2</v>
      </c>
      <c r="V47" s="40">
        <f t="shared" si="6"/>
        <v>0</v>
      </c>
      <c r="W47" s="44">
        <v>180</v>
      </c>
      <c r="X47" s="43"/>
      <c r="Y47" s="43"/>
      <c r="Z47" s="73">
        <f t="shared" si="7"/>
        <v>453.2</v>
      </c>
      <c r="AA47" s="65">
        <f t="shared" si="8"/>
        <v>0</v>
      </c>
    </row>
    <row r="48" spans="1:27" s="25" customFormat="1" x14ac:dyDescent="0.2">
      <c r="A48" s="35">
        <v>28</v>
      </c>
      <c r="B48" s="36">
        <v>320</v>
      </c>
      <c r="C48" s="37" t="s">
        <v>109</v>
      </c>
      <c r="D48" s="38"/>
      <c r="E48" s="38"/>
      <c r="F48" s="30">
        <v>700</v>
      </c>
      <c r="G48" s="30">
        <v>794.36685999999997</v>
      </c>
      <c r="H48" s="38">
        <v>385</v>
      </c>
      <c r="I48" s="38">
        <v>374.9</v>
      </c>
      <c r="J48" s="38">
        <f t="shared" si="0"/>
        <v>-10.100000000000023</v>
      </c>
      <c r="K48" s="39">
        <f t="shared" si="1"/>
        <v>97.376623376623371</v>
      </c>
      <c r="L48" s="38">
        <v>800</v>
      </c>
      <c r="M48" s="38">
        <v>1300.8</v>
      </c>
      <c r="N48" s="38">
        <f t="shared" si="2"/>
        <v>500.79999999999995</v>
      </c>
      <c r="O48" s="38">
        <v>844</v>
      </c>
      <c r="P48" s="38">
        <v>1012.5</v>
      </c>
      <c r="Q48" s="38">
        <f t="shared" si="3"/>
        <v>168.5</v>
      </c>
      <c r="R48" s="39">
        <f t="shared" si="4"/>
        <v>119.96445497630333</v>
      </c>
      <c r="S48" s="38"/>
      <c r="T48" s="60">
        <f>288.1+300</f>
        <v>588.1</v>
      </c>
      <c r="U48" s="40">
        <f t="shared" si="21"/>
        <v>1888.9</v>
      </c>
      <c r="V48" s="40">
        <f t="shared" si="6"/>
        <v>588.1</v>
      </c>
      <c r="W48" s="44">
        <v>1855</v>
      </c>
      <c r="X48" s="43">
        <v>206.5</v>
      </c>
      <c r="Y48" s="43">
        <v>206.5</v>
      </c>
      <c r="Z48" s="73">
        <f t="shared" si="7"/>
        <v>2095.4</v>
      </c>
      <c r="AA48" s="65">
        <f t="shared" si="8"/>
        <v>0</v>
      </c>
    </row>
    <row r="49" spans="1:27" s="25" customFormat="1" x14ac:dyDescent="0.2">
      <c r="A49" s="35">
        <v>28</v>
      </c>
      <c r="B49" s="36">
        <v>420</v>
      </c>
      <c r="C49" s="37" t="s">
        <v>25</v>
      </c>
      <c r="D49" s="38">
        <v>639.29999999999995</v>
      </c>
      <c r="E49" s="38">
        <v>960.6</v>
      </c>
      <c r="F49" s="30">
        <v>1140.3</v>
      </c>
      <c r="G49" s="30">
        <v>1111.07727</v>
      </c>
      <c r="H49" s="38">
        <v>900.1</v>
      </c>
      <c r="I49" s="38">
        <v>915.8</v>
      </c>
      <c r="J49" s="38">
        <f t="shared" si="0"/>
        <v>15.699999999999932</v>
      </c>
      <c r="K49" s="39">
        <f t="shared" si="1"/>
        <v>101.74425063881792</v>
      </c>
      <c r="L49" s="38">
        <v>980</v>
      </c>
      <c r="M49" s="38">
        <v>1500</v>
      </c>
      <c r="N49" s="38">
        <f t="shared" si="2"/>
        <v>520</v>
      </c>
      <c r="O49" s="38">
        <v>972</v>
      </c>
      <c r="P49" s="38">
        <v>1429.1</v>
      </c>
      <c r="Q49" s="38">
        <f t="shared" si="3"/>
        <v>457.09999999999991</v>
      </c>
      <c r="R49" s="39">
        <f t="shared" si="4"/>
        <v>147.0267489711934</v>
      </c>
      <c r="S49" s="38"/>
      <c r="T49" s="38">
        <v>500</v>
      </c>
      <c r="U49" s="40">
        <f t="shared" si="21"/>
        <v>2000</v>
      </c>
      <c r="V49" s="40">
        <f t="shared" si="6"/>
        <v>500</v>
      </c>
      <c r="W49" s="44">
        <v>2018.8</v>
      </c>
      <c r="X49" s="43">
        <v>205.73</v>
      </c>
      <c r="Y49" s="43">
        <v>205.73</v>
      </c>
      <c r="Z49" s="73">
        <f t="shared" si="7"/>
        <v>2205.73</v>
      </c>
      <c r="AA49" s="65">
        <f t="shared" si="8"/>
        <v>0</v>
      </c>
    </row>
    <row r="50" spans="1:27" s="25" customFormat="1" x14ac:dyDescent="0.2">
      <c r="A50" s="35">
        <v>28</v>
      </c>
      <c r="B50" s="36">
        <v>610</v>
      </c>
      <c r="C50" s="37" t="s">
        <v>107</v>
      </c>
      <c r="D50" s="38">
        <v>11828.7</v>
      </c>
      <c r="E50" s="38"/>
      <c r="F50" s="30">
        <v>3880.9</v>
      </c>
      <c r="G50" s="30">
        <v>3880.89248</v>
      </c>
      <c r="H50" s="38">
        <v>3880.9</v>
      </c>
      <c r="I50" s="38">
        <v>3880.9</v>
      </c>
      <c r="J50" s="38">
        <f t="shared" si="0"/>
        <v>0</v>
      </c>
      <c r="K50" s="39">
        <f t="shared" si="1"/>
        <v>100</v>
      </c>
      <c r="L50" s="38"/>
      <c r="M50" s="38"/>
      <c r="N50" s="38">
        <f t="shared" si="2"/>
        <v>0</v>
      </c>
      <c r="O50" s="38"/>
      <c r="P50" s="38"/>
      <c r="Q50" s="38">
        <f t="shared" si="3"/>
        <v>0</v>
      </c>
      <c r="R50" s="39" t="str">
        <f t="shared" si="4"/>
        <v xml:space="preserve"> </v>
      </c>
      <c r="S50" s="38"/>
      <c r="T50" s="38"/>
      <c r="U50" s="40">
        <f t="shared" si="21"/>
        <v>0</v>
      </c>
      <c r="V50" s="40">
        <f t="shared" si="6"/>
        <v>0</v>
      </c>
      <c r="W50" s="44"/>
      <c r="X50" s="43"/>
      <c r="Y50" s="43"/>
      <c r="Z50" s="73">
        <f t="shared" si="7"/>
        <v>0</v>
      </c>
      <c r="AA50" s="65">
        <f t="shared" si="8"/>
        <v>0</v>
      </c>
    </row>
    <row r="51" spans="1:27" s="25" customFormat="1" x14ac:dyDescent="0.2">
      <c r="A51" s="35">
        <v>28</v>
      </c>
      <c r="B51" s="36">
        <v>620</v>
      </c>
      <c r="C51" s="37" t="s">
        <v>108</v>
      </c>
      <c r="D51" s="38">
        <v>644.20000000000005</v>
      </c>
      <c r="E51" s="38"/>
      <c r="F51" s="30">
        <v>137.4</v>
      </c>
      <c r="G51" s="30">
        <v>137.36392999999998</v>
      </c>
      <c r="H51" s="38">
        <v>137.4</v>
      </c>
      <c r="I51" s="38">
        <v>137.4</v>
      </c>
      <c r="J51" s="38">
        <f t="shared" si="0"/>
        <v>0</v>
      </c>
      <c r="K51" s="39">
        <f t="shared" si="1"/>
        <v>100</v>
      </c>
      <c r="L51" s="38"/>
      <c r="M51" s="38"/>
      <c r="N51" s="38">
        <f t="shared" si="2"/>
        <v>0</v>
      </c>
      <c r="O51" s="38"/>
      <c r="P51" s="38"/>
      <c r="Q51" s="38">
        <f t="shared" si="3"/>
        <v>0</v>
      </c>
      <c r="R51" s="39" t="str">
        <f t="shared" si="4"/>
        <v xml:space="preserve"> </v>
      </c>
      <c r="S51" s="38"/>
      <c r="T51" s="38"/>
      <c r="U51" s="40">
        <f t="shared" si="21"/>
        <v>0</v>
      </c>
      <c r="V51" s="40">
        <f t="shared" si="6"/>
        <v>0</v>
      </c>
      <c r="W51" s="44"/>
      <c r="X51" s="43"/>
      <c r="Y51" s="43"/>
      <c r="Z51" s="73">
        <f t="shared" si="7"/>
        <v>0</v>
      </c>
      <c r="AA51" s="65">
        <f t="shared" si="8"/>
        <v>0</v>
      </c>
    </row>
    <row r="52" spans="1:27" s="25" customFormat="1" x14ac:dyDescent="0.2">
      <c r="A52" s="35">
        <v>29</v>
      </c>
      <c r="B52" s="36">
        <v>110</v>
      </c>
      <c r="C52" s="37" t="s">
        <v>159</v>
      </c>
      <c r="D52" s="38"/>
      <c r="E52" s="38"/>
      <c r="F52" s="30"/>
      <c r="G52" s="30"/>
      <c r="H52" s="38"/>
      <c r="I52" s="38"/>
      <c r="J52" s="38"/>
      <c r="K52" s="39" t="str">
        <f t="shared" si="1"/>
        <v xml:space="preserve"> </v>
      </c>
      <c r="L52" s="38"/>
      <c r="M52" s="38">
        <v>300</v>
      </c>
      <c r="N52" s="38">
        <f t="shared" si="2"/>
        <v>300</v>
      </c>
      <c r="O52" s="38">
        <v>227.5</v>
      </c>
      <c r="P52" s="38">
        <v>300</v>
      </c>
      <c r="Q52" s="38">
        <f t="shared" si="3"/>
        <v>72.5</v>
      </c>
      <c r="R52" s="39">
        <f t="shared" si="4"/>
        <v>131.86813186813185</v>
      </c>
      <c r="S52" s="38"/>
      <c r="T52" s="38"/>
      <c r="U52" s="40">
        <f t="shared" si="21"/>
        <v>300</v>
      </c>
      <c r="V52" s="40">
        <f t="shared" si="6"/>
        <v>0</v>
      </c>
      <c r="W52" s="44">
        <v>300</v>
      </c>
      <c r="X52" s="43"/>
      <c r="Y52" s="43"/>
      <c r="Z52" s="73">
        <f t="shared" si="7"/>
        <v>300</v>
      </c>
      <c r="AA52" s="65">
        <f t="shared" si="8"/>
        <v>0</v>
      </c>
    </row>
    <row r="53" spans="1:27" s="25" customFormat="1" x14ac:dyDescent="0.2">
      <c r="A53" s="35">
        <v>29</v>
      </c>
      <c r="B53" s="36">
        <v>120</v>
      </c>
      <c r="C53" s="37" t="s">
        <v>160</v>
      </c>
      <c r="D53" s="38"/>
      <c r="E53" s="38"/>
      <c r="F53" s="30"/>
      <c r="G53" s="30"/>
      <c r="H53" s="38"/>
      <c r="I53" s="38"/>
      <c r="J53" s="38"/>
      <c r="K53" s="39" t="str">
        <f t="shared" si="1"/>
        <v xml:space="preserve"> </v>
      </c>
      <c r="L53" s="38"/>
      <c r="M53" s="38">
        <v>625.79999999999995</v>
      </c>
      <c r="N53" s="38">
        <f t="shared" si="2"/>
        <v>625.79999999999995</v>
      </c>
      <c r="O53" s="38">
        <v>522.29999999999995</v>
      </c>
      <c r="P53" s="38">
        <v>775.6</v>
      </c>
      <c r="Q53" s="38">
        <f t="shared" si="3"/>
        <v>253.30000000000007</v>
      </c>
      <c r="R53" s="39">
        <f t="shared" si="4"/>
        <v>148.49703235688304</v>
      </c>
      <c r="S53" s="38"/>
      <c r="T53" s="60">
        <f>515.4+3260.1</f>
        <v>3775.5</v>
      </c>
      <c r="U53" s="40">
        <f t="shared" si="21"/>
        <v>4401.3</v>
      </c>
      <c r="V53" s="40">
        <f t="shared" si="6"/>
        <v>3775.5</v>
      </c>
      <c r="W53" s="44">
        <v>3323</v>
      </c>
      <c r="X53" s="43"/>
      <c r="Y53" s="43"/>
      <c r="Z53" s="73">
        <f t="shared" si="7"/>
        <v>4401.3</v>
      </c>
      <c r="AA53" s="65">
        <f t="shared" si="8"/>
        <v>0</v>
      </c>
    </row>
    <row r="54" spans="1:27" s="25" customFormat="1" x14ac:dyDescent="0.2">
      <c r="A54" s="35">
        <v>30</v>
      </c>
      <c r="B54" s="36">
        <v>110</v>
      </c>
      <c r="C54" s="37" t="s">
        <v>26</v>
      </c>
      <c r="D54" s="38">
        <v>11865.6</v>
      </c>
      <c r="E54" s="38">
        <v>9836.6</v>
      </c>
      <c r="F54" s="30">
        <v>9836.6</v>
      </c>
      <c r="G54" s="30">
        <v>8773.1</v>
      </c>
      <c r="H54" s="38">
        <v>7877.6</v>
      </c>
      <c r="I54" s="38">
        <v>4246.1000000000004</v>
      </c>
      <c r="J54" s="38">
        <f t="shared" si="0"/>
        <v>-3631.5</v>
      </c>
      <c r="K54" s="39">
        <f t="shared" si="1"/>
        <v>53.900934294709046</v>
      </c>
      <c r="L54" s="38">
        <v>4000</v>
      </c>
      <c r="M54" s="38">
        <v>4000</v>
      </c>
      <c r="N54" s="38">
        <f t="shared" si="2"/>
        <v>0</v>
      </c>
      <c r="O54" s="38">
        <v>3500</v>
      </c>
      <c r="P54" s="38">
        <v>1582</v>
      </c>
      <c r="Q54" s="38">
        <f t="shared" si="3"/>
        <v>-1918</v>
      </c>
      <c r="R54" s="39">
        <f t="shared" si="4"/>
        <v>45.2</v>
      </c>
      <c r="S54" s="38"/>
      <c r="T54" s="41"/>
      <c r="U54" s="40">
        <f t="shared" si="21"/>
        <v>4000</v>
      </c>
      <c r="V54" s="40">
        <f t="shared" si="6"/>
        <v>0</v>
      </c>
      <c r="W54" s="44">
        <v>2951.4</v>
      </c>
      <c r="X54" s="43"/>
      <c r="Y54" s="43"/>
      <c r="Z54" s="73">
        <f t="shared" si="7"/>
        <v>4000</v>
      </c>
      <c r="AA54" s="65">
        <f t="shared" si="8"/>
        <v>0</v>
      </c>
    </row>
    <row r="55" spans="1:27" s="25" customFormat="1" x14ac:dyDescent="0.2">
      <c r="A55" s="35">
        <v>30</v>
      </c>
      <c r="B55" s="36">
        <v>120</v>
      </c>
      <c r="C55" s="37" t="s">
        <v>27</v>
      </c>
      <c r="D55" s="38">
        <v>326697.59999999998</v>
      </c>
      <c r="E55" s="38">
        <v>342778.1</v>
      </c>
      <c r="F55" s="30">
        <v>726991.3</v>
      </c>
      <c r="G55" s="30">
        <v>746218.5</v>
      </c>
      <c r="H55" s="38">
        <v>624496.19999999995</v>
      </c>
      <c r="I55" s="38">
        <v>622809.69999999995</v>
      </c>
      <c r="J55" s="38">
        <f t="shared" si="0"/>
        <v>-1686.5</v>
      </c>
      <c r="K55" s="39">
        <f t="shared" si="1"/>
        <v>99.729942311898782</v>
      </c>
      <c r="L55" s="38">
        <v>444039.8</v>
      </c>
      <c r="M55" s="38">
        <v>545101.69999999995</v>
      </c>
      <c r="N55" s="38">
        <f t="shared" si="2"/>
        <v>101061.89999999997</v>
      </c>
      <c r="O55" s="38">
        <v>509614</v>
      </c>
      <c r="P55" s="38">
        <v>499765.2</v>
      </c>
      <c r="Q55" s="38">
        <f t="shared" si="3"/>
        <v>-9848.7999999999884</v>
      </c>
      <c r="R55" s="39">
        <f t="shared" si="4"/>
        <v>98.067400032181212</v>
      </c>
      <c r="S55" s="38">
        <v>-1677.1</v>
      </c>
      <c r="T55" s="60">
        <f>28550+14700</f>
        <v>43250</v>
      </c>
      <c r="U55" s="40">
        <f t="shared" si="21"/>
        <v>586674.6</v>
      </c>
      <c r="V55" s="40">
        <f t="shared" si="6"/>
        <v>41572.9</v>
      </c>
      <c r="W55" s="44">
        <f>650288.7-W56-W57</f>
        <v>614021.39999999991</v>
      </c>
      <c r="X55" s="44">
        <v>95099</v>
      </c>
      <c r="Y55" s="44">
        <v>95099</v>
      </c>
      <c r="Z55" s="73">
        <f t="shared" si="7"/>
        <v>681773.6</v>
      </c>
      <c r="AA55" s="65">
        <f t="shared" si="8"/>
        <v>0</v>
      </c>
    </row>
    <row r="56" spans="1:27" s="25" customFormat="1" x14ac:dyDescent="0.2">
      <c r="A56" s="35">
        <v>30</v>
      </c>
      <c r="B56" s="36">
        <v>120</v>
      </c>
      <c r="C56" s="37" t="s">
        <v>29</v>
      </c>
      <c r="D56" s="38">
        <v>13518</v>
      </c>
      <c r="E56" s="38">
        <v>16310.4</v>
      </c>
      <c r="F56" s="30">
        <v>24674.799999999999</v>
      </c>
      <c r="G56" s="30">
        <v>21524.1</v>
      </c>
      <c r="H56" s="38">
        <v>23061.9</v>
      </c>
      <c r="I56" s="38">
        <f>2816.9+15820.8</f>
        <v>18637.7</v>
      </c>
      <c r="J56" s="38">
        <f t="shared" ref="J56" si="24">I56-H56</f>
        <v>-4424.2000000000007</v>
      </c>
      <c r="K56" s="39">
        <f t="shared" ref="K56" si="25">IF(H56=0," ",I56/H56*100)</f>
        <v>80.815977868258898</v>
      </c>
      <c r="L56" s="38">
        <v>19450</v>
      </c>
      <c r="M56" s="38">
        <v>22615</v>
      </c>
      <c r="N56" s="38">
        <f t="shared" ref="N56" si="26">M56-L56</f>
        <v>3165</v>
      </c>
      <c r="O56" s="38">
        <v>21509</v>
      </c>
      <c r="P56" s="38">
        <v>17185</v>
      </c>
      <c r="Q56" s="38">
        <f t="shared" ref="Q56" si="27">P56-O56</f>
        <v>-4324</v>
      </c>
      <c r="R56" s="39">
        <f t="shared" ref="R56" si="28">IF(O56=0," ",P56/O56*100)</f>
        <v>79.896787391324565</v>
      </c>
      <c r="S56" s="38"/>
      <c r="T56" s="38">
        <f>677.1+900</f>
        <v>1577.1</v>
      </c>
      <c r="U56" s="40">
        <f t="shared" ref="U56" si="29">T56+S56+M56</f>
        <v>24192.1</v>
      </c>
      <c r="V56" s="40">
        <f t="shared" si="6"/>
        <v>1577.1</v>
      </c>
      <c r="W56" s="44">
        <v>19043.5</v>
      </c>
      <c r="X56" s="44">
        <v>1115.04</v>
      </c>
      <c r="Y56" s="44">
        <v>1115.04</v>
      </c>
      <c r="Z56" s="73">
        <f t="shared" ref="Z56" si="30">X56+U56</f>
        <v>25307.14</v>
      </c>
      <c r="AA56" s="65">
        <f t="shared" si="8"/>
        <v>0</v>
      </c>
    </row>
    <row r="57" spans="1:27" s="25" customFormat="1" x14ac:dyDescent="0.2">
      <c r="A57" s="35">
        <v>30</v>
      </c>
      <c r="B57" s="36">
        <v>120</v>
      </c>
      <c r="C57" s="37" t="s">
        <v>28</v>
      </c>
      <c r="D57" s="38">
        <v>11327.6</v>
      </c>
      <c r="E57" s="38">
        <v>15872.3</v>
      </c>
      <c r="F57" s="30">
        <v>34464.5</v>
      </c>
      <c r="G57" s="30">
        <v>28921</v>
      </c>
      <c r="H57" s="38">
        <v>25851.7</v>
      </c>
      <c r="I57" s="38">
        <v>18408.400000000001</v>
      </c>
      <c r="J57" s="38">
        <f t="shared" si="0"/>
        <v>-7443.2999999999993</v>
      </c>
      <c r="K57" s="39">
        <f t="shared" si="1"/>
        <v>71.2076962056654</v>
      </c>
      <c r="L57" s="38">
        <v>7250</v>
      </c>
      <c r="M57" s="38">
        <v>19687</v>
      </c>
      <c r="N57" s="38">
        <f t="shared" si="2"/>
        <v>12437</v>
      </c>
      <c r="O57" s="38">
        <v>18395.5</v>
      </c>
      <c r="P57" s="38">
        <v>11885.7</v>
      </c>
      <c r="Q57" s="38">
        <f t="shared" si="3"/>
        <v>-6509.7999999999993</v>
      </c>
      <c r="R57" s="39">
        <f t="shared" si="4"/>
        <v>64.611997499388437</v>
      </c>
      <c r="S57" s="38"/>
      <c r="T57" s="38">
        <f>1000+4550</f>
        <v>5550</v>
      </c>
      <c r="U57" s="40">
        <f t="shared" si="21"/>
        <v>25237</v>
      </c>
      <c r="V57" s="40">
        <f t="shared" si="6"/>
        <v>5550</v>
      </c>
      <c r="W57" s="44">
        <v>17223.8</v>
      </c>
      <c r="X57" s="44">
        <v>284</v>
      </c>
      <c r="Y57" s="44">
        <v>284</v>
      </c>
      <c r="Z57" s="73">
        <f t="shared" si="7"/>
        <v>25521</v>
      </c>
      <c r="AA57" s="65">
        <f t="shared" si="8"/>
        <v>0</v>
      </c>
    </row>
    <row r="58" spans="1:27" s="25" customFormat="1" x14ac:dyDescent="0.2">
      <c r="A58" s="35">
        <v>32</v>
      </c>
      <c r="B58" s="36">
        <v>120</v>
      </c>
      <c r="C58" s="37" t="s">
        <v>30</v>
      </c>
      <c r="D58" s="38">
        <v>12063.4</v>
      </c>
      <c r="E58" s="38">
        <v>30065.7</v>
      </c>
      <c r="F58" s="30">
        <v>30065.7</v>
      </c>
      <c r="G58" s="28">
        <v>34704.699569999997</v>
      </c>
      <c r="H58" s="38">
        <v>22571.3</v>
      </c>
      <c r="I58" s="38">
        <v>22424.9</v>
      </c>
      <c r="J58" s="38">
        <f t="shared" si="0"/>
        <v>-146.39999999999782</v>
      </c>
      <c r="K58" s="39">
        <f t="shared" si="1"/>
        <v>99.351388710442038</v>
      </c>
      <c r="L58" s="38">
        <v>19667.5</v>
      </c>
      <c r="M58" s="38">
        <v>24232.799999999999</v>
      </c>
      <c r="N58" s="38">
        <f t="shared" si="2"/>
        <v>4565.2999999999993</v>
      </c>
      <c r="O58" s="38">
        <v>19604.7</v>
      </c>
      <c r="P58" s="38">
        <v>15374.3</v>
      </c>
      <c r="Q58" s="38">
        <f t="shared" si="3"/>
        <v>-4230.4000000000015</v>
      </c>
      <c r="R58" s="39">
        <f t="shared" si="4"/>
        <v>78.421500966604938</v>
      </c>
      <c r="S58" s="38"/>
      <c r="T58" s="60">
        <f>5300+5197.3</f>
        <v>10497.3</v>
      </c>
      <c r="U58" s="40">
        <f t="shared" si="21"/>
        <v>34730.1</v>
      </c>
      <c r="V58" s="40">
        <f t="shared" si="6"/>
        <v>10497.3</v>
      </c>
      <c r="W58" s="44">
        <f>28969.4-W59-W60</f>
        <v>28041.100000000002</v>
      </c>
      <c r="X58" s="44">
        <v>12526</v>
      </c>
      <c r="Y58" s="44">
        <v>12526</v>
      </c>
      <c r="Z58" s="73">
        <f t="shared" si="7"/>
        <v>47256.1</v>
      </c>
      <c r="AA58" s="65">
        <f t="shared" si="8"/>
        <v>0</v>
      </c>
    </row>
    <row r="59" spans="1:27" s="25" customFormat="1" x14ac:dyDescent="0.2">
      <c r="A59" s="35">
        <v>32</v>
      </c>
      <c r="B59" s="36">
        <v>120</v>
      </c>
      <c r="C59" s="37" t="s">
        <v>31</v>
      </c>
      <c r="D59" s="38">
        <v>649.5</v>
      </c>
      <c r="E59" s="38">
        <v>950.9</v>
      </c>
      <c r="F59" s="30">
        <v>950.9</v>
      </c>
      <c r="G59" s="30">
        <v>835.1</v>
      </c>
      <c r="H59" s="38">
        <v>719.6</v>
      </c>
      <c r="I59" s="38">
        <v>512</v>
      </c>
      <c r="J59" s="38">
        <f t="shared" si="0"/>
        <v>-207.60000000000002</v>
      </c>
      <c r="K59" s="39">
        <f t="shared" si="1"/>
        <v>71.150639244024461</v>
      </c>
      <c r="L59" s="38">
        <v>998.4</v>
      </c>
      <c r="M59" s="38">
        <v>998.4</v>
      </c>
      <c r="N59" s="38">
        <f t="shared" si="2"/>
        <v>0</v>
      </c>
      <c r="O59" s="38">
        <v>747.9</v>
      </c>
      <c r="P59" s="38">
        <v>391.7</v>
      </c>
      <c r="Q59" s="38">
        <f t="shared" si="3"/>
        <v>-356.2</v>
      </c>
      <c r="R59" s="39">
        <f t="shared" si="4"/>
        <v>52.373311940098944</v>
      </c>
      <c r="S59" s="38"/>
      <c r="T59" s="38"/>
      <c r="U59" s="40">
        <f t="shared" si="21"/>
        <v>998.4</v>
      </c>
      <c r="V59" s="40">
        <f t="shared" si="6"/>
        <v>0</v>
      </c>
      <c r="W59" s="44">
        <v>650.6</v>
      </c>
      <c r="X59" s="43">
        <v>214</v>
      </c>
      <c r="Y59" s="43">
        <v>214</v>
      </c>
      <c r="Z59" s="73">
        <f t="shared" si="7"/>
        <v>1212.4000000000001</v>
      </c>
      <c r="AA59" s="65">
        <f t="shared" si="8"/>
        <v>0</v>
      </c>
    </row>
    <row r="60" spans="1:27" s="25" customFormat="1" x14ac:dyDescent="0.2">
      <c r="A60" s="35">
        <v>32</v>
      </c>
      <c r="B60" s="36">
        <v>120</v>
      </c>
      <c r="C60" s="37" t="s">
        <v>32</v>
      </c>
      <c r="D60" s="38">
        <v>290.89999999999998</v>
      </c>
      <c r="E60" s="38">
        <v>1088.3</v>
      </c>
      <c r="F60" s="30">
        <v>1088.3</v>
      </c>
      <c r="G60" s="30">
        <v>266.89999999999998</v>
      </c>
      <c r="H60" s="38">
        <v>880.1</v>
      </c>
      <c r="I60" s="38">
        <v>168.9</v>
      </c>
      <c r="J60" s="38">
        <f t="shared" si="0"/>
        <v>-711.2</v>
      </c>
      <c r="K60" s="39">
        <f t="shared" si="1"/>
        <v>19.191001022611069</v>
      </c>
      <c r="L60" s="38">
        <v>914.2</v>
      </c>
      <c r="M60" s="38">
        <v>914.2</v>
      </c>
      <c r="N60" s="38">
        <f t="shared" si="2"/>
        <v>0</v>
      </c>
      <c r="O60" s="38">
        <v>865.5</v>
      </c>
      <c r="P60" s="38">
        <v>249.5</v>
      </c>
      <c r="Q60" s="38">
        <f t="shared" si="3"/>
        <v>-616</v>
      </c>
      <c r="R60" s="39">
        <f t="shared" si="4"/>
        <v>28.827267475447716</v>
      </c>
      <c r="S60" s="38"/>
      <c r="T60" s="38"/>
      <c r="U60" s="40">
        <f t="shared" si="21"/>
        <v>914.2</v>
      </c>
      <c r="V60" s="40">
        <f t="shared" si="6"/>
        <v>0</v>
      </c>
      <c r="W60" s="44">
        <v>277.7</v>
      </c>
      <c r="X60" s="43">
        <v>1.4</v>
      </c>
      <c r="Y60" s="43">
        <v>1.4</v>
      </c>
      <c r="Z60" s="73">
        <f t="shared" si="7"/>
        <v>915.6</v>
      </c>
      <c r="AA60" s="65">
        <f t="shared" si="8"/>
        <v>0</v>
      </c>
    </row>
    <row r="61" spans="1:27" s="25" customFormat="1" x14ac:dyDescent="0.2">
      <c r="A61" s="35">
        <v>32</v>
      </c>
      <c r="B61" s="36">
        <v>320</v>
      </c>
      <c r="C61" s="37" t="s">
        <v>33</v>
      </c>
      <c r="D61" s="38">
        <v>114.2</v>
      </c>
      <c r="E61" s="38">
        <v>375</v>
      </c>
      <c r="F61" s="30">
        <v>425</v>
      </c>
      <c r="G61" s="30">
        <v>425.24819000000002</v>
      </c>
      <c r="H61" s="38">
        <v>281.2</v>
      </c>
      <c r="I61" s="38">
        <v>136.19999999999999</v>
      </c>
      <c r="J61" s="38">
        <f t="shared" si="0"/>
        <v>-145</v>
      </c>
      <c r="K61" s="39">
        <f t="shared" si="1"/>
        <v>48.435277382645801</v>
      </c>
      <c r="L61" s="38">
        <v>375</v>
      </c>
      <c r="M61" s="38">
        <v>375</v>
      </c>
      <c r="N61" s="38">
        <f t="shared" si="2"/>
        <v>0</v>
      </c>
      <c r="O61" s="38">
        <v>266.2</v>
      </c>
      <c r="P61" s="38">
        <v>46.1</v>
      </c>
      <c r="Q61" s="38">
        <f t="shared" si="3"/>
        <v>-220.1</v>
      </c>
      <c r="R61" s="39">
        <f t="shared" si="4"/>
        <v>17.31780616078137</v>
      </c>
      <c r="S61" s="38"/>
      <c r="T61" s="38"/>
      <c r="U61" s="40">
        <f t="shared" si="21"/>
        <v>375</v>
      </c>
      <c r="V61" s="40">
        <f t="shared" si="6"/>
        <v>0</v>
      </c>
      <c r="W61" s="44">
        <v>78.099999999999994</v>
      </c>
      <c r="X61" s="43">
        <v>0</v>
      </c>
      <c r="Y61" s="43">
        <v>0</v>
      </c>
      <c r="Z61" s="73">
        <f t="shared" si="7"/>
        <v>375</v>
      </c>
      <c r="AA61" s="65">
        <f t="shared" si="8"/>
        <v>0</v>
      </c>
    </row>
    <row r="62" spans="1:27" s="25" customFormat="1" x14ac:dyDescent="0.2">
      <c r="A62" s="35">
        <v>33</v>
      </c>
      <c r="B62" s="36">
        <v>110</v>
      </c>
      <c r="C62" s="37" t="s">
        <v>122</v>
      </c>
      <c r="D62" s="38">
        <v>13678.7</v>
      </c>
      <c r="E62" s="38"/>
      <c r="F62" s="30">
        <v>4420</v>
      </c>
      <c r="G62" s="30">
        <v>3953.5319</v>
      </c>
      <c r="H62" s="38">
        <v>1920</v>
      </c>
      <c r="I62" s="38">
        <v>3523.4</v>
      </c>
      <c r="J62" s="38">
        <f t="shared" si="0"/>
        <v>1603.4</v>
      </c>
      <c r="K62" s="39">
        <f t="shared" si="1"/>
        <v>183.51041666666669</v>
      </c>
      <c r="L62" s="38">
        <v>2000</v>
      </c>
      <c r="M62" s="38">
        <v>2000</v>
      </c>
      <c r="N62" s="38">
        <f t="shared" si="2"/>
        <v>0</v>
      </c>
      <c r="O62" s="38">
        <v>1917.5</v>
      </c>
      <c r="P62" s="38">
        <v>2456.1</v>
      </c>
      <c r="Q62" s="38">
        <f t="shared" si="3"/>
        <v>538.59999999999991</v>
      </c>
      <c r="R62" s="39">
        <f t="shared" si="4"/>
        <v>128.08865710560627</v>
      </c>
      <c r="S62" s="38"/>
      <c r="T62" s="60">
        <f>1000+2200</f>
        <v>3200</v>
      </c>
      <c r="U62" s="40">
        <f t="shared" si="21"/>
        <v>5200</v>
      </c>
      <c r="V62" s="40">
        <f>T62+S62</f>
        <v>3200</v>
      </c>
      <c r="W62" s="44">
        <v>8112.1</v>
      </c>
      <c r="X62" s="43">
        <v>233.3</v>
      </c>
      <c r="Y62" s="43">
        <v>233.3</v>
      </c>
      <c r="Z62" s="73">
        <f t="shared" si="7"/>
        <v>5433.3</v>
      </c>
      <c r="AA62" s="65">
        <f t="shared" si="8"/>
        <v>0</v>
      </c>
    </row>
    <row r="63" spans="1:27" s="25" customFormat="1" x14ac:dyDescent="0.2">
      <c r="A63" s="35">
        <v>33</v>
      </c>
      <c r="B63" s="36">
        <v>120</v>
      </c>
      <c r="C63" s="37" t="s">
        <v>34</v>
      </c>
      <c r="D63" s="38">
        <v>43862</v>
      </c>
      <c r="E63" s="38">
        <v>18822.599999999999</v>
      </c>
      <c r="F63" s="30">
        <v>47822.6</v>
      </c>
      <c r="G63" s="30">
        <v>40802.100000000006</v>
      </c>
      <c r="H63" s="38">
        <v>41833.1</v>
      </c>
      <c r="I63" s="38">
        <v>26743.200000000001</v>
      </c>
      <c r="J63" s="38">
        <f t="shared" si="0"/>
        <v>-15089.899999999998</v>
      </c>
      <c r="K63" s="39">
        <f t="shared" si="1"/>
        <v>63.928324699819051</v>
      </c>
      <c r="L63" s="38">
        <v>40000</v>
      </c>
      <c r="M63" s="38">
        <v>35716.400000000001</v>
      </c>
      <c r="N63" s="38">
        <f t="shared" si="2"/>
        <v>-4283.5999999999985</v>
      </c>
      <c r="O63" s="38">
        <v>30430.1</v>
      </c>
      <c r="P63" s="38">
        <v>23497</v>
      </c>
      <c r="Q63" s="38">
        <f t="shared" si="3"/>
        <v>-6933.0999999999985</v>
      </c>
      <c r="R63" s="39">
        <f t="shared" si="4"/>
        <v>77.216308852090535</v>
      </c>
      <c r="S63" s="38"/>
      <c r="T63" s="60">
        <f>1500</f>
        <v>1500</v>
      </c>
      <c r="U63" s="40">
        <f t="shared" si="21"/>
        <v>37216.400000000001</v>
      </c>
      <c r="V63" s="40">
        <f t="shared" si="6"/>
        <v>1500</v>
      </c>
      <c r="W63" s="44">
        <f>57511.8-W64-W65</f>
        <v>36889.9</v>
      </c>
      <c r="X63" s="43">
        <v>5096.3999999999996</v>
      </c>
      <c r="Y63" s="43">
        <v>5096.3999999999996</v>
      </c>
      <c r="Z63" s="73">
        <f t="shared" si="7"/>
        <v>42312.800000000003</v>
      </c>
      <c r="AA63" s="65">
        <f t="shared" si="8"/>
        <v>0</v>
      </c>
    </row>
    <row r="64" spans="1:27" s="25" customFormat="1" x14ac:dyDescent="0.2">
      <c r="A64" s="35">
        <v>33</v>
      </c>
      <c r="B64" s="36">
        <v>120</v>
      </c>
      <c r="C64" s="37" t="s">
        <v>36</v>
      </c>
      <c r="D64" s="38">
        <v>16586.7</v>
      </c>
      <c r="E64" s="38">
        <v>7976.9</v>
      </c>
      <c r="F64" s="30">
        <v>18496.900000000001</v>
      </c>
      <c r="G64" s="30">
        <v>15553.3</v>
      </c>
      <c r="H64" s="38">
        <v>16077.1</v>
      </c>
      <c r="I64" s="38">
        <f>4156.5+1539.6+7678.1</f>
        <v>13374.2</v>
      </c>
      <c r="J64" s="38">
        <f t="shared" si="0"/>
        <v>-2702.8999999999996</v>
      </c>
      <c r="K64" s="39">
        <f t="shared" si="1"/>
        <v>83.187888362951028</v>
      </c>
      <c r="L64" s="38">
        <v>15000</v>
      </c>
      <c r="M64" s="38">
        <v>19390</v>
      </c>
      <c r="N64" s="38">
        <f t="shared" si="2"/>
        <v>4390</v>
      </c>
      <c r="O64" s="38">
        <v>17126.8</v>
      </c>
      <c r="P64" s="38">
        <v>15795.9</v>
      </c>
      <c r="Q64" s="38">
        <f t="shared" si="3"/>
        <v>-1330.8999999999996</v>
      </c>
      <c r="R64" s="39">
        <f t="shared" si="4"/>
        <v>92.229137959221802</v>
      </c>
      <c r="S64" s="38"/>
      <c r="T64" s="60">
        <v>2000</v>
      </c>
      <c r="U64" s="40">
        <f t="shared" si="21"/>
        <v>21390</v>
      </c>
      <c r="V64" s="40">
        <f t="shared" si="6"/>
        <v>2000</v>
      </c>
      <c r="W64" s="44">
        <v>19533.400000000001</v>
      </c>
      <c r="X64" s="43">
        <v>1127.4000000000001</v>
      </c>
      <c r="Y64" s="43">
        <v>1127.4000000000001</v>
      </c>
      <c r="Z64" s="73">
        <f t="shared" si="7"/>
        <v>22517.4</v>
      </c>
      <c r="AA64" s="65">
        <f t="shared" si="8"/>
        <v>0</v>
      </c>
    </row>
    <row r="65" spans="1:27" s="25" customFormat="1" x14ac:dyDescent="0.2">
      <c r="A65" s="35">
        <v>33</v>
      </c>
      <c r="B65" s="36">
        <v>120</v>
      </c>
      <c r="C65" s="37" t="s">
        <v>106</v>
      </c>
      <c r="D65" s="38">
        <v>1922</v>
      </c>
      <c r="E65" s="38"/>
      <c r="F65" s="30">
        <v>2080</v>
      </c>
      <c r="G65" s="30">
        <v>1546.5</v>
      </c>
      <c r="H65" s="38">
        <v>2080</v>
      </c>
      <c r="I65" s="38">
        <v>886.1</v>
      </c>
      <c r="J65" s="38">
        <f t="shared" si="0"/>
        <v>-1193.9000000000001</v>
      </c>
      <c r="K65" s="39">
        <f t="shared" si="1"/>
        <v>42.60096153846154</v>
      </c>
      <c r="L65" s="38">
        <v>1500</v>
      </c>
      <c r="M65" s="38">
        <v>1880</v>
      </c>
      <c r="N65" s="38">
        <f t="shared" si="2"/>
        <v>380</v>
      </c>
      <c r="O65" s="38">
        <v>1480</v>
      </c>
      <c r="P65" s="38">
        <v>803.9</v>
      </c>
      <c r="Q65" s="38">
        <f t="shared" si="3"/>
        <v>-676.1</v>
      </c>
      <c r="R65" s="39">
        <f t="shared" si="4"/>
        <v>54.317567567567572</v>
      </c>
      <c r="S65" s="38"/>
      <c r="T65" s="38"/>
      <c r="U65" s="40">
        <f t="shared" si="21"/>
        <v>1880</v>
      </c>
      <c r="V65" s="40">
        <f t="shared" si="6"/>
        <v>0</v>
      </c>
      <c r="W65" s="44">
        <v>1088.5</v>
      </c>
      <c r="X65" s="43">
        <v>412.6</v>
      </c>
      <c r="Y65" s="43">
        <v>412.6</v>
      </c>
      <c r="Z65" s="73">
        <f t="shared" si="7"/>
        <v>2292.6</v>
      </c>
      <c r="AA65" s="65">
        <f t="shared" si="8"/>
        <v>0</v>
      </c>
    </row>
    <row r="66" spans="1:27" s="25" customFormat="1" x14ac:dyDescent="0.2">
      <c r="A66" s="35">
        <v>33</v>
      </c>
      <c r="B66" s="36">
        <v>220</v>
      </c>
      <c r="C66" s="37" t="s">
        <v>37</v>
      </c>
      <c r="D66" s="38">
        <v>5349.9</v>
      </c>
      <c r="E66" s="38">
        <v>5000</v>
      </c>
      <c r="F66" s="30">
        <v>6327.8</v>
      </c>
      <c r="G66" s="30">
        <v>6502.95082</v>
      </c>
      <c r="H66" s="38">
        <v>3795.2</v>
      </c>
      <c r="I66" s="38">
        <v>4737.7</v>
      </c>
      <c r="J66" s="38">
        <f t="shared" si="0"/>
        <v>942.5</v>
      </c>
      <c r="K66" s="39">
        <f t="shared" si="1"/>
        <v>124.83400084317032</v>
      </c>
      <c r="L66" s="38">
        <v>2538.1</v>
      </c>
      <c r="M66" s="38">
        <v>1612.2</v>
      </c>
      <c r="N66" s="38">
        <f t="shared" si="2"/>
        <v>-925.89999999999986</v>
      </c>
      <c r="O66" s="38">
        <v>1612.2</v>
      </c>
      <c r="P66" s="38">
        <v>1612.2</v>
      </c>
      <c r="Q66" s="38">
        <f t="shared" si="3"/>
        <v>0</v>
      </c>
      <c r="R66" s="39">
        <f t="shared" si="4"/>
        <v>100</v>
      </c>
      <c r="S66" s="38"/>
      <c r="T66" s="38"/>
      <c r="U66" s="40">
        <f t="shared" si="21"/>
        <v>1612.2</v>
      </c>
      <c r="V66" s="40">
        <f t="shared" si="6"/>
        <v>0</v>
      </c>
      <c r="W66" s="44">
        <v>1612.2</v>
      </c>
      <c r="X66" s="43">
        <v>176.3</v>
      </c>
      <c r="Y66" s="43">
        <v>176.3</v>
      </c>
      <c r="Z66" s="73">
        <f t="shared" si="7"/>
        <v>1788.5</v>
      </c>
      <c r="AA66" s="65">
        <f t="shared" si="8"/>
        <v>0</v>
      </c>
    </row>
    <row r="67" spans="1:27" s="25" customFormat="1" x14ac:dyDescent="0.2">
      <c r="A67" s="35">
        <v>33</v>
      </c>
      <c r="B67" s="36">
        <v>320</v>
      </c>
      <c r="C67" s="37" t="s">
        <v>35</v>
      </c>
      <c r="D67" s="38"/>
      <c r="E67" s="38">
        <v>500000</v>
      </c>
      <c r="F67" s="30">
        <v>599280</v>
      </c>
      <c r="G67" s="30">
        <v>602724.56414000003</v>
      </c>
      <c r="H67" s="38">
        <v>417880</v>
      </c>
      <c r="I67" s="38">
        <v>404768.2</v>
      </c>
      <c r="J67" s="38">
        <f t="shared" si="0"/>
        <v>-13111.799999999988</v>
      </c>
      <c r="K67" s="39">
        <f t="shared" si="1"/>
        <v>96.862304967933383</v>
      </c>
      <c r="L67" s="38">
        <v>732100</v>
      </c>
      <c r="M67" s="38">
        <v>732100</v>
      </c>
      <c r="N67" s="38">
        <f t="shared" si="2"/>
        <v>0</v>
      </c>
      <c r="O67" s="38">
        <v>563120</v>
      </c>
      <c r="P67" s="38">
        <v>523306.5</v>
      </c>
      <c r="Q67" s="38">
        <f t="shared" si="3"/>
        <v>-39813.5</v>
      </c>
      <c r="R67" s="39">
        <f t="shared" si="4"/>
        <v>92.929837334848699</v>
      </c>
      <c r="S67" s="101">
        <v>-37700</v>
      </c>
      <c r="T67" s="38">
        <v>181500</v>
      </c>
      <c r="U67" s="40">
        <f t="shared" si="21"/>
        <v>875900</v>
      </c>
      <c r="V67" s="40">
        <f t="shared" si="6"/>
        <v>143800</v>
      </c>
      <c r="W67" s="44">
        <v>790647.9</v>
      </c>
      <c r="X67" s="43">
        <v>20838.3</v>
      </c>
      <c r="Y67" s="43">
        <v>20838.3</v>
      </c>
      <c r="Z67" s="73">
        <f t="shared" si="7"/>
        <v>896738.3</v>
      </c>
      <c r="AA67" s="65">
        <f t="shared" si="8"/>
        <v>0</v>
      </c>
    </row>
    <row r="68" spans="1:27" s="25" customFormat="1" x14ac:dyDescent="0.2">
      <c r="A68" s="35">
        <v>33</v>
      </c>
      <c r="B68" s="36">
        <v>420</v>
      </c>
      <c r="C68" s="37" t="s">
        <v>38</v>
      </c>
      <c r="D68" s="38">
        <v>9321.6</v>
      </c>
      <c r="E68" s="38">
        <v>12000</v>
      </c>
      <c r="F68" s="30">
        <v>12000</v>
      </c>
      <c r="G68" s="30">
        <v>11673.303519999999</v>
      </c>
      <c r="H68" s="38">
        <v>10224</v>
      </c>
      <c r="I68" s="38">
        <v>8188.7</v>
      </c>
      <c r="J68" s="38">
        <f t="shared" si="0"/>
        <v>-2035.3000000000002</v>
      </c>
      <c r="K68" s="39">
        <f t="shared" si="1"/>
        <v>80.092918622848202</v>
      </c>
      <c r="L68" s="38"/>
      <c r="M68" s="38">
        <v>12200</v>
      </c>
      <c r="N68" s="38">
        <f t="shared" si="2"/>
        <v>12200</v>
      </c>
      <c r="O68" s="38">
        <v>10000</v>
      </c>
      <c r="P68" s="38">
        <v>7634.5</v>
      </c>
      <c r="Q68" s="38">
        <f t="shared" si="3"/>
        <v>-2365.5</v>
      </c>
      <c r="R68" s="39">
        <f t="shared" si="4"/>
        <v>76.344999999999999</v>
      </c>
      <c r="S68" s="38"/>
      <c r="T68" s="41"/>
      <c r="U68" s="40">
        <f t="shared" si="21"/>
        <v>12200</v>
      </c>
      <c r="V68" s="40">
        <f t="shared" si="6"/>
        <v>0</v>
      </c>
      <c r="W68" s="44">
        <v>11308.6</v>
      </c>
      <c r="X68" s="43">
        <v>1228</v>
      </c>
      <c r="Y68" s="43">
        <v>1228</v>
      </c>
      <c r="Z68" s="73">
        <f t="shared" si="7"/>
        <v>13428</v>
      </c>
      <c r="AA68" s="65">
        <f t="shared" si="8"/>
        <v>0</v>
      </c>
    </row>
    <row r="69" spans="1:27" s="25" customFormat="1" x14ac:dyDescent="0.2">
      <c r="A69" s="35">
        <v>34</v>
      </c>
      <c r="B69" s="36">
        <v>110</v>
      </c>
      <c r="C69" s="37" t="s">
        <v>39</v>
      </c>
      <c r="D69" s="38">
        <v>18605</v>
      </c>
      <c r="E69" s="38">
        <v>22278.400000000001</v>
      </c>
      <c r="F69" s="30">
        <v>15278.4</v>
      </c>
      <c r="G69" s="30">
        <v>8422.1451099999995</v>
      </c>
      <c r="H69" s="38">
        <v>16239.9</v>
      </c>
      <c r="I69" s="38">
        <v>8205.7000000000007</v>
      </c>
      <c r="J69" s="38">
        <f t="shared" si="0"/>
        <v>-8034.1999999999989</v>
      </c>
      <c r="K69" s="39">
        <f t="shared" si="1"/>
        <v>50.528020492737028</v>
      </c>
      <c r="L69" s="38">
        <v>9500</v>
      </c>
      <c r="M69" s="38">
        <v>9500</v>
      </c>
      <c r="N69" s="38">
        <f t="shared" si="2"/>
        <v>0</v>
      </c>
      <c r="O69" s="38">
        <v>9125</v>
      </c>
      <c r="P69" s="38">
        <v>9117.6</v>
      </c>
      <c r="Q69" s="38">
        <f t="shared" si="3"/>
        <v>-7.3999999999996362</v>
      </c>
      <c r="R69" s="39">
        <f t="shared" si="4"/>
        <v>99.91890410958905</v>
      </c>
      <c r="S69" s="38"/>
      <c r="T69" s="41"/>
      <c r="U69" s="40">
        <f t="shared" si="21"/>
        <v>9500</v>
      </c>
      <c r="V69" s="40">
        <f t="shared" si="6"/>
        <v>0</v>
      </c>
      <c r="W69" s="44">
        <v>10091.700000000001</v>
      </c>
      <c r="X69" s="43">
        <v>3258.6</v>
      </c>
      <c r="Y69" s="43">
        <v>3258.6</v>
      </c>
      <c r="Z69" s="73">
        <f t="shared" si="7"/>
        <v>12758.6</v>
      </c>
      <c r="AA69" s="65">
        <f t="shared" si="8"/>
        <v>0</v>
      </c>
    </row>
    <row r="70" spans="1:27" s="25" customFormat="1" x14ac:dyDescent="0.2">
      <c r="A70" s="35">
        <v>34</v>
      </c>
      <c r="B70" s="36">
        <v>121</v>
      </c>
      <c r="C70" s="37" t="s">
        <v>40</v>
      </c>
      <c r="D70" s="38">
        <v>212.2</v>
      </c>
      <c r="E70" s="38">
        <v>300</v>
      </c>
      <c r="F70" s="30">
        <v>545.9</v>
      </c>
      <c r="G70" s="38">
        <v>413.1</v>
      </c>
      <c r="H70" s="38">
        <v>232.2</v>
      </c>
      <c r="I70" s="38">
        <v>161.1</v>
      </c>
      <c r="J70" s="38">
        <f t="shared" si="0"/>
        <v>-71.099999999999994</v>
      </c>
      <c r="K70" s="39">
        <f t="shared" si="1"/>
        <v>69.379844961240309</v>
      </c>
      <c r="L70" s="38">
        <v>554.20000000000005</v>
      </c>
      <c r="M70" s="38">
        <v>554.20000000000005</v>
      </c>
      <c r="N70" s="38">
        <f t="shared" si="2"/>
        <v>0</v>
      </c>
      <c r="O70" s="38">
        <v>430.5</v>
      </c>
      <c r="P70" s="38">
        <v>143.19999999999999</v>
      </c>
      <c r="Q70" s="38">
        <f t="shared" si="3"/>
        <v>-287.3</v>
      </c>
      <c r="R70" s="39">
        <f t="shared" si="4"/>
        <v>33.263646922183504</v>
      </c>
      <c r="S70" s="38"/>
      <c r="T70" s="38"/>
      <c r="U70" s="40">
        <f t="shared" si="21"/>
        <v>554.20000000000005</v>
      </c>
      <c r="V70" s="40">
        <f t="shared" si="6"/>
        <v>0</v>
      </c>
      <c r="W70" s="44">
        <v>260</v>
      </c>
      <c r="X70" s="43">
        <v>83.9</v>
      </c>
      <c r="Y70" s="43">
        <v>83.9</v>
      </c>
      <c r="Z70" s="73">
        <f t="shared" si="7"/>
        <v>638.1</v>
      </c>
      <c r="AA70" s="65">
        <f t="shared" si="8"/>
        <v>0</v>
      </c>
    </row>
    <row r="71" spans="1:27" s="25" customFormat="1" x14ac:dyDescent="0.2">
      <c r="A71" s="35">
        <v>34</v>
      </c>
      <c r="B71" s="36">
        <v>121</v>
      </c>
      <c r="C71" s="37" t="s">
        <v>41</v>
      </c>
      <c r="D71" s="38">
        <v>1494179.2</v>
      </c>
      <c r="E71" s="38">
        <v>1888403.7</v>
      </c>
      <c r="F71" s="30">
        <v>2021689.5</v>
      </c>
      <c r="G71" s="30">
        <v>2096732.6778199999</v>
      </c>
      <c r="H71" s="38">
        <v>1466474.4</v>
      </c>
      <c r="I71" s="38">
        <v>1352492</v>
      </c>
      <c r="J71" s="38">
        <f t="shared" si="0"/>
        <v>-113982.39999999991</v>
      </c>
      <c r="K71" s="39">
        <f t="shared" si="1"/>
        <v>92.227453817127667</v>
      </c>
      <c r="L71" s="38">
        <v>1900403.7</v>
      </c>
      <c r="M71" s="38">
        <v>2247146.7999999998</v>
      </c>
      <c r="N71" s="38">
        <f t="shared" si="2"/>
        <v>346743.09999999986</v>
      </c>
      <c r="O71" s="38">
        <v>1679877.2</v>
      </c>
      <c r="P71" s="38">
        <v>1211465.3</v>
      </c>
      <c r="Q71" s="38">
        <f t="shared" si="3"/>
        <v>-468411.89999999991</v>
      </c>
      <c r="R71" s="39">
        <f t="shared" si="4"/>
        <v>72.116301120105689</v>
      </c>
      <c r="S71" s="38"/>
      <c r="T71" s="100">
        <v>24184</v>
      </c>
      <c r="U71" s="40">
        <f t="shared" si="21"/>
        <v>2271330.7999999998</v>
      </c>
      <c r="V71" s="40">
        <f t="shared" si="6"/>
        <v>24184</v>
      </c>
      <c r="W71" s="38">
        <f>2163878.6-W70</f>
        <v>2163618.6</v>
      </c>
      <c r="X71" s="76">
        <v>374618</v>
      </c>
      <c r="Y71" s="76">
        <v>374618</v>
      </c>
      <c r="Z71" s="55">
        <f t="shared" si="7"/>
        <v>2645948.7999999998</v>
      </c>
      <c r="AA71" s="65">
        <f t="shared" si="8"/>
        <v>0</v>
      </c>
    </row>
    <row r="72" spans="1:27" s="25" customFormat="1" x14ac:dyDescent="0.2">
      <c r="A72" s="35">
        <v>34</v>
      </c>
      <c r="B72" s="36">
        <v>130</v>
      </c>
      <c r="C72" s="37" t="s">
        <v>42</v>
      </c>
      <c r="D72" s="38">
        <v>1943.6</v>
      </c>
      <c r="E72" s="38">
        <v>1800</v>
      </c>
      <c r="F72" s="31">
        <v>1800</v>
      </c>
      <c r="G72" s="30">
        <v>1194.3075900000001</v>
      </c>
      <c r="H72" s="38">
        <v>1309</v>
      </c>
      <c r="I72" s="38">
        <v>194.5</v>
      </c>
      <c r="J72" s="38">
        <f t="shared" si="0"/>
        <v>-1114.5</v>
      </c>
      <c r="K72" s="39">
        <f t="shared" si="1"/>
        <v>14.858670741023683</v>
      </c>
      <c r="L72" s="38">
        <v>1800</v>
      </c>
      <c r="M72" s="38">
        <v>2035</v>
      </c>
      <c r="N72" s="38">
        <f t="shared" si="2"/>
        <v>235</v>
      </c>
      <c r="O72" s="38">
        <v>1494.6</v>
      </c>
      <c r="P72" s="38">
        <v>1030.0999999999999</v>
      </c>
      <c r="Q72" s="38">
        <f t="shared" si="3"/>
        <v>-464.5</v>
      </c>
      <c r="R72" s="39">
        <f t="shared" si="4"/>
        <v>68.921450555332527</v>
      </c>
      <c r="S72" s="38"/>
      <c r="T72" s="60">
        <v>1040</v>
      </c>
      <c r="U72" s="40">
        <f t="shared" si="21"/>
        <v>3075</v>
      </c>
      <c r="V72" s="40">
        <f t="shared" si="6"/>
        <v>1040</v>
      </c>
      <c r="W72" s="38">
        <v>2281.6999999999998</v>
      </c>
      <c r="X72" s="38">
        <v>672.9</v>
      </c>
      <c r="Y72" s="38">
        <v>672.9</v>
      </c>
      <c r="Z72" s="55">
        <f t="shared" si="7"/>
        <v>3747.9</v>
      </c>
      <c r="AA72" s="65">
        <f t="shared" si="8"/>
        <v>0</v>
      </c>
    </row>
    <row r="73" spans="1:27" s="64" customFormat="1" x14ac:dyDescent="0.2">
      <c r="A73" s="57">
        <v>36</v>
      </c>
      <c r="B73" s="58">
        <v>131</v>
      </c>
      <c r="C73" s="59" t="s">
        <v>43</v>
      </c>
      <c r="D73" s="60">
        <v>243786</v>
      </c>
      <c r="E73" s="60">
        <v>385802.4</v>
      </c>
      <c r="F73" s="61">
        <v>606497.69999999995</v>
      </c>
      <c r="G73" s="61">
        <v>577863.95660999999</v>
      </c>
      <c r="H73" s="60">
        <v>462734</v>
      </c>
      <c r="I73" s="60">
        <v>436878.6</v>
      </c>
      <c r="J73" s="60">
        <f t="shared" si="0"/>
        <v>-25855.400000000023</v>
      </c>
      <c r="K73" s="62">
        <f>IF(H73=0," ",I73/H73*100)</f>
        <v>94.412470231277581</v>
      </c>
      <c r="L73" s="60">
        <v>485300.2</v>
      </c>
      <c r="M73" s="60">
        <v>547143.69999999995</v>
      </c>
      <c r="N73" s="60">
        <f>M73-L73</f>
        <v>61843.499999999942</v>
      </c>
      <c r="O73" s="60">
        <v>476994.2</v>
      </c>
      <c r="P73" s="60">
        <v>432259.9</v>
      </c>
      <c r="Q73" s="60">
        <f t="shared" si="3"/>
        <v>-44734.299999999988</v>
      </c>
      <c r="R73" s="62">
        <f>IF(O73=0," ",P73/O73*100)</f>
        <v>90.621626007192546</v>
      </c>
      <c r="S73" s="60">
        <v>-5720.4</v>
      </c>
      <c r="T73" s="38">
        <f>90000+4812.2</f>
        <v>94812.2</v>
      </c>
      <c r="U73" s="40">
        <f t="shared" si="21"/>
        <v>636235.5</v>
      </c>
      <c r="V73" s="40">
        <f t="shared" si="6"/>
        <v>89091.8</v>
      </c>
      <c r="W73" s="38">
        <v>621187.4</v>
      </c>
      <c r="X73" s="60">
        <v>61134.6</v>
      </c>
      <c r="Y73" s="60">
        <v>61134.6</v>
      </c>
      <c r="Z73" s="63">
        <f>X73+U73</f>
        <v>697370.1</v>
      </c>
      <c r="AA73" s="65">
        <f t="shared" si="8"/>
        <v>0</v>
      </c>
    </row>
    <row r="74" spans="1:27" s="25" customFormat="1" x14ac:dyDescent="0.2">
      <c r="A74" s="35">
        <v>36</v>
      </c>
      <c r="B74" s="36">
        <v>110</v>
      </c>
      <c r="C74" s="59" t="s">
        <v>190</v>
      </c>
      <c r="D74" s="38"/>
      <c r="E74" s="38"/>
      <c r="F74" s="31"/>
      <c r="G74" s="31"/>
      <c r="H74" s="38"/>
      <c r="I74" s="38"/>
      <c r="J74" s="38"/>
      <c r="K74" s="83"/>
      <c r="L74" s="38"/>
      <c r="M74" s="38"/>
      <c r="N74" s="38"/>
      <c r="O74" s="38"/>
      <c r="P74" s="38"/>
      <c r="Q74" s="38"/>
      <c r="R74" s="83"/>
      <c r="S74" s="38">
        <v>-4812.2</v>
      </c>
      <c r="T74" s="60">
        <v>5720.4</v>
      </c>
      <c r="U74" s="40">
        <f t="shared" si="21"/>
        <v>908.19999999999982</v>
      </c>
      <c r="V74" s="40"/>
      <c r="W74" s="38"/>
      <c r="X74" s="38"/>
      <c r="Y74" s="38"/>
      <c r="Z74" s="55">
        <f t="shared" si="7"/>
        <v>908.19999999999982</v>
      </c>
      <c r="AA74" s="65"/>
    </row>
    <row r="75" spans="1:27" s="25" customFormat="1" x14ac:dyDescent="0.2">
      <c r="A75" s="35">
        <v>37</v>
      </c>
      <c r="B75" s="36">
        <v>110</v>
      </c>
      <c r="C75" s="37" t="s">
        <v>44</v>
      </c>
      <c r="D75" s="38">
        <v>-2604.3000000000002</v>
      </c>
      <c r="E75" s="38">
        <v>2000</v>
      </c>
      <c r="F75" s="30">
        <v>16500</v>
      </c>
      <c r="G75" s="30">
        <v>10531.51945</v>
      </c>
      <c r="H75" s="38">
        <v>6732.7</v>
      </c>
      <c r="I75" s="38">
        <v>704.84690000000001</v>
      </c>
      <c r="J75" s="38">
        <f t="shared" si="0"/>
        <v>-6027.8531000000003</v>
      </c>
      <c r="K75" s="39">
        <f t="shared" ref="K75:K136" si="31">IF(H75=0," ",I75/H75*100)</f>
        <v>10.469007975997743</v>
      </c>
      <c r="L75" s="38">
        <v>2000</v>
      </c>
      <c r="M75" s="38">
        <v>16803</v>
      </c>
      <c r="N75" s="38">
        <f t="shared" ref="N75:N136" si="32">M75-L75</f>
        <v>14803</v>
      </c>
      <c r="O75" s="38">
        <v>16303</v>
      </c>
      <c r="P75" s="38">
        <v>5614.1</v>
      </c>
      <c r="Q75" s="38">
        <f t="shared" si="3"/>
        <v>-10688.9</v>
      </c>
      <c r="R75" s="39">
        <f t="shared" ref="R75:R136" si="33">IF(O75=0," ",P75/O75*100)</f>
        <v>34.435993375452369</v>
      </c>
      <c r="S75" s="38">
        <v>-3619.2</v>
      </c>
      <c r="T75" s="38"/>
      <c r="U75" s="40">
        <f t="shared" si="21"/>
        <v>13183.8</v>
      </c>
      <c r="V75" s="40">
        <f t="shared" si="6"/>
        <v>-3619.2</v>
      </c>
      <c r="W75" s="38">
        <v>13791</v>
      </c>
      <c r="X75" s="38">
        <v>6001.3</v>
      </c>
      <c r="Y75" s="38">
        <v>6001.3</v>
      </c>
      <c r="Z75" s="55">
        <f t="shared" si="7"/>
        <v>19185.099999999999</v>
      </c>
      <c r="AA75" s="65">
        <f t="shared" si="8"/>
        <v>0</v>
      </c>
    </row>
    <row r="76" spans="1:27" s="25" customFormat="1" x14ac:dyDescent="0.2">
      <c r="A76" s="35">
        <v>37</v>
      </c>
      <c r="B76" s="36">
        <v>121</v>
      </c>
      <c r="C76" s="37" t="s">
        <v>45</v>
      </c>
      <c r="D76" s="38">
        <v>218894.9</v>
      </c>
      <c r="E76" s="38">
        <v>270451.20000000001</v>
      </c>
      <c r="F76" s="30">
        <v>341862.9</v>
      </c>
      <c r="G76" s="30">
        <v>309465.52291</v>
      </c>
      <c r="H76" s="38">
        <v>242401.49999999997</v>
      </c>
      <c r="I76" s="38">
        <v>215991.30300000004</v>
      </c>
      <c r="J76" s="38">
        <f t="shared" si="0"/>
        <v>-26410.196999999927</v>
      </c>
      <c r="K76" s="39">
        <f t="shared" si="31"/>
        <v>89.104771628888471</v>
      </c>
      <c r="L76" s="38">
        <v>270451.20000000007</v>
      </c>
      <c r="M76" s="38">
        <v>340669.41</v>
      </c>
      <c r="N76" s="38">
        <f t="shared" si="32"/>
        <v>70218.209999999905</v>
      </c>
      <c r="O76" s="38">
        <v>282033.09999999998</v>
      </c>
      <c r="P76" s="38">
        <v>238748.1</v>
      </c>
      <c r="Q76" s="38">
        <f t="shared" si="3"/>
        <v>-43284.999999999971</v>
      </c>
      <c r="R76" s="39">
        <f t="shared" si="33"/>
        <v>84.652510645027135</v>
      </c>
      <c r="S76" s="38">
        <v>-37322.300000000003</v>
      </c>
      <c r="T76" s="101">
        <f>60000+12300+12000+3619.2</f>
        <v>87919.2</v>
      </c>
      <c r="U76" s="40">
        <f>T76+S76+M76</f>
        <v>391266.30999999994</v>
      </c>
      <c r="V76" s="40">
        <f t="shared" si="6"/>
        <v>50596.899999999994</v>
      </c>
      <c r="W76" s="38">
        <f>707229.5-W77-W78</f>
        <v>345505.8</v>
      </c>
      <c r="X76" s="38">
        <v>48895.648999999998</v>
      </c>
      <c r="Y76" s="38">
        <v>48895.648999999998</v>
      </c>
      <c r="Z76" s="55">
        <f t="shared" si="7"/>
        <v>440161.95899999992</v>
      </c>
      <c r="AA76" s="65">
        <f t="shared" si="8"/>
        <v>0</v>
      </c>
    </row>
    <row r="77" spans="1:27" s="25" customFormat="1" x14ac:dyDescent="0.2">
      <c r="A77" s="35">
        <v>37</v>
      </c>
      <c r="B77" s="36">
        <v>121</v>
      </c>
      <c r="C77" s="37" t="s">
        <v>46</v>
      </c>
      <c r="D77" s="38">
        <v>257820.5</v>
      </c>
      <c r="E77" s="38">
        <v>238617</v>
      </c>
      <c r="F77" s="30">
        <v>361816.1</v>
      </c>
      <c r="G77" s="30">
        <v>337765.12</v>
      </c>
      <c r="H77" s="38">
        <f>2889.1+53667.5+171277+45050.1</f>
        <v>272883.7</v>
      </c>
      <c r="I77" s="38">
        <v>276304.89999999997</v>
      </c>
      <c r="J77" s="38">
        <f t="shared" si="0"/>
        <v>3421.1999999999534</v>
      </c>
      <c r="K77" s="39">
        <f t="shared" si="31"/>
        <v>101.25372090747815</v>
      </c>
      <c r="L77" s="38">
        <v>238617</v>
      </c>
      <c r="M77" s="38">
        <f>3795.4+65034.6+222150+20965.29</f>
        <v>311945.28999999998</v>
      </c>
      <c r="N77" s="38">
        <f t="shared" si="32"/>
        <v>73328.289999999979</v>
      </c>
      <c r="O77" s="38">
        <f>2889.1+51288+179522.8+18228.2</f>
        <v>251928.1</v>
      </c>
      <c r="P77" s="38">
        <f>2498.1+44202.5+161561.5+17683.4</f>
        <v>225945.5</v>
      </c>
      <c r="Q77" s="38">
        <f t="shared" si="3"/>
        <v>-25982.600000000006</v>
      </c>
      <c r="R77" s="39">
        <f t="shared" si="33"/>
        <v>89.686501823337679</v>
      </c>
      <c r="S77" s="38"/>
      <c r="T77" s="101">
        <f>4000+10000+3000+37322.3</f>
        <v>54322.3</v>
      </c>
      <c r="U77" s="40">
        <f t="shared" si="21"/>
        <v>366267.58999999997</v>
      </c>
      <c r="V77" s="40">
        <f t="shared" si="6"/>
        <v>54322.3</v>
      </c>
      <c r="W77" s="38">
        <v>360743.3</v>
      </c>
      <c r="X77" s="38">
        <v>32341.569</v>
      </c>
      <c r="Y77" s="38">
        <v>32341.569</v>
      </c>
      <c r="Z77" s="55">
        <f t="shared" si="7"/>
        <v>398609.15899999999</v>
      </c>
      <c r="AA77" s="65">
        <f t="shared" ref="AA77:AA116" si="34">X77-Y77</f>
        <v>0</v>
      </c>
    </row>
    <row r="78" spans="1:27" s="25" customFormat="1" x14ac:dyDescent="0.2">
      <c r="A78" s="35">
        <v>37</v>
      </c>
      <c r="B78" s="36">
        <v>121</v>
      </c>
      <c r="C78" s="37" t="s">
        <v>128</v>
      </c>
      <c r="D78" s="38"/>
      <c r="E78" s="38"/>
      <c r="F78" s="30">
        <v>1328.4</v>
      </c>
      <c r="G78" s="30">
        <v>529.32000000000005</v>
      </c>
      <c r="H78" s="38">
        <v>937.9</v>
      </c>
      <c r="I78" s="38">
        <f>325.997</f>
        <v>325.99700000000001</v>
      </c>
      <c r="J78" s="38">
        <f t="shared" si="0"/>
        <v>-611.90300000000002</v>
      </c>
      <c r="K78" s="39">
        <f t="shared" si="31"/>
        <v>34.758183175178594</v>
      </c>
      <c r="L78" s="38">
        <v>1562.1</v>
      </c>
      <c r="M78" s="38">
        <v>1562.1</v>
      </c>
      <c r="N78" s="38">
        <f t="shared" si="32"/>
        <v>0</v>
      </c>
      <c r="O78" s="38">
        <v>1171.5</v>
      </c>
      <c r="P78" s="38">
        <v>597.4</v>
      </c>
      <c r="Q78" s="38">
        <f t="shared" si="3"/>
        <v>-574.1</v>
      </c>
      <c r="R78" s="39">
        <f t="shared" si="33"/>
        <v>50.99445155783183</v>
      </c>
      <c r="S78" s="38"/>
      <c r="T78" s="38"/>
      <c r="U78" s="40">
        <f t="shared" ref="U78:U109" si="35">T78+S78+M78</f>
        <v>1562.1</v>
      </c>
      <c r="V78" s="40">
        <f t="shared" ref="V78:V139" si="36">T78+S78</f>
        <v>0</v>
      </c>
      <c r="W78" s="38">
        <v>980.4</v>
      </c>
      <c r="X78" s="38">
        <v>251.64</v>
      </c>
      <c r="Y78" s="38">
        <v>251.64</v>
      </c>
      <c r="Z78" s="55">
        <f t="shared" si="7"/>
        <v>1813.7399999999998</v>
      </c>
      <c r="AA78" s="65">
        <f t="shared" si="34"/>
        <v>0</v>
      </c>
    </row>
    <row r="79" spans="1:27" s="25" customFormat="1" x14ac:dyDescent="0.2">
      <c r="A79" s="35">
        <v>38</v>
      </c>
      <c r="B79" s="36">
        <v>110</v>
      </c>
      <c r="C79" s="37" t="s">
        <v>47</v>
      </c>
      <c r="D79" s="38">
        <v>152.6</v>
      </c>
      <c r="E79" s="38">
        <v>154.30000000000001</v>
      </c>
      <c r="F79" s="30">
        <v>668.6</v>
      </c>
      <c r="G79" s="30">
        <v>536.56500000000005</v>
      </c>
      <c r="H79" s="38">
        <v>647.6</v>
      </c>
      <c r="I79" s="38">
        <v>647.48</v>
      </c>
      <c r="J79" s="38">
        <f t="shared" si="0"/>
        <v>-0.12000000000000455</v>
      </c>
      <c r="K79" s="39">
        <f t="shared" si="31"/>
        <v>99.98147004323657</v>
      </c>
      <c r="L79" s="38">
        <v>800</v>
      </c>
      <c r="M79" s="38">
        <v>800</v>
      </c>
      <c r="N79" s="38">
        <f t="shared" si="32"/>
        <v>0</v>
      </c>
      <c r="O79" s="38">
        <v>513.4</v>
      </c>
      <c r="P79" s="38">
        <v>348.8</v>
      </c>
      <c r="Q79" s="38">
        <f t="shared" si="3"/>
        <v>-164.59999999999997</v>
      </c>
      <c r="R79" s="39">
        <f t="shared" si="33"/>
        <v>67.939228671601086</v>
      </c>
      <c r="S79" s="38"/>
      <c r="T79" s="41"/>
      <c r="U79" s="40">
        <f t="shared" si="35"/>
        <v>800</v>
      </c>
      <c r="V79" s="40">
        <f t="shared" si="36"/>
        <v>0</v>
      </c>
      <c r="W79" s="38">
        <v>170.8</v>
      </c>
      <c r="X79" s="38">
        <v>198.2</v>
      </c>
      <c r="Y79" s="38">
        <v>198.2</v>
      </c>
      <c r="Z79" s="55">
        <f t="shared" ref="Z79:Z141" si="37">X79+U79</f>
        <v>998.2</v>
      </c>
      <c r="AA79" s="65">
        <f t="shared" si="34"/>
        <v>0</v>
      </c>
    </row>
    <row r="80" spans="1:27" s="25" customFormat="1" x14ac:dyDescent="0.2">
      <c r="A80" s="35">
        <v>38</v>
      </c>
      <c r="B80" s="36">
        <v>121</v>
      </c>
      <c r="C80" s="37" t="s">
        <v>48</v>
      </c>
      <c r="D80" s="38">
        <v>5018.8</v>
      </c>
      <c r="E80" s="38">
        <v>8118.2</v>
      </c>
      <c r="F80" s="30">
        <v>7603.9</v>
      </c>
      <c r="G80" s="30">
        <v>3954.5189500000001</v>
      </c>
      <c r="H80" s="38">
        <v>5911.1</v>
      </c>
      <c r="I80" s="38">
        <v>2954.163</v>
      </c>
      <c r="J80" s="38">
        <f t="shared" si="0"/>
        <v>-2956.9370000000004</v>
      </c>
      <c r="K80" s="39">
        <f t="shared" si="31"/>
        <v>49.976535670179828</v>
      </c>
      <c r="L80" s="38">
        <v>7074</v>
      </c>
      <c r="M80" s="38">
        <v>7966</v>
      </c>
      <c r="N80" s="38">
        <f t="shared" si="32"/>
        <v>892</v>
      </c>
      <c r="O80" s="38">
        <v>6371.7</v>
      </c>
      <c r="P80" s="38">
        <v>3378.4</v>
      </c>
      <c r="Q80" s="38">
        <f t="shared" si="3"/>
        <v>-2993.2999999999997</v>
      </c>
      <c r="R80" s="39">
        <f t="shared" si="33"/>
        <v>53.021956463738093</v>
      </c>
      <c r="S80" s="101">
        <v>-24.6</v>
      </c>
      <c r="T80" s="60">
        <v>562</v>
      </c>
      <c r="U80" s="40">
        <f t="shared" si="35"/>
        <v>8503.4</v>
      </c>
      <c r="V80" s="40">
        <f t="shared" si="36"/>
        <v>537.4</v>
      </c>
      <c r="W80" s="38">
        <v>5723.1</v>
      </c>
      <c r="X80" s="38">
        <v>343.66</v>
      </c>
      <c r="Y80" s="38">
        <v>343.66</v>
      </c>
      <c r="Z80" s="55">
        <f t="shared" si="37"/>
        <v>8847.06</v>
      </c>
      <c r="AA80" s="65">
        <f t="shared" si="34"/>
        <v>0</v>
      </c>
    </row>
    <row r="81" spans="1:27" s="64" customFormat="1" x14ac:dyDescent="0.2">
      <c r="A81" s="35">
        <v>39</v>
      </c>
      <c r="B81" s="36">
        <v>120</v>
      </c>
      <c r="C81" s="37" t="s">
        <v>49</v>
      </c>
      <c r="D81" s="38">
        <v>108172.4</v>
      </c>
      <c r="E81" s="38">
        <v>155489</v>
      </c>
      <c r="F81" s="31">
        <v>155489</v>
      </c>
      <c r="G81" s="31">
        <v>135473.91547000001</v>
      </c>
      <c r="H81" s="38">
        <v>116874.7</v>
      </c>
      <c r="I81" s="38">
        <v>91172</v>
      </c>
      <c r="J81" s="38">
        <f t="shared" si="0"/>
        <v>-25702.699999999997</v>
      </c>
      <c r="K81" s="83">
        <f t="shared" si="31"/>
        <v>78.008328577527891</v>
      </c>
      <c r="L81" s="38">
        <v>160375.70000000001</v>
      </c>
      <c r="M81" s="38">
        <v>160375.70000000001</v>
      </c>
      <c r="N81" s="38">
        <f t="shared" si="32"/>
        <v>0</v>
      </c>
      <c r="O81" s="38">
        <v>125100.5</v>
      </c>
      <c r="P81" s="38">
        <v>76948.7</v>
      </c>
      <c r="Q81" s="38">
        <f t="shared" si="3"/>
        <v>-48151.8</v>
      </c>
      <c r="R81" s="83">
        <f t="shared" si="33"/>
        <v>61.509506356889055</v>
      </c>
      <c r="S81" s="38"/>
      <c r="T81" s="41"/>
      <c r="U81" s="40">
        <f t="shared" si="35"/>
        <v>160375.70000000001</v>
      </c>
      <c r="V81" s="40">
        <f t="shared" si="36"/>
        <v>0</v>
      </c>
      <c r="W81" s="38">
        <v>141753.20000000001</v>
      </c>
      <c r="X81" s="38">
        <v>25173</v>
      </c>
      <c r="Y81" s="38">
        <v>25173</v>
      </c>
      <c r="Z81" s="55">
        <f t="shared" si="37"/>
        <v>185548.7</v>
      </c>
      <c r="AA81" s="65">
        <f t="shared" si="34"/>
        <v>0</v>
      </c>
    </row>
    <row r="82" spans="1:27" s="25" customFormat="1" x14ac:dyDescent="0.2">
      <c r="A82" s="35">
        <v>41</v>
      </c>
      <c r="B82" s="36">
        <v>110</v>
      </c>
      <c r="C82" s="37" t="s">
        <v>50</v>
      </c>
      <c r="D82" s="38">
        <v>985.8</v>
      </c>
      <c r="E82" s="38">
        <v>2400</v>
      </c>
      <c r="F82" s="30">
        <v>1300</v>
      </c>
      <c r="G82" s="30">
        <v>750.53449999999998</v>
      </c>
      <c r="H82" s="38">
        <v>1800</v>
      </c>
      <c r="I82" s="38">
        <v>320.08499999999998</v>
      </c>
      <c r="J82" s="38">
        <f t="shared" ref="J82:J143" si="38">I82-H82</f>
        <v>-1479.915</v>
      </c>
      <c r="K82" s="39">
        <f t="shared" si="31"/>
        <v>17.782499999999999</v>
      </c>
      <c r="L82" s="38">
        <v>906.1</v>
      </c>
      <c r="M82" s="38">
        <v>906.1</v>
      </c>
      <c r="N82" s="38">
        <f t="shared" si="32"/>
        <v>0</v>
      </c>
      <c r="O82" s="38">
        <v>679.6</v>
      </c>
      <c r="P82" s="38">
        <v>251.1</v>
      </c>
      <c r="Q82" s="38">
        <f t="shared" ref="Q82:Q143" si="39">P82-O82</f>
        <v>-428.5</v>
      </c>
      <c r="R82" s="39">
        <f t="shared" si="33"/>
        <v>36.948204826368453</v>
      </c>
      <c r="S82" s="38"/>
      <c r="T82" s="41"/>
      <c r="U82" s="40">
        <f t="shared" si="35"/>
        <v>906.1</v>
      </c>
      <c r="V82" s="40">
        <f t="shared" si="36"/>
        <v>0</v>
      </c>
      <c r="W82" s="38">
        <v>225.1</v>
      </c>
      <c r="X82" s="38">
        <v>62.9</v>
      </c>
      <c r="Y82" s="38">
        <v>62.9</v>
      </c>
      <c r="Z82" s="55">
        <f t="shared" si="37"/>
        <v>969</v>
      </c>
      <c r="AA82" s="65">
        <f t="shared" si="34"/>
        <v>0</v>
      </c>
    </row>
    <row r="83" spans="1:27" s="25" customFormat="1" x14ac:dyDescent="0.2">
      <c r="A83" s="35">
        <v>41</v>
      </c>
      <c r="B83" s="36">
        <v>121</v>
      </c>
      <c r="C83" s="37" t="s">
        <v>51</v>
      </c>
      <c r="D83" s="38">
        <v>25949.7</v>
      </c>
      <c r="E83" s="38">
        <v>41262</v>
      </c>
      <c r="F83" s="30">
        <v>13002.4</v>
      </c>
      <c r="G83" s="30">
        <v>9350.5955299999987</v>
      </c>
      <c r="H83" s="38">
        <v>17290.990000000002</v>
      </c>
      <c r="I83" s="38">
        <v>7597.0839999999998</v>
      </c>
      <c r="J83" s="38">
        <f t="shared" si="38"/>
        <v>-9693.9060000000027</v>
      </c>
      <c r="K83" s="39">
        <f t="shared" si="31"/>
        <v>43.936662967244786</v>
      </c>
      <c r="L83" s="38">
        <v>9061</v>
      </c>
      <c r="M83" s="38">
        <v>9061</v>
      </c>
      <c r="N83" s="38">
        <f t="shared" si="32"/>
        <v>0</v>
      </c>
      <c r="O83" s="38">
        <v>6639.1</v>
      </c>
      <c r="P83" s="38">
        <v>3226.3</v>
      </c>
      <c r="Q83" s="38">
        <f t="shared" si="39"/>
        <v>-3412.8</v>
      </c>
      <c r="R83" s="39">
        <f t="shared" si="33"/>
        <v>48.595442153303914</v>
      </c>
      <c r="S83" s="38"/>
      <c r="T83" s="41"/>
      <c r="U83" s="40">
        <f t="shared" si="35"/>
        <v>9061</v>
      </c>
      <c r="V83" s="40">
        <f t="shared" si="36"/>
        <v>0</v>
      </c>
      <c r="W83" s="38">
        <v>5409.4</v>
      </c>
      <c r="X83" s="38">
        <v>722.6</v>
      </c>
      <c r="Y83" s="38">
        <v>722.6</v>
      </c>
      <c r="Z83" s="55">
        <f t="shared" si="37"/>
        <v>9783.6</v>
      </c>
      <c r="AA83" s="65">
        <f t="shared" si="34"/>
        <v>0</v>
      </c>
    </row>
    <row r="84" spans="1:27" s="64" customFormat="1" x14ac:dyDescent="0.2">
      <c r="A84" s="35">
        <v>41</v>
      </c>
      <c r="B84" s="36">
        <v>221</v>
      </c>
      <c r="C84" s="37" t="s">
        <v>52</v>
      </c>
      <c r="D84" s="38">
        <v>62285</v>
      </c>
      <c r="E84" s="38">
        <v>108315.9</v>
      </c>
      <c r="F84" s="28">
        <v>108129.7</v>
      </c>
      <c r="G84" s="31">
        <v>104755.14128</v>
      </c>
      <c r="H84" s="38">
        <v>95449.8</v>
      </c>
      <c r="I84" s="38">
        <v>77158.100000000006</v>
      </c>
      <c r="J84" s="38">
        <f t="shared" si="38"/>
        <v>-18291.699999999997</v>
      </c>
      <c r="K84" s="83">
        <f t="shared" si="31"/>
        <v>80.836313957703425</v>
      </c>
      <c r="L84" s="38">
        <v>265552.2</v>
      </c>
      <c r="M84" s="38">
        <v>265552.2</v>
      </c>
      <c r="N84" s="38">
        <f t="shared" si="32"/>
        <v>0</v>
      </c>
      <c r="O84" s="38">
        <v>242580.2</v>
      </c>
      <c r="P84" s="38">
        <v>60840.2</v>
      </c>
      <c r="Q84" s="38">
        <f t="shared" si="39"/>
        <v>-181740</v>
      </c>
      <c r="R84" s="83">
        <f t="shared" si="33"/>
        <v>25.080447621034196</v>
      </c>
      <c r="S84" s="60">
        <v>-140000</v>
      </c>
      <c r="T84" s="41"/>
      <c r="U84" s="40">
        <f t="shared" si="35"/>
        <v>125552.20000000001</v>
      </c>
      <c r="V84" s="40">
        <f t="shared" si="36"/>
        <v>-140000</v>
      </c>
      <c r="W84" s="38">
        <v>98887.2</v>
      </c>
      <c r="X84" s="38">
        <v>19745.272000000001</v>
      </c>
      <c r="Y84" s="38">
        <v>19745.272000000001</v>
      </c>
      <c r="Z84" s="55">
        <f t="shared" si="37"/>
        <v>145297.47200000001</v>
      </c>
      <c r="AA84" s="65">
        <f t="shared" si="34"/>
        <v>0</v>
      </c>
    </row>
    <row r="85" spans="1:27" s="25" customFormat="1" ht="15" customHeight="1" x14ac:dyDescent="0.2">
      <c r="A85" s="35">
        <v>41</v>
      </c>
      <c r="B85" s="36">
        <v>311</v>
      </c>
      <c r="C85" s="37" t="s">
        <v>153</v>
      </c>
      <c r="D85" s="38">
        <v>234.5</v>
      </c>
      <c r="E85" s="38"/>
      <c r="F85" s="30"/>
      <c r="G85" s="28">
        <v>85.404529999999994</v>
      </c>
      <c r="H85" s="38"/>
      <c r="I85" s="38"/>
      <c r="J85" s="38">
        <f t="shared" si="38"/>
        <v>0</v>
      </c>
      <c r="K85" s="39" t="str">
        <f t="shared" si="31"/>
        <v xml:space="preserve"> </v>
      </c>
      <c r="L85" s="38"/>
      <c r="M85" s="38"/>
      <c r="N85" s="38">
        <f t="shared" si="32"/>
        <v>0</v>
      </c>
      <c r="O85" s="38"/>
      <c r="P85" s="38"/>
      <c r="Q85" s="38">
        <f t="shared" si="39"/>
        <v>0</v>
      </c>
      <c r="R85" s="39" t="str">
        <f t="shared" si="33"/>
        <v xml:space="preserve"> </v>
      </c>
      <c r="S85" s="38"/>
      <c r="T85" s="41"/>
      <c r="U85" s="40">
        <f t="shared" si="35"/>
        <v>0</v>
      </c>
      <c r="V85" s="40">
        <f t="shared" si="36"/>
        <v>0</v>
      </c>
      <c r="W85" s="38"/>
      <c r="X85" s="38"/>
      <c r="Y85" s="38"/>
      <c r="Z85" s="55">
        <f t="shared" si="37"/>
        <v>0</v>
      </c>
      <c r="AA85" s="65">
        <f t="shared" si="34"/>
        <v>0</v>
      </c>
    </row>
    <row r="86" spans="1:27" s="25" customFormat="1" x14ac:dyDescent="0.2">
      <c r="A86" s="35">
        <v>41</v>
      </c>
      <c r="B86" s="36">
        <v>420</v>
      </c>
      <c r="C86" s="37" t="s">
        <v>105</v>
      </c>
      <c r="D86" s="38">
        <v>1791.2</v>
      </c>
      <c r="E86" s="38"/>
      <c r="F86" s="32">
        <v>2742.6</v>
      </c>
      <c r="G86" s="30">
        <v>3009.0639500000002</v>
      </c>
      <c r="H86" s="38">
        <v>2115</v>
      </c>
      <c r="I86" s="38">
        <v>1764.44</v>
      </c>
      <c r="J86" s="38">
        <f t="shared" si="38"/>
        <v>-350.55999999999995</v>
      </c>
      <c r="K86" s="39">
        <f t="shared" si="31"/>
        <v>83.425059101654853</v>
      </c>
      <c r="L86" s="38"/>
      <c r="M86" s="38">
        <v>4077</v>
      </c>
      <c r="N86" s="38">
        <f t="shared" si="32"/>
        <v>4077</v>
      </c>
      <c r="O86" s="38">
        <v>3370.1</v>
      </c>
      <c r="P86" s="38">
        <v>2169.3000000000002</v>
      </c>
      <c r="Q86" s="38">
        <f t="shared" si="39"/>
        <v>-1200.7999999999997</v>
      </c>
      <c r="R86" s="39">
        <f t="shared" si="33"/>
        <v>64.369009821667021</v>
      </c>
      <c r="S86" s="38"/>
      <c r="T86" s="38"/>
      <c r="U86" s="40">
        <f t="shared" si="35"/>
        <v>4077</v>
      </c>
      <c r="V86" s="40">
        <f t="shared" si="36"/>
        <v>0</v>
      </c>
      <c r="W86" s="38">
        <v>3610.4</v>
      </c>
      <c r="X86" s="38">
        <v>693.2</v>
      </c>
      <c r="Y86" s="38">
        <v>693.2</v>
      </c>
      <c r="Z86" s="55">
        <f t="shared" si="37"/>
        <v>4770.2</v>
      </c>
      <c r="AA86" s="65">
        <f t="shared" si="34"/>
        <v>0</v>
      </c>
    </row>
    <row r="87" spans="1:27" s="25" customFormat="1" x14ac:dyDescent="0.2">
      <c r="A87" s="35">
        <v>42</v>
      </c>
      <c r="B87" s="36">
        <v>110</v>
      </c>
      <c r="C87" s="37" t="s">
        <v>53</v>
      </c>
      <c r="D87" s="38">
        <v>11787</v>
      </c>
      <c r="E87" s="38">
        <v>6000</v>
      </c>
      <c r="F87" s="30">
        <v>12538.2</v>
      </c>
      <c r="G87" s="30">
        <v>11478.972</v>
      </c>
      <c r="H87" s="38">
        <v>10703</v>
      </c>
      <c r="I87" s="38">
        <v>7370</v>
      </c>
      <c r="J87" s="38">
        <f t="shared" si="38"/>
        <v>-3333</v>
      </c>
      <c r="K87" s="39">
        <f t="shared" si="31"/>
        <v>68.859198355601237</v>
      </c>
      <c r="L87" s="38">
        <v>13600</v>
      </c>
      <c r="M87" s="38">
        <v>10880</v>
      </c>
      <c r="N87" s="38">
        <f t="shared" si="32"/>
        <v>-2720</v>
      </c>
      <c r="O87" s="38">
        <v>8080</v>
      </c>
      <c r="P87" s="38">
        <v>5973.3</v>
      </c>
      <c r="Q87" s="38">
        <f t="shared" si="39"/>
        <v>-2106.6999999999998</v>
      </c>
      <c r="R87" s="39">
        <f t="shared" si="33"/>
        <v>73.926980198019805</v>
      </c>
      <c r="S87" s="38"/>
      <c r="T87" s="41"/>
      <c r="U87" s="40">
        <f t="shared" si="35"/>
        <v>10880</v>
      </c>
      <c r="V87" s="40">
        <f t="shared" si="36"/>
        <v>0</v>
      </c>
      <c r="W87" s="38">
        <v>6995.8</v>
      </c>
      <c r="X87" s="38">
        <v>270.54199999999997</v>
      </c>
      <c r="Y87" s="38">
        <v>270.54199999999997</v>
      </c>
      <c r="Z87" s="55">
        <f t="shared" si="37"/>
        <v>11150.541999999999</v>
      </c>
      <c r="AA87" s="65">
        <f t="shared" si="34"/>
        <v>0</v>
      </c>
    </row>
    <row r="88" spans="1:27" s="25" customFormat="1" ht="18" customHeight="1" x14ac:dyDescent="0.2">
      <c r="A88" s="35">
        <v>42</v>
      </c>
      <c r="B88" s="36">
        <v>220</v>
      </c>
      <c r="C88" s="37" t="s">
        <v>54</v>
      </c>
      <c r="D88" s="38">
        <v>10792.5</v>
      </c>
      <c r="E88" s="38">
        <v>6000</v>
      </c>
      <c r="F88" s="30">
        <v>12538.2</v>
      </c>
      <c r="G88" s="30">
        <v>13612.58</v>
      </c>
      <c r="H88" s="38">
        <v>8234</v>
      </c>
      <c r="I88" s="38">
        <v>9630.8369999999995</v>
      </c>
      <c r="J88" s="38">
        <f t="shared" si="38"/>
        <v>1396.8369999999995</v>
      </c>
      <c r="K88" s="39">
        <f t="shared" si="31"/>
        <v>116.96425795482146</v>
      </c>
      <c r="L88" s="38">
        <v>13600</v>
      </c>
      <c r="M88" s="38">
        <v>16320</v>
      </c>
      <c r="N88" s="38">
        <f t="shared" si="32"/>
        <v>2720</v>
      </c>
      <c r="O88" s="38">
        <v>11560.3</v>
      </c>
      <c r="P88" s="38">
        <v>8707.7999999999993</v>
      </c>
      <c r="Q88" s="38">
        <f t="shared" si="39"/>
        <v>-2852.5</v>
      </c>
      <c r="R88" s="39">
        <f t="shared" si="33"/>
        <v>75.325034817435537</v>
      </c>
      <c r="S88" s="100">
        <v>-5692.1</v>
      </c>
      <c r="T88" s="41"/>
      <c r="U88" s="40">
        <f t="shared" si="35"/>
        <v>10627.9</v>
      </c>
      <c r="V88" s="40">
        <f t="shared" si="36"/>
        <v>-5692.1</v>
      </c>
      <c r="W88" s="38">
        <v>16304.7</v>
      </c>
      <c r="X88" s="38">
        <v>2358.3000000000002</v>
      </c>
      <c r="Y88" s="38">
        <v>2358.3000000000002</v>
      </c>
      <c r="Z88" s="55">
        <f t="shared" si="37"/>
        <v>12986.2</v>
      </c>
      <c r="AA88" s="65">
        <f t="shared" si="34"/>
        <v>0</v>
      </c>
    </row>
    <row r="89" spans="1:27" s="25" customFormat="1" x14ac:dyDescent="0.2">
      <c r="A89" s="35">
        <v>43</v>
      </c>
      <c r="B89" s="36">
        <v>110</v>
      </c>
      <c r="C89" s="37" t="s">
        <v>55</v>
      </c>
      <c r="D89" s="38">
        <v>3015.8</v>
      </c>
      <c r="E89" s="38">
        <v>7319</v>
      </c>
      <c r="F89" s="30">
        <v>3819</v>
      </c>
      <c r="G89" s="30">
        <v>1804</v>
      </c>
      <c r="H89" s="38">
        <v>4879.2</v>
      </c>
      <c r="I89" s="38">
        <v>904</v>
      </c>
      <c r="J89" s="38">
        <f t="shared" si="38"/>
        <v>-3975.2</v>
      </c>
      <c r="K89" s="39">
        <f t="shared" si="31"/>
        <v>18.527627479914742</v>
      </c>
      <c r="L89" s="38">
        <v>2000</v>
      </c>
      <c r="M89" s="38">
        <v>2000</v>
      </c>
      <c r="N89" s="38">
        <f t="shared" si="32"/>
        <v>0</v>
      </c>
      <c r="O89" s="38">
        <v>1334</v>
      </c>
      <c r="P89" s="38">
        <v>2.4</v>
      </c>
      <c r="Q89" s="38">
        <f t="shared" si="39"/>
        <v>-1331.6</v>
      </c>
      <c r="R89" s="39">
        <f t="shared" si="33"/>
        <v>0.17991004497751123</v>
      </c>
      <c r="S89" s="60">
        <v>-1997.6</v>
      </c>
      <c r="T89" s="41"/>
      <c r="U89" s="40">
        <f t="shared" si="35"/>
        <v>2.4000000000000909</v>
      </c>
      <c r="V89" s="40">
        <f t="shared" si="36"/>
        <v>-1997.6</v>
      </c>
      <c r="W89" s="38">
        <v>2.4</v>
      </c>
      <c r="X89" s="38"/>
      <c r="Y89" s="38"/>
      <c r="Z89" s="55">
        <f t="shared" si="37"/>
        <v>2.4000000000000909</v>
      </c>
      <c r="AA89" s="65">
        <f t="shared" si="34"/>
        <v>0</v>
      </c>
    </row>
    <row r="90" spans="1:27" s="25" customFormat="1" x14ac:dyDescent="0.2">
      <c r="A90" s="35">
        <v>43</v>
      </c>
      <c r="B90" s="36">
        <v>210</v>
      </c>
      <c r="C90" s="37" t="s">
        <v>56</v>
      </c>
      <c r="D90" s="38">
        <v>924.2</v>
      </c>
      <c r="E90" s="38">
        <v>7000</v>
      </c>
      <c r="F90" s="30">
        <v>4100</v>
      </c>
      <c r="G90" s="30">
        <v>2559.3839500000004</v>
      </c>
      <c r="H90" s="38">
        <v>5250</v>
      </c>
      <c r="I90" s="38">
        <v>1448.2239999999999</v>
      </c>
      <c r="J90" s="38">
        <f t="shared" si="38"/>
        <v>-3801.7759999999998</v>
      </c>
      <c r="K90" s="39">
        <f t="shared" si="31"/>
        <v>27.585219047619049</v>
      </c>
      <c r="L90" s="38">
        <v>7000</v>
      </c>
      <c r="M90" s="38">
        <v>7000</v>
      </c>
      <c r="N90" s="38">
        <f t="shared" si="32"/>
        <v>0</v>
      </c>
      <c r="O90" s="38">
        <v>4940</v>
      </c>
      <c r="P90" s="38">
        <v>1250.5999999999999</v>
      </c>
      <c r="Q90" s="38">
        <f t="shared" si="39"/>
        <v>-3689.4</v>
      </c>
      <c r="R90" s="39">
        <f t="shared" si="33"/>
        <v>25.315789473684209</v>
      </c>
      <c r="S90" s="60">
        <v>-4969.6000000000004</v>
      </c>
      <c r="T90" s="41"/>
      <c r="U90" s="40">
        <f t="shared" si="35"/>
        <v>2030.3999999999996</v>
      </c>
      <c r="V90" s="40">
        <f t="shared" si="36"/>
        <v>-4969.6000000000004</v>
      </c>
      <c r="W90" s="38">
        <v>1919.7</v>
      </c>
      <c r="X90" s="76">
        <v>288.7</v>
      </c>
      <c r="Y90" s="76">
        <v>288.7</v>
      </c>
      <c r="Z90" s="55">
        <f t="shared" si="37"/>
        <v>2319.0999999999995</v>
      </c>
      <c r="AA90" s="65">
        <f t="shared" si="34"/>
        <v>0</v>
      </c>
    </row>
    <row r="91" spans="1:27" s="64" customFormat="1" x14ac:dyDescent="0.2">
      <c r="A91" s="35">
        <v>43</v>
      </c>
      <c r="B91" s="36">
        <v>220</v>
      </c>
      <c r="C91" s="37" t="s">
        <v>57</v>
      </c>
      <c r="D91" s="38">
        <v>88305.8</v>
      </c>
      <c r="E91" s="38">
        <v>208601</v>
      </c>
      <c r="F91" s="31">
        <v>168601</v>
      </c>
      <c r="G91" s="31">
        <v>177273.57618999999</v>
      </c>
      <c r="H91" s="38">
        <v>167820.1</v>
      </c>
      <c r="I91" s="38">
        <v>123204.82799999999</v>
      </c>
      <c r="J91" s="38">
        <f t="shared" si="38"/>
        <v>-44615.272000000012</v>
      </c>
      <c r="K91" s="83">
        <f t="shared" si="31"/>
        <v>73.414822181609935</v>
      </c>
      <c r="L91" s="38">
        <v>194731.6</v>
      </c>
      <c r="M91" s="38">
        <v>194731.6</v>
      </c>
      <c r="N91" s="38">
        <f t="shared" si="32"/>
        <v>0</v>
      </c>
      <c r="O91" s="38">
        <v>141926.79999999999</v>
      </c>
      <c r="P91" s="38">
        <v>118662.1</v>
      </c>
      <c r="Q91" s="38">
        <f t="shared" si="39"/>
        <v>-23264.699999999983</v>
      </c>
      <c r="R91" s="83">
        <f t="shared" si="33"/>
        <v>83.60795846873178</v>
      </c>
      <c r="S91" s="38">
        <v>-17534.7</v>
      </c>
      <c r="T91" s="60">
        <v>6967.2</v>
      </c>
      <c r="U91" s="40">
        <f t="shared" si="35"/>
        <v>184164.1</v>
      </c>
      <c r="V91" s="40">
        <f t="shared" si="36"/>
        <v>-10567.5</v>
      </c>
      <c r="W91" s="38">
        <v>199227.2</v>
      </c>
      <c r="X91" s="38">
        <v>26117.899999999998</v>
      </c>
      <c r="Y91" s="38">
        <v>26117.899999999998</v>
      </c>
      <c r="Z91" s="55">
        <f t="shared" si="37"/>
        <v>210282</v>
      </c>
      <c r="AA91" s="65">
        <f t="shared" si="34"/>
        <v>0</v>
      </c>
    </row>
    <row r="92" spans="1:27" s="25" customFormat="1" x14ac:dyDescent="0.2">
      <c r="A92" s="35">
        <v>43</v>
      </c>
      <c r="B92" s="36">
        <v>320</v>
      </c>
      <c r="C92" s="37" t="s">
        <v>58</v>
      </c>
      <c r="D92" s="38">
        <v>1142.5</v>
      </c>
      <c r="E92" s="38">
        <v>125</v>
      </c>
      <c r="F92" s="30">
        <v>125</v>
      </c>
      <c r="G92" s="30">
        <v>0</v>
      </c>
      <c r="H92" s="38">
        <v>81.099999999999994</v>
      </c>
      <c r="I92" s="38">
        <v>0</v>
      </c>
      <c r="J92" s="38">
        <f t="shared" si="38"/>
        <v>-81.099999999999994</v>
      </c>
      <c r="K92" s="39">
        <f t="shared" si="31"/>
        <v>0</v>
      </c>
      <c r="L92" s="38">
        <v>125</v>
      </c>
      <c r="M92" s="38">
        <v>125</v>
      </c>
      <c r="N92" s="38">
        <f t="shared" si="32"/>
        <v>0</v>
      </c>
      <c r="O92" s="38">
        <v>81.099999999999994</v>
      </c>
      <c r="P92" s="38"/>
      <c r="Q92" s="38">
        <f t="shared" si="39"/>
        <v>-81.099999999999994</v>
      </c>
      <c r="R92" s="39">
        <f t="shared" si="33"/>
        <v>0</v>
      </c>
      <c r="S92" s="38"/>
      <c r="T92" s="38"/>
      <c r="U92" s="40">
        <f t="shared" si="35"/>
        <v>125</v>
      </c>
      <c r="V92" s="40">
        <f t="shared" si="36"/>
        <v>0</v>
      </c>
      <c r="W92" s="38">
        <v>0</v>
      </c>
      <c r="X92" s="38"/>
      <c r="Y92" s="38"/>
      <c r="Z92" s="55">
        <f t="shared" si="37"/>
        <v>125</v>
      </c>
      <c r="AA92" s="65">
        <f t="shared" si="34"/>
        <v>0</v>
      </c>
    </row>
    <row r="93" spans="1:27" s="25" customFormat="1" ht="25.5" x14ac:dyDescent="0.2">
      <c r="A93" s="35">
        <v>43</v>
      </c>
      <c r="B93" s="36">
        <v>420</v>
      </c>
      <c r="C93" s="37" t="s">
        <v>154</v>
      </c>
      <c r="D93" s="38">
        <v>1222.0999999999999</v>
      </c>
      <c r="E93" s="38"/>
      <c r="F93" s="30"/>
      <c r="G93" s="38"/>
      <c r="H93" s="38"/>
      <c r="I93" s="38"/>
      <c r="J93" s="38">
        <f t="shared" si="38"/>
        <v>0</v>
      </c>
      <c r="K93" s="39" t="str">
        <f t="shared" si="31"/>
        <v xml:space="preserve"> </v>
      </c>
      <c r="L93" s="38"/>
      <c r="M93" s="38"/>
      <c r="N93" s="38">
        <f t="shared" si="32"/>
        <v>0</v>
      </c>
      <c r="O93" s="38"/>
      <c r="P93" s="38"/>
      <c r="Q93" s="38">
        <f t="shared" si="39"/>
        <v>0</v>
      </c>
      <c r="R93" s="39" t="str">
        <f t="shared" si="33"/>
        <v xml:space="preserve"> </v>
      </c>
      <c r="S93" s="38"/>
      <c r="T93" s="38"/>
      <c r="U93" s="40">
        <f t="shared" si="35"/>
        <v>0</v>
      </c>
      <c r="V93" s="40">
        <f t="shared" si="36"/>
        <v>0</v>
      </c>
      <c r="W93" s="38"/>
      <c r="X93" s="38"/>
      <c r="Y93" s="38"/>
      <c r="Z93" s="55">
        <f t="shared" si="37"/>
        <v>0</v>
      </c>
      <c r="AA93" s="65">
        <f t="shared" si="34"/>
        <v>0</v>
      </c>
    </row>
    <row r="94" spans="1:27" s="25" customFormat="1" x14ac:dyDescent="0.2">
      <c r="A94" s="35">
        <v>43</v>
      </c>
      <c r="B94" s="36">
        <v>510</v>
      </c>
      <c r="C94" s="37" t="s">
        <v>145</v>
      </c>
      <c r="D94" s="38"/>
      <c r="E94" s="38"/>
      <c r="F94" s="30">
        <v>150</v>
      </c>
      <c r="G94" s="30">
        <v>46.820999999999998</v>
      </c>
      <c r="H94" s="38"/>
      <c r="I94" s="38"/>
      <c r="J94" s="38">
        <f t="shared" si="38"/>
        <v>0</v>
      </c>
      <c r="K94" s="39" t="str">
        <f t="shared" si="31"/>
        <v xml:space="preserve"> </v>
      </c>
      <c r="L94" s="38"/>
      <c r="M94" s="38">
        <v>210</v>
      </c>
      <c r="N94" s="38">
        <f t="shared" si="32"/>
        <v>210</v>
      </c>
      <c r="O94" s="38">
        <v>210</v>
      </c>
      <c r="P94" s="38">
        <v>169.3</v>
      </c>
      <c r="Q94" s="38">
        <f t="shared" si="39"/>
        <v>-40.699999999999989</v>
      </c>
      <c r="R94" s="39">
        <f t="shared" si="33"/>
        <v>80.61904761904762</v>
      </c>
      <c r="S94" s="38"/>
      <c r="T94" s="38"/>
      <c r="U94" s="40">
        <f t="shared" si="35"/>
        <v>210</v>
      </c>
      <c r="V94" s="40">
        <f t="shared" si="36"/>
        <v>0</v>
      </c>
      <c r="W94" s="38">
        <v>169.29</v>
      </c>
      <c r="X94" s="76"/>
      <c r="Y94" s="76"/>
      <c r="Z94" s="55">
        <f t="shared" si="37"/>
        <v>210</v>
      </c>
      <c r="AA94" s="65">
        <f t="shared" si="34"/>
        <v>0</v>
      </c>
    </row>
    <row r="95" spans="1:27" s="25" customFormat="1" x14ac:dyDescent="0.2">
      <c r="A95" s="35">
        <v>43</v>
      </c>
      <c r="B95" s="36">
        <v>520</v>
      </c>
      <c r="C95" s="37" t="s">
        <v>146</v>
      </c>
      <c r="D95" s="38"/>
      <c r="E95" s="38"/>
      <c r="F95" s="30">
        <v>223.9</v>
      </c>
      <c r="G95" s="30">
        <v>140.22039999999998</v>
      </c>
      <c r="H95" s="38"/>
      <c r="I95" s="38"/>
      <c r="J95" s="38">
        <f t="shared" si="38"/>
        <v>0</v>
      </c>
      <c r="K95" s="39" t="str">
        <f t="shared" si="31"/>
        <v xml:space="preserve"> </v>
      </c>
      <c r="L95" s="38"/>
      <c r="M95" s="38">
        <v>462.9</v>
      </c>
      <c r="N95" s="38">
        <f t="shared" si="32"/>
        <v>462.9</v>
      </c>
      <c r="O95" s="38">
        <v>256.10000000000002</v>
      </c>
      <c r="P95" s="38">
        <v>45.2</v>
      </c>
      <c r="Q95" s="38">
        <f t="shared" si="39"/>
        <v>-210.90000000000003</v>
      </c>
      <c r="R95" s="39">
        <f t="shared" si="33"/>
        <v>17.64935572042171</v>
      </c>
      <c r="S95" s="38"/>
      <c r="T95" s="38"/>
      <c r="U95" s="40">
        <f t="shared" si="35"/>
        <v>462.9</v>
      </c>
      <c r="V95" s="40">
        <f t="shared" si="36"/>
        <v>0</v>
      </c>
      <c r="W95" s="38">
        <v>50.7</v>
      </c>
      <c r="X95" s="76"/>
      <c r="Y95" s="76"/>
      <c r="Z95" s="55">
        <f t="shared" si="37"/>
        <v>462.9</v>
      </c>
      <c r="AA95" s="65">
        <f t="shared" si="34"/>
        <v>0</v>
      </c>
    </row>
    <row r="96" spans="1:27" s="25" customFormat="1" x14ac:dyDescent="0.2">
      <c r="A96" s="35">
        <v>43</v>
      </c>
      <c r="B96" s="36">
        <v>620</v>
      </c>
      <c r="C96" s="37" t="s">
        <v>59</v>
      </c>
      <c r="D96" s="38">
        <v>2249.3000000000002</v>
      </c>
      <c r="E96" s="38">
        <v>3800</v>
      </c>
      <c r="F96" s="30">
        <v>2800</v>
      </c>
      <c r="G96" s="30">
        <v>2226.0115900000001</v>
      </c>
      <c r="H96" s="38">
        <v>2734.8</v>
      </c>
      <c r="I96" s="38">
        <v>1352.5319999999999</v>
      </c>
      <c r="J96" s="38">
        <f t="shared" si="38"/>
        <v>-1382.2680000000003</v>
      </c>
      <c r="K96" s="39">
        <f t="shared" si="31"/>
        <v>49.456340500219383</v>
      </c>
      <c r="L96" s="38">
        <v>1800</v>
      </c>
      <c r="M96" s="38">
        <v>1800</v>
      </c>
      <c r="N96" s="38">
        <f t="shared" si="32"/>
        <v>0</v>
      </c>
      <c r="O96" s="38">
        <v>1385.7</v>
      </c>
      <c r="P96" s="38">
        <v>1209.8</v>
      </c>
      <c r="Q96" s="38">
        <f t="shared" si="39"/>
        <v>-175.90000000000009</v>
      </c>
      <c r="R96" s="39">
        <f t="shared" si="33"/>
        <v>87.30605470159486</v>
      </c>
      <c r="S96" s="38"/>
      <c r="T96" s="60">
        <v>700</v>
      </c>
      <c r="U96" s="40">
        <f t="shared" si="35"/>
        <v>2500</v>
      </c>
      <c r="V96" s="40">
        <f t="shared" si="36"/>
        <v>700</v>
      </c>
      <c r="W96" s="38">
        <v>1965.5</v>
      </c>
      <c r="X96" s="38">
        <v>218.5</v>
      </c>
      <c r="Y96" s="38">
        <v>218.5</v>
      </c>
      <c r="Z96" s="55">
        <f t="shared" si="37"/>
        <v>2718.5</v>
      </c>
      <c r="AA96" s="65">
        <f t="shared" si="34"/>
        <v>0</v>
      </c>
    </row>
    <row r="97" spans="1:27" s="25" customFormat="1" x14ac:dyDescent="0.2">
      <c r="A97" s="35">
        <v>43</v>
      </c>
      <c r="B97" s="36">
        <v>821</v>
      </c>
      <c r="C97" s="37" t="s">
        <v>60</v>
      </c>
      <c r="D97" s="38">
        <v>4626.7</v>
      </c>
      <c r="E97" s="38">
        <v>4172.2</v>
      </c>
      <c r="F97" s="30">
        <v>6487.2</v>
      </c>
      <c r="G97" s="30">
        <v>5388.94</v>
      </c>
      <c r="H97" s="38">
        <v>4112.2</v>
      </c>
      <c r="I97" s="38">
        <v>3498.44</v>
      </c>
      <c r="J97" s="38">
        <f t="shared" si="38"/>
        <v>-613.75999999999976</v>
      </c>
      <c r="K97" s="39">
        <f t="shared" si="31"/>
        <v>85.074655901950308</v>
      </c>
      <c r="L97" s="38">
        <v>5574.6</v>
      </c>
      <c r="M97" s="38">
        <v>5574.6</v>
      </c>
      <c r="N97" s="38">
        <f t="shared" si="32"/>
        <v>0</v>
      </c>
      <c r="O97" s="38">
        <v>5368.7</v>
      </c>
      <c r="P97" s="38">
        <v>2657.5</v>
      </c>
      <c r="Q97" s="38">
        <f t="shared" si="39"/>
        <v>-2711.2</v>
      </c>
      <c r="R97" s="39">
        <f t="shared" si="33"/>
        <v>49.499878927859633</v>
      </c>
      <c r="S97" s="38"/>
      <c r="T97" s="38"/>
      <c r="U97" s="40">
        <f t="shared" si="35"/>
        <v>5574.6</v>
      </c>
      <c r="V97" s="40">
        <f t="shared" si="36"/>
        <v>0</v>
      </c>
      <c r="W97" s="38">
        <v>5180.8</v>
      </c>
      <c r="X97" s="38"/>
      <c r="Y97" s="38"/>
      <c r="Z97" s="55">
        <f t="shared" si="37"/>
        <v>5574.6</v>
      </c>
      <c r="AA97" s="65">
        <f t="shared" si="34"/>
        <v>0</v>
      </c>
    </row>
    <row r="98" spans="1:27" s="25" customFormat="1" x14ac:dyDescent="0.2">
      <c r="A98" s="35">
        <v>44</v>
      </c>
      <c r="B98" s="36">
        <v>110</v>
      </c>
      <c r="C98" s="37" t="s">
        <v>61</v>
      </c>
      <c r="D98" s="38">
        <v>604</v>
      </c>
      <c r="E98" s="38">
        <v>800</v>
      </c>
      <c r="F98" s="30">
        <v>1297.5</v>
      </c>
      <c r="G98" s="30">
        <v>1403.5853999999999</v>
      </c>
      <c r="H98" s="38">
        <v>1113.5</v>
      </c>
      <c r="I98" s="38">
        <v>648.86400000000003</v>
      </c>
      <c r="J98" s="38">
        <f t="shared" si="38"/>
        <v>-464.63599999999997</v>
      </c>
      <c r="K98" s="39">
        <f t="shared" si="31"/>
        <v>58.2724741805119</v>
      </c>
      <c r="L98" s="38">
        <v>1938</v>
      </c>
      <c r="M98" s="38">
        <v>1938</v>
      </c>
      <c r="N98" s="38">
        <f t="shared" si="32"/>
        <v>0</v>
      </c>
      <c r="O98" s="38">
        <v>1473.2</v>
      </c>
      <c r="P98" s="38">
        <v>695.2</v>
      </c>
      <c r="Q98" s="38">
        <f t="shared" si="39"/>
        <v>-778</v>
      </c>
      <c r="R98" s="39">
        <f t="shared" si="33"/>
        <v>47.189790931306</v>
      </c>
      <c r="S98" s="38"/>
      <c r="T98" s="38"/>
      <c r="U98" s="40">
        <f t="shared" si="35"/>
        <v>1938</v>
      </c>
      <c r="V98" s="40">
        <f t="shared" si="36"/>
        <v>0</v>
      </c>
      <c r="W98" s="38">
        <v>1841.1</v>
      </c>
      <c r="X98" s="38">
        <v>293.82600000000002</v>
      </c>
      <c r="Y98" s="38">
        <v>293.82600000000002</v>
      </c>
      <c r="Z98" s="55">
        <f t="shared" si="37"/>
        <v>2231.826</v>
      </c>
      <c r="AA98" s="65">
        <f t="shared" si="34"/>
        <v>0</v>
      </c>
    </row>
    <row r="99" spans="1:27" s="25" customFormat="1" x14ac:dyDescent="0.2">
      <c r="A99" s="35">
        <v>44</v>
      </c>
      <c r="B99" s="36">
        <v>121</v>
      </c>
      <c r="C99" s="37" t="s">
        <v>62</v>
      </c>
      <c r="D99" s="38">
        <v>47634.7</v>
      </c>
      <c r="E99" s="38">
        <v>50350.1</v>
      </c>
      <c r="F99" s="30">
        <v>59686.9</v>
      </c>
      <c r="G99" s="30">
        <v>58777.595260000002</v>
      </c>
      <c r="H99" s="38">
        <v>42289.9</v>
      </c>
      <c r="I99" s="38">
        <f>6462.809+7301.16+1022.734+18152.772+6021.645+48.28</f>
        <v>39009.400000000009</v>
      </c>
      <c r="J99" s="38">
        <f t="shared" si="38"/>
        <v>-3280.4999999999927</v>
      </c>
      <c r="K99" s="39">
        <f t="shared" si="31"/>
        <v>92.242828665946263</v>
      </c>
      <c r="L99" s="38">
        <v>50350.1</v>
      </c>
      <c r="M99" s="38">
        <v>81886.600000000006</v>
      </c>
      <c r="N99" s="38">
        <f t="shared" si="32"/>
        <v>31536.500000000007</v>
      </c>
      <c r="O99" s="38">
        <v>85224</v>
      </c>
      <c r="P99" s="38">
        <v>62920.2</v>
      </c>
      <c r="Q99" s="38">
        <f t="shared" si="39"/>
        <v>-22303.800000000003</v>
      </c>
      <c r="R99" s="39">
        <f t="shared" si="33"/>
        <v>73.829203041396781</v>
      </c>
      <c r="S99" s="38">
        <f>-1698.4-600</f>
        <v>-2298.4</v>
      </c>
      <c r="T99" s="60">
        <v>4419.5</v>
      </c>
      <c r="U99" s="40">
        <f t="shared" si="35"/>
        <v>84007.700000000012</v>
      </c>
      <c r="V99" s="40">
        <f t="shared" si="36"/>
        <v>2121.1</v>
      </c>
      <c r="W99" s="38">
        <f>100168.4-W100</f>
        <v>71968.399999999994</v>
      </c>
      <c r="X99" s="38">
        <v>5338.4</v>
      </c>
      <c r="Y99" s="38">
        <v>5338.4</v>
      </c>
      <c r="Z99" s="55">
        <f t="shared" si="37"/>
        <v>89346.1</v>
      </c>
      <c r="AA99" s="65">
        <f t="shared" si="34"/>
        <v>0</v>
      </c>
    </row>
    <row r="100" spans="1:27" s="25" customFormat="1" ht="12.75" customHeight="1" x14ac:dyDescent="0.2">
      <c r="A100" s="35">
        <v>44</v>
      </c>
      <c r="B100" s="36">
        <v>121</v>
      </c>
      <c r="C100" s="37" t="s">
        <v>63</v>
      </c>
      <c r="D100" s="38">
        <v>16842.7</v>
      </c>
      <c r="E100" s="38">
        <v>28504</v>
      </c>
      <c r="F100" s="30">
        <v>22139.7</v>
      </c>
      <c r="G100" s="30">
        <v>19964.02</v>
      </c>
      <c r="H100" s="38">
        <v>19251</v>
      </c>
      <c r="I100" s="38">
        <f>353.031+696.141+3908.812+279.401+6722.727+2580.299</f>
        <v>14540.411</v>
      </c>
      <c r="J100" s="38">
        <f t="shared" si="38"/>
        <v>-4710.5889999999999</v>
      </c>
      <c r="K100" s="39">
        <f t="shared" si="31"/>
        <v>75.53067892577009</v>
      </c>
      <c r="L100" s="38">
        <v>30179.4</v>
      </c>
      <c r="M100" s="38">
        <f>2180+1300+6820+500+10300+9079.4</f>
        <v>30179.4</v>
      </c>
      <c r="N100" s="38">
        <f t="shared" si="32"/>
        <v>0</v>
      </c>
      <c r="O100" s="38">
        <f>1635+970+5080+375+7755+6784.4</f>
        <v>22599.4</v>
      </c>
      <c r="P100" s="38">
        <f>510.7+502.3+3879.2+188.3+6288.4+4424.7</f>
        <v>15793.599999999999</v>
      </c>
      <c r="Q100" s="38">
        <f t="shared" si="39"/>
        <v>-6805.8000000000029</v>
      </c>
      <c r="R100" s="39">
        <f t="shared" si="33"/>
        <v>69.885041195783941</v>
      </c>
      <c r="S100" s="38"/>
      <c r="T100" s="60">
        <f>800+600</f>
        <v>1400</v>
      </c>
      <c r="U100" s="40">
        <f t="shared" si="35"/>
        <v>31579.4</v>
      </c>
      <c r="V100" s="40">
        <f t="shared" si="36"/>
        <v>1400</v>
      </c>
      <c r="W100" s="38">
        <f>1931.5+932.7+6966.6+281.4+10442.4+7645.4</f>
        <v>28200</v>
      </c>
      <c r="X100" s="38">
        <v>1902</v>
      </c>
      <c r="Y100" s="38">
        <v>1902</v>
      </c>
      <c r="Z100" s="55">
        <f t="shared" si="37"/>
        <v>33481.4</v>
      </c>
      <c r="AA100" s="65">
        <f t="shared" si="34"/>
        <v>0</v>
      </c>
    </row>
    <row r="101" spans="1:27" s="25" customFormat="1" x14ac:dyDescent="0.2">
      <c r="A101" s="35">
        <v>44</v>
      </c>
      <c r="B101" s="36">
        <v>210</v>
      </c>
      <c r="C101" s="37" t="s">
        <v>158</v>
      </c>
      <c r="D101" s="38"/>
      <c r="E101" s="38"/>
      <c r="F101" s="30"/>
      <c r="G101" s="30"/>
      <c r="H101" s="38"/>
      <c r="I101" s="38"/>
      <c r="J101" s="44">
        <f t="shared" si="38"/>
        <v>0</v>
      </c>
      <c r="K101" s="39" t="str">
        <f t="shared" si="31"/>
        <v xml:space="preserve"> </v>
      </c>
      <c r="L101" s="38"/>
      <c r="M101" s="38">
        <v>18000</v>
      </c>
      <c r="N101" s="38">
        <f t="shared" si="32"/>
        <v>18000</v>
      </c>
      <c r="O101" s="38">
        <v>18000</v>
      </c>
      <c r="P101" s="38">
        <v>4593.7</v>
      </c>
      <c r="Q101" s="44">
        <f t="shared" si="39"/>
        <v>-13406.3</v>
      </c>
      <c r="R101" s="39">
        <f t="shared" si="33"/>
        <v>25.520555555555553</v>
      </c>
      <c r="S101" s="60">
        <v>-9000</v>
      </c>
      <c r="T101" s="38"/>
      <c r="U101" s="40">
        <f t="shared" si="35"/>
        <v>9000</v>
      </c>
      <c r="V101" s="40">
        <f t="shared" si="36"/>
        <v>-9000</v>
      </c>
      <c r="W101" s="38">
        <v>7444.31</v>
      </c>
      <c r="X101" s="38"/>
      <c r="Y101" s="38"/>
      <c r="Z101" s="55">
        <f t="shared" si="37"/>
        <v>9000</v>
      </c>
      <c r="AA101" s="65">
        <f t="shared" si="34"/>
        <v>0</v>
      </c>
    </row>
    <row r="102" spans="1:27" s="25" customFormat="1" x14ac:dyDescent="0.2">
      <c r="A102" s="35">
        <v>44</v>
      </c>
      <c r="B102" s="36">
        <v>131</v>
      </c>
      <c r="C102" s="37" t="s">
        <v>64</v>
      </c>
      <c r="D102" s="38">
        <v>1141.8</v>
      </c>
      <c r="E102" s="38">
        <v>1400</v>
      </c>
      <c r="F102" s="30">
        <v>2140</v>
      </c>
      <c r="G102" s="30">
        <v>2026.549</v>
      </c>
      <c r="H102" s="38">
        <v>1605</v>
      </c>
      <c r="I102" s="38">
        <v>1345.88</v>
      </c>
      <c r="J102" s="44">
        <f t="shared" si="38"/>
        <v>-259.11999999999989</v>
      </c>
      <c r="K102" s="39">
        <f t="shared" si="31"/>
        <v>83.855451713395652</v>
      </c>
      <c r="L102" s="38">
        <v>1400</v>
      </c>
      <c r="M102" s="38"/>
      <c r="N102" s="38">
        <f t="shared" si="32"/>
        <v>-1400</v>
      </c>
      <c r="O102" s="38"/>
      <c r="P102" s="38"/>
      <c r="Q102" s="44">
        <f t="shared" si="39"/>
        <v>0</v>
      </c>
      <c r="R102" s="39" t="str">
        <f t="shared" si="33"/>
        <v xml:space="preserve"> </v>
      </c>
      <c r="S102" s="38"/>
      <c r="T102" s="38">
        <v>1698.4</v>
      </c>
      <c r="U102" s="40">
        <f t="shared" si="35"/>
        <v>1698.4</v>
      </c>
      <c r="V102" s="40">
        <f t="shared" si="36"/>
        <v>1698.4</v>
      </c>
      <c r="W102" s="38">
        <v>1385.6</v>
      </c>
      <c r="X102" s="38"/>
      <c r="Y102" s="38"/>
      <c r="Z102" s="55">
        <f t="shared" si="37"/>
        <v>1698.4</v>
      </c>
      <c r="AA102" s="65">
        <f t="shared" si="34"/>
        <v>0</v>
      </c>
    </row>
    <row r="103" spans="1:27" s="64" customFormat="1" x14ac:dyDescent="0.2">
      <c r="A103" s="35">
        <v>44</v>
      </c>
      <c r="B103" s="36">
        <v>410</v>
      </c>
      <c r="C103" s="37" t="s">
        <v>65</v>
      </c>
      <c r="D103" s="38">
        <v>2555.8000000000002</v>
      </c>
      <c r="E103" s="38">
        <v>2718.1</v>
      </c>
      <c r="F103" s="31">
        <v>6041.7999999999993</v>
      </c>
      <c r="G103" s="31">
        <v>5053.8823000000002</v>
      </c>
      <c r="H103" s="38">
        <v>4271.1000000000004</v>
      </c>
      <c r="I103" s="38">
        <v>3710.45</v>
      </c>
      <c r="J103" s="38">
        <f t="shared" si="38"/>
        <v>-560.65000000000055</v>
      </c>
      <c r="K103" s="83">
        <f t="shared" si="31"/>
        <v>86.873404977640405</v>
      </c>
      <c r="L103" s="38">
        <v>4620</v>
      </c>
      <c r="M103" s="38">
        <v>4620</v>
      </c>
      <c r="N103" s="38">
        <f t="shared" si="32"/>
        <v>0</v>
      </c>
      <c r="O103" s="38">
        <v>3500</v>
      </c>
      <c r="P103" s="38">
        <v>1615.7</v>
      </c>
      <c r="Q103" s="38">
        <f t="shared" si="39"/>
        <v>-1884.3</v>
      </c>
      <c r="R103" s="83">
        <f t="shared" si="33"/>
        <v>46.162857142857142</v>
      </c>
      <c r="S103" s="38">
        <f>-670-740</f>
        <v>-1410</v>
      </c>
      <c r="T103" s="41"/>
      <c r="U103" s="40">
        <f t="shared" si="35"/>
        <v>3210</v>
      </c>
      <c r="V103" s="40">
        <f t="shared" si="36"/>
        <v>-1410</v>
      </c>
      <c r="W103" s="38">
        <v>2758.5</v>
      </c>
      <c r="X103" s="38">
        <v>550.1</v>
      </c>
      <c r="Y103" s="38">
        <v>550.1</v>
      </c>
      <c r="Z103" s="55">
        <f t="shared" si="37"/>
        <v>3760.1</v>
      </c>
      <c r="AA103" s="65">
        <f t="shared" si="34"/>
        <v>0</v>
      </c>
    </row>
    <row r="104" spans="1:27" s="64" customFormat="1" x14ac:dyDescent="0.2">
      <c r="A104" s="35">
        <v>44</v>
      </c>
      <c r="B104" s="36">
        <v>420</v>
      </c>
      <c r="C104" s="37" t="s">
        <v>66</v>
      </c>
      <c r="D104" s="38">
        <v>1120.5999999999999</v>
      </c>
      <c r="E104" s="38">
        <f>952+844</f>
        <v>1796</v>
      </c>
      <c r="F104" s="31">
        <v>5168.2</v>
      </c>
      <c r="G104" s="31">
        <v>4135.1707100000003</v>
      </c>
      <c r="H104" s="38">
        <v>3917.3</v>
      </c>
      <c r="I104" s="38">
        <v>2128.654</v>
      </c>
      <c r="J104" s="38">
        <f t="shared" si="38"/>
        <v>-1788.6460000000002</v>
      </c>
      <c r="K104" s="83">
        <f t="shared" si="31"/>
        <v>54.339825900492691</v>
      </c>
      <c r="L104" s="38">
        <v>4500</v>
      </c>
      <c r="M104" s="38">
        <v>4800</v>
      </c>
      <c r="N104" s="38">
        <f t="shared" si="32"/>
        <v>300</v>
      </c>
      <c r="O104" s="38">
        <v>3991.7</v>
      </c>
      <c r="P104" s="38">
        <v>3712.5</v>
      </c>
      <c r="Q104" s="38">
        <f t="shared" si="39"/>
        <v>-279.19999999999982</v>
      </c>
      <c r="R104" s="83">
        <f t="shared" si="33"/>
        <v>93.00548638424732</v>
      </c>
      <c r="S104" s="38"/>
      <c r="T104" s="101">
        <f>670+8300.2+740+1257</f>
        <v>10967.2</v>
      </c>
      <c r="U104" s="40">
        <f t="shared" si="35"/>
        <v>15767.2</v>
      </c>
      <c r="V104" s="40">
        <f t="shared" si="36"/>
        <v>10967.2</v>
      </c>
      <c r="W104" s="38">
        <v>14867.9</v>
      </c>
      <c r="X104" s="38">
        <v>312</v>
      </c>
      <c r="Y104" s="38">
        <v>312</v>
      </c>
      <c r="Z104" s="55">
        <f t="shared" si="37"/>
        <v>16079.2</v>
      </c>
      <c r="AA104" s="65">
        <f t="shared" si="34"/>
        <v>0</v>
      </c>
    </row>
    <row r="105" spans="1:27" s="25" customFormat="1" x14ac:dyDescent="0.2">
      <c r="A105" s="35">
        <v>44</v>
      </c>
      <c r="B105" s="36">
        <v>521</v>
      </c>
      <c r="C105" s="37" t="s">
        <v>67</v>
      </c>
      <c r="D105" s="38">
        <v>2636.5</v>
      </c>
      <c r="E105" s="38">
        <v>4100</v>
      </c>
      <c r="F105" s="30">
        <v>4100</v>
      </c>
      <c r="G105" s="30">
        <v>2616.4724500000002</v>
      </c>
      <c r="H105" s="38">
        <v>3125</v>
      </c>
      <c r="I105" s="38">
        <v>1849.1469999999999</v>
      </c>
      <c r="J105" s="38">
        <f t="shared" si="38"/>
        <v>-1275.8530000000001</v>
      </c>
      <c r="K105" s="39">
        <f t="shared" si="31"/>
        <v>59.172703999999996</v>
      </c>
      <c r="L105" s="38">
        <v>4100</v>
      </c>
      <c r="M105" s="38">
        <v>4100</v>
      </c>
      <c r="N105" s="38">
        <f t="shared" si="32"/>
        <v>0</v>
      </c>
      <c r="O105" s="38">
        <v>3125</v>
      </c>
      <c r="P105" s="38">
        <v>1970.7</v>
      </c>
      <c r="Q105" s="38">
        <f t="shared" si="39"/>
        <v>-1154.3</v>
      </c>
      <c r="R105" s="39">
        <f t="shared" si="33"/>
        <v>63.062399999999997</v>
      </c>
      <c r="S105" s="38"/>
      <c r="T105" s="38"/>
      <c r="U105" s="40">
        <f t="shared" si="35"/>
        <v>4100</v>
      </c>
      <c r="V105" s="40">
        <f t="shared" si="36"/>
        <v>0</v>
      </c>
      <c r="W105" s="38">
        <v>2924</v>
      </c>
      <c r="X105" s="38"/>
      <c r="Y105" s="38"/>
      <c r="Z105" s="55">
        <f t="shared" si="37"/>
        <v>4100</v>
      </c>
      <c r="AA105" s="65">
        <f t="shared" si="34"/>
        <v>0</v>
      </c>
    </row>
    <row r="106" spans="1:27" s="25" customFormat="1" x14ac:dyDescent="0.2">
      <c r="A106" s="35">
        <v>44</v>
      </c>
      <c r="B106" s="36">
        <v>721</v>
      </c>
      <c r="C106" s="37" t="s">
        <v>68</v>
      </c>
      <c r="D106" s="38">
        <v>13091.2</v>
      </c>
      <c r="E106" s="38">
        <v>18025.3</v>
      </c>
      <c r="F106" s="30">
        <v>18025.3</v>
      </c>
      <c r="G106" s="30">
        <v>13920.528380000002</v>
      </c>
      <c r="H106" s="38">
        <v>13614.8</v>
      </c>
      <c r="I106" s="38">
        <v>9504.9030000000002</v>
      </c>
      <c r="J106" s="38">
        <f t="shared" si="38"/>
        <v>-4109.896999999999</v>
      </c>
      <c r="K106" s="39">
        <f t="shared" si="31"/>
        <v>69.813019655081249</v>
      </c>
      <c r="L106" s="38">
        <v>18025.3</v>
      </c>
      <c r="M106" s="38">
        <v>18025.3</v>
      </c>
      <c r="N106" s="38">
        <f t="shared" si="32"/>
        <v>0</v>
      </c>
      <c r="O106" s="38">
        <v>12978.4</v>
      </c>
      <c r="P106" s="38">
        <v>10060.6</v>
      </c>
      <c r="Q106" s="38">
        <f t="shared" si="39"/>
        <v>-2917.7999999999993</v>
      </c>
      <c r="R106" s="39">
        <f t="shared" si="33"/>
        <v>77.518029957467789</v>
      </c>
      <c r="S106" s="38"/>
      <c r="T106" s="38"/>
      <c r="U106" s="40">
        <f t="shared" si="35"/>
        <v>18025.3</v>
      </c>
      <c r="V106" s="40">
        <f t="shared" si="36"/>
        <v>0</v>
      </c>
      <c r="W106" s="38">
        <v>14200</v>
      </c>
      <c r="X106" s="38">
        <v>1120.4000000000001</v>
      </c>
      <c r="Y106" s="38">
        <v>1120.4000000000001</v>
      </c>
      <c r="Z106" s="55">
        <f t="shared" si="37"/>
        <v>19145.7</v>
      </c>
      <c r="AA106" s="65">
        <f t="shared" si="34"/>
        <v>0</v>
      </c>
    </row>
    <row r="107" spans="1:27" s="25" customFormat="1" x14ac:dyDescent="0.2">
      <c r="A107" s="35">
        <v>44</v>
      </c>
      <c r="B107" s="36">
        <v>821</v>
      </c>
      <c r="C107" s="37" t="s">
        <v>69</v>
      </c>
      <c r="D107" s="38">
        <v>2158.1</v>
      </c>
      <c r="E107" s="38">
        <v>10100</v>
      </c>
      <c r="F107" s="30">
        <v>6100</v>
      </c>
      <c r="G107" s="30">
        <v>4505.7931399999998</v>
      </c>
      <c r="H107" s="38">
        <v>7575.1</v>
      </c>
      <c r="I107" s="38">
        <v>3105.1289999999999</v>
      </c>
      <c r="J107" s="38">
        <f t="shared" si="38"/>
        <v>-4469.9710000000005</v>
      </c>
      <c r="K107" s="39">
        <f t="shared" si="31"/>
        <v>40.991260841441033</v>
      </c>
      <c r="L107" s="38">
        <v>10100</v>
      </c>
      <c r="M107" s="38">
        <v>10100</v>
      </c>
      <c r="N107" s="38">
        <f t="shared" si="32"/>
        <v>0</v>
      </c>
      <c r="O107" s="38">
        <v>6867.8</v>
      </c>
      <c r="P107" s="38">
        <v>5304.5</v>
      </c>
      <c r="Q107" s="38">
        <f t="shared" si="39"/>
        <v>-1563.3000000000002</v>
      </c>
      <c r="R107" s="39">
        <f t="shared" si="33"/>
        <v>77.237252104021664</v>
      </c>
      <c r="S107" s="38"/>
      <c r="T107" s="38"/>
      <c r="U107" s="40">
        <f t="shared" si="35"/>
        <v>10100</v>
      </c>
      <c r="V107" s="40">
        <f t="shared" si="36"/>
        <v>0</v>
      </c>
      <c r="W107" s="38">
        <v>7179.4</v>
      </c>
      <c r="X107" s="38">
        <v>207.2</v>
      </c>
      <c r="Y107" s="38">
        <v>207.2</v>
      </c>
      <c r="Z107" s="55">
        <f t="shared" si="37"/>
        <v>10307.200000000001</v>
      </c>
      <c r="AA107" s="65">
        <f t="shared" si="34"/>
        <v>0</v>
      </c>
    </row>
    <row r="108" spans="1:27" s="25" customFormat="1" x14ac:dyDescent="0.2">
      <c r="A108" s="35">
        <v>45</v>
      </c>
      <c r="B108" s="36">
        <v>121</v>
      </c>
      <c r="C108" s="37" t="s">
        <v>70</v>
      </c>
      <c r="D108" s="38">
        <v>1529.9</v>
      </c>
      <c r="E108" s="38">
        <v>570.20000000000005</v>
      </c>
      <c r="F108" s="30">
        <v>4263.7999999999993</v>
      </c>
      <c r="G108" s="30">
        <v>3541.1576</v>
      </c>
      <c r="H108" s="38">
        <v>2284</v>
      </c>
      <c r="I108" s="38">
        <v>1402.3150000000001</v>
      </c>
      <c r="J108" s="38">
        <f t="shared" si="38"/>
        <v>-881.68499999999995</v>
      </c>
      <c r="K108" s="39">
        <f t="shared" si="31"/>
        <v>61.397329246935207</v>
      </c>
      <c r="L108" s="38">
        <v>570.20000000000005</v>
      </c>
      <c r="M108" s="38">
        <v>6184.5</v>
      </c>
      <c r="N108" s="38">
        <f t="shared" si="32"/>
        <v>5614.3</v>
      </c>
      <c r="O108" s="38">
        <v>6142</v>
      </c>
      <c r="P108" s="38">
        <v>4575.5</v>
      </c>
      <c r="Q108" s="38">
        <f t="shared" si="39"/>
        <v>-1566.5</v>
      </c>
      <c r="R108" s="39">
        <f t="shared" si="33"/>
        <v>74.495278410941054</v>
      </c>
      <c r="S108" s="101">
        <f>-355</f>
        <v>-355</v>
      </c>
      <c r="T108" s="60">
        <v>831.2</v>
      </c>
      <c r="U108" s="40">
        <f t="shared" si="35"/>
        <v>6660.7</v>
      </c>
      <c r="V108" s="40">
        <f t="shared" si="36"/>
        <v>476.20000000000005</v>
      </c>
      <c r="W108" s="38">
        <v>6702.6</v>
      </c>
      <c r="X108" s="76">
        <v>95.2</v>
      </c>
      <c r="Y108" s="76">
        <v>95.2</v>
      </c>
      <c r="Z108" s="55">
        <f t="shared" si="37"/>
        <v>6755.9</v>
      </c>
      <c r="AA108" s="65">
        <f t="shared" si="34"/>
        <v>0</v>
      </c>
    </row>
    <row r="109" spans="1:27" s="25" customFormat="1" x14ac:dyDescent="0.2">
      <c r="A109" s="35">
        <v>45</v>
      </c>
      <c r="B109" s="36">
        <v>130</v>
      </c>
      <c r="C109" s="37" t="s">
        <v>71</v>
      </c>
      <c r="D109" s="38">
        <v>816.7</v>
      </c>
      <c r="E109" s="38">
        <v>812.5</v>
      </c>
      <c r="F109" s="30">
        <v>1262.5</v>
      </c>
      <c r="G109" s="30">
        <v>1280.8171299999999</v>
      </c>
      <c r="H109" s="38">
        <v>775</v>
      </c>
      <c r="I109" s="38">
        <v>726.89400000000001</v>
      </c>
      <c r="J109" s="38">
        <f t="shared" si="38"/>
        <v>-48.105999999999995</v>
      </c>
      <c r="K109" s="39">
        <f t="shared" si="31"/>
        <v>93.792774193548382</v>
      </c>
      <c r="L109" s="38">
        <v>812.5</v>
      </c>
      <c r="M109" s="38">
        <v>812.5</v>
      </c>
      <c r="N109" s="38">
        <f t="shared" si="32"/>
        <v>0</v>
      </c>
      <c r="O109" s="38">
        <v>670</v>
      </c>
      <c r="P109" s="38">
        <v>572.29999999999995</v>
      </c>
      <c r="Q109" s="38">
        <f t="shared" si="39"/>
        <v>-97.700000000000045</v>
      </c>
      <c r="R109" s="39">
        <f t="shared" si="33"/>
        <v>85.417910447761187</v>
      </c>
      <c r="S109" s="38"/>
      <c r="T109" s="60">
        <v>1996.3</v>
      </c>
      <c r="U109" s="40">
        <f t="shared" si="35"/>
        <v>2808.8</v>
      </c>
      <c r="V109" s="40">
        <f t="shared" si="36"/>
        <v>1996.3</v>
      </c>
      <c r="W109" s="38">
        <v>1460.2</v>
      </c>
      <c r="X109" s="38"/>
      <c r="Y109" s="38"/>
      <c r="Z109" s="55">
        <f t="shared" si="37"/>
        <v>2808.8</v>
      </c>
      <c r="AA109" s="65">
        <f t="shared" si="34"/>
        <v>0</v>
      </c>
    </row>
    <row r="110" spans="1:27" s="25" customFormat="1" ht="25.5" x14ac:dyDescent="0.2">
      <c r="A110" s="35">
        <v>45</v>
      </c>
      <c r="B110" s="36">
        <v>320</v>
      </c>
      <c r="C110" s="37" t="s">
        <v>72</v>
      </c>
      <c r="D110" s="38">
        <v>2495.6</v>
      </c>
      <c r="E110" s="38">
        <v>3396</v>
      </c>
      <c r="F110" s="30">
        <v>2722.4</v>
      </c>
      <c r="G110" s="30">
        <v>2669.2442099999998</v>
      </c>
      <c r="H110" s="38">
        <v>2598.5</v>
      </c>
      <c r="I110" s="38">
        <v>2212.0479999999998</v>
      </c>
      <c r="J110" s="38">
        <f t="shared" si="38"/>
        <v>-386.45200000000023</v>
      </c>
      <c r="K110" s="39">
        <f t="shared" si="31"/>
        <v>85.127881470078876</v>
      </c>
      <c r="L110" s="38">
        <v>2146.6999999999998</v>
      </c>
      <c r="M110" s="38">
        <v>2146.6999999999998</v>
      </c>
      <c r="N110" s="38">
        <f t="shared" si="32"/>
        <v>0</v>
      </c>
      <c r="O110" s="38">
        <v>2146.6999999999998</v>
      </c>
      <c r="P110" s="38">
        <v>2132.3000000000002</v>
      </c>
      <c r="Q110" s="38">
        <f t="shared" si="39"/>
        <v>-14.399999999999636</v>
      </c>
      <c r="R110" s="39">
        <f t="shared" si="33"/>
        <v>99.329202962686935</v>
      </c>
      <c r="S110" s="38"/>
      <c r="T110" s="101">
        <f>700+355</f>
        <v>1055</v>
      </c>
      <c r="U110" s="40">
        <f t="shared" ref="U110:U140" si="40">T110+S110+M110</f>
        <v>3201.7</v>
      </c>
      <c r="V110" s="40">
        <f t="shared" si="36"/>
        <v>1055</v>
      </c>
      <c r="W110" s="38">
        <v>3151.2</v>
      </c>
      <c r="X110" s="38">
        <v>173.9</v>
      </c>
      <c r="Y110" s="38">
        <v>173.9</v>
      </c>
      <c r="Z110" s="55">
        <f t="shared" si="37"/>
        <v>3375.6</v>
      </c>
      <c r="AA110" s="65">
        <f t="shared" si="34"/>
        <v>0</v>
      </c>
    </row>
    <row r="111" spans="1:27" s="25" customFormat="1" x14ac:dyDescent="0.2">
      <c r="A111" s="35">
        <v>48</v>
      </c>
      <c r="B111" s="36">
        <v>110</v>
      </c>
      <c r="C111" s="37" t="s">
        <v>73</v>
      </c>
      <c r="D111" s="38">
        <v>111641.4</v>
      </c>
      <c r="E111" s="38">
        <v>17162.5</v>
      </c>
      <c r="F111" s="30">
        <v>12375</v>
      </c>
      <c r="G111" s="30">
        <v>4894.27142</v>
      </c>
      <c r="H111" s="38">
        <v>15500</v>
      </c>
      <c r="I111" s="38">
        <v>7952.9629999999997</v>
      </c>
      <c r="J111" s="38">
        <f t="shared" si="38"/>
        <v>-7547.0370000000003</v>
      </c>
      <c r="K111" s="39">
        <f t="shared" si="31"/>
        <v>51.309438709677416</v>
      </c>
      <c r="L111" s="38">
        <v>18165</v>
      </c>
      <c r="M111" s="38">
        <v>15495</v>
      </c>
      <c r="N111" s="38">
        <f t="shared" si="32"/>
        <v>-2670</v>
      </c>
      <c r="O111" s="38">
        <v>10966</v>
      </c>
      <c r="P111" s="38">
        <v>13989.9</v>
      </c>
      <c r="Q111" s="38">
        <f t="shared" si="39"/>
        <v>3023.8999999999996</v>
      </c>
      <c r="R111" s="39">
        <f t="shared" si="33"/>
        <v>127.57523253693233</v>
      </c>
      <c r="S111" s="101">
        <f>-7000-6000</f>
        <v>-13000</v>
      </c>
      <c r="T111" s="101">
        <f>8000+1000</f>
        <v>9000</v>
      </c>
      <c r="U111" s="40">
        <f t="shared" si="40"/>
        <v>11495</v>
      </c>
      <c r="V111" s="40">
        <f t="shared" si="36"/>
        <v>-4000</v>
      </c>
      <c r="W111" s="38">
        <v>12715.7</v>
      </c>
      <c r="X111" s="38">
        <v>20457.8</v>
      </c>
      <c r="Y111" s="38">
        <v>20457.8</v>
      </c>
      <c r="Z111" s="55">
        <f t="shared" si="37"/>
        <v>31952.799999999999</v>
      </c>
      <c r="AA111" s="65">
        <f t="shared" si="34"/>
        <v>0</v>
      </c>
    </row>
    <row r="112" spans="1:27" s="25" customFormat="1" x14ac:dyDescent="0.2">
      <c r="A112" s="35">
        <v>48</v>
      </c>
      <c r="B112" s="36">
        <v>120</v>
      </c>
      <c r="C112" s="37" t="s">
        <v>74</v>
      </c>
      <c r="D112" s="38">
        <v>572736.30000000005</v>
      </c>
      <c r="E112" s="38">
        <v>229403.2</v>
      </c>
      <c r="F112" s="30">
        <v>84190.700000000012</v>
      </c>
      <c r="G112" s="30">
        <v>87955.854569999996</v>
      </c>
      <c r="H112" s="38">
        <v>153440.70000000001</v>
      </c>
      <c r="I112" s="38">
        <v>51450.239999999998</v>
      </c>
      <c r="J112" s="38">
        <f t="shared" si="38"/>
        <v>-101990.46000000002</v>
      </c>
      <c r="K112" s="39">
        <f t="shared" si="31"/>
        <v>33.531025340734232</v>
      </c>
      <c r="L112" s="38">
        <v>79835</v>
      </c>
      <c r="M112" s="38">
        <v>82505</v>
      </c>
      <c r="N112" s="38">
        <f t="shared" si="32"/>
        <v>2670</v>
      </c>
      <c r="O112" s="38">
        <v>61234</v>
      </c>
      <c r="P112" s="38">
        <v>42381.4</v>
      </c>
      <c r="Q112" s="38">
        <f t="shared" si="39"/>
        <v>-18852.599999999999</v>
      </c>
      <c r="R112" s="39">
        <f t="shared" si="33"/>
        <v>69.212202371231669</v>
      </c>
      <c r="S112" s="101">
        <f>-8000</f>
        <v>-8000</v>
      </c>
      <c r="T112" s="101">
        <f>7000+13000</f>
        <v>20000</v>
      </c>
      <c r="U112" s="40">
        <f t="shared" si="40"/>
        <v>94505</v>
      </c>
      <c r="V112" s="40">
        <f t="shared" si="36"/>
        <v>12000</v>
      </c>
      <c r="W112" s="38">
        <v>83271.7</v>
      </c>
      <c r="X112" s="38">
        <v>8729.6</v>
      </c>
      <c r="Y112" s="38">
        <v>8729.6</v>
      </c>
      <c r="Z112" s="55">
        <f t="shared" si="37"/>
        <v>103234.6</v>
      </c>
      <c r="AA112" s="65">
        <f t="shared" si="34"/>
        <v>0</v>
      </c>
    </row>
    <row r="113" spans="1:28" s="25" customFormat="1" ht="14.25" customHeight="1" x14ac:dyDescent="0.2">
      <c r="A113" s="35">
        <v>50</v>
      </c>
      <c r="B113" s="36">
        <v>121</v>
      </c>
      <c r="C113" s="37" t="s">
        <v>126</v>
      </c>
      <c r="D113" s="38">
        <v>105.2</v>
      </c>
      <c r="E113" s="38"/>
      <c r="F113" s="30">
        <v>744.35</v>
      </c>
      <c r="G113" s="30">
        <v>744.35</v>
      </c>
      <c r="H113" s="38">
        <v>744.4</v>
      </c>
      <c r="I113" s="38">
        <v>788.7</v>
      </c>
      <c r="J113" s="38">
        <f t="shared" si="38"/>
        <v>44.300000000000068</v>
      </c>
      <c r="K113" s="39">
        <f t="shared" si="31"/>
        <v>105.95110155830201</v>
      </c>
      <c r="L113" s="38"/>
      <c r="M113" s="38"/>
      <c r="N113" s="38">
        <f t="shared" si="32"/>
        <v>0</v>
      </c>
      <c r="O113" s="38"/>
      <c r="P113" s="38"/>
      <c r="Q113" s="38">
        <f t="shared" si="39"/>
        <v>0</v>
      </c>
      <c r="R113" s="39" t="str">
        <f t="shared" si="33"/>
        <v xml:space="preserve"> </v>
      </c>
      <c r="S113" s="38"/>
      <c r="T113" s="38"/>
      <c r="U113" s="40">
        <f t="shared" si="40"/>
        <v>0</v>
      </c>
      <c r="V113" s="40">
        <f t="shared" si="36"/>
        <v>0</v>
      </c>
      <c r="W113" s="38"/>
      <c r="X113" s="38"/>
      <c r="Y113" s="38"/>
      <c r="Z113" s="55">
        <f t="shared" si="37"/>
        <v>0</v>
      </c>
      <c r="AA113" s="65">
        <f t="shared" si="34"/>
        <v>0</v>
      </c>
    </row>
    <row r="114" spans="1:28" s="64" customFormat="1" ht="12" customHeight="1" x14ac:dyDescent="0.2">
      <c r="A114" s="35">
        <v>52</v>
      </c>
      <c r="B114" s="36">
        <v>110</v>
      </c>
      <c r="C114" s="37" t="s">
        <v>75</v>
      </c>
      <c r="D114" s="38">
        <v>10234.9</v>
      </c>
      <c r="E114" s="38">
        <v>11800</v>
      </c>
      <c r="F114" s="31">
        <v>15244</v>
      </c>
      <c r="G114" s="31">
        <v>14904.866880000001</v>
      </c>
      <c r="H114" s="38">
        <v>12736.5</v>
      </c>
      <c r="I114" s="38">
        <v>12202.878000000001</v>
      </c>
      <c r="J114" s="38">
        <f t="shared" si="38"/>
        <v>-533.62199999999939</v>
      </c>
      <c r="K114" s="83">
        <f t="shared" si="31"/>
        <v>95.810293251678246</v>
      </c>
      <c r="L114" s="38">
        <v>13055.8</v>
      </c>
      <c r="M114" s="38">
        <v>13055.8</v>
      </c>
      <c r="N114" s="38">
        <f t="shared" si="32"/>
        <v>0</v>
      </c>
      <c r="O114" s="38">
        <v>12051</v>
      </c>
      <c r="P114" s="38">
        <v>9798.6</v>
      </c>
      <c r="Q114" s="38">
        <f t="shared" si="39"/>
        <v>-2252.3999999999996</v>
      </c>
      <c r="R114" s="83">
        <f t="shared" si="33"/>
        <v>81.309434901667913</v>
      </c>
      <c r="S114" s="38"/>
      <c r="T114" s="60">
        <f>3087.9+400</f>
        <v>3487.9</v>
      </c>
      <c r="U114" s="40">
        <f t="shared" si="40"/>
        <v>16543.7</v>
      </c>
      <c r="V114" s="40">
        <f t="shared" si="36"/>
        <v>3487.9</v>
      </c>
      <c r="W114" s="38">
        <v>16064</v>
      </c>
      <c r="X114" s="38">
        <v>9</v>
      </c>
      <c r="Y114" s="38">
        <v>9</v>
      </c>
      <c r="Z114" s="55">
        <f t="shared" si="37"/>
        <v>16552.7</v>
      </c>
      <c r="AA114" s="65">
        <f t="shared" si="34"/>
        <v>0</v>
      </c>
    </row>
    <row r="115" spans="1:28" s="64" customFormat="1" ht="25.5" x14ac:dyDescent="0.2">
      <c r="A115" s="35">
        <v>52</v>
      </c>
      <c r="B115" s="36">
        <v>120</v>
      </c>
      <c r="C115" s="37" t="s">
        <v>76</v>
      </c>
      <c r="D115" s="38">
        <v>267720.40000000002</v>
      </c>
      <c r="E115" s="38">
        <v>200000</v>
      </c>
      <c r="F115" s="31">
        <v>301583.40000000002</v>
      </c>
      <c r="G115" s="31">
        <v>311659.90143000003</v>
      </c>
      <c r="H115" s="38">
        <v>268365</v>
      </c>
      <c r="I115" s="38">
        <v>214387.31400000001</v>
      </c>
      <c r="J115" s="38">
        <f t="shared" si="38"/>
        <v>-53977.685999999987</v>
      </c>
      <c r="K115" s="83">
        <f t="shared" si="31"/>
        <v>79.886465820803764</v>
      </c>
      <c r="L115" s="38">
        <v>256432</v>
      </c>
      <c r="M115" s="38">
        <v>291145.3</v>
      </c>
      <c r="N115" s="38">
        <f t="shared" si="32"/>
        <v>34713.299999999988</v>
      </c>
      <c r="O115" s="38">
        <v>251002.8</v>
      </c>
      <c r="P115" s="38">
        <v>251482.6</v>
      </c>
      <c r="Q115" s="38">
        <f t="shared" si="39"/>
        <v>479.80000000001746</v>
      </c>
      <c r="R115" s="83">
        <f t="shared" si="33"/>
        <v>100.19115324609926</v>
      </c>
      <c r="S115" s="38"/>
      <c r="T115" s="60">
        <f>71343.9+29600</f>
        <v>100943.9</v>
      </c>
      <c r="U115" s="40">
        <f t="shared" si="40"/>
        <v>392089.19999999995</v>
      </c>
      <c r="V115" s="40">
        <f t="shared" si="36"/>
        <v>100943.9</v>
      </c>
      <c r="W115" s="38">
        <v>400412.6</v>
      </c>
      <c r="X115" s="38">
        <v>48244.5</v>
      </c>
      <c r="Y115" s="38">
        <v>48244.5</v>
      </c>
      <c r="Z115" s="55">
        <f t="shared" si="37"/>
        <v>440333.69999999995</v>
      </c>
      <c r="AA115" s="65">
        <f t="shared" si="34"/>
        <v>0</v>
      </c>
      <c r="AB115" s="64">
        <v>106057.2</v>
      </c>
    </row>
    <row r="116" spans="1:28" s="78" customFormat="1" ht="12.75" customHeight="1" x14ac:dyDescent="0.2">
      <c r="A116" s="35">
        <v>53</v>
      </c>
      <c r="B116" s="36">
        <v>110</v>
      </c>
      <c r="C116" s="37" t="s">
        <v>77</v>
      </c>
      <c r="D116" s="38">
        <v>134532.70000000001</v>
      </c>
      <c r="E116" s="38">
        <v>168419.9</v>
      </c>
      <c r="F116" s="31">
        <v>141413.59999999998</v>
      </c>
      <c r="G116" s="31">
        <v>137487.68833999999</v>
      </c>
      <c r="H116" s="38">
        <v>77683.399999999994</v>
      </c>
      <c r="I116" s="38">
        <v>111107.88800000001</v>
      </c>
      <c r="J116" s="38">
        <f t="shared" si="38"/>
        <v>33424.488000000012</v>
      </c>
      <c r="K116" s="83">
        <f t="shared" si="31"/>
        <v>143.02655136103726</v>
      </c>
      <c r="L116" s="38">
        <v>224103</v>
      </c>
      <c r="M116" s="38">
        <v>141932.29999999999</v>
      </c>
      <c r="N116" s="38">
        <f t="shared" si="32"/>
        <v>-82170.700000000012</v>
      </c>
      <c r="O116" s="38">
        <v>101796</v>
      </c>
      <c r="P116" s="38">
        <v>79034.899999999994</v>
      </c>
      <c r="Q116" s="38">
        <f t="shared" si="39"/>
        <v>-22761.100000000006</v>
      </c>
      <c r="R116" s="83">
        <f t="shared" si="33"/>
        <v>77.640477032496364</v>
      </c>
      <c r="S116" s="101">
        <f>-2000-2000-5300-515-4000-316.9-4500-80-288.1-500-11550.5</f>
        <v>-31050.5</v>
      </c>
      <c r="T116" s="101">
        <f>10000+500</f>
        <v>10500</v>
      </c>
      <c r="U116" s="40">
        <f t="shared" si="40"/>
        <v>121381.79999999999</v>
      </c>
      <c r="V116" s="40">
        <f t="shared" si="36"/>
        <v>-20550.5</v>
      </c>
      <c r="W116" s="38">
        <v>111655.2</v>
      </c>
      <c r="X116" s="38">
        <v>42015.7</v>
      </c>
      <c r="Y116" s="38">
        <v>42015.7</v>
      </c>
      <c r="Z116" s="55">
        <f t="shared" si="37"/>
        <v>163397.5</v>
      </c>
      <c r="AA116" s="65">
        <f t="shared" si="34"/>
        <v>0</v>
      </c>
    </row>
    <row r="117" spans="1:28" s="78" customFormat="1" x14ac:dyDescent="0.2">
      <c r="A117" s="35">
        <v>53</v>
      </c>
      <c r="B117" s="36">
        <v>120</v>
      </c>
      <c r="C117" s="37" t="s">
        <v>78</v>
      </c>
      <c r="D117" s="38">
        <v>48476.2</v>
      </c>
      <c r="E117" s="38">
        <v>0</v>
      </c>
      <c r="F117" s="31">
        <v>91006.3</v>
      </c>
      <c r="G117" s="31">
        <v>75515.215989999997</v>
      </c>
      <c r="H117" s="38">
        <v>64954.8</v>
      </c>
      <c r="I117" s="38">
        <v>47427.398999999998</v>
      </c>
      <c r="J117" s="38">
        <f t="shared" si="38"/>
        <v>-17527.401000000005</v>
      </c>
      <c r="K117" s="83">
        <f t="shared" si="31"/>
        <v>73.01600343623565</v>
      </c>
      <c r="L117" s="38"/>
      <c r="M117" s="38">
        <v>82170.7</v>
      </c>
      <c r="N117" s="38">
        <f t="shared" si="32"/>
        <v>82170.7</v>
      </c>
      <c r="O117" s="38">
        <v>67344</v>
      </c>
      <c r="P117" s="38">
        <v>61616.6</v>
      </c>
      <c r="Q117" s="38">
        <f t="shared" si="39"/>
        <v>-5727.4000000000015</v>
      </c>
      <c r="R117" s="83">
        <f t="shared" si="33"/>
        <v>91.495307674031835</v>
      </c>
      <c r="S117" s="38"/>
      <c r="T117" s="60">
        <v>11550.5</v>
      </c>
      <c r="U117" s="40">
        <f t="shared" si="40"/>
        <v>93721.2</v>
      </c>
      <c r="V117" s="40">
        <f t="shared" si="36"/>
        <v>11550.5</v>
      </c>
      <c r="W117" s="38">
        <v>97975.1</v>
      </c>
      <c r="X117" s="38">
        <v>10031.700000000001</v>
      </c>
      <c r="Y117" s="38">
        <v>10031.700000000001</v>
      </c>
      <c r="Z117" s="55">
        <f t="shared" si="37"/>
        <v>103752.9</v>
      </c>
      <c r="AA117" s="65">
        <f t="shared" ref="AA117:AA140" si="41">X117-Y117</f>
        <v>0</v>
      </c>
    </row>
    <row r="118" spans="1:28" s="25" customFormat="1" x14ac:dyDescent="0.2">
      <c r="A118" s="35">
        <v>53</v>
      </c>
      <c r="B118" s="36">
        <v>310</v>
      </c>
      <c r="C118" s="37" t="s">
        <v>79</v>
      </c>
      <c r="D118" s="38">
        <v>1382.3</v>
      </c>
      <c r="E118" s="38">
        <v>2616.1</v>
      </c>
      <c r="F118" s="30">
        <v>2616.1</v>
      </c>
      <c r="G118" s="30">
        <v>1658.7670000000001</v>
      </c>
      <c r="H118" s="38">
        <v>1997</v>
      </c>
      <c r="I118" s="38">
        <v>1310.8320000000001</v>
      </c>
      <c r="J118" s="38">
        <f t="shared" si="38"/>
        <v>-686.16799999999989</v>
      </c>
      <c r="K118" s="39">
        <f t="shared" si="31"/>
        <v>65.640060090135208</v>
      </c>
      <c r="L118" s="38">
        <v>2616.1</v>
      </c>
      <c r="M118" s="38">
        <v>2616.1</v>
      </c>
      <c r="N118" s="38">
        <f t="shared" si="32"/>
        <v>0</v>
      </c>
      <c r="O118" s="38">
        <v>1862.3</v>
      </c>
      <c r="P118" s="38">
        <v>962.7</v>
      </c>
      <c r="Q118" s="38">
        <f t="shared" si="39"/>
        <v>-899.59999999999991</v>
      </c>
      <c r="R118" s="39">
        <f t="shared" si="33"/>
        <v>51.694141652794933</v>
      </c>
      <c r="S118" s="38"/>
      <c r="T118" s="38"/>
      <c r="U118" s="40">
        <f t="shared" si="40"/>
        <v>2616.1</v>
      </c>
      <c r="V118" s="40">
        <f t="shared" si="36"/>
        <v>0</v>
      </c>
      <c r="W118" s="38">
        <v>1487.6</v>
      </c>
      <c r="X118" s="38">
        <v>9.6999999999999993</v>
      </c>
      <c r="Y118" s="38">
        <v>9.6999999999999993</v>
      </c>
      <c r="Z118" s="55">
        <f t="shared" si="37"/>
        <v>2625.7999999999997</v>
      </c>
      <c r="AA118" s="65">
        <f t="shared" si="41"/>
        <v>0</v>
      </c>
    </row>
    <row r="119" spans="1:28" s="25" customFormat="1" x14ac:dyDescent="0.2">
      <c r="A119" s="35">
        <v>53</v>
      </c>
      <c r="B119" s="36">
        <v>320</v>
      </c>
      <c r="C119" s="37" t="s">
        <v>80</v>
      </c>
      <c r="D119" s="38">
        <v>8095.9</v>
      </c>
      <c r="E119" s="38">
        <v>12306.3</v>
      </c>
      <c r="F119" s="30">
        <v>12306.3</v>
      </c>
      <c r="G119" s="30">
        <v>10569.896839999999</v>
      </c>
      <c r="H119" s="38">
        <v>9641</v>
      </c>
      <c r="I119" s="38">
        <v>7177.8329999999996</v>
      </c>
      <c r="J119" s="38">
        <f t="shared" si="38"/>
        <v>-2463.1670000000004</v>
      </c>
      <c r="K119" s="39">
        <f t="shared" si="31"/>
        <v>74.451125401929247</v>
      </c>
      <c r="L119" s="38">
        <v>12306.3</v>
      </c>
      <c r="M119" s="38">
        <v>12306.3</v>
      </c>
      <c r="N119" s="38">
        <f t="shared" si="32"/>
        <v>0</v>
      </c>
      <c r="O119" s="38">
        <v>9568.5</v>
      </c>
      <c r="P119" s="38">
        <v>6927.7</v>
      </c>
      <c r="Q119" s="38">
        <f t="shared" si="39"/>
        <v>-2640.8</v>
      </c>
      <c r="R119" s="39">
        <f t="shared" si="33"/>
        <v>72.401107801640791</v>
      </c>
      <c r="S119" s="38"/>
      <c r="T119" s="38"/>
      <c r="U119" s="40">
        <f t="shared" si="40"/>
        <v>12306.3</v>
      </c>
      <c r="V119" s="40">
        <f t="shared" si="36"/>
        <v>0</v>
      </c>
      <c r="W119" s="38">
        <v>10851.2</v>
      </c>
      <c r="X119" s="38">
        <v>1103.9000000000001</v>
      </c>
      <c r="Y119" s="38">
        <v>1103.9000000000001</v>
      </c>
      <c r="Z119" s="55">
        <f t="shared" si="37"/>
        <v>13410.199999999999</v>
      </c>
      <c r="AA119" s="65">
        <f t="shared" si="41"/>
        <v>0</v>
      </c>
      <c r="AB119" s="84">
        <f>19000+S116</f>
        <v>-12050.5</v>
      </c>
    </row>
    <row r="120" spans="1:28" s="25" customFormat="1" x14ac:dyDescent="0.2">
      <c r="A120" s="35">
        <v>54</v>
      </c>
      <c r="B120" s="36">
        <v>110</v>
      </c>
      <c r="C120" s="37" t="s">
        <v>104</v>
      </c>
      <c r="D120" s="38">
        <v>45780.800000000003</v>
      </c>
      <c r="E120" s="38"/>
      <c r="F120" s="30">
        <v>49227.4</v>
      </c>
      <c r="G120" s="30">
        <v>53144.669750000001</v>
      </c>
      <c r="H120" s="38">
        <v>34227.4</v>
      </c>
      <c r="I120" s="38">
        <v>27600.614000000001</v>
      </c>
      <c r="J120" s="38">
        <f t="shared" si="38"/>
        <v>-6626.7860000000001</v>
      </c>
      <c r="K120" s="39">
        <f t="shared" si="31"/>
        <v>80.638944237657554</v>
      </c>
      <c r="L120" s="38">
        <v>45000</v>
      </c>
      <c r="M120" s="38">
        <v>39861.599999999999</v>
      </c>
      <c r="N120" s="38">
        <f t="shared" si="32"/>
        <v>-5138.4000000000015</v>
      </c>
      <c r="O120" s="38">
        <v>33688.6</v>
      </c>
      <c r="P120" s="38">
        <v>40560.199999999997</v>
      </c>
      <c r="Q120" s="38">
        <f t="shared" si="39"/>
        <v>6871.5999999999985</v>
      </c>
      <c r="R120" s="39">
        <f t="shared" si="33"/>
        <v>120.39740446323088</v>
      </c>
      <c r="S120" s="38"/>
      <c r="T120" s="41"/>
      <c r="U120" s="40">
        <f t="shared" si="40"/>
        <v>39861.599999999999</v>
      </c>
      <c r="V120" s="40">
        <f t="shared" si="36"/>
        <v>0</v>
      </c>
      <c r="W120" s="38">
        <v>48274.3</v>
      </c>
      <c r="X120" s="38">
        <v>24250.341</v>
      </c>
      <c r="Y120" s="38">
        <v>24250.341</v>
      </c>
      <c r="Z120" s="55">
        <f t="shared" si="37"/>
        <v>64111.940999999999</v>
      </c>
      <c r="AA120" s="65">
        <f t="shared" si="41"/>
        <v>0</v>
      </c>
    </row>
    <row r="121" spans="1:28" s="25" customFormat="1" x14ac:dyDescent="0.2">
      <c r="A121" s="35">
        <v>55</v>
      </c>
      <c r="B121" s="36">
        <v>110</v>
      </c>
      <c r="C121" s="37" t="s">
        <v>81</v>
      </c>
      <c r="D121" s="38">
        <f>20176.3+27</f>
        <v>20203.3</v>
      </c>
      <c r="E121" s="38">
        <v>1000</v>
      </c>
      <c r="F121" s="30">
        <v>3000</v>
      </c>
      <c r="G121" s="30">
        <v>19346.912539999998</v>
      </c>
      <c r="H121" s="38">
        <v>750</v>
      </c>
      <c r="I121" s="38">
        <v>-16675.728999999999</v>
      </c>
      <c r="J121" s="38">
        <f t="shared" si="38"/>
        <v>-17425.728999999999</v>
      </c>
      <c r="K121" s="39">
        <f t="shared" si="31"/>
        <v>-2223.4305333333332</v>
      </c>
      <c r="L121" s="38">
        <v>3700</v>
      </c>
      <c r="M121" s="38">
        <v>15400</v>
      </c>
      <c r="N121" s="38">
        <f t="shared" si="32"/>
        <v>11700</v>
      </c>
      <c r="O121" s="38">
        <v>15400</v>
      </c>
      <c r="P121" s="38">
        <v>-21188.2</v>
      </c>
      <c r="Q121" s="38">
        <f t="shared" si="39"/>
        <v>-36588.199999999997</v>
      </c>
      <c r="R121" s="39">
        <f t="shared" si="33"/>
        <v>-137.58571428571429</v>
      </c>
      <c r="S121" s="38"/>
      <c r="T121" s="41"/>
      <c r="U121" s="40">
        <f t="shared" si="40"/>
        <v>15400</v>
      </c>
      <c r="V121" s="40">
        <f t="shared" si="36"/>
        <v>0</v>
      </c>
      <c r="W121" s="38">
        <v>-19289.3</v>
      </c>
      <c r="X121" s="38"/>
      <c r="Y121" s="38"/>
      <c r="Z121" s="55">
        <f t="shared" si="37"/>
        <v>15400</v>
      </c>
      <c r="AA121" s="65">
        <f t="shared" si="41"/>
        <v>0</v>
      </c>
    </row>
    <row r="122" spans="1:28" s="25" customFormat="1" x14ac:dyDescent="0.2">
      <c r="A122" s="35">
        <v>55</v>
      </c>
      <c r="B122" s="36">
        <v>420</v>
      </c>
      <c r="C122" s="37" t="s">
        <v>82</v>
      </c>
      <c r="D122" s="38">
        <v>2084.5</v>
      </c>
      <c r="E122" s="38">
        <v>2840</v>
      </c>
      <c r="F122" s="30">
        <v>2840</v>
      </c>
      <c r="G122" s="30">
        <v>2817.8809999999999</v>
      </c>
      <c r="H122" s="38">
        <v>2691.6</v>
      </c>
      <c r="I122" s="38">
        <v>2747.4319999999998</v>
      </c>
      <c r="J122" s="38">
        <f t="shared" si="38"/>
        <v>55.83199999999988</v>
      </c>
      <c r="K122" s="39">
        <f t="shared" si="31"/>
        <v>102.07430524595036</v>
      </c>
      <c r="L122" s="38">
        <v>4840</v>
      </c>
      <c r="M122" s="38">
        <v>9859.2000000000007</v>
      </c>
      <c r="N122" s="38">
        <f t="shared" si="32"/>
        <v>5019.2000000000007</v>
      </c>
      <c r="O122" s="38">
        <v>7331.4</v>
      </c>
      <c r="P122" s="38">
        <v>5195.5</v>
      </c>
      <c r="Q122" s="38">
        <f t="shared" si="39"/>
        <v>-2135.8999999999996</v>
      </c>
      <c r="R122" s="39">
        <f t="shared" si="33"/>
        <v>70.866410235425704</v>
      </c>
      <c r="S122" s="38"/>
      <c r="T122" s="38"/>
      <c r="U122" s="40">
        <f t="shared" si="40"/>
        <v>9859.2000000000007</v>
      </c>
      <c r="V122" s="40">
        <f t="shared" si="36"/>
        <v>0</v>
      </c>
      <c r="W122" s="38">
        <v>8790.5</v>
      </c>
      <c r="X122" s="38"/>
      <c r="Y122" s="38"/>
      <c r="Z122" s="55">
        <f t="shared" si="37"/>
        <v>9859.2000000000007</v>
      </c>
      <c r="AA122" s="65">
        <f t="shared" si="41"/>
        <v>0</v>
      </c>
    </row>
    <row r="123" spans="1:28" s="25" customFormat="1" ht="11.25" customHeight="1" x14ac:dyDescent="0.2">
      <c r="A123" s="35">
        <v>56</v>
      </c>
      <c r="B123" s="36">
        <v>121</v>
      </c>
      <c r="C123" s="37" t="s">
        <v>147</v>
      </c>
      <c r="D123" s="38">
        <v>2089.9</v>
      </c>
      <c r="E123" s="38">
        <v>540</v>
      </c>
      <c r="F123" s="30">
        <v>1009</v>
      </c>
      <c r="G123" s="30">
        <v>737.16390999999999</v>
      </c>
      <c r="H123" s="38">
        <v>706.6</v>
      </c>
      <c r="I123" s="38">
        <v>411.31599999999997</v>
      </c>
      <c r="J123" s="38">
        <f t="shared" si="38"/>
        <v>-295.28400000000005</v>
      </c>
      <c r="K123" s="39">
        <f t="shared" si="31"/>
        <v>58.210585904330593</v>
      </c>
      <c r="L123" s="38"/>
      <c r="M123" s="38">
        <f>1106-M124</f>
        <v>406</v>
      </c>
      <c r="N123" s="38">
        <f t="shared" si="32"/>
        <v>406</v>
      </c>
      <c r="O123" s="38">
        <v>916.3</v>
      </c>
      <c r="P123" s="38">
        <v>522.29999999999995</v>
      </c>
      <c r="Q123" s="38">
        <f t="shared" si="39"/>
        <v>-394</v>
      </c>
      <c r="R123" s="39">
        <f t="shared" si="33"/>
        <v>57.000982211066244</v>
      </c>
      <c r="S123" s="38"/>
      <c r="T123" s="38"/>
      <c r="U123" s="40">
        <f t="shared" si="40"/>
        <v>406</v>
      </c>
      <c r="V123" s="40">
        <f t="shared" si="36"/>
        <v>0</v>
      </c>
      <c r="W123" s="38">
        <f>801.8-W124</f>
        <v>197.5</v>
      </c>
      <c r="X123" s="38">
        <v>133.69999999999999</v>
      </c>
      <c r="Y123" s="38">
        <v>133.69999999999999</v>
      </c>
      <c r="Z123" s="55">
        <f t="shared" si="37"/>
        <v>539.70000000000005</v>
      </c>
      <c r="AA123" s="65">
        <f t="shared" si="41"/>
        <v>0</v>
      </c>
    </row>
    <row r="124" spans="1:28" s="25" customFormat="1" ht="11.25" customHeight="1" x14ac:dyDescent="0.2">
      <c r="A124" s="35">
        <v>56</v>
      </c>
      <c r="B124" s="36">
        <v>121</v>
      </c>
      <c r="C124" s="37" t="s">
        <v>164</v>
      </c>
      <c r="D124" s="38"/>
      <c r="E124" s="38"/>
      <c r="F124" s="30"/>
      <c r="G124" s="30"/>
      <c r="H124" s="38"/>
      <c r="I124" s="38"/>
      <c r="J124" s="38"/>
      <c r="K124" s="39"/>
      <c r="L124" s="38"/>
      <c r="M124" s="38">
        <v>700</v>
      </c>
      <c r="N124" s="38">
        <f t="shared" si="32"/>
        <v>700</v>
      </c>
      <c r="O124" s="38"/>
      <c r="P124" s="38"/>
      <c r="Q124" s="38"/>
      <c r="R124" s="39"/>
      <c r="S124" s="38"/>
      <c r="T124" s="38"/>
      <c r="U124" s="40">
        <f t="shared" si="40"/>
        <v>700</v>
      </c>
      <c r="V124" s="40">
        <f t="shared" si="36"/>
        <v>0</v>
      </c>
      <c r="W124" s="38">
        <v>604.29999999999995</v>
      </c>
      <c r="X124" s="38"/>
      <c r="Y124" s="38"/>
      <c r="Z124" s="55">
        <f t="shared" si="37"/>
        <v>700</v>
      </c>
      <c r="AA124" s="65">
        <f t="shared" si="41"/>
        <v>0</v>
      </c>
    </row>
    <row r="125" spans="1:28" s="25" customFormat="1" x14ac:dyDescent="0.2">
      <c r="A125" s="35">
        <v>57</v>
      </c>
      <c r="B125" s="36">
        <v>110</v>
      </c>
      <c r="C125" s="37" t="s">
        <v>83</v>
      </c>
      <c r="D125" s="38">
        <v>63156.9</v>
      </c>
      <c r="E125" s="38">
        <v>72423.3</v>
      </c>
      <c r="F125" s="30">
        <v>83092.400000000009</v>
      </c>
      <c r="G125" s="30">
        <v>80130.853719999999</v>
      </c>
      <c r="H125" s="38">
        <v>60867.5</v>
      </c>
      <c r="I125" s="38">
        <v>47003.7</v>
      </c>
      <c r="J125" s="38">
        <f t="shared" si="38"/>
        <v>-13863.800000000003</v>
      </c>
      <c r="K125" s="39">
        <f t="shared" si="31"/>
        <v>77.22298435125478</v>
      </c>
      <c r="L125" s="38">
        <v>75416.899999999994</v>
      </c>
      <c r="M125" s="38">
        <v>78669.3</v>
      </c>
      <c r="N125" s="38">
        <f t="shared" si="32"/>
        <v>3252.4000000000087</v>
      </c>
      <c r="O125" s="38">
        <v>64621.7</v>
      </c>
      <c r="P125" s="38">
        <v>68239.7</v>
      </c>
      <c r="Q125" s="38">
        <f t="shared" si="39"/>
        <v>3618</v>
      </c>
      <c r="R125" s="39">
        <f t="shared" si="33"/>
        <v>105.59873850424857</v>
      </c>
      <c r="S125" s="38"/>
      <c r="T125" s="60">
        <f>13804.217+18900</f>
        <v>32704.217000000001</v>
      </c>
      <c r="U125" s="40">
        <f t="shared" si="40"/>
        <v>111373.51700000001</v>
      </c>
      <c r="V125" s="40">
        <f t="shared" si="36"/>
        <v>32704.217000000001</v>
      </c>
      <c r="W125" s="38">
        <v>93016.9</v>
      </c>
      <c r="X125" s="38">
        <v>25546.5</v>
      </c>
      <c r="Y125" s="38">
        <v>25546.5</v>
      </c>
      <c r="Z125" s="55">
        <f t="shared" si="37"/>
        <v>136920.01699999999</v>
      </c>
      <c r="AA125" s="65">
        <f t="shared" si="41"/>
        <v>0</v>
      </c>
    </row>
    <row r="126" spans="1:28" s="25" customFormat="1" x14ac:dyDescent="0.2">
      <c r="A126" s="35">
        <v>60</v>
      </c>
      <c r="B126" s="36">
        <v>110</v>
      </c>
      <c r="C126" s="37" t="s">
        <v>121</v>
      </c>
      <c r="D126" s="38">
        <v>2301.3000000000002</v>
      </c>
      <c r="E126" s="38"/>
      <c r="F126" s="30">
        <v>2880</v>
      </c>
      <c r="G126" s="30">
        <v>1958.222</v>
      </c>
      <c r="H126" s="38">
        <v>2369.9</v>
      </c>
      <c r="I126" s="38">
        <v>1515.9</v>
      </c>
      <c r="J126" s="38">
        <f t="shared" si="38"/>
        <v>-854</v>
      </c>
      <c r="K126" s="39">
        <f t="shared" si="31"/>
        <v>63.964724249968356</v>
      </c>
      <c r="L126" s="38"/>
      <c r="M126" s="38">
        <v>3500</v>
      </c>
      <c r="N126" s="38">
        <f t="shared" si="32"/>
        <v>3500</v>
      </c>
      <c r="O126" s="38">
        <v>2890</v>
      </c>
      <c r="P126" s="38">
        <v>1981.1</v>
      </c>
      <c r="Q126" s="38">
        <f t="shared" si="39"/>
        <v>-908.90000000000009</v>
      </c>
      <c r="R126" s="39">
        <f t="shared" si="33"/>
        <v>68.550173010380618</v>
      </c>
      <c r="S126" s="38"/>
      <c r="T126" s="38"/>
      <c r="U126" s="40">
        <f t="shared" si="40"/>
        <v>3500</v>
      </c>
      <c r="V126" s="40">
        <f t="shared" si="36"/>
        <v>0</v>
      </c>
      <c r="W126" s="38">
        <v>2797.9</v>
      </c>
      <c r="X126" s="38">
        <v>6.9</v>
      </c>
      <c r="Y126" s="38">
        <v>6.9</v>
      </c>
      <c r="Z126" s="55">
        <f t="shared" si="37"/>
        <v>3506.9</v>
      </c>
      <c r="AA126" s="65">
        <f t="shared" si="41"/>
        <v>0</v>
      </c>
    </row>
    <row r="127" spans="1:28" s="25" customFormat="1" x14ac:dyDescent="0.2">
      <c r="A127" s="35">
        <v>62</v>
      </c>
      <c r="B127" s="36">
        <v>110</v>
      </c>
      <c r="C127" s="37" t="s">
        <v>103</v>
      </c>
      <c r="D127" s="38">
        <v>1488.8</v>
      </c>
      <c r="E127" s="38"/>
      <c r="F127" s="30">
        <v>4378.9000000000015</v>
      </c>
      <c r="G127" s="30">
        <v>9276.0942500000001</v>
      </c>
      <c r="H127" s="38">
        <v>12165.5</v>
      </c>
      <c r="I127" s="38">
        <v>10907.183000000001</v>
      </c>
      <c r="J127" s="38">
        <f t="shared" si="38"/>
        <v>-1258.3169999999991</v>
      </c>
      <c r="K127" s="39">
        <f t="shared" si="31"/>
        <v>89.656676667625675</v>
      </c>
      <c r="L127" s="38"/>
      <c r="M127" s="38"/>
      <c r="N127" s="38">
        <f t="shared" si="32"/>
        <v>0</v>
      </c>
      <c r="O127" s="38"/>
      <c r="P127" s="38">
        <v>2815.9</v>
      </c>
      <c r="Q127" s="38">
        <f t="shared" si="39"/>
        <v>2815.9</v>
      </c>
      <c r="R127" s="39" t="str">
        <f t="shared" si="33"/>
        <v xml:space="preserve"> </v>
      </c>
      <c r="S127" s="38"/>
      <c r="T127" s="38"/>
      <c r="U127" s="40">
        <f t="shared" si="40"/>
        <v>0</v>
      </c>
      <c r="V127" s="40">
        <f t="shared" si="36"/>
        <v>0</v>
      </c>
      <c r="W127" s="38"/>
      <c r="X127" s="38">
        <v>5433.4</v>
      </c>
      <c r="Y127" s="38">
        <v>5433.4</v>
      </c>
      <c r="Z127" s="55">
        <f t="shared" si="37"/>
        <v>5433.4</v>
      </c>
      <c r="AA127" s="65">
        <f t="shared" si="41"/>
        <v>0</v>
      </c>
    </row>
    <row r="128" spans="1:28" s="25" customFormat="1" x14ac:dyDescent="0.2">
      <c r="A128" s="35">
        <v>62</v>
      </c>
      <c r="B128" s="36">
        <v>120</v>
      </c>
      <c r="C128" s="37" t="s">
        <v>129</v>
      </c>
      <c r="D128" s="38"/>
      <c r="E128" s="38"/>
      <c r="F128" s="30">
        <v>14568.2</v>
      </c>
      <c r="G128" s="30">
        <v>14242.320820000001</v>
      </c>
      <c r="H128" s="38">
        <v>3227</v>
      </c>
      <c r="I128" s="38">
        <v>3378.116</v>
      </c>
      <c r="J128" s="38">
        <f t="shared" si="38"/>
        <v>151.11599999999999</v>
      </c>
      <c r="K128" s="39">
        <f t="shared" si="31"/>
        <v>104.68286334056398</v>
      </c>
      <c r="L128" s="38">
        <v>28937.599999999999</v>
      </c>
      <c r="M128" s="38">
        <v>29937.599999999999</v>
      </c>
      <c r="N128" s="38">
        <f t="shared" si="32"/>
        <v>1000</v>
      </c>
      <c r="O128" s="38">
        <v>24181.8</v>
      </c>
      <c r="P128" s="38">
        <v>22971.9</v>
      </c>
      <c r="Q128" s="38">
        <f t="shared" si="39"/>
        <v>-1209.8999999999978</v>
      </c>
      <c r="R128" s="39">
        <f t="shared" si="33"/>
        <v>94.996650373421346</v>
      </c>
      <c r="S128" s="38"/>
      <c r="T128" s="38">
        <v>8414.5</v>
      </c>
      <c r="U128" s="40">
        <f t="shared" si="40"/>
        <v>38352.1</v>
      </c>
      <c r="V128" s="40">
        <f t="shared" si="36"/>
        <v>8414.5</v>
      </c>
      <c r="W128" s="38">
        <v>35077.599999999999</v>
      </c>
      <c r="X128" s="76">
        <v>1954.9780000000001</v>
      </c>
      <c r="Y128" s="76">
        <v>1954.9780000000001</v>
      </c>
      <c r="Z128" s="55">
        <f t="shared" si="37"/>
        <v>40307.078000000001</v>
      </c>
      <c r="AA128" s="65">
        <f t="shared" si="41"/>
        <v>0</v>
      </c>
    </row>
    <row r="129" spans="1:27" s="25" customFormat="1" x14ac:dyDescent="0.2">
      <c r="A129" s="35">
        <v>63</v>
      </c>
      <c r="B129" s="36">
        <v>110</v>
      </c>
      <c r="C129" s="37" t="s">
        <v>84</v>
      </c>
      <c r="D129" s="38">
        <v>88042</v>
      </c>
      <c r="E129" s="38">
        <v>107317.6</v>
      </c>
      <c r="F129" s="30">
        <v>120623.1</v>
      </c>
      <c r="G129" s="30">
        <v>152155.62659</v>
      </c>
      <c r="H129" s="38">
        <v>101728.5</v>
      </c>
      <c r="I129" s="38">
        <v>109816.79</v>
      </c>
      <c r="J129" s="38">
        <f t="shared" si="38"/>
        <v>8088.2899999999936</v>
      </c>
      <c r="K129" s="39">
        <f t="shared" si="31"/>
        <v>107.95085939535134</v>
      </c>
      <c r="L129" s="38">
        <v>170292.7</v>
      </c>
      <c r="M129" s="38">
        <v>170292.7</v>
      </c>
      <c r="N129" s="38">
        <f t="shared" si="32"/>
        <v>0</v>
      </c>
      <c r="O129" s="38">
        <v>125750.7</v>
      </c>
      <c r="P129" s="38">
        <v>124804.8</v>
      </c>
      <c r="Q129" s="38">
        <f t="shared" si="39"/>
        <v>-945.89999999999418</v>
      </c>
      <c r="R129" s="39">
        <f t="shared" si="33"/>
        <v>99.247797427767807</v>
      </c>
      <c r="S129" s="38"/>
      <c r="T129" s="38"/>
      <c r="U129" s="40">
        <f t="shared" si="40"/>
        <v>170292.7</v>
      </c>
      <c r="V129" s="40">
        <f t="shared" si="36"/>
        <v>0</v>
      </c>
      <c r="W129" s="38">
        <v>206114.6</v>
      </c>
      <c r="X129" s="38">
        <v>69040.160000000003</v>
      </c>
      <c r="Y129" s="38">
        <v>69040.160000000003</v>
      </c>
      <c r="Z129" s="55">
        <f t="shared" si="37"/>
        <v>239332.86000000002</v>
      </c>
      <c r="AA129" s="65">
        <f t="shared" si="41"/>
        <v>0</v>
      </c>
    </row>
    <row r="130" spans="1:27" s="25" customFormat="1" x14ac:dyDescent="0.2">
      <c r="A130" s="35">
        <v>63</v>
      </c>
      <c r="B130" s="36">
        <v>120</v>
      </c>
      <c r="C130" s="37" t="s">
        <v>85</v>
      </c>
      <c r="D130" s="38">
        <v>25662</v>
      </c>
      <c r="E130" s="38">
        <v>21138.2</v>
      </c>
      <c r="F130" s="30">
        <v>7832.7</v>
      </c>
      <c r="G130" s="30">
        <v>7832.6207599999998</v>
      </c>
      <c r="H130" s="38">
        <v>8111.3</v>
      </c>
      <c r="I130" s="38">
        <v>7879.5789999999997</v>
      </c>
      <c r="J130" s="38">
        <f t="shared" si="38"/>
        <v>-231.72100000000046</v>
      </c>
      <c r="K130" s="39">
        <f t="shared" si="31"/>
        <v>97.143232280892079</v>
      </c>
      <c r="L130" s="38"/>
      <c r="M130" s="38"/>
      <c r="N130" s="38">
        <f t="shared" si="32"/>
        <v>0</v>
      </c>
      <c r="O130" s="38"/>
      <c r="P130" s="38"/>
      <c r="Q130" s="38">
        <f t="shared" si="39"/>
        <v>0</v>
      </c>
      <c r="R130" s="39" t="str">
        <f t="shared" si="33"/>
        <v xml:space="preserve"> </v>
      </c>
      <c r="S130" s="38"/>
      <c r="T130" s="38"/>
      <c r="U130" s="40">
        <f t="shared" si="40"/>
        <v>0</v>
      </c>
      <c r="V130" s="40">
        <f t="shared" si="36"/>
        <v>0</v>
      </c>
      <c r="W130" s="38"/>
      <c r="X130" s="38"/>
      <c r="Y130" s="38"/>
      <c r="Z130" s="55">
        <f t="shared" si="37"/>
        <v>0</v>
      </c>
      <c r="AA130" s="65">
        <f t="shared" si="41"/>
        <v>0</v>
      </c>
    </row>
    <row r="131" spans="1:27" s="25" customFormat="1" x14ac:dyDescent="0.2">
      <c r="A131" s="35">
        <v>64</v>
      </c>
      <c r="B131" s="36">
        <v>120</v>
      </c>
      <c r="C131" s="37" t="s">
        <v>130</v>
      </c>
      <c r="D131" s="38">
        <v>48.4</v>
      </c>
      <c r="E131" s="38"/>
      <c r="F131" s="32">
        <v>161.6</v>
      </c>
      <c r="G131" s="32">
        <v>76.27</v>
      </c>
      <c r="H131" s="38">
        <v>122.8</v>
      </c>
      <c r="I131" s="38">
        <v>52.02</v>
      </c>
      <c r="J131" s="38">
        <f t="shared" si="38"/>
        <v>-70.78</v>
      </c>
      <c r="K131" s="39">
        <f t="shared" si="31"/>
        <v>42.361563517915314</v>
      </c>
      <c r="L131" s="38">
        <v>161.6</v>
      </c>
      <c r="M131" s="38">
        <v>161.6</v>
      </c>
      <c r="N131" s="38">
        <f t="shared" si="32"/>
        <v>0</v>
      </c>
      <c r="O131" s="38">
        <v>144</v>
      </c>
      <c r="P131" s="38">
        <v>75.8</v>
      </c>
      <c r="Q131" s="38">
        <f t="shared" si="39"/>
        <v>-68.2</v>
      </c>
      <c r="R131" s="39">
        <f t="shared" si="33"/>
        <v>52.638888888888893</v>
      </c>
      <c r="S131" s="38"/>
      <c r="T131" s="38"/>
      <c r="U131" s="40">
        <f t="shared" si="40"/>
        <v>161.6</v>
      </c>
      <c r="V131" s="40">
        <f t="shared" si="36"/>
        <v>0</v>
      </c>
      <c r="W131" s="38">
        <v>104.6</v>
      </c>
      <c r="X131" s="38">
        <v>8.8379999999999992</v>
      </c>
      <c r="Y131" s="38">
        <v>8.8379999999999992</v>
      </c>
      <c r="Z131" s="55">
        <f t="shared" si="37"/>
        <v>170.43799999999999</v>
      </c>
      <c r="AA131" s="65">
        <f t="shared" si="41"/>
        <v>0</v>
      </c>
    </row>
    <row r="132" spans="1:27" s="25" customFormat="1" x14ac:dyDescent="0.2">
      <c r="A132" s="35">
        <v>65</v>
      </c>
      <c r="B132" s="36">
        <v>110</v>
      </c>
      <c r="C132" s="37" t="s">
        <v>144</v>
      </c>
      <c r="D132" s="38">
        <v>146828.6</v>
      </c>
      <c r="E132" s="38">
        <v>77333.8</v>
      </c>
      <c r="F132" s="30">
        <v>77333.8</v>
      </c>
      <c r="G132" s="30">
        <v>72683.741450000001</v>
      </c>
      <c r="H132" s="38">
        <v>58095.5</v>
      </c>
      <c r="I132" s="38">
        <v>47041.571000000004</v>
      </c>
      <c r="J132" s="38">
        <f t="shared" si="38"/>
        <v>-11053.928999999996</v>
      </c>
      <c r="K132" s="39">
        <f t="shared" si="31"/>
        <v>80.972830942155596</v>
      </c>
      <c r="L132" s="38"/>
      <c r="M132" s="38">
        <v>126264</v>
      </c>
      <c r="N132" s="38">
        <f t="shared" si="32"/>
        <v>126264</v>
      </c>
      <c r="O132" s="38">
        <v>101448</v>
      </c>
      <c r="P132" s="38">
        <v>43033.9</v>
      </c>
      <c r="Q132" s="38">
        <f t="shared" si="39"/>
        <v>-58414.1</v>
      </c>
      <c r="R132" s="39">
        <f t="shared" si="33"/>
        <v>42.419663275766894</v>
      </c>
      <c r="S132" s="101">
        <v>-25290</v>
      </c>
      <c r="T132" s="45"/>
      <c r="U132" s="40">
        <f t="shared" si="40"/>
        <v>100974</v>
      </c>
      <c r="V132" s="40">
        <f t="shared" si="36"/>
        <v>-25290</v>
      </c>
      <c r="W132" s="38">
        <v>84701.7</v>
      </c>
      <c r="X132" s="38"/>
      <c r="Y132" s="38"/>
      <c r="Z132" s="55">
        <f t="shared" si="37"/>
        <v>100974</v>
      </c>
      <c r="AA132" s="65">
        <f t="shared" si="41"/>
        <v>0</v>
      </c>
    </row>
    <row r="133" spans="1:27" s="25" customFormat="1" x14ac:dyDescent="0.2">
      <c r="A133" s="35">
        <v>67</v>
      </c>
      <c r="B133" s="36">
        <v>110</v>
      </c>
      <c r="C133" s="37" t="s">
        <v>86</v>
      </c>
      <c r="D133" s="38">
        <v>50105.7</v>
      </c>
      <c r="E133" s="38">
        <v>59068.800000000003</v>
      </c>
      <c r="F133" s="30">
        <v>39068.800000000003</v>
      </c>
      <c r="G133" s="30">
        <v>32952.826509999999</v>
      </c>
      <c r="H133" s="38">
        <v>55345.9</v>
      </c>
      <c r="I133" s="38">
        <v>28386.603999999999</v>
      </c>
      <c r="J133" s="38">
        <f t="shared" si="38"/>
        <v>-26959.296000000002</v>
      </c>
      <c r="K133" s="39">
        <f t="shared" si="31"/>
        <v>51.289443301129801</v>
      </c>
      <c r="L133" s="38">
        <v>20532.5</v>
      </c>
      <c r="M133" s="38">
        <v>30015.9</v>
      </c>
      <c r="N133" s="38">
        <f t="shared" si="32"/>
        <v>9483.4000000000015</v>
      </c>
      <c r="O133" s="38">
        <v>28227.8</v>
      </c>
      <c r="P133" s="38">
        <v>23794.3</v>
      </c>
      <c r="Q133" s="38">
        <f t="shared" si="39"/>
        <v>-4433.5</v>
      </c>
      <c r="R133" s="39">
        <f t="shared" si="33"/>
        <v>84.293852159927454</v>
      </c>
      <c r="S133" s="38"/>
      <c r="T133" s="38"/>
      <c r="U133" s="40">
        <f t="shared" si="40"/>
        <v>30015.9</v>
      </c>
      <c r="V133" s="40">
        <f t="shared" si="36"/>
        <v>0</v>
      </c>
      <c r="W133" s="38">
        <v>29765.1</v>
      </c>
      <c r="X133" s="38">
        <v>2544.279</v>
      </c>
      <c r="Y133" s="38">
        <v>2544.279</v>
      </c>
      <c r="Z133" s="55">
        <f t="shared" si="37"/>
        <v>32560.179</v>
      </c>
      <c r="AA133" s="65">
        <f t="shared" si="41"/>
        <v>0</v>
      </c>
    </row>
    <row r="134" spans="1:27" s="25" customFormat="1" x14ac:dyDescent="0.2">
      <c r="A134" s="35">
        <v>67</v>
      </c>
      <c r="B134" s="36">
        <v>120</v>
      </c>
      <c r="C134" s="37" t="s">
        <v>87</v>
      </c>
      <c r="D134" s="38">
        <v>1039.5999999999999</v>
      </c>
      <c r="E134" s="38">
        <v>4654.1000000000004</v>
      </c>
      <c r="F134" s="30">
        <v>3254.1000000000004</v>
      </c>
      <c r="G134" s="30">
        <v>2109.2556</v>
      </c>
      <c r="H134" s="38">
        <v>4082.1</v>
      </c>
      <c r="I134" s="38">
        <v>1366.671</v>
      </c>
      <c r="J134" s="38">
        <f t="shared" si="38"/>
        <v>-2715.4290000000001</v>
      </c>
      <c r="K134" s="39">
        <f t="shared" si="31"/>
        <v>33.479606085103256</v>
      </c>
      <c r="L134" s="38">
        <v>2657</v>
      </c>
      <c r="M134" s="38">
        <v>2657</v>
      </c>
      <c r="N134" s="38">
        <f t="shared" si="32"/>
        <v>0</v>
      </c>
      <c r="O134" s="38">
        <v>2418.5</v>
      </c>
      <c r="P134" s="38">
        <v>901.5</v>
      </c>
      <c r="Q134" s="38">
        <f t="shared" si="39"/>
        <v>-1517</v>
      </c>
      <c r="R134" s="39">
        <f t="shared" si="33"/>
        <v>37.275170560264627</v>
      </c>
      <c r="S134" s="38"/>
      <c r="T134" s="38"/>
      <c r="U134" s="40">
        <f t="shared" si="40"/>
        <v>2657</v>
      </c>
      <c r="V134" s="40">
        <f t="shared" si="36"/>
        <v>0</v>
      </c>
      <c r="W134" s="38">
        <v>1008.9</v>
      </c>
      <c r="X134" s="38">
        <v>184.35</v>
      </c>
      <c r="Y134" s="38">
        <v>184.35</v>
      </c>
      <c r="Z134" s="55">
        <f t="shared" si="37"/>
        <v>2841.35</v>
      </c>
      <c r="AA134" s="65">
        <f t="shared" si="41"/>
        <v>0</v>
      </c>
    </row>
    <row r="135" spans="1:27" s="25" customFormat="1" x14ac:dyDescent="0.2">
      <c r="A135" s="35">
        <v>67</v>
      </c>
      <c r="B135" s="36">
        <v>320</v>
      </c>
      <c r="C135" s="37" t="s">
        <v>120</v>
      </c>
      <c r="D135" s="38"/>
      <c r="E135" s="38"/>
      <c r="F135" s="30">
        <v>601</v>
      </c>
      <c r="G135" s="30">
        <v>707.2</v>
      </c>
      <c r="H135" s="38">
        <v>573</v>
      </c>
      <c r="I135" s="38">
        <v>564</v>
      </c>
      <c r="J135" s="38">
        <f t="shared" si="38"/>
        <v>-9</v>
      </c>
      <c r="K135" s="39">
        <f t="shared" si="31"/>
        <v>98.429319371727757</v>
      </c>
      <c r="L135" s="38">
        <v>240.7</v>
      </c>
      <c r="M135" s="38">
        <v>240.7</v>
      </c>
      <c r="N135" s="38">
        <f t="shared" si="32"/>
        <v>0</v>
      </c>
      <c r="O135" s="38">
        <v>168.5</v>
      </c>
      <c r="P135" s="38">
        <v>632.29999999999995</v>
      </c>
      <c r="Q135" s="38">
        <f t="shared" si="39"/>
        <v>463.79999999999995</v>
      </c>
      <c r="R135" s="39">
        <f t="shared" si="33"/>
        <v>375.25222551928778</v>
      </c>
      <c r="S135" s="38"/>
      <c r="T135" s="60">
        <f>575+4000</f>
        <v>4575</v>
      </c>
      <c r="U135" s="40">
        <f t="shared" si="40"/>
        <v>4815.7</v>
      </c>
      <c r="V135" s="40">
        <f t="shared" si="36"/>
        <v>4575</v>
      </c>
      <c r="W135" s="38">
        <v>4739.6000000000004</v>
      </c>
      <c r="X135" s="38">
        <v>158.042</v>
      </c>
      <c r="Y135" s="38">
        <v>158.042</v>
      </c>
      <c r="Z135" s="55">
        <f t="shared" si="37"/>
        <v>4973.7420000000002</v>
      </c>
      <c r="AA135" s="65">
        <f t="shared" si="41"/>
        <v>0</v>
      </c>
    </row>
    <row r="136" spans="1:27" s="25" customFormat="1" x14ac:dyDescent="0.2">
      <c r="A136" s="35">
        <v>69</v>
      </c>
      <c r="B136" s="36">
        <v>120</v>
      </c>
      <c r="C136" s="37" t="s">
        <v>131</v>
      </c>
      <c r="D136" s="38">
        <v>14899.9</v>
      </c>
      <c r="E136" s="38">
        <v>100119.7</v>
      </c>
      <c r="F136" s="30">
        <v>61826.9</v>
      </c>
      <c r="G136" s="30">
        <v>65930.702820000006</v>
      </c>
      <c r="H136" s="38">
        <v>92773.3</v>
      </c>
      <c r="I136" s="38">
        <v>32616.613000000001</v>
      </c>
      <c r="J136" s="38">
        <f t="shared" si="38"/>
        <v>-60156.687000000005</v>
      </c>
      <c r="K136" s="39">
        <f t="shared" si="31"/>
        <v>35.157327593176049</v>
      </c>
      <c r="L136" s="38">
        <v>90000</v>
      </c>
      <c r="M136" s="38">
        <v>90000</v>
      </c>
      <c r="N136" s="38">
        <f t="shared" si="32"/>
        <v>0</v>
      </c>
      <c r="O136" s="38">
        <v>64223.7</v>
      </c>
      <c r="P136" s="38">
        <v>49300.4</v>
      </c>
      <c r="Q136" s="38">
        <f t="shared" si="39"/>
        <v>-14923.299999999996</v>
      </c>
      <c r="R136" s="39">
        <f t="shared" si="33"/>
        <v>76.763562360935296</v>
      </c>
      <c r="S136" s="38"/>
      <c r="T136" s="38"/>
      <c r="U136" s="40">
        <f t="shared" si="40"/>
        <v>90000</v>
      </c>
      <c r="V136" s="40">
        <f t="shared" si="36"/>
        <v>0</v>
      </c>
      <c r="W136" s="38">
        <f>76162.2-W137</f>
        <v>74743</v>
      </c>
      <c r="X136" s="38">
        <v>39133.22</v>
      </c>
      <c r="Y136" s="38">
        <v>39133.22</v>
      </c>
      <c r="Z136" s="55">
        <f t="shared" si="37"/>
        <v>129133.22</v>
      </c>
      <c r="AA136" s="65">
        <f t="shared" si="41"/>
        <v>0</v>
      </c>
    </row>
    <row r="137" spans="1:27" s="25" customFormat="1" x14ac:dyDescent="0.2">
      <c r="A137" s="35">
        <v>69</v>
      </c>
      <c r="B137" s="36">
        <v>120</v>
      </c>
      <c r="C137" s="37" t="s">
        <v>132</v>
      </c>
      <c r="D137" s="38"/>
      <c r="E137" s="38">
        <v>1707.2</v>
      </c>
      <c r="F137" s="30"/>
      <c r="G137" s="30"/>
      <c r="H137" s="38">
        <v>1451</v>
      </c>
      <c r="I137" s="38">
        <v>714.51199999999994</v>
      </c>
      <c r="J137" s="38">
        <f t="shared" si="38"/>
        <v>-736.48800000000006</v>
      </c>
      <c r="K137" s="39">
        <f t="shared" ref="K137:K160" si="42">IF(H137=0," ",I137/H137*100)</f>
        <v>49.242729152308748</v>
      </c>
      <c r="L137" s="38">
        <v>2000</v>
      </c>
      <c r="M137" s="38">
        <v>2000</v>
      </c>
      <c r="N137" s="38">
        <f t="shared" ref="N137:N158" si="43">M137-L137</f>
        <v>0</v>
      </c>
      <c r="O137" s="38">
        <v>1500</v>
      </c>
      <c r="P137" s="38">
        <v>702.7</v>
      </c>
      <c r="Q137" s="38">
        <f t="shared" si="39"/>
        <v>-797.3</v>
      </c>
      <c r="R137" s="39">
        <f t="shared" ref="R137:R160" si="44">IF(O137=0," ",P137/O137*100)</f>
        <v>46.846666666666671</v>
      </c>
      <c r="S137" s="38"/>
      <c r="T137" s="38"/>
      <c r="U137" s="40">
        <f t="shared" si="40"/>
        <v>2000</v>
      </c>
      <c r="V137" s="40">
        <f t="shared" si="36"/>
        <v>0</v>
      </c>
      <c r="W137" s="38">
        <v>1419.2</v>
      </c>
      <c r="X137" s="38">
        <v>11.58</v>
      </c>
      <c r="Y137" s="38">
        <v>11.58</v>
      </c>
      <c r="Z137" s="55">
        <f t="shared" si="37"/>
        <v>2011.58</v>
      </c>
      <c r="AA137" s="65">
        <f t="shared" si="41"/>
        <v>0</v>
      </c>
    </row>
    <row r="138" spans="1:27" s="25" customFormat="1" x14ac:dyDescent="0.2">
      <c r="A138" s="35">
        <v>70</v>
      </c>
      <c r="B138" s="36">
        <v>120</v>
      </c>
      <c r="C138" s="37" t="s">
        <v>119</v>
      </c>
      <c r="D138" s="38">
        <v>1273.8</v>
      </c>
      <c r="E138" s="38"/>
      <c r="F138" s="30">
        <v>2244.1999999999998</v>
      </c>
      <c r="G138" s="30">
        <v>2266.6795200000001</v>
      </c>
      <c r="H138" s="30">
        <v>2244.1999999999998</v>
      </c>
      <c r="I138" s="38">
        <v>1570.925</v>
      </c>
      <c r="J138" s="38">
        <f t="shared" si="38"/>
        <v>-673.27499999999986</v>
      </c>
      <c r="K138" s="39">
        <f t="shared" si="42"/>
        <v>69.999331610373403</v>
      </c>
      <c r="L138" s="38"/>
      <c r="M138" s="38">
        <v>2787.8</v>
      </c>
      <c r="N138" s="38">
        <f t="shared" si="43"/>
        <v>2787.8</v>
      </c>
      <c r="O138" s="38">
        <v>2787.8</v>
      </c>
      <c r="P138" s="38">
        <v>2368.5</v>
      </c>
      <c r="Q138" s="38">
        <f t="shared" si="39"/>
        <v>-419.30000000000018</v>
      </c>
      <c r="R138" s="39">
        <f t="shared" si="44"/>
        <v>84.959466245785194</v>
      </c>
      <c r="S138" s="38"/>
      <c r="T138" s="60">
        <v>475.2</v>
      </c>
      <c r="U138" s="40">
        <f t="shared" si="40"/>
        <v>3263</v>
      </c>
      <c r="V138" s="40">
        <f t="shared" si="36"/>
        <v>475.2</v>
      </c>
      <c r="W138" s="38">
        <v>2798.2</v>
      </c>
      <c r="X138" s="38">
        <v>22.5</v>
      </c>
      <c r="Y138" s="38">
        <v>22.5</v>
      </c>
      <c r="Z138" s="55">
        <f t="shared" si="37"/>
        <v>3285.5</v>
      </c>
      <c r="AA138" s="65">
        <f t="shared" si="41"/>
        <v>0</v>
      </c>
    </row>
    <row r="139" spans="1:27" s="25" customFormat="1" x14ac:dyDescent="0.2">
      <c r="A139" s="35">
        <v>71</v>
      </c>
      <c r="B139" s="36">
        <v>110</v>
      </c>
      <c r="C139" s="37" t="s">
        <v>155</v>
      </c>
      <c r="D139" s="38">
        <v>34.200000000000003</v>
      </c>
      <c r="E139" s="38"/>
      <c r="F139" s="30"/>
      <c r="G139" s="30"/>
      <c r="H139" s="38"/>
      <c r="I139" s="38"/>
      <c r="J139" s="38">
        <f t="shared" si="38"/>
        <v>0</v>
      </c>
      <c r="K139" s="39" t="str">
        <f t="shared" si="42"/>
        <v xml:space="preserve"> </v>
      </c>
      <c r="L139" s="38"/>
      <c r="M139" s="38"/>
      <c r="N139" s="38">
        <f t="shared" si="43"/>
        <v>0</v>
      </c>
      <c r="O139" s="38"/>
      <c r="P139" s="38"/>
      <c r="Q139" s="38">
        <f t="shared" si="39"/>
        <v>0</v>
      </c>
      <c r="R139" s="39" t="str">
        <f t="shared" si="44"/>
        <v xml:space="preserve"> </v>
      </c>
      <c r="S139" s="38"/>
      <c r="T139" s="38"/>
      <c r="U139" s="40">
        <f t="shared" si="40"/>
        <v>0</v>
      </c>
      <c r="V139" s="40">
        <f t="shared" si="36"/>
        <v>0</v>
      </c>
      <c r="W139" s="38"/>
      <c r="X139" s="38"/>
      <c r="Y139" s="38"/>
      <c r="Z139" s="55">
        <f t="shared" si="37"/>
        <v>0</v>
      </c>
      <c r="AA139" s="65">
        <f t="shared" si="41"/>
        <v>0</v>
      </c>
    </row>
    <row r="140" spans="1:27" s="25" customFormat="1" x14ac:dyDescent="0.2">
      <c r="A140" s="35">
        <v>72</v>
      </c>
      <c r="B140" s="36">
        <v>110</v>
      </c>
      <c r="C140" s="37" t="s">
        <v>133</v>
      </c>
      <c r="D140" s="38"/>
      <c r="E140" s="38"/>
      <c r="F140" s="30">
        <v>17519.099999999999</v>
      </c>
      <c r="G140" s="30">
        <v>23448.12846</v>
      </c>
      <c r="H140" s="38">
        <v>9809.1</v>
      </c>
      <c r="I140" s="38">
        <v>5579.06</v>
      </c>
      <c r="J140" s="38">
        <f t="shared" si="38"/>
        <v>-4230.04</v>
      </c>
      <c r="K140" s="39">
        <f t="shared" si="42"/>
        <v>56.87636990141808</v>
      </c>
      <c r="L140" s="38">
        <v>5019.1000000000004</v>
      </c>
      <c r="M140" s="38">
        <v>5019.1000000000004</v>
      </c>
      <c r="N140" s="38">
        <f t="shared" si="43"/>
        <v>0</v>
      </c>
      <c r="O140" s="38">
        <v>5019.1000000000004</v>
      </c>
      <c r="P140" s="38">
        <v>48469.3</v>
      </c>
      <c r="Q140" s="38">
        <f t="shared" si="39"/>
        <v>43450.200000000004</v>
      </c>
      <c r="R140" s="39">
        <f t="shared" si="44"/>
        <v>965.69703731744744</v>
      </c>
      <c r="S140" s="38"/>
      <c r="T140" s="100">
        <v>14302.4</v>
      </c>
      <c r="U140" s="40">
        <f t="shared" si="40"/>
        <v>19321.5</v>
      </c>
      <c r="V140" s="40">
        <f t="shared" ref="V140:V159" si="45">T140+S140</f>
        <v>14302.4</v>
      </c>
      <c r="W140" s="38">
        <v>43384.2</v>
      </c>
      <c r="X140" s="38">
        <v>9283.32</v>
      </c>
      <c r="Y140" s="38">
        <v>9283.32</v>
      </c>
      <c r="Z140" s="55">
        <f t="shared" si="37"/>
        <v>28604.82</v>
      </c>
      <c r="AA140" s="65">
        <f t="shared" si="41"/>
        <v>0</v>
      </c>
    </row>
    <row r="141" spans="1:27" s="25" customFormat="1" x14ac:dyDescent="0.2">
      <c r="A141" s="35">
        <v>72</v>
      </c>
      <c r="B141" s="36">
        <v>120</v>
      </c>
      <c r="C141" s="37" t="s">
        <v>134</v>
      </c>
      <c r="D141" s="38"/>
      <c r="E141" s="38"/>
      <c r="F141" s="30">
        <v>3462.65</v>
      </c>
      <c r="G141" s="30">
        <v>4286.3415599999998</v>
      </c>
      <c r="H141" s="38">
        <v>2207.6999999999998</v>
      </c>
      <c r="I141" s="38">
        <v>965.63400000000001</v>
      </c>
      <c r="J141" s="38">
        <f t="shared" si="38"/>
        <v>-1242.0659999999998</v>
      </c>
      <c r="K141" s="39">
        <f t="shared" si="42"/>
        <v>43.73936676178829</v>
      </c>
      <c r="L141" s="38">
        <v>2042.6</v>
      </c>
      <c r="M141" s="38">
        <v>2042.6</v>
      </c>
      <c r="N141" s="38">
        <f t="shared" si="43"/>
        <v>0</v>
      </c>
      <c r="O141" s="38">
        <v>2042.6</v>
      </c>
      <c r="P141" s="38">
        <v>4253.1000000000004</v>
      </c>
      <c r="Q141" s="38">
        <f t="shared" si="39"/>
        <v>2210.5000000000005</v>
      </c>
      <c r="R141" s="39">
        <f t="shared" si="44"/>
        <v>208.21991579359644</v>
      </c>
      <c r="S141" s="38"/>
      <c r="T141" s="100">
        <v>4606.8999999999996</v>
      </c>
      <c r="U141" s="40">
        <f t="shared" ref="U141:U158" si="46">T141+S141+M141</f>
        <v>6649.5</v>
      </c>
      <c r="V141" s="40">
        <f t="shared" si="45"/>
        <v>4606.8999999999996</v>
      </c>
      <c r="W141" s="38">
        <v>3132.5</v>
      </c>
      <c r="X141" s="38">
        <v>2564.25</v>
      </c>
      <c r="Y141" s="38">
        <v>2564.25</v>
      </c>
      <c r="Z141" s="55">
        <f t="shared" si="37"/>
        <v>9213.75</v>
      </c>
      <c r="AA141" s="65">
        <f t="shared" ref="AA141:AA148" si="47">X141-Y141</f>
        <v>0</v>
      </c>
    </row>
    <row r="142" spans="1:27" s="25" customFormat="1" x14ac:dyDescent="0.2">
      <c r="A142" s="35">
        <v>73</v>
      </c>
      <c r="B142" s="36">
        <v>110</v>
      </c>
      <c r="C142" s="37" t="s">
        <v>118</v>
      </c>
      <c r="D142" s="38">
        <v>2961.1</v>
      </c>
      <c r="E142" s="38"/>
      <c r="F142" s="30">
        <v>3590</v>
      </c>
      <c r="G142" s="30">
        <v>3437.0419999999999</v>
      </c>
      <c r="H142" s="38">
        <v>3590</v>
      </c>
      <c r="I142" s="38">
        <v>3090.02</v>
      </c>
      <c r="J142" s="38">
        <f t="shared" si="38"/>
        <v>-499.98</v>
      </c>
      <c r="K142" s="39">
        <f t="shared" si="42"/>
        <v>86.072980501392763</v>
      </c>
      <c r="L142" s="38"/>
      <c r="M142" s="38">
        <v>283</v>
      </c>
      <c r="N142" s="38">
        <f t="shared" si="43"/>
        <v>283</v>
      </c>
      <c r="O142" s="38">
        <v>283</v>
      </c>
      <c r="P142" s="38">
        <v>283</v>
      </c>
      <c r="Q142" s="38">
        <f t="shared" si="39"/>
        <v>0</v>
      </c>
      <c r="R142" s="39">
        <f t="shared" si="44"/>
        <v>100</v>
      </c>
      <c r="S142" s="38"/>
      <c r="T142" s="38"/>
      <c r="U142" s="40">
        <f t="shared" si="46"/>
        <v>283</v>
      </c>
      <c r="V142" s="40">
        <f t="shared" si="45"/>
        <v>0</v>
      </c>
      <c r="W142" s="38">
        <v>283</v>
      </c>
      <c r="X142" s="38"/>
      <c r="Y142" s="38"/>
      <c r="Z142" s="55">
        <f t="shared" ref="Z142:Z159" si="48">X142+U142</f>
        <v>283</v>
      </c>
      <c r="AA142" s="65">
        <f t="shared" si="47"/>
        <v>0</v>
      </c>
    </row>
    <row r="143" spans="1:27" s="25" customFormat="1" x14ac:dyDescent="0.2">
      <c r="A143" s="35">
        <v>73</v>
      </c>
      <c r="B143" s="36">
        <v>321</v>
      </c>
      <c r="C143" s="37" t="s">
        <v>117</v>
      </c>
      <c r="D143" s="38">
        <v>177.4</v>
      </c>
      <c r="E143" s="38"/>
      <c r="F143" s="30">
        <v>978.4</v>
      </c>
      <c r="G143" s="30">
        <v>959.67876000000001</v>
      </c>
      <c r="H143" s="38">
        <v>524.4</v>
      </c>
      <c r="I143" s="38">
        <v>843.8</v>
      </c>
      <c r="J143" s="38">
        <f t="shared" si="38"/>
        <v>319.39999999999998</v>
      </c>
      <c r="K143" s="39">
        <f t="shared" si="42"/>
        <v>160.90770404271549</v>
      </c>
      <c r="L143" s="38"/>
      <c r="M143" s="38">
        <v>512.79999999999995</v>
      </c>
      <c r="N143" s="38">
        <f t="shared" si="43"/>
        <v>512.79999999999995</v>
      </c>
      <c r="O143" s="38">
        <v>173.8</v>
      </c>
      <c r="P143" s="38">
        <v>859.2</v>
      </c>
      <c r="Q143" s="38">
        <f t="shared" si="39"/>
        <v>685.40000000000009</v>
      </c>
      <c r="R143" s="39">
        <f t="shared" si="44"/>
        <v>494.36133486766397</v>
      </c>
      <c r="S143" s="38"/>
      <c r="T143" s="60">
        <v>70</v>
      </c>
      <c r="U143" s="40">
        <f t="shared" si="46"/>
        <v>582.79999999999995</v>
      </c>
      <c r="V143" s="40">
        <f t="shared" si="45"/>
        <v>70</v>
      </c>
      <c r="W143" s="38">
        <v>765.65899999999999</v>
      </c>
      <c r="X143" s="38">
        <v>852.8</v>
      </c>
      <c r="Y143" s="38">
        <v>852.8</v>
      </c>
      <c r="Z143" s="55">
        <f t="shared" si="48"/>
        <v>1435.6</v>
      </c>
      <c r="AA143" s="65">
        <f t="shared" si="47"/>
        <v>0</v>
      </c>
    </row>
    <row r="144" spans="1:27" s="25" customFormat="1" x14ac:dyDescent="0.2">
      <c r="A144" s="35">
        <v>73</v>
      </c>
      <c r="B144" s="36">
        <v>410</v>
      </c>
      <c r="C144" s="37" t="s">
        <v>116</v>
      </c>
      <c r="D144" s="38">
        <v>1935</v>
      </c>
      <c r="E144" s="38"/>
      <c r="F144" s="30">
        <v>2129.3000000000002</v>
      </c>
      <c r="G144" s="30">
        <v>1620.9970000000001</v>
      </c>
      <c r="H144" s="38">
        <v>1426.3</v>
      </c>
      <c r="I144" s="38">
        <v>1109.3309999999999</v>
      </c>
      <c r="J144" s="38">
        <f t="shared" ref="J144:J159" si="49">I144-H144</f>
        <v>-316.96900000000005</v>
      </c>
      <c r="K144" s="39">
        <f t="shared" si="42"/>
        <v>77.776835167916985</v>
      </c>
      <c r="L144" s="38"/>
      <c r="M144" s="38">
        <v>2040.2</v>
      </c>
      <c r="N144" s="38">
        <f t="shared" si="43"/>
        <v>2040.2</v>
      </c>
      <c r="O144" s="38">
        <v>1562.9</v>
      </c>
      <c r="P144" s="38">
        <v>696.1</v>
      </c>
      <c r="Q144" s="38">
        <f t="shared" ref="Q144:Q159" si="50">P144-O144</f>
        <v>-866.80000000000007</v>
      </c>
      <c r="R144" s="39">
        <f t="shared" si="44"/>
        <v>44.538998016507776</v>
      </c>
      <c r="S144" s="38"/>
      <c r="T144" s="38"/>
      <c r="U144" s="40">
        <f t="shared" si="46"/>
        <v>2040.2</v>
      </c>
      <c r="V144" s="40">
        <f t="shared" si="45"/>
        <v>0</v>
      </c>
      <c r="W144" s="38">
        <v>1196.0999999999999</v>
      </c>
      <c r="X144" s="38">
        <v>379.6</v>
      </c>
      <c r="Y144" s="38">
        <v>379.6</v>
      </c>
      <c r="Z144" s="55">
        <f t="shared" si="48"/>
        <v>2419.8000000000002</v>
      </c>
      <c r="AA144" s="65">
        <f t="shared" si="47"/>
        <v>0</v>
      </c>
    </row>
    <row r="145" spans="1:27" s="25" customFormat="1" x14ac:dyDescent="0.2">
      <c r="A145" s="35">
        <v>73</v>
      </c>
      <c r="B145" s="36">
        <v>421</v>
      </c>
      <c r="C145" s="37" t="s">
        <v>141</v>
      </c>
      <c r="D145" s="38">
        <v>63785.7</v>
      </c>
      <c r="E145" s="38">
        <v>86785.3</v>
      </c>
      <c r="F145" s="30">
        <v>93380.4</v>
      </c>
      <c r="G145" s="30">
        <v>90154.388200000001</v>
      </c>
      <c r="H145" s="38">
        <v>76342</v>
      </c>
      <c r="I145" s="38">
        <v>68314.672000000006</v>
      </c>
      <c r="J145" s="38">
        <f t="shared" si="49"/>
        <v>-8027.3279999999941</v>
      </c>
      <c r="K145" s="39">
        <f t="shared" si="42"/>
        <v>89.485043619501724</v>
      </c>
      <c r="L145" s="38">
        <v>93967.3</v>
      </c>
      <c r="M145" s="38">
        <v>93927.3</v>
      </c>
      <c r="N145" s="38">
        <f t="shared" si="43"/>
        <v>-40</v>
      </c>
      <c r="O145" s="38">
        <v>77932</v>
      </c>
      <c r="P145" s="38">
        <v>65108.6</v>
      </c>
      <c r="Q145" s="38">
        <f t="shared" si="50"/>
        <v>-12823.400000000001</v>
      </c>
      <c r="R145" s="39">
        <f t="shared" si="44"/>
        <v>83.545398552584302</v>
      </c>
      <c r="S145" s="38"/>
      <c r="T145" s="60">
        <v>7798.3</v>
      </c>
      <c r="U145" s="40">
        <f t="shared" si="46"/>
        <v>101725.6</v>
      </c>
      <c r="V145" s="40">
        <f t="shared" si="45"/>
        <v>7798.3</v>
      </c>
      <c r="W145" s="38">
        <v>92460.1</v>
      </c>
      <c r="X145" s="38">
        <v>1917.7</v>
      </c>
      <c r="Y145" s="38">
        <v>1917.7</v>
      </c>
      <c r="Z145" s="55">
        <f t="shared" si="48"/>
        <v>103643.3</v>
      </c>
      <c r="AA145" s="65">
        <f t="shared" si="47"/>
        <v>0</v>
      </c>
    </row>
    <row r="146" spans="1:27" s="25" customFormat="1" x14ac:dyDescent="0.2">
      <c r="A146" s="35">
        <v>74</v>
      </c>
      <c r="B146" s="36">
        <v>110</v>
      </c>
      <c r="C146" s="37" t="s">
        <v>88</v>
      </c>
      <c r="D146" s="38">
        <v>15125</v>
      </c>
      <c r="E146" s="38">
        <v>31260</v>
      </c>
      <c r="F146" s="30">
        <v>22107.5</v>
      </c>
      <c r="G146" s="30">
        <v>10082.5383</v>
      </c>
      <c r="H146" s="38">
        <v>23678.1</v>
      </c>
      <c r="I146" s="38">
        <v>6985.0709999999999</v>
      </c>
      <c r="J146" s="38">
        <f t="shared" si="49"/>
        <v>-16693.028999999999</v>
      </c>
      <c r="K146" s="39">
        <f t="shared" si="42"/>
        <v>29.500133034322857</v>
      </c>
      <c r="L146" s="38">
        <v>16000</v>
      </c>
      <c r="M146" s="38">
        <v>23874.9</v>
      </c>
      <c r="N146" s="38">
        <f t="shared" si="43"/>
        <v>7874.9000000000015</v>
      </c>
      <c r="O146" s="38">
        <v>22500.7</v>
      </c>
      <c r="P146" s="38">
        <v>15835.3</v>
      </c>
      <c r="Q146" s="38">
        <f t="shared" si="50"/>
        <v>-6665.4000000000015</v>
      </c>
      <c r="R146" s="39">
        <f t="shared" si="44"/>
        <v>70.376921606883343</v>
      </c>
      <c r="S146" s="38">
        <f>-928.9-5167.3</f>
        <v>-6096.2</v>
      </c>
      <c r="T146" s="60">
        <f>762+250</f>
        <v>1012</v>
      </c>
      <c r="U146" s="40">
        <f>T146+S146+M146</f>
        <v>18790.7</v>
      </c>
      <c r="V146" s="40">
        <f t="shared" si="45"/>
        <v>-5084.2</v>
      </c>
      <c r="W146" s="38">
        <v>16256.8</v>
      </c>
      <c r="X146" s="38">
        <v>3060.8</v>
      </c>
      <c r="Y146" s="38">
        <v>3060.8</v>
      </c>
      <c r="Z146" s="55">
        <f t="shared" si="48"/>
        <v>21851.5</v>
      </c>
      <c r="AA146" s="65">
        <f t="shared" si="47"/>
        <v>0</v>
      </c>
    </row>
    <row r="147" spans="1:27" s="25" customFormat="1" x14ac:dyDescent="0.2">
      <c r="A147" s="35">
        <v>74</v>
      </c>
      <c r="B147" s="36">
        <v>120</v>
      </c>
      <c r="C147" s="37" t="s">
        <v>89</v>
      </c>
      <c r="D147" s="38">
        <v>31459.3</v>
      </c>
      <c r="E147" s="38">
        <v>12361</v>
      </c>
      <c r="F147" s="30">
        <v>21513.5</v>
      </c>
      <c r="G147" s="30">
        <v>22141.134899999997</v>
      </c>
      <c r="H147" s="38">
        <v>15211.3</v>
      </c>
      <c r="I147" s="38">
        <v>15262.472</v>
      </c>
      <c r="J147" s="38">
        <f t="shared" si="49"/>
        <v>51.17200000000048</v>
      </c>
      <c r="K147" s="39">
        <f t="shared" si="42"/>
        <v>100.3364078020945</v>
      </c>
      <c r="L147" s="38">
        <v>14837.5</v>
      </c>
      <c r="M147" s="38">
        <v>40270.5</v>
      </c>
      <c r="N147" s="38">
        <f t="shared" si="43"/>
        <v>25433</v>
      </c>
      <c r="O147" s="38">
        <v>35742.6</v>
      </c>
      <c r="P147" s="38">
        <v>21842.5</v>
      </c>
      <c r="Q147" s="38">
        <f t="shared" si="50"/>
        <v>-13900.099999999999</v>
      </c>
      <c r="R147" s="39">
        <f t="shared" si="44"/>
        <v>61.110551554727408</v>
      </c>
      <c r="S147" s="38">
        <v>-762</v>
      </c>
      <c r="T147" s="38">
        <f>928.9+5167.3</f>
        <v>6096.2</v>
      </c>
      <c r="U147" s="40">
        <f>T147+S147+M147</f>
        <v>45604.7</v>
      </c>
      <c r="V147" s="40">
        <f t="shared" si="45"/>
        <v>5334.2</v>
      </c>
      <c r="W147" s="38">
        <v>33610.300000000003</v>
      </c>
      <c r="X147" s="38">
        <v>2454.5</v>
      </c>
      <c r="Y147" s="38">
        <v>2454.5</v>
      </c>
      <c r="Z147" s="55">
        <f t="shared" si="48"/>
        <v>48059.199999999997</v>
      </c>
      <c r="AA147" s="65">
        <f t="shared" si="47"/>
        <v>0</v>
      </c>
    </row>
    <row r="148" spans="1:27" s="25" customFormat="1" x14ac:dyDescent="0.2">
      <c r="A148" s="35">
        <v>75</v>
      </c>
      <c r="B148" s="36">
        <v>110</v>
      </c>
      <c r="C148" s="37" t="s">
        <v>90</v>
      </c>
      <c r="D148" s="38">
        <v>8508.2999999999993</v>
      </c>
      <c r="E148" s="38">
        <v>17500</v>
      </c>
      <c r="F148" s="32">
        <v>17500</v>
      </c>
      <c r="G148" s="32">
        <v>14990</v>
      </c>
      <c r="H148" s="38">
        <v>13401.4</v>
      </c>
      <c r="I148" s="38">
        <v>10340</v>
      </c>
      <c r="J148" s="38">
        <f t="shared" si="49"/>
        <v>-3061.3999999999996</v>
      </c>
      <c r="K148" s="39">
        <f t="shared" si="42"/>
        <v>77.156118017520555</v>
      </c>
      <c r="L148" s="38">
        <v>21000</v>
      </c>
      <c r="M148" s="38">
        <v>42000</v>
      </c>
      <c r="N148" s="38">
        <f t="shared" si="43"/>
        <v>21000</v>
      </c>
      <c r="O148" s="38">
        <v>31301.9</v>
      </c>
      <c r="P148" s="38">
        <v>7390.1</v>
      </c>
      <c r="Q148" s="38">
        <f t="shared" si="50"/>
        <v>-23911.800000000003</v>
      </c>
      <c r="R148" s="39">
        <f t="shared" si="44"/>
        <v>23.609109990128392</v>
      </c>
      <c r="S148" s="60">
        <v>-3767.2</v>
      </c>
      <c r="T148" s="41"/>
      <c r="U148" s="40">
        <f t="shared" si="46"/>
        <v>38232.800000000003</v>
      </c>
      <c r="V148" s="40">
        <f t="shared" si="45"/>
        <v>-3767.2</v>
      </c>
      <c r="W148" s="38">
        <v>7359.3</v>
      </c>
      <c r="X148" s="38">
        <v>37.6</v>
      </c>
      <c r="Y148" s="38">
        <v>37.6</v>
      </c>
      <c r="Z148" s="55">
        <f t="shared" si="48"/>
        <v>38270.400000000001</v>
      </c>
      <c r="AA148" s="65">
        <f t="shared" si="47"/>
        <v>0</v>
      </c>
    </row>
    <row r="149" spans="1:27" s="25" customFormat="1" x14ac:dyDescent="0.2">
      <c r="A149" s="35">
        <v>75</v>
      </c>
      <c r="B149" s="36">
        <v>120</v>
      </c>
      <c r="C149" s="37" t="s">
        <v>156</v>
      </c>
      <c r="D149" s="38">
        <v>1483.5</v>
      </c>
      <c r="E149" s="38"/>
      <c r="F149" s="32"/>
      <c r="G149" s="32"/>
      <c r="H149" s="38"/>
      <c r="I149" s="38"/>
      <c r="J149" s="38">
        <f t="shared" si="49"/>
        <v>0</v>
      </c>
      <c r="K149" s="39" t="str">
        <f t="shared" si="42"/>
        <v xml:space="preserve"> </v>
      </c>
      <c r="L149" s="38"/>
      <c r="M149" s="38"/>
      <c r="N149" s="38">
        <f t="shared" si="43"/>
        <v>0</v>
      </c>
      <c r="O149" s="38"/>
      <c r="P149" s="38"/>
      <c r="Q149" s="38">
        <f t="shared" si="50"/>
        <v>0</v>
      </c>
      <c r="R149" s="39" t="str">
        <f t="shared" si="44"/>
        <v xml:space="preserve"> </v>
      </c>
      <c r="S149" s="38"/>
      <c r="T149" s="41"/>
      <c r="U149" s="40">
        <f t="shared" si="46"/>
        <v>0</v>
      </c>
      <c r="V149" s="40">
        <f t="shared" si="45"/>
        <v>0</v>
      </c>
      <c r="W149" s="38"/>
      <c r="X149" s="38"/>
      <c r="Y149" s="38"/>
      <c r="Z149" s="55">
        <f t="shared" si="48"/>
        <v>0</v>
      </c>
      <c r="AA149" s="65">
        <f t="shared" ref="AA149:AA159" si="51">X149-Y149</f>
        <v>0</v>
      </c>
    </row>
    <row r="150" spans="1:27" s="25" customFormat="1" x14ac:dyDescent="0.2">
      <c r="A150" s="35">
        <v>75</v>
      </c>
      <c r="B150" s="36">
        <v>140</v>
      </c>
      <c r="C150" s="37" t="s">
        <v>135</v>
      </c>
      <c r="D150" s="38"/>
      <c r="E150" s="38">
        <v>5438.8</v>
      </c>
      <c r="F150" s="30">
        <v>5438.8</v>
      </c>
      <c r="G150" s="30">
        <v>3157.3209999999999</v>
      </c>
      <c r="H150" s="38">
        <v>3952.5</v>
      </c>
      <c r="I150" s="38">
        <v>922.99599999999998</v>
      </c>
      <c r="J150" s="38">
        <f t="shared" si="49"/>
        <v>-3029.5039999999999</v>
      </c>
      <c r="K150" s="39">
        <f t="shared" si="42"/>
        <v>23.352207463630613</v>
      </c>
      <c r="L150" s="38">
        <v>5710.7</v>
      </c>
      <c r="M150" s="38">
        <v>5710.7</v>
      </c>
      <c r="N150" s="38">
        <f t="shared" si="43"/>
        <v>0</v>
      </c>
      <c r="O150" s="38">
        <v>4131.8</v>
      </c>
      <c r="P150" s="38">
        <v>1232.9000000000001</v>
      </c>
      <c r="Q150" s="38">
        <f t="shared" si="50"/>
        <v>-2898.9</v>
      </c>
      <c r="R150" s="39">
        <f t="shared" si="44"/>
        <v>29.839295222421221</v>
      </c>
      <c r="S150" s="38"/>
      <c r="T150" s="38"/>
      <c r="U150" s="40">
        <f t="shared" si="46"/>
        <v>5710.7</v>
      </c>
      <c r="V150" s="40">
        <f t="shared" si="45"/>
        <v>0</v>
      </c>
      <c r="W150" s="38">
        <v>1232.9000000000001</v>
      </c>
      <c r="X150" s="38"/>
      <c r="Y150" s="38"/>
      <c r="Z150" s="55">
        <f t="shared" si="48"/>
        <v>5710.7</v>
      </c>
      <c r="AA150" s="65">
        <f t="shared" si="51"/>
        <v>0</v>
      </c>
    </row>
    <row r="151" spans="1:27" s="25" customFormat="1" x14ac:dyDescent="0.2">
      <c r="A151" s="35">
        <v>75</v>
      </c>
      <c r="B151" s="36">
        <v>150</v>
      </c>
      <c r="C151" s="37" t="s">
        <v>136</v>
      </c>
      <c r="D151" s="38">
        <v>42</v>
      </c>
      <c r="E151" s="38">
        <v>2659.7</v>
      </c>
      <c r="F151" s="30">
        <v>2659.7</v>
      </c>
      <c r="G151" s="30">
        <v>157.19999999999999</v>
      </c>
      <c r="H151" s="38">
        <v>2232.6999999999998</v>
      </c>
      <c r="I151" s="38">
        <v>156</v>
      </c>
      <c r="J151" s="38">
        <f t="shared" si="49"/>
        <v>-2076.6999999999998</v>
      </c>
      <c r="K151" s="39">
        <f t="shared" si="42"/>
        <v>6.9870560308147089</v>
      </c>
      <c r="L151" s="38">
        <v>3357.3</v>
      </c>
      <c r="M151" s="38"/>
      <c r="N151" s="38">
        <f t="shared" si="43"/>
        <v>-3357.3</v>
      </c>
      <c r="O151" s="38"/>
      <c r="P151" s="38"/>
      <c r="Q151" s="38">
        <f t="shared" si="50"/>
        <v>0</v>
      </c>
      <c r="R151" s="39" t="str">
        <f t="shared" si="44"/>
        <v xml:space="preserve"> </v>
      </c>
      <c r="S151" s="38"/>
      <c r="T151" s="38"/>
      <c r="U151" s="40">
        <f t="shared" si="46"/>
        <v>0</v>
      </c>
      <c r="V151" s="40">
        <f t="shared" si="45"/>
        <v>0</v>
      </c>
      <c r="W151" s="38"/>
      <c r="X151" s="38"/>
      <c r="Y151" s="38"/>
      <c r="Z151" s="55">
        <f t="shared" si="48"/>
        <v>0</v>
      </c>
      <c r="AA151" s="65">
        <f t="shared" si="51"/>
        <v>0</v>
      </c>
    </row>
    <row r="152" spans="1:27" s="25" customFormat="1" x14ac:dyDescent="0.2">
      <c r="A152" s="35">
        <v>76</v>
      </c>
      <c r="B152" s="36">
        <v>121</v>
      </c>
      <c r="C152" s="37" t="s">
        <v>91</v>
      </c>
      <c r="D152" s="38">
        <v>50384.1</v>
      </c>
      <c r="E152" s="38">
        <v>59361</v>
      </c>
      <c r="F152" s="30">
        <v>73861</v>
      </c>
      <c r="G152" s="30">
        <v>68438.422650000008</v>
      </c>
      <c r="H152" s="38">
        <v>50456.9</v>
      </c>
      <c r="I152" s="38">
        <v>62885.3</v>
      </c>
      <c r="J152" s="38">
        <f t="shared" si="49"/>
        <v>12428.400000000001</v>
      </c>
      <c r="K152" s="39">
        <f t="shared" si="42"/>
        <v>124.63171538481357</v>
      </c>
      <c r="L152" s="38">
        <v>59361</v>
      </c>
      <c r="M152" s="38">
        <v>69361</v>
      </c>
      <c r="N152" s="38">
        <f t="shared" si="43"/>
        <v>10000</v>
      </c>
      <c r="O152" s="38">
        <v>56720.7</v>
      </c>
      <c r="P152" s="38">
        <v>57097.4</v>
      </c>
      <c r="Q152" s="38">
        <f t="shared" si="50"/>
        <v>376.70000000000437</v>
      </c>
      <c r="R152" s="39">
        <f t="shared" si="44"/>
        <v>100.66413143702388</v>
      </c>
      <c r="S152" s="38"/>
      <c r="T152" s="60">
        <f>4800+218097.4</f>
        <v>222897.4</v>
      </c>
      <c r="U152" s="40">
        <f>T152+S152+M152</f>
        <v>292258.40000000002</v>
      </c>
      <c r="V152" s="40">
        <f>T152+S152</f>
        <v>222897.4</v>
      </c>
      <c r="W152" s="38">
        <v>416676.7</v>
      </c>
      <c r="X152" s="38">
        <v>5636.6</v>
      </c>
      <c r="Y152" s="38">
        <v>5636.6</v>
      </c>
      <c r="Z152" s="55">
        <f t="shared" si="48"/>
        <v>297895</v>
      </c>
      <c r="AA152" s="65">
        <f t="shared" si="51"/>
        <v>0</v>
      </c>
    </row>
    <row r="153" spans="1:27" s="25" customFormat="1" x14ac:dyDescent="0.2">
      <c r="A153" s="35">
        <v>77</v>
      </c>
      <c r="B153" s="36">
        <v>110</v>
      </c>
      <c r="C153" s="37" t="s">
        <v>92</v>
      </c>
      <c r="D153" s="38">
        <v>2227.3000000000002</v>
      </c>
      <c r="E153" s="38">
        <v>2598.6999999999998</v>
      </c>
      <c r="F153" s="30">
        <v>1598.6999999999998</v>
      </c>
      <c r="G153" s="30">
        <v>1499.04</v>
      </c>
      <c r="H153" s="38">
        <v>2226.1</v>
      </c>
      <c r="I153" s="38">
        <v>924.8</v>
      </c>
      <c r="J153" s="38">
        <f t="shared" si="49"/>
        <v>-1301.3</v>
      </c>
      <c r="K153" s="39">
        <f t="shared" si="42"/>
        <v>41.543506581016125</v>
      </c>
      <c r="L153" s="38">
        <v>2700.1</v>
      </c>
      <c r="M153" s="38">
        <v>3200.1</v>
      </c>
      <c r="N153" s="38">
        <f t="shared" si="43"/>
        <v>500</v>
      </c>
      <c r="O153" s="38">
        <v>2591.6999999999998</v>
      </c>
      <c r="P153" s="38">
        <v>2989.5</v>
      </c>
      <c r="Q153" s="38">
        <f t="shared" si="50"/>
        <v>397.80000000000018</v>
      </c>
      <c r="R153" s="39">
        <f t="shared" si="44"/>
        <v>115.34899872670448</v>
      </c>
      <c r="S153" s="38"/>
      <c r="T153" s="60">
        <v>1273.0999999999999</v>
      </c>
      <c r="U153" s="40">
        <f t="shared" si="46"/>
        <v>4473.2</v>
      </c>
      <c r="V153" s="40">
        <f t="shared" si="45"/>
        <v>1273.0999999999999</v>
      </c>
      <c r="W153" s="38">
        <v>4714.8</v>
      </c>
      <c r="X153" s="76">
        <v>496.98999999999995</v>
      </c>
      <c r="Y153" s="76">
        <v>496.98999999999995</v>
      </c>
      <c r="Z153" s="55">
        <f t="shared" si="48"/>
        <v>4970.1899999999996</v>
      </c>
      <c r="AA153" s="65">
        <f t="shared" si="51"/>
        <v>0</v>
      </c>
    </row>
    <row r="154" spans="1:27" s="25" customFormat="1" x14ac:dyDescent="0.2">
      <c r="A154" s="35">
        <v>80</v>
      </c>
      <c r="B154" s="36">
        <v>120</v>
      </c>
      <c r="C154" s="37" t="s">
        <v>93</v>
      </c>
      <c r="D154" s="38">
        <v>17670.099999999999</v>
      </c>
      <c r="E154" s="38">
        <v>31047.8</v>
      </c>
      <c r="F154" s="30">
        <v>34647.800000000003</v>
      </c>
      <c r="G154" s="30">
        <v>33745.383020000001</v>
      </c>
      <c r="H154" s="38">
        <v>25021.3</v>
      </c>
      <c r="I154" s="38">
        <v>24616.68</v>
      </c>
      <c r="J154" s="38">
        <f t="shared" si="49"/>
        <v>-404.61999999999898</v>
      </c>
      <c r="K154" s="39">
        <f t="shared" si="42"/>
        <v>98.382897771099039</v>
      </c>
      <c r="L154" s="38">
        <v>26972.5</v>
      </c>
      <c r="M154" s="38">
        <v>35017.9</v>
      </c>
      <c r="N154" s="38">
        <f t="shared" si="43"/>
        <v>8045.4000000000015</v>
      </c>
      <c r="O154" s="38">
        <v>30984.799999999999</v>
      </c>
      <c r="P154" s="38">
        <v>22845.7</v>
      </c>
      <c r="Q154" s="38">
        <f t="shared" si="50"/>
        <v>-8139.0999999999985</v>
      </c>
      <c r="R154" s="39">
        <f t="shared" si="44"/>
        <v>73.731958895974799</v>
      </c>
      <c r="S154" s="38"/>
      <c r="T154" s="38"/>
      <c r="U154" s="40">
        <f t="shared" si="46"/>
        <v>35017.9</v>
      </c>
      <c r="V154" s="40">
        <f t="shared" si="45"/>
        <v>0</v>
      </c>
      <c r="W154" s="38">
        <v>34424.800000000003</v>
      </c>
      <c r="X154" s="38">
        <v>5442.84</v>
      </c>
      <c r="Y154" s="38">
        <v>5442.84</v>
      </c>
      <c r="Z154" s="55">
        <f t="shared" si="48"/>
        <v>40460.740000000005</v>
      </c>
      <c r="AA154" s="65">
        <f t="shared" si="51"/>
        <v>0</v>
      </c>
    </row>
    <row r="155" spans="1:27" s="25" customFormat="1" ht="13.5" customHeight="1" x14ac:dyDescent="0.2">
      <c r="A155" s="35">
        <v>83</v>
      </c>
      <c r="B155" s="36">
        <v>110</v>
      </c>
      <c r="C155" s="37" t="s">
        <v>199</v>
      </c>
      <c r="D155" s="38"/>
      <c r="E155" s="38"/>
      <c r="F155" s="30"/>
      <c r="G155" s="30"/>
      <c r="H155" s="38"/>
      <c r="I155" s="38"/>
      <c r="J155" s="38"/>
      <c r="K155" s="39"/>
      <c r="L155" s="38"/>
      <c r="M155" s="38"/>
      <c r="N155" s="38"/>
      <c r="O155" s="38"/>
      <c r="P155" s="38"/>
      <c r="Q155" s="38"/>
      <c r="R155" s="39"/>
      <c r="S155" s="38"/>
      <c r="T155" s="38">
        <v>5692.1</v>
      </c>
      <c r="U155" s="40">
        <f t="shared" si="46"/>
        <v>5692.1</v>
      </c>
      <c r="V155" s="40"/>
      <c r="W155" s="38"/>
      <c r="X155" s="38"/>
      <c r="Y155" s="38"/>
      <c r="Z155" s="55">
        <f>X155+U155</f>
        <v>5692.1</v>
      </c>
      <c r="AA155" s="65"/>
    </row>
    <row r="156" spans="1:27" s="25" customFormat="1" x14ac:dyDescent="0.2">
      <c r="A156" s="35">
        <v>85</v>
      </c>
      <c r="B156" s="36">
        <v>121</v>
      </c>
      <c r="C156" s="37" t="s">
        <v>94</v>
      </c>
      <c r="D156" s="38">
        <v>28602.799999999999</v>
      </c>
      <c r="E156" s="38">
        <v>36720</v>
      </c>
      <c r="F156" s="30">
        <v>35720</v>
      </c>
      <c r="G156" s="30">
        <v>37642.162819999998</v>
      </c>
      <c r="H156" s="38">
        <v>29298.6</v>
      </c>
      <c r="I156" s="38">
        <v>25218.895</v>
      </c>
      <c r="J156" s="38">
        <f t="shared" si="49"/>
        <v>-4079.7049999999981</v>
      </c>
      <c r="K156" s="39">
        <f t="shared" si="42"/>
        <v>86.075426812202636</v>
      </c>
      <c r="L156" s="38">
        <v>36720</v>
      </c>
      <c r="M156" s="38">
        <v>36720</v>
      </c>
      <c r="N156" s="38">
        <f t="shared" si="43"/>
        <v>0</v>
      </c>
      <c r="O156" s="38">
        <v>29548.6</v>
      </c>
      <c r="P156" s="38">
        <v>24631.200000000001</v>
      </c>
      <c r="Q156" s="38">
        <f t="shared" si="50"/>
        <v>-4917.3999999999978</v>
      </c>
      <c r="R156" s="39">
        <f t="shared" si="44"/>
        <v>83.358264012508215</v>
      </c>
      <c r="S156" s="38"/>
      <c r="T156" s="60">
        <f>2000+9500</f>
        <v>11500</v>
      </c>
      <c r="U156" s="40">
        <f t="shared" si="46"/>
        <v>48220</v>
      </c>
      <c r="V156" s="40">
        <f t="shared" si="45"/>
        <v>11500</v>
      </c>
      <c r="W156" s="38">
        <v>42000.2</v>
      </c>
      <c r="X156" s="38">
        <v>3305.9189999999999</v>
      </c>
      <c r="Y156" s="38">
        <v>3305.9189999999999</v>
      </c>
      <c r="Z156" s="55">
        <f t="shared" si="48"/>
        <v>51525.919000000002</v>
      </c>
      <c r="AA156" s="65">
        <f t="shared" si="51"/>
        <v>0</v>
      </c>
    </row>
    <row r="157" spans="1:27" s="2" customFormat="1" x14ac:dyDescent="0.2">
      <c r="A157" s="46">
        <v>85</v>
      </c>
      <c r="B157" s="47">
        <v>321</v>
      </c>
      <c r="C157" s="48" t="s">
        <v>95</v>
      </c>
      <c r="D157" s="44">
        <v>20751.400000000001</v>
      </c>
      <c r="E157" s="44">
        <v>35206.199999999997</v>
      </c>
      <c r="F157" s="30">
        <v>36194.6</v>
      </c>
      <c r="G157" s="30">
        <v>36880.672049999994</v>
      </c>
      <c r="H157" s="44">
        <v>31182.1</v>
      </c>
      <c r="I157" s="44">
        <v>24136.924999999999</v>
      </c>
      <c r="J157" s="38">
        <f t="shared" si="49"/>
        <v>-7045.1749999999993</v>
      </c>
      <c r="K157" s="39">
        <f t="shared" si="42"/>
        <v>77.406348514051331</v>
      </c>
      <c r="L157" s="44">
        <v>35916.6</v>
      </c>
      <c r="M157" s="44">
        <v>40671.599999999999</v>
      </c>
      <c r="N157" s="38">
        <f t="shared" si="43"/>
        <v>4755</v>
      </c>
      <c r="O157" s="44">
        <v>30462.799999999999</v>
      </c>
      <c r="P157" s="44">
        <v>24030.3</v>
      </c>
      <c r="Q157" s="38">
        <f t="shared" si="50"/>
        <v>-6432.5</v>
      </c>
      <c r="R157" s="39">
        <f t="shared" si="44"/>
        <v>78.884081568339099</v>
      </c>
      <c r="S157" s="44"/>
      <c r="T157" s="60">
        <v>310.60000000000002</v>
      </c>
      <c r="U157" s="40">
        <f t="shared" si="46"/>
        <v>40982.199999999997</v>
      </c>
      <c r="V157" s="40">
        <f t="shared" si="45"/>
        <v>310.60000000000002</v>
      </c>
      <c r="W157" s="44">
        <v>38760.199999999997</v>
      </c>
      <c r="X157" s="44">
        <v>769.02</v>
      </c>
      <c r="Y157" s="44">
        <v>769.02</v>
      </c>
      <c r="Z157" s="54">
        <f t="shared" si="48"/>
        <v>41751.219999999994</v>
      </c>
      <c r="AA157" s="65">
        <f t="shared" si="51"/>
        <v>0</v>
      </c>
    </row>
    <row r="158" spans="1:27" x14ac:dyDescent="0.2">
      <c r="A158" s="46">
        <v>85</v>
      </c>
      <c r="B158" s="47">
        <v>421</v>
      </c>
      <c r="C158" s="48" t="s">
        <v>115</v>
      </c>
      <c r="D158" s="44">
        <v>1793.5</v>
      </c>
      <c r="E158" s="44"/>
      <c r="F158" s="30">
        <v>443.8</v>
      </c>
      <c r="G158" s="30">
        <v>372.72265000000004</v>
      </c>
      <c r="H158" s="44">
        <v>343.6</v>
      </c>
      <c r="I158" s="44">
        <v>357.85300000000001</v>
      </c>
      <c r="J158" s="38">
        <f t="shared" si="49"/>
        <v>14.252999999999986</v>
      </c>
      <c r="K158" s="39">
        <f t="shared" si="42"/>
        <v>104.14813736903376</v>
      </c>
      <c r="L158" s="44"/>
      <c r="M158" s="44">
        <v>932</v>
      </c>
      <c r="N158" s="38">
        <f t="shared" si="43"/>
        <v>932</v>
      </c>
      <c r="O158" s="44">
        <v>621.4</v>
      </c>
      <c r="P158" s="44">
        <v>242.3</v>
      </c>
      <c r="Q158" s="38">
        <f t="shared" si="50"/>
        <v>-379.09999999999997</v>
      </c>
      <c r="R158" s="39">
        <f t="shared" si="44"/>
        <v>38.9925973607982</v>
      </c>
      <c r="S158" s="44"/>
      <c r="T158" s="101">
        <v>1420</v>
      </c>
      <c r="U158" s="40">
        <f t="shared" si="46"/>
        <v>2352</v>
      </c>
      <c r="V158" s="40">
        <f t="shared" si="45"/>
        <v>1420</v>
      </c>
      <c r="W158" s="44">
        <v>1913.8</v>
      </c>
      <c r="X158" s="44"/>
      <c r="Y158" s="44"/>
      <c r="Z158" s="54">
        <f t="shared" si="48"/>
        <v>2352</v>
      </c>
      <c r="AA158" s="65">
        <f t="shared" si="51"/>
        <v>0</v>
      </c>
    </row>
    <row r="159" spans="1:27" x14ac:dyDescent="0.2">
      <c r="A159" s="46">
        <v>87</v>
      </c>
      <c r="B159" s="47">
        <v>220</v>
      </c>
      <c r="C159" s="48" t="s">
        <v>96</v>
      </c>
      <c r="D159" s="44">
        <v>590.29999999999995</v>
      </c>
      <c r="E159" s="44">
        <v>655</v>
      </c>
      <c r="F159" s="30">
        <v>775</v>
      </c>
      <c r="G159" s="30">
        <v>866.10181</v>
      </c>
      <c r="H159" s="44">
        <v>571.20000000000005</v>
      </c>
      <c r="I159" s="44">
        <v>630.89400000000001</v>
      </c>
      <c r="J159" s="38">
        <f t="shared" si="49"/>
        <v>59.69399999999996</v>
      </c>
      <c r="K159" s="39">
        <f t="shared" si="42"/>
        <v>110.45063025210082</v>
      </c>
      <c r="L159" s="44">
        <v>800</v>
      </c>
      <c r="M159" s="44">
        <v>800</v>
      </c>
      <c r="N159" s="38">
        <f>M159-L159</f>
        <v>0</v>
      </c>
      <c r="O159" s="44">
        <v>660</v>
      </c>
      <c r="P159" s="44">
        <v>756.3</v>
      </c>
      <c r="Q159" s="38">
        <f t="shared" si="50"/>
        <v>96.299999999999955</v>
      </c>
      <c r="R159" s="39">
        <f t="shared" si="44"/>
        <v>114.59090909090908</v>
      </c>
      <c r="S159" s="44"/>
      <c r="T159" s="44">
        <v>600</v>
      </c>
      <c r="U159" s="40">
        <f>T159+S159+M159</f>
        <v>1400</v>
      </c>
      <c r="V159" s="40">
        <f t="shared" si="45"/>
        <v>600</v>
      </c>
      <c r="W159" s="44">
        <v>1142.4000000000001</v>
      </c>
      <c r="X159" s="44">
        <v>116.8</v>
      </c>
      <c r="Y159" s="44">
        <v>116.8</v>
      </c>
      <c r="Z159" s="54">
        <f t="shared" si="48"/>
        <v>1516.8</v>
      </c>
      <c r="AA159" s="65">
        <f t="shared" si="51"/>
        <v>0</v>
      </c>
    </row>
    <row r="160" spans="1:27" x14ac:dyDescent="0.2">
      <c r="A160" s="49"/>
      <c r="B160" s="50"/>
      <c r="C160" s="51" t="s">
        <v>97</v>
      </c>
      <c r="D160" s="52">
        <f t="shared" ref="D160:I160" si="52">SUM(D13:D159)</f>
        <v>5782329.5000000009</v>
      </c>
      <c r="E160" s="52">
        <f t="shared" si="52"/>
        <v>6747139.6999999983</v>
      </c>
      <c r="F160" s="52">
        <f t="shared" si="52"/>
        <v>8043982.200000002</v>
      </c>
      <c r="G160" s="52">
        <f t="shared" si="52"/>
        <v>7916396.5443900013</v>
      </c>
      <c r="H160" s="52">
        <f t="shared" si="52"/>
        <v>6403717.4899999974</v>
      </c>
      <c r="I160" s="52">
        <f t="shared" si="52"/>
        <v>5384259.9219000014</v>
      </c>
      <c r="J160" s="52">
        <f>I160-H160</f>
        <v>-1019457.5680999961</v>
      </c>
      <c r="K160" s="52">
        <f t="shared" si="42"/>
        <v>84.080222625498791</v>
      </c>
      <c r="L160" s="52">
        <f t="shared" ref="L160:Q160" si="53">SUM(L13:L159)</f>
        <v>7196227.9999999972</v>
      </c>
      <c r="M160" s="52">
        <f t="shared" si="53"/>
        <v>8707194.0299999975</v>
      </c>
      <c r="N160" s="52">
        <f t="shared" si="53"/>
        <v>1510966.0299999993</v>
      </c>
      <c r="O160" s="52">
        <f t="shared" si="53"/>
        <v>7095887.3999999985</v>
      </c>
      <c r="P160" s="52">
        <f t="shared" si="53"/>
        <v>5629696.299999998</v>
      </c>
      <c r="Q160" s="52">
        <f t="shared" si="53"/>
        <v>-1466191.0999999999</v>
      </c>
      <c r="R160" s="52">
        <f t="shared" si="44"/>
        <v>79.337452564424837</v>
      </c>
      <c r="S160" s="52">
        <f t="shared" ref="S160:Z160" si="54">SUM(S13:S159)</f>
        <v>-368099.10000000003</v>
      </c>
      <c r="T160" s="52">
        <f t="shared" si="54"/>
        <v>1116623.6100000003</v>
      </c>
      <c r="U160" s="52">
        <f t="shared" si="54"/>
        <v>9455718.5399999972</v>
      </c>
      <c r="V160" s="52">
        <f t="shared" si="54"/>
        <v>741924.2100000002</v>
      </c>
      <c r="W160" s="52">
        <f>SUM(W13:W159)</f>
        <v>8910089.3590000011</v>
      </c>
      <c r="X160" s="52">
        <f t="shared" si="54"/>
        <v>1518690.9549999994</v>
      </c>
      <c r="Y160" s="52">
        <f t="shared" si="54"/>
        <v>1518690.9549999994</v>
      </c>
      <c r="Z160" s="56">
        <f t="shared" si="54"/>
        <v>10974409.494999995</v>
      </c>
      <c r="AA160" s="56">
        <f>SUM(AA13:AA159)</f>
        <v>0</v>
      </c>
    </row>
    <row r="161" spans="1:26" x14ac:dyDescent="0.2">
      <c r="G161" s="24">
        <f>G160-13903</f>
        <v>7902493.5443900013</v>
      </c>
      <c r="U161" s="85">
        <f>U160-9455718.5</f>
        <v>3.9999997243285179E-2</v>
      </c>
      <c r="V161" s="24"/>
      <c r="Z161" s="3">
        <f>Z160-10974409.5</f>
        <v>-5.0000045448541641E-3</v>
      </c>
    </row>
    <row r="162" spans="1:26" x14ac:dyDescent="0.2">
      <c r="D162" s="24">
        <f>5782573.4-D160</f>
        <v>243.89999999944121</v>
      </c>
      <c r="F162" s="24"/>
      <c r="G162" s="24">
        <f>G160-7902493.5</f>
        <v>13903.044390001334</v>
      </c>
      <c r="L162" s="24"/>
      <c r="M162" s="24"/>
      <c r="T162" s="24"/>
      <c r="U162" s="24"/>
      <c r="V162" s="24"/>
    </row>
    <row r="163" spans="1:26" x14ac:dyDescent="0.2">
      <c r="D163" s="24"/>
      <c r="G163" s="24">
        <f>G160-7750613.6</f>
        <v>165782.94439000171</v>
      </c>
      <c r="U163" s="24"/>
      <c r="V163" s="24"/>
      <c r="Z163" s="77"/>
    </row>
    <row r="164" spans="1:26" hidden="1" x14ac:dyDescent="0.2">
      <c r="C164" s="23" t="s">
        <v>191</v>
      </c>
      <c r="D164" s="24"/>
      <c r="G164" s="24">
        <f>G161-7750613.6</f>
        <v>151879.94439000171</v>
      </c>
      <c r="T164" s="3"/>
      <c r="U164" s="24"/>
      <c r="V164" s="24"/>
    </row>
    <row r="165" spans="1:26" hidden="1" x14ac:dyDescent="0.2">
      <c r="T165" s="3"/>
      <c r="U165" s="26"/>
      <c r="V165" s="26"/>
    </row>
    <row r="166" spans="1:26" ht="12.75" hidden="1" customHeight="1" x14ac:dyDescent="0.2">
      <c r="A166" s="118" t="s">
        <v>0</v>
      </c>
      <c r="B166" s="118" t="s">
        <v>1</v>
      </c>
      <c r="C166" s="120" t="s">
        <v>2</v>
      </c>
      <c r="L166" s="123" t="s">
        <v>193</v>
      </c>
      <c r="M166" s="123" t="s">
        <v>194</v>
      </c>
      <c r="N166" s="123" t="s">
        <v>195</v>
      </c>
      <c r="O166" s="123" t="s">
        <v>101</v>
      </c>
      <c r="P166" s="123" t="s">
        <v>102</v>
      </c>
      <c r="Q166" s="123" t="s">
        <v>192</v>
      </c>
      <c r="R166" s="128"/>
      <c r="S166" s="128"/>
      <c r="T166" s="128"/>
    </row>
    <row r="167" spans="1:26" hidden="1" x14ac:dyDescent="0.2">
      <c r="A167" s="126"/>
      <c r="B167" s="126"/>
      <c r="C167" s="127"/>
      <c r="L167" s="125"/>
      <c r="M167" s="125"/>
      <c r="N167" s="125"/>
      <c r="O167" s="125"/>
      <c r="P167" s="125"/>
      <c r="Q167" s="125"/>
      <c r="R167" s="128"/>
      <c r="S167" s="128"/>
      <c r="T167" s="128"/>
      <c r="U167" s="80"/>
      <c r="V167" s="24"/>
      <c r="Y167" s="82"/>
    </row>
    <row r="168" spans="1:26" ht="14.25" hidden="1" x14ac:dyDescent="0.2">
      <c r="A168" s="86"/>
      <c r="B168" s="87"/>
      <c r="C168" s="88"/>
      <c r="L168" s="89"/>
      <c r="M168" s="89"/>
      <c r="N168" s="89"/>
      <c r="O168" s="89"/>
      <c r="P168" s="89"/>
      <c r="Q168" s="89"/>
      <c r="R168" s="91"/>
      <c r="S168" s="91"/>
      <c r="T168" s="91"/>
      <c r="U168" s="81"/>
      <c r="V168"/>
      <c r="W168"/>
      <c r="X168"/>
      <c r="Y168" s="79"/>
      <c r="Z168" s="79"/>
    </row>
    <row r="169" spans="1:26" hidden="1" x14ac:dyDescent="0.2">
      <c r="A169" s="35">
        <v>22</v>
      </c>
      <c r="B169" s="36">
        <v>110</v>
      </c>
      <c r="C169" s="37" t="s">
        <v>12</v>
      </c>
      <c r="L169" s="38">
        <v>16525.599999999999</v>
      </c>
      <c r="M169" s="40">
        <v>22525.599999999999</v>
      </c>
      <c r="N169" s="40">
        <v>23814.5</v>
      </c>
      <c r="O169" s="40">
        <f>N169-M169</f>
        <v>1288.9000000000015</v>
      </c>
      <c r="P169" s="39">
        <f>IF(M169=0," ",N169/M169*100)</f>
        <v>105.72193415491708</v>
      </c>
      <c r="Q169" s="55">
        <v>4000</v>
      </c>
      <c r="R169" s="93"/>
      <c r="S169" s="97"/>
      <c r="T169" s="93"/>
      <c r="U169" s="81"/>
      <c r="V169"/>
      <c r="W169"/>
      <c r="X169"/>
      <c r="Y169" s="79"/>
      <c r="Z169"/>
    </row>
    <row r="170" spans="1:26" hidden="1" x14ac:dyDescent="0.2">
      <c r="A170" s="35">
        <v>23</v>
      </c>
      <c r="B170" s="36">
        <v>110</v>
      </c>
      <c r="C170" s="37" t="s">
        <v>15</v>
      </c>
      <c r="D170"/>
      <c r="E170"/>
      <c r="F170"/>
      <c r="G170"/>
      <c r="H170"/>
      <c r="I170"/>
      <c r="J170"/>
      <c r="K170"/>
      <c r="L170" s="38">
        <v>80000</v>
      </c>
      <c r="M170" s="38">
        <v>80000</v>
      </c>
      <c r="N170" s="40">
        <v>74260.399999999994</v>
      </c>
      <c r="O170" s="40">
        <f t="shared" ref="O170:O179" si="55">N170-M170</f>
        <v>-5739.6000000000058</v>
      </c>
      <c r="P170" s="39">
        <f t="shared" ref="P170:P175" si="56">IF(M170=0," ",N170/M170*100)</f>
        <v>92.825499999999991</v>
      </c>
      <c r="Q170" s="55">
        <v>20000</v>
      </c>
      <c r="R170" s="93"/>
      <c r="S170" s="97"/>
      <c r="T170" s="93"/>
      <c r="U170" s="81"/>
      <c r="V170"/>
      <c r="W170"/>
      <c r="X170"/>
      <c r="Y170"/>
      <c r="Z170" s="79"/>
    </row>
    <row r="171" spans="1:26" hidden="1" x14ac:dyDescent="0.2">
      <c r="A171" s="35">
        <v>24</v>
      </c>
      <c r="B171" s="36">
        <v>120</v>
      </c>
      <c r="C171" s="37" t="s">
        <v>22</v>
      </c>
      <c r="D171"/>
      <c r="E171"/>
      <c r="F171"/>
      <c r="G171"/>
      <c r="H171"/>
      <c r="I171"/>
      <c r="J171"/>
      <c r="K171"/>
      <c r="L171" s="38">
        <v>275323</v>
      </c>
      <c r="M171" s="40">
        <v>366600</v>
      </c>
      <c r="N171" s="40">
        <v>337343.2</v>
      </c>
      <c r="O171" s="40">
        <f t="shared" si="55"/>
        <v>-29256.799999999988</v>
      </c>
      <c r="P171" s="39">
        <f t="shared" si="56"/>
        <v>92.019421713038739</v>
      </c>
      <c r="Q171" s="55">
        <v>20000</v>
      </c>
      <c r="R171" s="93"/>
      <c r="S171" s="97"/>
      <c r="T171" s="93"/>
      <c r="U171" s="81"/>
      <c r="V171"/>
      <c r="W171"/>
      <c r="X171"/>
      <c r="Y171"/>
      <c r="Z171"/>
    </row>
    <row r="172" spans="1:26" hidden="1" x14ac:dyDescent="0.2">
      <c r="A172" s="35">
        <v>25</v>
      </c>
      <c r="B172" s="36">
        <v>110</v>
      </c>
      <c r="C172" s="37" t="s">
        <v>19</v>
      </c>
      <c r="D172"/>
      <c r="E172"/>
      <c r="F172"/>
      <c r="G172"/>
      <c r="H172"/>
      <c r="I172"/>
      <c r="J172"/>
      <c r="K172"/>
      <c r="L172" s="38">
        <v>32321.5</v>
      </c>
      <c r="M172" s="40">
        <v>34450.192999999999</v>
      </c>
      <c r="N172" s="40">
        <v>33332.6</v>
      </c>
      <c r="O172" s="40">
        <f t="shared" si="55"/>
        <v>-1117.5930000000008</v>
      </c>
      <c r="P172" s="39">
        <f t="shared" si="56"/>
        <v>96.755916577883909</v>
      </c>
      <c r="Q172" s="55">
        <v>8100</v>
      </c>
      <c r="R172" s="93"/>
      <c r="S172" s="97"/>
      <c r="T172" s="93"/>
      <c r="U172"/>
      <c r="V172"/>
      <c r="W172"/>
      <c r="X172"/>
      <c r="Y172"/>
      <c r="Z172"/>
    </row>
    <row r="173" spans="1:26" hidden="1" x14ac:dyDescent="0.2">
      <c r="A173" s="35">
        <v>33</v>
      </c>
      <c r="B173" s="36">
        <v>120</v>
      </c>
      <c r="C173" s="37" t="s">
        <v>34</v>
      </c>
      <c r="D173"/>
      <c r="E173"/>
      <c r="F173"/>
      <c r="G173"/>
      <c r="H173"/>
      <c r="I173"/>
      <c r="J173"/>
      <c r="K173"/>
      <c r="L173" s="38">
        <v>40000</v>
      </c>
      <c r="M173" s="40">
        <v>35716.400000000001</v>
      </c>
      <c r="N173" s="40">
        <v>54936.4</v>
      </c>
      <c r="O173" s="40">
        <f t="shared" si="55"/>
        <v>19220</v>
      </c>
      <c r="P173" s="39">
        <f t="shared" si="56"/>
        <v>153.81281428139454</v>
      </c>
      <c r="Q173" s="55">
        <v>1500</v>
      </c>
      <c r="R173" s="93"/>
      <c r="S173" s="97"/>
      <c r="T173" s="93"/>
      <c r="U173"/>
      <c r="V173"/>
      <c r="W173"/>
      <c r="X173"/>
      <c r="Y173"/>
      <c r="Z173"/>
    </row>
    <row r="174" spans="1:26" hidden="1" x14ac:dyDescent="0.2">
      <c r="A174" s="35">
        <v>43</v>
      </c>
      <c r="B174" s="36">
        <v>610</v>
      </c>
      <c r="C174" s="37" t="s">
        <v>59</v>
      </c>
      <c r="D174"/>
      <c r="E174"/>
      <c r="F174"/>
      <c r="G174"/>
      <c r="H174"/>
      <c r="I174"/>
      <c r="J174"/>
      <c r="K174"/>
      <c r="L174" s="38">
        <v>1800</v>
      </c>
      <c r="M174" s="40">
        <v>1800</v>
      </c>
      <c r="N174" s="40">
        <v>1805.8</v>
      </c>
      <c r="O174" s="40">
        <f t="shared" si="55"/>
        <v>5.7999999999999545</v>
      </c>
      <c r="P174" s="39">
        <f t="shared" si="56"/>
        <v>100.32222222222222</v>
      </c>
      <c r="Q174" s="55">
        <v>700</v>
      </c>
      <c r="R174" s="93"/>
      <c r="S174" s="97"/>
      <c r="T174" s="93"/>
      <c r="U174"/>
      <c r="V174"/>
      <c r="W174"/>
      <c r="X174"/>
      <c r="Y174"/>
      <c r="Z174"/>
    </row>
    <row r="175" spans="1:26" hidden="1" x14ac:dyDescent="0.2">
      <c r="A175" s="35">
        <v>44</v>
      </c>
      <c r="B175" s="36">
        <v>420</v>
      </c>
      <c r="C175" s="37" t="s">
        <v>66</v>
      </c>
      <c r="D175"/>
      <c r="E175"/>
      <c r="F175"/>
      <c r="G175"/>
      <c r="H175"/>
      <c r="I175"/>
      <c r="J175"/>
      <c r="K175"/>
      <c r="L175" s="38">
        <v>4500</v>
      </c>
      <c r="M175" s="40">
        <v>5470</v>
      </c>
      <c r="N175" s="40">
        <v>14389</v>
      </c>
      <c r="O175" s="40">
        <f t="shared" si="55"/>
        <v>8919</v>
      </c>
      <c r="P175" s="39">
        <f t="shared" si="56"/>
        <v>263.0530164533821</v>
      </c>
      <c r="Q175" s="55">
        <v>8300.2000000000007</v>
      </c>
      <c r="R175" s="93"/>
      <c r="S175" s="97"/>
      <c r="T175" s="93"/>
      <c r="U175"/>
      <c r="V175"/>
      <c r="W175"/>
      <c r="X175"/>
      <c r="Y175"/>
      <c r="Z175"/>
    </row>
    <row r="176" spans="1:26" hidden="1" x14ac:dyDescent="0.2">
      <c r="A176" s="35">
        <v>53</v>
      </c>
      <c r="B176" s="36">
        <v>110</v>
      </c>
      <c r="C176" s="37" t="s">
        <v>77</v>
      </c>
      <c r="D176" s="38">
        <v>134532.70000000001</v>
      </c>
      <c r="E176" s="38">
        <v>168419.9</v>
      </c>
      <c r="F176" s="31">
        <v>141413.59999999998</v>
      </c>
      <c r="G176" s="31">
        <v>137487.68833999999</v>
      </c>
      <c r="H176" s="38">
        <v>77683.399999999994</v>
      </c>
      <c r="I176" s="38">
        <v>111107.88800000001</v>
      </c>
      <c r="J176" s="38">
        <f t="shared" ref="J176" si="57">I176-H176</f>
        <v>33424.488000000012</v>
      </c>
      <c r="K176" s="83">
        <f t="shared" ref="K176" si="58">IF(H176=0," ",I176/H176*100)</f>
        <v>143.02655136103726</v>
      </c>
      <c r="L176" s="38">
        <v>224103</v>
      </c>
      <c r="M176" s="38">
        <v>141932.29999999999</v>
      </c>
      <c r="N176" s="40"/>
      <c r="O176" s="40">
        <f t="shared" si="55"/>
        <v>-141932.29999999999</v>
      </c>
      <c r="P176" s="39">
        <f t="shared" ref="P176:P179" si="59">IF(M176=0," ",N176/M176*100)</f>
        <v>0</v>
      </c>
      <c r="Q176" s="55">
        <v>10000</v>
      </c>
      <c r="R176" s="93"/>
      <c r="S176" s="97"/>
      <c r="T176" s="93"/>
      <c r="U176"/>
      <c r="V176"/>
      <c r="W176"/>
      <c r="X176"/>
      <c r="Y176"/>
      <c r="Z176"/>
    </row>
    <row r="177" spans="1:26" ht="25.5" hidden="1" x14ac:dyDescent="0.2">
      <c r="A177" s="35">
        <v>52</v>
      </c>
      <c r="B177" s="36">
        <v>110</v>
      </c>
      <c r="C177" s="37" t="s">
        <v>75</v>
      </c>
      <c r="D177"/>
      <c r="E177"/>
      <c r="F177"/>
      <c r="G177"/>
      <c r="H177"/>
      <c r="I177"/>
      <c r="J177"/>
      <c r="K177"/>
      <c r="L177" s="38">
        <v>13055.8</v>
      </c>
      <c r="M177" s="40">
        <v>16143.699999999999</v>
      </c>
      <c r="N177" s="40">
        <v>16047.8</v>
      </c>
      <c r="O177" s="40">
        <f t="shared" si="55"/>
        <v>-95.899999999999636</v>
      </c>
      <c r="P177" s="39">
        <f t="shared" si="59"/>
        <v>99.405960219776134</v>
      </c>
      <c r="Q177" s="55">
        <v>400</v>
      </c>
      <c r="R177" s="93"/>
      <c r="S177" s="97"/>
      <c r="T177" s="93"/>
      <c r="U177"/>
      <c r="V177"/>
      <c r="W177"/>
      <c r="X177"/>
      <c r="Y177"/>
      <c r="Z177"/>
    </row>
    <row r="178" spans="1:26" ht="25.5" hidden="1" x14ac:dyDescent="0.2">
      <c r="A178" s="35">
        <v>52</v>
      </c>
      <c r="B178" s="36">
        <v>120</v>
      </c>
      <c r="C178" s="37" t="s">
        <v>76</v>
      </c>
      <c r="D178"/>
      <c r="E178"/>
      <c r="F178"/>
      <c r="G178"/>
      <c r="H178"/>
      <c r="I178"/>
      <c r="J178"/>
      <c r="K178"/>
      <c r="L178" s="38">
        <v>256432</v>
      </c>
      <c r="M178" s="40">
        <v>362489.19999999995</v>
      </c>
      <c r="N178" s="40">
        <v>374157.7</v>
      </c>
      <c r="O178" s="40">
        <f t="shared" si="55"/>
        <v>11668.500000000058</v>
      </c>
      <c r="P178" s="39">
        <f t="shared" si="59"/>
        <v>103.21899245549938</v>
      </c>
      <c r="Q178" s="55">
        <v>29600</v>
      </c>
      <c r="R178" s="93"/>
      <c r="S178" s="97"/>
      <c r="T178" s="93"/>
      <c r="U178"/>
      <c r="V178"/>
      <c r="W178"/>
      <c r="X178"/>
      <c r="Y178"/>
      <c r="Z178"/>
    </row>
    <row r="179" spans="1:26" hidden="1" x14ac:dyDescent="0.2">
      <c r="A179" s="35">
        <v>57</v>
      </c>
      <c r="B179" s="36">
        <v>110</v>
      </c>
      <c r="C179" s="37" t="s">
        <v>83</v>
      </c>
      <c r="D179" s="38">
        <v>63156.9</v>
      </c>
      <c r="E179" s="38">
        <v>72423.3</v>
      </c>
      <c r="F179" s="30">
        <v>83092.400000000009</v>
      </c>
      <c r="G179" s="30">
        <v>80130.853719999999</v>
      </c>
      <c r="H179" s="38">
        <v>60867.5</v>
      </c>
      <c r="I179" s="38">
        <v>47003.7</v>
      </c>
      <c r="J179" s="38">
        <f t="shared" ref="J179" si="60">I179-H179</f>
        <v>-13863.800000000003</v>
      </c>
      <c r="K179" s="39">
        <f t="shared" ref="K179" si="61">IF(H179=0," ",I179/H179*100)</f>
        <v>77.22298435125478</v>
      </c>
      <c r="L179" s="38">
        <v>75416.899999999994</v>
      </c>
      <c r="M179" s="40">
        <v>92473.517000000007</v>
      </c>
      <c r="N179" s="40">
        <v>94488.4</v>
      </c>
      <c r="O179" s="40">
        <f t="shared" si="55"/>
        <v>2014.8829999999871</v>
      </c>
      <c r="P179" s="39">
        <f t="shared" si="59"/>
        <v>102.17887570989647</v>
      </c>
      <c r="Q179" s="55">
        <v>18900</v>
      </c>
      <c r="R179" s="93"/>
      <c r="S179" s="97"/>
      <c r="T179" s="93"/>
      <c r="U179"/>
      <c r="V179"/>
      <c r="W179"/>
      <c r="X179"/>
      <c r="Y179"/>
      <c r="Z179"/>
    </row>
    <row r="180" spans="1:26" hidden="1" x14ac:dyDescent="0.2">
      <c r="A180" s="35">
        <v>76</v>
      </c>
      <c r="B180" s="36">
        <v>121</v>
      </c>
      <c r="C180" s="37" t="s">
        <v>91</v>
      </c>
      <c r="D180"/>
      <c r="E180"/>
      <c r="F180"/>
      <c r="G180"/>
      <c r="H180"/>
      <c r="I180"/>
      <c r="J180"/>
      <c r="K180"/>
      <c r="L180" s="38">
        <v>59361</v>
      </c>
      <c r="M180" s="40">
        <v>74161</v>
      </c>
      <c r="N180" s="40">
        <v>74055.199999999997</v>
      </c>
      <c r="O180" s="40">
        <f t="shared" ref="O180:O181" si="62">N180-M180</f>
        <v>-105.80000000000291</v>
      </c>
      <c r="P180" s="39">
        <f t="shared" ref="P180:P182" si="63">IF(M180=0," ",N180/M180*100)</f>
        <v>99.857337414544034</v>
      </c>
      <c r="Q180" s="55">
        <v>218097.4</v>
      </c>
      <c r="R180" s="93"/>
      <c r="S180" s="97"/>
      <c r="T180" s="93"/>
      <c r="U180"/>
      <c r="V180"/>
      <c r="W180"/>
      <c r="X180"/>
      <c r="Y180"/>
      <c r="Z180"/>
    </row>
    <row r="181" spans="1:26" hidden="1" x14ac:dyDescent="0.2">
      <c r="A181" s="35">
        <v>85</v>
      </c>
      <c r="B181" s="36">
        <v>121</v>
      </c>
      <c r="C181" s="37" t="s">
        <v>94</v>
      </c>
      <c r="D181"/>
      <c r="E181"/>
      <c r="F181"/>
      <c r="G181"/>
      <c r="H181"/>
      <c r="I181"/>
      <c r="J181"/>
      <c r="K181"/>
      <c r="L181" s="38">
        <v>36720</v>
      </c>
      <c r="M181" s="40">
        <v>36720</v>
      </c>
      <c r="N181" s="40">
        <v>35961.599999999999</v>
      </c>
      <c r="O181" s="40">
        <f t="shared" si="62"/>
        <v>-758.40000000000146</v>
      </c>
      <c r="P181" s="39">
        <f t="shared" si="63"/>
        <v>97.93464052287581</v>
      </c>
      <c r="Q181" s="55">
        <v>9500</v>
      </c>
      <c r="R181" s="93"/>
      <c r="S181" s="97"/>
      <c r="T181" s="93"/>
      <c r="U181"/>
      <c r="V181"/>
      <c r="W181"/>
      <c r="X181"/>
      <c r="Y181"/>
      <c r="Z181"/>
    </row>
    <row r="182" spans="1:26" hidden="1" x14ac:dyDescent="0.2">
      <c r="A182" s="35"/>
      <c r="B182" s="36"/>
      <c r="C182" s="90" t="s">
        <v>97</v>
      </c>
      <c r="D182" s="35"/>
      <c r="E182" s="36"/>
      <c r="F182" s="37"/>
      <c r="G182" s="35"/>
      <c r="H182" s="36"/>
      <c r="I182" s="37"/>
      <c r="J182" s="35"/>
      <c r="K182" s="36"/>
      <c r="L182" s="95">
        <f t="shared" ref="L182" si="64">SUM(L169:L181)</f>
        <v>1115558.8</v>
      </c>
      <c r="M182" s="95">
        <f t="shared" ref="M182" si="65">SUM(M169:M181)</f>
        <v>1270481.9099999999</v>
      </c>
      <c r="N182" s="95">
        <f t="shared" ref="N182" si="66">SUM(N169:N181)</f>
        <v>1134592.6000000003</v>
      </c>
      <c r="O182" s="95">
        <f t="shared" ref="O182" si="67">SUM(O169:O181)</f>
        <v>-135889.30999999991</v>
      </c>
      <c r="P182" s="96">
        <f t="shared" si="63"/>
        <v>89.304112956633944</v>
      </c>
      <c r="Q182" s="99">
        <f>SUM(Q169:Q181)</f>
        <v>349097.6</v>
      </c>
      <c r="R182" s="94"/>
      <c r="S182" s="98"/>
      <c r="T182" s="94"/>
      <c r="U182"/>
      <c r="V182"/>
      <c r="W182"/>
      <c r="X182"/>
      <c r="Y182"/>
      <c r="Z182"/>
    </row>
    <row r="183" spans="1:26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 s="92"/>
      <c r="S183" s="92"/>
      <c r="T183" s="92"/>
      <c r="U183"/>
      <c r="V183"/>
      <c r="W183"/>
      <c r="X183"/>
      <c r="Y183"/>
      <c r="Z183"/>
    </row>
    <row r="184" spans="1:26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</sheetData>
  <mergeCells count="26">
    <mergeCell ref="Q166:Q167"/>
    <mergeCell ref="R166:R167"/>
    <mergeCell ref="S166:S167"/>
    <mergeCell ref="T166:T167"/>
    <mergeCell ref="O166:O167"/>
    <mergeCell ref="A166:A167"/>
    <mergeCell ref="B166:B167"/>
    <mergeCell ref="C166:C167"/>
    <mergeCell ref="L166:L167"/>
    <mergeCell ref="P166:P167"/>
    <mergeCell ref="N166:N167"/>
    <mergeCell ref="M166:M167"/>
    <mergeCell ref="Z10:Z11"/>
    <mergeCell ref="L10:M10"/>
    <mergeCell ref="N10:N11"/>
    <mergeCell ref="O10:R10"/>
    <mergeCell ref="X10:X11"/>
    <mergeCell ref="V10:V11"/>
    <mergeCell ref="W10:W11"/>
    <mergeCell ref="S10:U10"/>
    <mergeCell ref="Y10:Y11"/>
    <mergeCell ref="A10:A11"/>
    <mergeCell ref="B10:B11"/>
    <mergeCell ref="C10:C11"/>
    <mergeCell ref="E10:G10"/>
    <mergeCell ref="H10:K10"/>
  </mergeCells>
  <pageMargins left="0" right="0" top="0" bottom="0" header="0" footer="0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5"/>
  <sheetViews>
    <sheetView tabSelected="1" zoomScaleNormal="100" workbookViewId="0">
      <pane xSplit="3" ySplit="8" topLeftCell="D9" activePane="bottomRight" state="frozen"/>
      <selection pane="topRight" activeCell="D1" sqref="D1"/>
      <selection pane="bottomLeft" activeCell="A13" sqref="A13"/>
      <selection pane="bottomRight" activeCell="K10" sqref="K10"/>
    </sheetView>
  </sheetViews>
  <sheetFormatPr defaultRowHeight="12.75" x14ac:dyDescent="0.2"/>
  <cols>
    <col min="1" max="1" width="6.7109375" style="111" customWidth="1"/>
    <col min="2" max="2" width="4.42578125" style="111" customWidth="1"/>
    <col min="3" max="3" width="61.7109375" style="114" customWidth="1"/>
    <col min="4" max="4" width="11.7109375" style="115" customWidth="1"/>
    <col min="5" max="8" width="11.7109375" style="114" customWidth="1"/>
    <col min="9" max="227" width="9.140625" style="114"/>
    <col min="228" max="228" width="6.7109375" style="114" customWidth="1"/>
    <col min="229" max="229" width="4.42578125" style="114" customWidth="1"/>
    <col min="230" max="230" width="71.7109375" style="114" customWidth="1"/>
    <col min="231" max="232" width="9.140625" style="114" customWidth="1"/>
    <col min="233" max="233" width="11" style="114" customWidth="1"/>
    <col min="234" max="234" width="11.140625" style="114" customWidth="1"/>
    <col min="235" max="235" width="11.5703125" style="114" customWidth="1"/>
    <col min="236" max="483" width="9.140625" style="114"/>
    <col min="484" max="484" width="6.7109375" style="114" customWidth="1"/>
    <col min="485" max="485" width="4.42578125" style="114" customWidth="1"/>
    <col min="486" max="486" width="71.7109375" style="114" customWidth="1"/>
    <col min="487" max="488" width="9.140625" style="114" customWidth="1"/>
    <col min="489" max="489" width="11" style="114" customWidth="1"/>
    <col min="490" max="490" width="11.140625" style="114" customWidth="1"/>
    <col min="491" max="491" width="11.5703125" style="114" customWidth="1"/>
    <col min="492" max="739" width="9.140625" style="114"/>
    <col min="740" max="740" width="6.7109375" style="114" customWidth="1"/>
    <col min="741" max="741" width="4.42578125" style="114" customWidth="1"/>
    <col min="742" max="742" width="71.7109375" style="114" customWidth="1"/>
    <col min="743" max="744" width="9.140625" style="114" customWidth="1"/>
    <col min="745" max="745" width="11" style="114" customWidth="1"/>
    <col min="746" max="746" width="11.140625" style="114" customWidth="1"/>
    <col min="747" max="747" width="11.5703125" style="114" customWidth="1"/>
    <col min="748" max="995" width="9.140625" style="114"/>
    <col min="996" max="996" width="6.7109375" style="114" customWidth="1"/>
    <col min="997" max="997" width="4.42578125" style="114" customWidth="1"/>
    <col min="998" max="998" width="71.7109375" style="114" customWidth="1"/>
    <col min="999" max="1000" width="9.140625" style="114" customWidth="1"/>
    <col min="1001" max="1001" width="11" style="114" customWidth="1"/>
    <col min="1002" max="1002" width="11.140625" style="114" customWidth="1"/>
    <col min="1003" max="1003" width="11.5703125" style="114" customWidth="1"/>
    <col min="1004" max="1251" width="9.140625" style="114"/>
    <col min="1252" max="1252" width="6.7109375" style="114" customWidth="1"/>
    <col min="1253" max="1253" width="4.42578125" style="114" customWidth="1"/>
    <col min="1254" max="1254" width="71.7109375" style="114" customWidth="1"/>
    <col min="1255" max="1256" width="9.140625" style="114" customWidth="1"/>
    <col min="1257" max="1257" width="11" style="114" customWidth="1"/>
    <col min="1258" max="1258" width="11.140625" style="114" customWidth="1"/>
    <col min="1259" max="1259" width="11.5703125" style="114" customWidth="1"/>
    <col min="1260" max="1507" width="9.140625" style="114"/>
    <col min="1508" max="1508" width="6.7109375" style="114" customWidth="1"/>
    <col min="1509" max="1509" width="4.42578125" style="114" customWidth="1"/>
    <col min="1510" max="1510" width="71.7109375" style="114" customWidth="1"/>
    <col min="1511" max="1512" width="9.140625" style="114" customWidth="1"/>
    <col min="1513" max="1513" width="11" style="114" customWidth="1"/>
    <col min="1514" max="1514" width="11.140625" style="114" customWidth="1"/>
    <col min="1515" max="1515" width="11.5703125" style="114" customWidth="1"/>
    <col min="1516" max="1763" width="9.140625" style="114"/>
    <col min="1764" max="1764" width="6.7109375" style="114" customWidth="1"/>
    <col min="1765" max="1765" width="4.42578125" style="114" customWidth="1"/>
    <col min="1766" max="1766" width="71.7109375" style="114" customWidth="1"/>
    <col min="1767" max="1768" width="9.140625" style="114" customWidth="1"/>
    <col min="1769" max="1769" width="11" style="114" customWidth="1"/>
    <col min="1770" max="1770" width="11.140625" style="114" customWidth="1"/>
    <col min="1771" max="1771" width="11.5703125" style="114" customWidth="1"/>
    <col min="1772" max="2019" width="9.140625" style="114"/>
    <col min="2020" max="2020" width="6.7109375" style="114" customWidth="1"/>
    <col min="2021" max="2021" width="4.42578125" style="114" customWidth="1"/>
    <col min="2022" max="2022" width="71.7109375" style="114" customWidth="1"/>
    <col min="2023" max="2024" width="9.140625" style="114" customWidth="1"/>
    <col min="2025" max="2025" width="11" style="114" customWidth="1"/>
    <col min="2026" max="2026" width="11.140625" style="114" customWidth="1"/>
    <col min="2027" max="2027" width="11.5703125" style="114" customWidth="1"/>
    <col min="2028" max="2275" width="9.140625" style="114"/>
    <col min="2276" max="2276" width="6.7109375" style="114" customWidth="1"/>
    <col min="2277" max="2277" width="4.42578125" style="114" customWidth="1"/>
    <col min="2278" max="2278" width="71.7109375" style="114" customWidth="1"/>
    <col min="2279" max="2280" width="9.140625" style="114" customWidth="1"/>
    <col min="2281" max="2281" width="11" style="114" customWidth="1"/>
    <col min="2282" max="2282" width="11.140625" style="114" customWidth="1"/>
    <col min="2283" max="2283" width="11.5703125" style="114" customWidth="1"/>
    <col min="2284" max="2531" width="9.140625" style="114"/>
    <col min="2532" max="2532" width="6.7109375" style="114" customWidth="1"/>
    <col min="2533" max="2533" width="4.42578125" style="114" customWidth="1"/>
    <col min="2534" max="2534" width="71.7109375" style="114" customWidth="1"/>
    <col min="2535" max="2536" width="9.140625" style="114" customWidth="1"/>
    <col min="2537" max="2537" width="11" style="114" customWidth="1"/>
    <col min="2538" max="2538" width="11.140625" style="114" customWidth="1"/>
    <col min="2539" max="2539" width="11.5703125" style="114" customWidth="1"/>
    <col min="2540" max="2787" width="9.140625" style="114"/>
    <col min="2788" max="2788" width="6.7109375" style="114" customWidth="1"/>
    <col min="2789" max="2789" width="4.42578125" style="114" customWidth="1"/>
    <col min="2790" max="2790" width="71.7109375" style="114" customWidth="1"/>
    <col min="2791" max="2792" width="9.140625" style="114" customWidth="1"/>
    <col min="2793" max="2793" width="11" style="114" customWidth="1"/>
    <col min="2794" max="2794" width="11.140625" style="114" customWidth="1"/>
    <col min="2795" max="2795" width="11.5703125" style="114" customWidth="1"/>
    <col min="2796" max="3043" width="9.140625" style="114"/>
    <col min="3044" max="3044" width="6.7109375" style="114" customWidth="1"/>
    <col min="3045" max="3045" width="4.42578125" style="114" customWidth="1"/>
    <col min="3046" max="3046" width="71.7109375" style="114" customWidth="1"/>
    <col min="3047" max="3048" width="9.140625" style="114" customWidth="1"/>
    <col min="3049" max="3049" width="11" style="114" customWidth="1"/>
    <col min="3050" max="3050" width="11.140625" style="114" customWidth="1"/>
    <col min="3051" max="3051" width="11.5703125" style="114" customWidth="1"/>
    <col min="3052" max="3299" width="9.140625" style="114"/>
    <col min="3300" max="3300" width="6.7109375" style="114" customWidth="1"/>
    <col min="3301" max="3301" width="4.42578125" style="114" customWidth="1"/>
    <col min="3302" max="3302" width="71.7109375" style="114" customWidth="1"/>
    <col min="3303" max="3304" width="9.140625" style="114" customWidth="1"/>
    <col min="3305" max="3305" width="11" style="114" customWidth="1"/>
    <col min="3306" max="3306" width="11.140625" style="114" customWidth="1"/>
    <col min="3307" max="3307" width="11.5703125" style="114" customWidth="1"/>
    <col min="3308" max="3555" width="9.140625" style="114"/>
    <col min="3556" max="3556" width="6.7109375" style="114" customWidth="1"/>
    <col min="3557" max="3557" width="4.42578125" style="114" customWidth="1"/>
    <col min="3558" max="3558" width="71.7109375" style="114" customWidth="1"/>
    <col min="3559" max="3560" width="9.140625" style="114" customWidth="1"/>
    <col min="3561" max="3561" width="11" style="114" customWidth="1"/>
    <col min="3562" max="3562" width="11.140625" style="114" customWidth="1"/>
    <col min="3563" max="3563" width="11.5703125" style="114" customWidth="1"/>
    <col min="3564" max="3811" width="9.140625" style="114"/>
    <col min="3812" max="3812" width="6.7109375" style="114" customWidth="1"/>
    <col min="3813" max="3813" width="4.42578125" style="114" customWidth="1"/>
    <col min="3814" max="3814" width="71.7109375" style="114" customWidth="1"/>
    <col min="3815" max="3816" width="9.140625" style="114" customWidth="1"/>
    <col min="3817" max="3817" width="11" style="114" customWidth="1"/>
    <col min="3818" max="3818" width="11.140625" style="114" customWidth="1"/>
    <col min="3819" max="3819" width="11.5703125" style="114" customWidth="1"/>
    <col min="3820" max="4067" width="9.140625" style="114"/>
    <col min="4068" max="4068" width="6.7109375" style="114" customWidth="1"/>
    <col min="4069" max="4069" width="4.42578125" style="114" customWidth="1"/>
    <col min="4070" max="4070" width="71.7109375" style="114" customWidth="1"/>
    <col min="4071" max="4072" width="9.140625" style="114" customWidth="1"/>
    <col min="4073" max="4073" width="11" style="114" customWidth="1"/>
    <col min="4074" max="4074" width="11.140625" style="114" customWidth="1"/>
    <col min="4075" max="4075" width="11.5703125" style="114" customWidth="1"/>
    <col min="4076" max="4323" width="9.140625" style="114"/>
    <col min="4324" max="4324" width="6.7109375" style="114" customWidth="1"/>
    <col min="4325" max="4325" width="4.42578125" style="114" customWidth="1"/>
    <col min="4326" max="4326" width="71.7109375" style="114" customWidth="1"/>
    <col min="4327" max="4328" width="9.140625" style="114" customWidth="1"/>
    <col min="4329" max="4329" width="11" style="114" customWidth="1"/>
    <col min="4330" max="4330" width="11.140625" style="114" customWidth="1"/>
    <col min="4331" max="4331" width="11.5703125" style="114" customWidth="1"/>
    <col min="4332" max="4579" width="9.140625" style="114"/>
    <col min="4580" max="4580" width="6.7109375" style="114" customWidth="1"/>
    <col min="4581" max="4581" width="4.42578125" style="114" customWidth="1"/>
    <col min="4582" max="4582" width="71.7109375" style="114" customWidth="1"/>
    <col min="4583" max="4584" width="9.140625" style="114" customWidth="1"/>
    <col min="4585" max="4585" width="11" style="114" customWidth="1"/>
    <col min="4586" max="4586" width="11.140625" style="114" customWidth="1"/>
    <col min="4587" max="4587" width="11.5703125" style="114" customWidth="1"/>
    <col min="4588" max="4835" width="9.140625" style="114"/>
    <col min="4836" max="4836" width="6.7109375" style="114" customWidth="1"/>
    <col min="4837" max="4837" width="4.42578125" style="114" customWidth="1"/>
    <col min="4838" max="4838" width="71.7109375" style="114" customWidth="1"/>
    <col min="4839" max="4840" width="9.140625" style="114" customWidth="1"/>
    <col min="4841" max="4841" width="11" style="114" customWidth="1"/>
    <col min="4842" max="4842" width="11.140625" style="114" customWidth="1"/>
    <col min="4843" max="4843" width="11.5703125" style="114" customWidth="1"/>
    <col min="4844" max="5091" width="9.140625" style="114"/>
    <col min="5092" max="5092" width="6.7109375" style="114" customWidth="1"/>
    <col min="5093" max="5093" width="4.42578125" style="114" customWidth="1"/>
    <col min="5094" max="5094" width="71.7109375" style="114" customWidth="1"/>
    <col min="5095" max="5096" width="9.140625" style="114" customWidth="1"/>
    <col min="5097" max="5097" width="11" style="114" customWidth="1"/>
    <col min="5098" max="5098" width="11.140625" style="114" customWidth="1"/>
    <col min="5099" max="5099" width="11.5703125" style="114" customWidth="1"/>
    <col min="5100" max="5347" width="9.140625" style="114"/>
    <col min="5348" max="5348" width="6.7109375" style="114" customWidth="1"/>
    <col min="5349" max="5349" width="4.42578125" style="114" customWidth="1"/>
    <col min="5350" max="5350" width="71.7109375" style="114" customWidth="1"/>
    <col min="5351" max="5352" width="9.140625" style="114" customWidth="1"/>
    <col min="5353" max="5353" width="11" style="114" customWidth="1"/>
    <col min="5354" max="5354" width="11.140625" style="114" customWidth="1"/>
    <col min="5355" max="5355" width="11.5703125" style="114" customWidth="1"/>
    <col min="5356" max="5603" width="9.140625" style="114"/>
    <col min="5604" max="5604" width="6.7109375" style="114" customWidth="1"/>
    <col min="5605" max="5605" width="4.42578125" style="114" customWidth="1"/>
    <col min="5606" max="5606" width="71.7109375" style="114" customWidth="1"/>
    <col min="5607" max="5608" width="9.140625" style="114" customWidth="1"/>
    <col min="5609" max="5609" width="11" style="114" customWidth="1"/>
    <col min="5610" max="5610" width="11.140625" style="114" customWidth="1"/>
    <col min="5611" max="5611" width="11.5703125" style="114" customWidth="1"/>
    <col min="5612" max="5859" width="9.140625" style="114"/>
    <col min="5860" max="5860" width="6.7109375" style="114" customWidth="1"/>
    <col min="5861" max="5861" width="4.42578125" style="114" customWidth="1"/>
    <col min="5862" max="5862" width="71.7109375" style="114" customWidth="1"/>
    <col min="5863" max="5864" width="9.140625" style="114" customWidth="1"/>
    <col min="5865" max="5865" width="11" style="114" customWidth="1"/>
    <col min="5866" max="5866" width="11.140625" style="114" customWidth="1"/>
    <col min="5867" max="5867" width="11.5703125" style="114" customWidth="1"/>
    <col min="5868" max="6115" width="9.140625" style="114"/>
    <col min="6116" max="6116" width="6.7109375" style="114" customWidth="1"/>
    <col min="6117" max="6117" width="4.42578125" style="114" customWidth="1"/>
    <col min="6118" max="6118" width="71.7109375" style="114" customWidth="1"/>
    <col min="6119" max="6120" width="9.140625" style="114" customWidth="1"/>
    <col min="6121" max="6121" width="11" style="114" customWidth="1"/>
    <col min="6122" max="6122" width="11.140625" style="114" customWidth="1"/>
    <col min="6123" max="6123" width="11.5703125" style="114" customWidth="1"/>
    <col min="6124" max="6371" width="9.140625" style="114"/>
    <col min="6372" max="6372" width="6.7109375" style="114" customWidth="1"/>
    <col min="6373" max="6373" width="4.42578125" style="114" customWidth="1"/>
    <col min="6374" max="6374" width="71.7109375" style="114" customWidth="1"/>
    <col min="6375" max="6376" width="9.140625" style="114" customWidth="1"/>
    <col min="6377" max="6377" width="11" style="114" customWidth="1"/>
    <col min="6378" max="6378" width="11.140625" style="114" customWidth="1"/>
    <col min="6379" max="6379" width="11.5703125" style="114" customWidth="1"/>
    <col min="6380" max="6627" width="9.140625" style="114"/>
    <col min="6628" max="6628" width="6.7109375" style="114" customWidth="1"/>
    <col min="6629" max="6629" width="4.42578125" style="114" customWidth="1"/>
    <col min="6630" max="6630" width="71.7109375" style="114" customWidth="1"/>
    <col min="6631" max="6632" width="9.140625" style="114" customWidth="1"/>
    <col min="6633" max="6633" width="11" style="114" customWidth="1"/>
    <col min="6634" max="6634" width="11.140625" style="114" customWidth="1"/>
    <col min="6635" max="6635" width="11.5703125" style="114" customWidth="1"/>
    <col min="6636" max="6883" width="9.140625" style="114"/>
    <col min="6884" max="6884" width="6.7109375" style="114" customWidth="1"/>
    <col min="6885" max="6885" width="4.42578125" style="114" customWidth="1"/>
    <col min="6886" max="6886" width="71.7109375" style="114" customWidth="1"/>
    <col min="6887" max="6888" width="9.140625" style="114" customWidth="1"/>
    <col min="6889" max="6889" width="11" style="114" customWidth="1"/>
    <col min="6890" max="6890" width="11.140625" style="114" customWidth="1"/>
    <col min="6891" max="6891" width="11.5703125" style="114" customWidth="1"/>
    <col min="6892" max="7139" width="9.140625" style="114"/>
    <col min="7140" max="7140" width="6.7109375" style="114" customWidth="1"/>
    <col min="7141" max="7141" width="4.42578125" style="114" customWidth="1"/>
    <col min="7142" max="7142" width="71.7109375" style="114" customWidth="1"/>
    <col min="7143" max="7144" width="9.140625" style="114" customWidth="1"/>
    <col min="7145" max="7145" width="11" style="114" customWidth="1"/>
    <col min="7146" max="7146" width="11.140625" style="114" customWidth="1"/>
    <col min="7147" max="7147" width="11.5703125" style="114" customWidth="1"/>
    <col min="7148" max="7395" width="9.140625" style="114"/>
    <col min="7396" max="7396" width="6.7109375" style="114" customWidth="1"/>
    <col min="7397" max="7397" width="4.42578125" style="114" customWidth="1"/>
    <col min="7398" max="7398" width="71.7109375" style="114" customWidth="1"/>
    <col min="7399" max="7400" width="9.140625" style="114" customWidth="1"/>
    <col min="7401" max="7401" width="11" style="114" customWidth="1"/>
    <col min="7402" max="7402" width="11.140625" style="114" customWidth="1"/>
    <col min="7403" max="7403" width="11.5703125" style="114" customWidth="1"/>
    <col min="7404" max="7651" width="9.140625" style="114"/>
    <col min="7652" max="7652" width="6.7109375" style="114" customWidth="1"/>
    <col min="7653" max="7653" width="4.42578125" style="114" customWidth="1"/>
    <col min="7654" max="7654" width="71.7109375" style="114" customWidth="1"/>
    <col min="7655" max="7656" width="9.140625" style="114" customWidth="1"/>
    <col min="7657" max="7657" width="11" style="114" customWidth="1"/>
    <col min="7658" max="7658" width="11.140625" style="114" customWidth="1"/>
    <col min="7659" max="7659" width="11.5703125" style="114" customWidth="1"/>
    <col min="7660" max="7907" width="9.140625" style="114"/>
    <col min="7908" max="7908" width="6.7109375" style="114" customWidth="1"/>
    <col min="7909" max="7909" width="4.42578125" style="114" customWidth="1"/>
    <col min="7910" max="7910" width="71.7109375" style="114" customWidth="1"/>
    <col min="7911" max="7912" width="9.140625" style="114" customWidth="1"/>
    <col min="7913" max="7913" width="11" style="114" customWidth="1"/>
    <col min="7914" max="7914" width="11.140625" style="114" customWidth="1"/>
    <col min="7915" max="7915" width="11.5703125" style="114" customWidth="1"/>
    <col min="7916" max="8163" width="9.140625" style="114"/>
    <col min="8164" max="8164" width="6.7109375" style="114" customWidth="1"/>
    <col min="8165" max="8165" width="4.42578125" style="114" customWidth="1"/>
    <col min="8166" max="8166" width="71.7109375" style="114" customWidth="1"/>
    <col min="8167" max="8168" width="9.140625" style="114" customWidth="1"/>
    <col min="8169" max="8169" width="11" style="114" customWidth="1"/>
    <col min="8170" max="8170" width="11.140625" style="114" customWidth="1"/>
    <col min="8171" max="8171" width="11.5703125" style="114" customWidth="1"/>
    <col min="8172" max="8419" width="9.140625" style="114"/>
    <col min="8420" max="8420" width="6.7109375" style="114" customWidth="1"/>
    <col min="8421" max="8421" width="4.42578125" style="114" customWidth="1"/>
    <col min="8422" max="8422" width="71.7109375" style="114" customWidth="1"/>
    <col min="8423" max="8424" width="9.140625" style="114" customWidth="1"/>
    <col min="8425" max="8425" width="11" style="114" customWidth="1"/>
    <col min="8426" max="8426" width="11.140625" style="114" customWidth="1"/>
    <col min="8427" max="8427" width="11.5703125" style="114" customWidth="1"/>
    <col min="8428" max="8675" width="9.140625" style="114"/>
    <col min="8676" max="8676" width="6.7109375" style="114" customWidth="1"/>
    <col min="8677" max="8677" width="4.42578125" style="114" customWidth="1"/>
    <col min="8678" max="8678" width="71.7109375" style="114" customWidth="1"/>
    <col min="8679" max="8680" width="9.140625" style="114" customWidth="1"/>
    <col min="8681" max="8681" width="11" style="114" customWidth="1"/>
    <col min="8682" max="8682" width="11.140625" style="114" customWidth="1"/>
    <col min="8683" max="8683" width="11.5703125" style="114" customWidth="1"/>
    <col min="8684" max="8931" width="9.140625" style="114"/>
    <col min="8932" max="8932" width="6.7109375" style="114" customWidth="1"/>
    <col min="8933" max="8933" width="4.42578125" style="114" customWidth="1"/>
    <col min="8934" max="8934" width="71.7109375" style="114" customWidth="1"/>
    <col min="8935" max="8936" width="9.140625" style="114" customWidth="1"/>
    <col min="8937" max="8937" width="11" style="114" customWidth="1"/>
    <col min="8938" max="8938" width="11.140625" style="114" customWidth="1"/>
    <col min="8939" max="8939" width="11.5703125" style="114" customWidth="1"/>
    <col min="8940" max="9187" width="9.140625" style="114"/>
    <col min="9188" max="9188" width="6.7109375" style="114" customWidth="1"/>
    <col min="9189" max="9189" width="4.42578125" style="114" customWidth="1"/>
    <col min="9190" max="9190" width="71.7109375" style="114" customWidth="1"/>
    <col min="9191" max="9192" width="9.140625" style="114" customWidth="1"/>
    <col min="9193" max="9193" width="11" style="114" customWidth="1"/>
    <col min="9194" max="9194" width="11.140625" style="114" customWidth="1"/>
    <col min="9195" max="9195" width="11.5703125" style="114" customWidth="1"/>
    <col min="9196" max="9443" width="9.140625" style="114"/>
    <col min="9444" max="9444" width="6.7109375" style="114" customWidth="1"/>
    <col min="9445" max="9445" width="4.42578125" style="114" customWidth="1"/>
    <col min="9446" max="9446" width="71.7109375" style="114" customWidth="1"/>
    <col min="9447" max="9448" width="9.140625" style="114" customWidth="1"/>
    <col min="9449" max="9449" width="11" style="114" customWidth="1"/>
    <col min="9450" max="9450" width="11.140625" style="114" customWidth="1"/>
    <col min="9451" max="9451" width="11.5703125" style="114" customWidth="1"/>
    <col min="9452" max="9699" width="9.140625" style="114"/>
    <col min="9700" max="9700" width="6.7109375" style="114" customWidth="1"/>
    <col min="9701" max="9701" width="4.42578125" style="114" customWidth="1"/>
    <col min="9702" max="9702" width="71.7109375" style="114" customWidth="1"/>
    <col min="9703" max="9704" width="9.140625" style="114" customWidth="1"/>
    <col min="9705" max="9705" width="11" style="114" customWidth="1"/>
    <col min="9706" max="9706" width="11.140625" style="114" customWidth="1"/>
    <col min="9707" max="9707" width="11.5703125" style="114" customWidth="1"/>
    <col min="9708" max="9955" width="9.140625" style="114"/>
    <col min="9956" max="9956" width="6.7109375" style="114" customWidth="1"/>
    <col min="9957" max="9957" width="4.42578125" style="114" customWidth="1"/>
    <col min="9958" max="9958" width="71.7109375" style="114" customWidth="1"/>
    <col min="9959" max="9960" width="9.140625" style="114" customWidth="1"/>
    <col min="9961" max="9961" width="11" style="114" customWidth="1"/>
    <col min="9962" max="9962" width="11.140625" style="114" customWidth="1"/>
    <col min="9963" max="9963" width="11.5703125" style="114" customWidth="1"/>
    <col min="9964" max="10211" width="9.140625" style="114"/>
    <col min="10212" max="10212" width="6.7109375" style="114" customWidth="1"/>
    <col min="10213" max="10213" width="4.42578125" style="114" customWidth="1"/>
    <col min="10214" max="10214" width="71.7109375" style="114" customWidth="1"/>
    <col min="10215" max="10216" width="9.140625" style="114" customWidth="1"/>
    <col min="10217" max="10217" width="11" style="114" customWidth="1"/>
    <col min="10218" max="10218" width="11.140625" style="114" customWidth="1"/>
    <col min="10219" max="10219" width="11.5703125" style="114" customWidth="1"/>
    <col min="10220" max="10467" width="9.140625" style="114"/>
    <col min="10468" max="10468" width="6.7109375" style="114" customWidth="1"/>
    <col min="10469" max="10469" width="4.42578125" style="114" customWidth="1"/>
    <col min="10470" max="10470" width="71.7109375" style="114" customWidth="1"/>
    <col min="10471" max="10472" width="9.140625" style="114" customWidth="1"/>
    <col min="10473" max="10473" width="11" style="114" customWidth="1"/>
    <col min="10474" max="10474" width="11.140625" style="114" customWidth="1"/>
    <col min="10475" max="10475" width="11.5703125" style="114" customWidth="1"/>
    <col min="10476" max="10723" width="9.140625" style="114"/>
    <col min="10724" max="10724" width="6.7109375" style="114" customWidth="1"/>
    <col min="10725" max="10725" width="4.42578125" style="114" customWidth="1"/>
    <col min="10726" max="10726" width="71.7109375" style="114" customWidth="1"/>
    <col min="10727" max="10728" width="9.140625" style="114" customWidth="1"/>
    <col min="10729" max="10729" width="11" style="114" customWidth="1"/>
    <col min="10730" max="10730" width="11.140625" style="114" customWidth="1"/>
    <col min="10731" max="10731" width="11.5703125" style="114" customWidth="1"/>
    <col min="10732" max="10979" width="9.140625" style="114"/>
    <col min="10980" max="10980" width="6.7109375" style="114" customWidth="1"/>
    <col min="10981" max="10981" width="4.42578125" style="114" customWidth="1"/>
    <col min="10982" max="10982" width="71.7109375" style="114" customWidth="1"/>
    <col min="10983" max="10984" width="9.140625" style="114" customWidth="1"/>
    <col min="10985" max="10985" width="11" style="114" customWidth="1"/>
    <col min="10986" max="10986" width="11.140625" style="114" customWidth="1"/>
    <col min="10987" max="10987" width="11.5703125" style="114" customWidth="1"/>
    <col min="10988" max="11235" width="9.140625" style="114"/>
    <col min="11236" max="11236" width="6.7109375" style="114" customWidth="1"/>
    <col min="11237" max="11237" width="4.42578125" style="114" customWidth="1"/>
    <col min="11238" max="11238" width="71.7109375" style="114" customWidth="1"/>
    <col min="11239" max="11240" width="9.140625" style="114" customWidth="1"/>
    <col min="11241" max="11241" width="11" style="114" customWidth="1"/>
    <col min="11242" max="11242" width="11.140625" style="114" customWidth="1"/>
    <col min="11243" max="11243" width="11.5703125" style="114" customWidth="1"/>
    <col min="11244" max="11491" width="9.140625" style="114"/>
    <col min="11492" max="11492" width="6.7109375" style="114" customWidth="1"/>
    <col min="11493" max="11493" width="4.42578125" style="114" customWidth="1"/>
    <col min="11494" max="11494" width="71.7109375" style="114" customWidth="1"/>
    <col min="11495" max="11496" width="9.140625" style="114" customWidth="1"/>
    <col min="11497" max="11497" width="11" style="114" customWidth="1"/>
    <col min="11498" max="11498" width="11.140625" style="114" customWidth="1"/>
    <col min="11499" max="11499" width="11.5703125" style="114" customWidth="1"/>
    <col min="11500" max="11747" width="9.140625" style="114"/>
    <col min="11748" max="11748" width="6.7109375" style="114" customWidth="1"/>
    <col min="11749" max="11749" width="4.42578125" style="114" customWidth="1"/>
    <col min="11750" max="11750" width="71.7109375" style="114" customWidth="1"/>
    <col min="11751" max="11752" width="9.140625" style="114" customWidth="1"/>
    <col min="11753" max="11753" width="11" style="114" customWidth="1"/>
    <col min="11754" max="11754" width="11.140625" style="114" customWidth="1"/>
    <col min="11755" max="11755" width="11.5703125" style="114" customWidth="1"/>
    <col min="11756" max="12003" width="9.140625" style="114"/>
    <col min="12004" max="12004" width="6.7109375" style="114" customWidth="1"/>
    <col min="12005" max="12005" width="4.42578125" style="114" customWidth="1"/>
    <col min="12006" max="12006" width="71.7109375" style="114" customWidth="1"/>
    <col min="12007" max="12008" width="9.140625" style="114" customWidth="1"/>
    <col min="12009" max="12009" width="11" style="114" customWidth="1"/>
    <col min="12010" max="12010" width="11.140625" style="114" customWidth="1"/>
    <col min="12011" max="12011" width="11.5703125" style="114" customWidth="1"/>
    <col min="12012" max="12259" width="9.140625" style="114"/>
    <col min="12260" max="12260" width="6.7109375" style="114" customWidth="1"/>
    <col min="12261" max="12261" width="4.42578125" style="114" customWidth="1"/>
    <col min="12262" max="12262" width="71.7109375" style="114" customWidth="1"/>
    <col min="12263" max="12264" width="9.140625" style="114" customWidth="1"/>
    <col min="12265" max="12265" width="11" style="114" customWidth="1"/>
    <col min="12266" max="12266" width="11.140625" style="114" customWidth="1"/>
    <col min="12267" max="12267" width="11.5703125" style="114" customWidth="1"/>
    <col min="12268" max="12515" width="9.140625" style="114"/>
    <col min="12516" max="12516" width="6.7109375" style="114" customWidth="1"/>
    <col min="12517" max="12517" width="4.42578125" style="114" customWidth="1"/>
    <col min="12518" max="12518" width="71.7109375" style="114" customWidth="1"/>
    <col min="12519" max="12520" width="9.140625" style="114" customWidth="1"/>
    <col min="12521" max="12521" width="11" style="114" customWidth="1"/>
    <col min="12522" max="12522" width="11.140625" style="114" customWidth="1"/>
    <col min="12523" max="12523" width="11.5703125" style="114" customWidth="1"/>
    <col min="12524" max="12771" width="9.140625" style="114"/>
    <col min="12772" max="12772" width="6.7109375" style="114" customWidth="1"/>
    <col min="12773" max="12773" width="4.42578125" style="114" customWidth="1"/>
    <col min="12774" max="12774" width="71.7109375" style="114" customWidth="1"/>
    <col min="12775" max="12776" width="9.140625" style="114" customWidth="1"/>
    <col min="12777" max="12777" width="11" style="114" customWidth="1"/>
    <col min="12778" max="12778" width="11.140625" style="114" customWidth="1"/>
    <col min="12779" max="12779" width="11.5703125" style="114" customWidth="1"/>
    <col min="12780" max="13027" width="9.140625" style="114"/>
    <col min="13028" max="13028" width="6.7109375" style="114" customWidth="1"/>
    <col min="13029" max="13029" width="4.42578125" style="114" customWidth="1"/>
    <col min="13030" max="13030" width="71.7109375" style="114" customWidth="1"/>
    <col min="13031" max="13032" width="9.140625" style="114" customWidth="1"/>
    <col min="13033" max="13033" width="11" style="114" customWidth="1"/>
    <col min="13034" max="13034" width="11.140625" style="114" customWidth="1"/>
    <col min="13035" max="13035" width="11.5703125" style="114" customWidth="1"/>
    <col min="13036" max="13283" width="9.140625" style="114"/>
    <col min="13284" max="13284" width="6.7109375" style="114" customWidth="1"/>
    <col min="13285" max="13285" width="4.42578125" style="114" customWidth="1"/>
    <col min="13286" max="13286" width="71.7109375" style="114" customWidth="1"/>
    <col min="13287" max="13288" width="9.140625" style="114" customWidth="1"/>
    <col min="13289" max="13289" width="11" style="114" customWidth="1"/>
    <col min="13290" max="13290" width="11.140625" style="114" customWidth="1"/>
    <col min="13291" max="13291" width="11.5703125" style="114" customWidth="1"/>
    <col min="13292" max="13539" width="9.140625" style="114"/>
    <col min="13540" max="13540" width="6.7109375" style="114" customWidth="1"/>
    <col min="13541" max="13541" width="4.42578125" style="114" customWidth="1"/>
    <col min="13542" max="13542" width="71.7109375" style="114" customWidth="1"/>
    <col min="13543" max="13544" width="9.140625" style="114" customWidth="1"/>
    <col min="13545" max="13545" width="11" style="114" customWidth="1"/>
    <col min="13546" max="13546" width="11.140625" style="114" customWidth="1"/>
    <col min="13547" max="13547" width="11.5703125" style="114" customWidth="1"/>
    <col min="13548" max="13795" width="9.140625" style="114"/>
    <col min="13796" max="13796" width="6.7109375" style="114" customWidth="1"/>
    <col min="13797" max="13797" width="4.42578125" style="114" customWidth="1"/>
    <col min="13798" max="13798" width="71.7109375" style="114" customWidth="1"/>
    <col min="13799" max="13800" width="9.140625" style="114" customWidth="1"/>
    <col min="13801" max="13801" width="11" style="114" customWidth="1"/>
    <col min="13802" max="13802" width="11.140625" style="114" customWidth="1"/>
    <col min="13803" max="13803" width="11.5703125" style="114" customWidth="1"/>
    <col min="13804" max="14051" width="9.140625" style="114"/>
    <col min="14052" max="14052" width="6.7109375" style="114" customWidth="1"/>
    <col min="14053" max="14053" width="4.42578125" style="114" customWidth="1"/>
    <col min="14054" max="14054" width="71.7109375" style="114" customWidth="1"/>
    <col min="14055" max="14056" width="9.140625" style="114" customWidth="1"/>
    <col min="14057" max="14057" width="11" style="114" customWidth="1"/>
    <col min="14058" max="14058" width="11.140625" style="114" customWidth="1"/>
    <col min="14059" max="14059" width="11.5703125" style="114" customWidth="1"/>
    <col min="14060" max="14307" width="9.140625" style="114"/>
    <col min="14308" max="14308" width="6.7109375" style="114" customWidth="1"/>
    <col min="14309" max="14309" width="4.42578125" style="114" customWidth="1"/>
    <col min="14310" max="14310" width="71.7109375" style="114" customWidth="1"/>
    <col min="14311" max="14312" width="9.140625" style="114" customWidth="1"/>
    <col min="14313" max="14313" width="11" style="114" customWidth="1"/>
    <col min="14314" max="14314" width="11.140625" style="114" customWidth="1"/>
    <col min="14315" max="14315" width="11.5703125" style="114" customWidth="1"/>
    <col min="14316" max="14563" width="9.140625" style="114"/>
    <col min="14564" max="14564" width="6.7109375" style="114" customWidth="1"/>
    <col min="14565" max="14565" width="4.42578125" style="114" customWidth="1"/>
    <col min="14566" max="14566" width="71.7109375" style="114" customWidth="1"/>
    <col min="14567" max="14568" width="9.140625" style="114" customWidth="1"/>
    <col min="14569" max="14569" width="11" style="114" customWidth="1"/>
    <col min="14570" max="14570" width="11.140625" style="114" customWidth="1"/>
    <col min="14571" max="14571" width="11.5703125" style="114" customWidth="1"/>
    <col min="14572" max="14819" width="9.140625" style="114"/>
    <col min="14820" max="14820" width="6.7109375" style="114" customWidth="1"/>
    <col min="14821" max="14821" width="4.42578125" style="114" customWidth="1"/>
    <col min="14822" max="14822" width="71.7109375" style="114" customWidth="1"/>
    <col min="14823" max="14824" width="9.140625" style="114" customWidth="1"/>
    <col min="14825" max="14825" width="11" style="114" customWidth="1"/>
    <col min="14826" max="14826" width="11.140625" style="114" customWidth="1"/>
    <col min="14827" max="14827" width="11.5703125" style="114" customWidth="1"/>
    <col min="14828" max="15075" width="9.140625" style="114"/>
    <col min="15076" max="15076" width="6.7109375" style="114" customWidth="1"/>
    <col min="15077" max="15077" width="4.42578125" style="114" customWidth="1"/>
    <col min="15078" max="15078" width="71.7109375" style="114" customWidth="1"/>
    <col min="15079" max="15080" width="9.140625" style="114" customWidth="1"/>
    <col min="15081" max="15081" width="11" style="114" customWidth="1"/>
    <col min="15082" max="15082" width="11.140625" style="114" customWidth="1"/>
    <col min="15083" max="15083" width="11.5703125" style="114" customWidth="1"/>
    <col min="15084" max="15331" width="9.140625" style="114"/>
    <col min="15332" max="15332" width="6.7109375" style="114" customWidth="1"/>
    <col min="15333" max="15333" width="4.42578125" style="114" customWidth="1"/>
    <col min="15334" max="15334" width="71.7109375" style="114" customWidth="1"/>
    <col min="15335" max="15336" width="9.140625" style="114" customWidth="1"/>
    <col min="15337" max="15337" width="11" style="114" customWidth="1"/>
    <col min="15338" max="15338" width="11.140625" style="114" customWidth="1"/>
    <col min="15339" max="15339" width="11.5703125" style="114" customWidth="1"/>
    <col min="15340" max="15587" width="9.140625" style="114"/>
    <col min="15588" max="15588" width="6.7109375" style="114" customWidth="1"/>
    <col min="15589" max="15589" width="4.42578125" style="114" customWidth="1"/>
    <col min="15590" max="15590" width="71.7109375" style="114" customWidth="1"/>
    <col min="15591" max="15592" width="9.140625" style="114" customWidth="1"/>
    <col min="15593" max="15593" width="11" style="114" customWidth="1"/>
    <col min="15594" max="15594" width="11.140625" style="114" customWidth="1"/>
    <col min="15595" max="15595" width="11.5703125" style="114" customWidth="1"/>
    <col min="15596" max="15843" width="9.140625" style="114"/>
    <col min="15844" max="15844" width="6.7109375" style="114" customWidth="1"/>
    <col min="15845" max="15845" width="4.42578125" style="114" customWidth="1"/>
    <col min="15846" max="15846" width="71.7109375" style="114" customWidth="1"/>
    <col min="15847" max="15848" width="9.140625" style="114" customWidth="1"/>
    <col min="15849" max="15849" width="11" style="114" customWidth="1"/>
    <col min="15850" max="15850" width="11.140625" style="114" customWidth="1"/>
    <col min="15851" max="15851" width="11.5703125" style="114" customWidth="1"/>
    <col min="15852" max="16099" width="9.140625" style="114"/>
    <col min="16100" max="16100" width="6.7109375" style="114" customWidth="1"/>
    <col min="16101" max="16101" width="4.42578125" style="114" customWidth="1"/>
    <col min="16102" max="16102" width="71.7109375" style="114" customWidth="1"/>
    <col min="16103" max="16104" width="9.140625" style="114" customWidth="1"/>
    <col min="16105" max="16105" width="11" style="114" customWidth="1"/>
    <col min="16106" max="16106" width="11.140625" style="114" customWidth="1"/>
    <col min="16107" max="16107" width="11.5703125" style="114" customWidth="1"/>
    <col min="16108" max="16384" width="9.140625" style="114"/>
  </cols>
  <sheetData>
    <row r="1" spans="1:8" ht="99.95" customHeight="1" x14ac:dyDescent="0.2">
      <c r="A1" s="129" t="s">
        <v>309</v>
      </c>
      <c r="B1" s="129"/>
      <c r="C1" s="129"/>
      <c r="D1" s="129"/>
      <c r="E1" s="129"/>
      <c r="F1" s="129"/>
      <c r="G1" s="129"/>
      <c r="H1" s="129"/>
    </row>
    <row r="2" spans="1:8" ht="21" customHeight="1" x14ac:dyDescent="0.2">
      <c r="A2" s="137"/>
      <c r="B2" s="137"/>
      <c r="C2" s="137"/>
      <c r="D2" s="137"/>
      <c r="E2" s="137"/>
      <c r="F2" s="137"/>
      <c r="G2" s="137"/>
      <c r="H2" s="137"/>
    </row>
    <row r="3" spans="1:8" ht="21" customHeight="1" x14ac:dyDescent="0.2">
      <c r="A3" s="136" t="s">
        <v>282</v>
      </c>
      <c r="B3" s="136"/>
      <c r="C3" s="136"/>
      <c r="D3" s="136"/>
      <c r="E3" s="136"/>
      <c r="F3" s="136"/>
      <c r="G3" s="136"/>
      <c r="H3" s="136"/>
    </row>
    <row r="4" spans="1:8" ht="21" customHeight="1" x14ac:dyDescent="0.2">
      <c r="A4" s="137" t="s">
        <v>220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137"/>
      <c r="B5" s="137"/>
      <c r="C5" s="137"/>
      <c r="D5" s="137"/>
      <c r="E5" s="137"/>
      <c r="F5" s="137"/>
      <c r="G5" s="137"/>
      <c r="H5" s="137"/>
    </row>
    <row r="6" spans="1:8" ht="21" customHeight="1" x14ac:dyDescent="0.2">
      <c r="A6" s="140" t="s">
        <v>217</v>
      </c>
      <c r="B6" s="140"/>
      <c r="C6" s="140"/>
      <c r="D6" s="140"/>
      <c r="E6" s="140"/>
      <c r="F6" s="140"/>
      <c r="G6" s="140"/>
      <c r="H6" s="140"/>
    </row>
    <row r="7" spans="1:8" x14ac:dyDescent="0.2">
      <c r="A7" s="138" t="s">
        <v>218</v>
      </c>
      <c r="B7" s="138" t="s">
        <v>219</v>
      </c>
      <c r="C7" s="139" t="s">
        <v>167</v>
      </c>
      <c r="D7" s="130" t="s">
        <v>283</v>
      </c>
      <c r="E7" s="132" t="s">
        <v>296</v>
      </c>
      <c r="F7" s="134" t="s">
        <v>297</v>
      </c>
      <c r="G7" s="134" t="s">
        <v>242</v>
      </c>
      <c r="H7" s="134" t="s">
        <v>243</v>
      </c>
    </row>
    <row r="8" spans="1:8" ht="101.25" customHeight="1" x14ac:dyDescent="0.2">
      <c r="A8" s="138"/>
      <c r="B8" s="138"/>
      <c r="C8" s="139"/>
      <c r="D8" s="131"/>
      <c r="E8" s="133"/>
      <c r="F8" s="135"/>
      <c r="G8" s="135"/>
      <c r="H8" s="135"/>
    </row>
    <row r="9" spans="1:8" ht="15" customHeight="1" x14ac:dyDescent="0.2">
      <c r="A9" s="104">
        <v>1</v>
      </c>
      <c r="B9" s="104">
        <v>2</v>
      </c>
      <c r="C9" s="104">
        <v>3</v>
      </c>
      <c r="D9" s="104">
        <v>4</v>
      </c>
      <c r="E9" s="104">
        <v>5</v>
      </c>
      <c r="F9" s="104">
        <v>6</v>
      </c>
      <c r="G9" s="104">
        <v>7</v>
      </c>
      <c r="H9" s="104">
        <v>8</v>
      </c>
    </row>
    <row r="10" spans="1:8" x14ac:dyDescent="0.2">
      <c r="A10" s="105">
        <v>11</v>
      </c>
      <c r="B10" s="105">
        <v>210</v>
      </c>
      <c r="C10" s="106" t="s">
        <v>241</v>
      </c>
      <c r="D10" s="107">
        <v>6738.7</v>
      </c>
      <c r="E10" s="107">
        <v>6321.5</v>
      </c>
      <c r="F10" s="107">
        <v>6321.5</v>
      </c>
      <c r="G10" s="107">
        <v>6321.5</v>
      </c>
      <c r="H10" s="107">
        <v>6321.5</v>
      </c>
    </row>
    <row r="11" spans="1:8" x14ac:dyDescent="0.2">
      <c r="A11" s="105">
        <v>15</v>
      </c>
      <c r="B11" s="105">
        <v>120</v>
      </c>
      <c r="C11" s="106" t="s">
        <v>201</v>
      </c>
      <c r="D11" s="107">
        <v>131420</v>
      </c>
      <c r="E11" s="107">
        <v>164299.6</v>
      </c>
      <c r="F11" s="107">
        <v>137763.6</v>
      </c>
      <c r="G11" s="107">
        <v>164299.6</v>
      </c>
      <c r="H11" s="107">
        <v>164299.6</v>
      </c>
    </row>
    <row r="12" spans="1:8" x14ac:dyDescent="0.2">
      <c r="A12" s="105">
        <v>15</v>
      </c>
      <c r="B12" s="105">
        <v>120</v>
      </c>
      <c r="C12" s="106" t="s">
        <v>203</v>
      </c>
      <c r="D12" s="107">
        <v>16103</v>
      </c>
      <c r="E12" s="107">
        <v>17076.3</v>
      </c>
      <c r="F12" s="107">
        <v>16676.3</v>
      </c>
      <c r="G12" s="107">
        <v>17076.3</v>
      </c>
      <c r="H12" s="107">
        <v>17076.3</v>
      </c>
    </row>
    <row r="13" spans="1:8" x14ac:dyDescent="0.2">
      <c r="A13" s="105">
        <v>15</v>
      </c>
      <c r="B13" s="105">
        <v>120</v>
      </c>
      <c r="C13" s="106" t="s">
        <v>202</v>
      </c>
      <c r="D13" s="107">
        <v>394.8</v>
      </c>
      <c r="E13" s="107">
        <v>1236.9000000000001</v>
      </c>
      <c r="F13" s="107">
        <v>537</v>
      </c>
      <c r="G13" s="107">
        <v>1236.9000000000001</v>
      </c>
      <c r="H13" s="107">
        <v>1236.9000000000001</v>
      </c>
    </row>
    <row r="14" spans="1:8" x14ac:dyDescent="0.2">
      <c r="A14" s="105">
        <v>16</v>
      </c>
      <c r="B14" s="105">
        <v>110</v>
      </c>
      <c r="C14" s="106" t="s">
        <v>246</v>
      </c>
      <c r="D14" s="107">
        <v>-166</v>
      </c>
      <c r="E14" s="107"/>
      <c r="F14" s="107"/>
      <c r="G14" s="107"/>
      <c r="H14" s="107"/>
    </row>
    <row r="15" spans="1:8" x14ac:dyDescent="0.2">
      <c r="A15" s="105">
        <v>16</v>
      </c>
      <c r="B15" s="105">
        <v>120</v>
      </c>
      <c r="C15" s="106" t="s">
        <v>237</v>
      </c>
      <c r="D15" s="107">
        <v>480.8</v>
      </c>
      <c r="E15" s="107"/>
      <c r="F15" s="107"/>
      <c r="G15" s="107"/>
      <c r="H15" s="107"/>
    </row>
    <row r="16" spans="1:8" x14ac:dyDescent="0.2">
      <c r="A16" s="105">
        <v>16</v>
      </c>
      <c r="B16" s="105">
        <v>320</v>
      </c>
      <c r="C16" s="106" t="s">
        <v>298</v>
      </c>
      <c r="D16" s="107">
        <v>1621.5</v>
      </c>
      <c r="E16" s="107"/>
      <c r="F16" s="107">
        <v>-2094.3000000000002</v>
      </c>
      <c r="G16" s="107"/>
      <c r="H16" s="107"/>
    </row>
    <row r="17" spans="1:8" ht="25.5" x14ac:dyDescent="0.2">
      <c r="A17" s="105">
        <v>18</v>
      </c>
      <c r="B17" s="105">
        <v>120</v>
      </c>
      <c r="C17" s="106" t="s">
        <v>247</v>
      </c>
      <c r="D17" s="107">
        <v>-2</v>
      </c>
      <c r="E17" s="107"/>
      <c r="F17" s="107"/>
      <c r="G17" s="107"/>
      <c r="H17" s="107"/>
    </row>
    <row r="18" spans="1:8" x14ac:dyDescent="0.2">
      <c r="A18" s="105">
        <v>19</v>
      </c>
      <c r="B18" s="105">
        <v>110</v>
      </c>
      <c r="C18" s="106" t="s">
        <v>284</v>
      </c>
      <c r="D18" s="107">
        <v>300</v>
      </c>
      <c r="E18" s="107"/>
      <c r="F18" s="107"/>
      <c r="G18" s="107"/>
      <c r="H18" s="107"/>
    </row>
    <row r="19" spans="1:8" x14ac:dyDescent="0.2">
      <c r="A19" s="105">
        <v>19</v>
      </c>
      <c r="B19" s="105">
        <v>120</v>
      </c>
      <c r="C19" s="106" t="s">
        <v>248</v>
      </c>
      <c r="D19" s="107">
        <v>2464.1</v>
      </c>
      <c r="E19" s="107">
        <v>4878.8</v>
      </c>
      <c r="F19" s="107">
        <v>4878.8</v>
      </c>
      <c r="G19" s="107">
        <v>4878.8</v>
      </c>
      <c r="H19" s="107">
        <v>4878.8</v>
      </c>
    </row>
    <row r="20" spans="1:8" x14ac:dyDescent="0.2">
      <c r="A20" s="105">
        <v>21</v>
      </c>
      <c r="B20" s="105">
        <v>110</v>
      </c>
      <c r="C20" s="106" t="s">
        <v>299</v>
      </c>
      <c r="D20" s="107">
        <v>58</v>
      </c>
      <c r="E20" s="107"/>
      <c r="F20" s="107">
        <v>1433.5</v>
      </c>
      <c r="G20" s="107"/>
      <c r="H20" s="107"/>
    </row>
    <row r="21" spans="1:8" x14ac:dyDescent="0.2">
      <c r="A21" s="105">
        <v>22</v>
      </c>
      <c r="B21" s="105">
        <v>110</v>
      </c>
      <c r="C21" s="106" t="s">
        <v>249</v>
      </c>
      <c r="D21" s="107">
        <v>21142.3</v>
      </c>
      <c r="E21" s="107">
        <v>27500</v>
      </c>
      <c r="F21" s="107">
        <v>27009.7</v>
      </c>
      <c r="G21" s="107">
        <v>27500</v>
      </c>
      <c r="H21" s="107">
        <v>27500</v>
      </c>
    </row>
    <row r="22" spans="1:8" x14ac:dyDescent="0.2">
      <c r="A22" s="105">
        <v>22</v>
      </c>
      <c r="B22" s="105">
        <v>120</v>
      </c>
      <c r="C22" s="106" t="s">
        <v>238</v>
      </c>
      <c r="D22" s="107">
        <v>11172.4</v>
      </c>
      <c r="E22" s="107">
        <v>11600</v>
      </c>
      <c r="F22" s="107">
        <v>12090.3</v>
      </c>
      <c r="G22" s="107">
        <v>11600</v>
      </c>
      <c r="H22" s="107">
        <v>11600</v>
      </c>
    </row>
    <row r="23" spans="1:8" ht="25.5" x14ac:dyDescent="0.2">
      <c r="A23" s="105">
        <v>22</v>
      </c>
      <c r="B23" s="105">
        <v>210</v>
      </c>
      <c r="C23" s="106" t="s">
        <v>168</v>
      </c>
      <c r="D23" s="107">
        <v>30.9</v>
      </c>
      <c r="E23" s="107">
        <v>300</v>
      </c>
      <c r="F23" s="107"/>
      <c r="G23" s="107">
        <v>350</v>
      </c>
      <c r="H23" s="107">
        <v>400</v>
      </c>
    </row>
    <row r="24" spans="1:8" x14ac:dyDescent="0.2">
      <c r="A24" s="105">
        <v>23</v>
      </c>
      <c r="B24" s="105">
        <v>110</v>
      </c>
      <c r="C24" s="106" t="s">
        <v>169</v>
      </c>
      <c r="D24" s="107">
        <v>84641</v>
      </c>
      <c r="E24" s="107">
        <v>124388</v>
      </c>
      <c r="F24" s="107">
        <v>344388</v>
      </c>
      <c r="G24" s="107">
        <v>124388</v>
      </c>
      <c r="H24" s="107">
        <v>124388</v>
      </c>
    </row>
    <row r="25" spans="1:8" x14ac:dyDescent="0.2">
      <c r="A25" s="105">
        <v>23</v>
      </c>
      <c r="B25" s="105">
        <v>120</v>
      </c>
      <c r="C25" s="106" t="s">
        <v>204</v>
      </c>
      <c r="D25" s="107">
        <v>14301.7</v>
      </c>
      <c r="E25" s="107">
        <v>30300</v>
      </c>
      <c r="F25" s="107">
        <v>55000</v>
      </c>
      <c r="G25" s="107">
        <v>30300</v>
      </c>
      <c r="H25" s="107">
        <v>30300</v>
      </c>
    </row>
    <row r="26" spans="1:8" x14ac:dyDescent="0.2">
      <c r="A26" s="105">
        <v>23</v>
      </c>
      <c r="B26" s="105">
        <v>140</v>
      </c>
      <c r="C26" s="106" t="s">
        <v>221</v>
      </c>
      <c r="D26" s="107">
        <v>247281.5</v>
      </c>
      <c r="E26" s="107">
        <v>125000</v>
      </c>
      <c r="F26" s="107">
        <v>185000</v>
      </c>
      <c r="G26" s="107">
        <v>125000</v>
      </c>
      <c r="H26" s="107">
        <v>125000</v>
      </c>
    </row>
    <row r="27" spans="1:8" x14ac:dyDescent="0.2">
      <c r="A27" s="105">
        <v>23</v>
      </c>
      <c r="B27" s="105">
        <v>150</v>
      </c>
      <c r="C27" s="106" t="s">
        <v>222</v>
      </c>
      <c r="D27" s="107">
        <v>4316.1000000000004</v>
      </c>
      <c r="E27" s="107">
        <v>19834.5</v>
      </c>
      <c r="F27" s="107">
        <v>23230.5</v>
      </c>
      <c r="G27" s="107">
        <v>21686.7</v>
      </c>
      <c r="H27" s="107">
        <v>19653.400000000001</v>
      </c>
    </row>
    <row r="28" spans="1:8" x14ac:dyDescent="0.2">
      <c r="A28" s="105">
        <v>24</v>
      </c>
      <c r="B28" s="105">
        <v>120</v>
      </c>
      <c r="C28" s="106" t="s">
        <v>236</v>
      </c>
      <c r="D28" s="107">
        <v>445230.8</v>
      </c>
      <c r="E28" s="107">
        <v>434400</v>
      </c>
      <c r="F28" s="107">
        <v>434400</v>
      </c>
      <c r="G28" s="107">
        <v>434400</v>
      </c>
      <c r="H28" s="107">
        <v>434400</v>
      </c>
    </row>
    <row r="29" spans="1:8" x14ac:dyDescent="0.2">
      <c r="A29" s="105">
        <v>24</v>
      </c>
      <c r="B29" s="105">
        <v>130</v>
      </c>
      <c r="C29" s="106" t="s">
        <v>170</v>
      </c>
      <c r="D29" s="107">
        <v>323</v>
      </c>
      <c r="E29" s="107"/>
      <c r="F29" s="107">
        <v>102</v>
      </c>
      <c r="G29" s="107"/>
      <c r="H29" s="107"/>
    </row>
    <row r="30" spans="1:8" x14ac:dyDescent="0.2">
      <c r="A30" s="105">
        <v>24</v>
      </c>
      <c r="B30" s="105">
        <v>140</v>
      </c>
      <c r="C30" s="106" t="s">
        <v>250</v>
      </c>
      <c r="D30" s="107">
        <v>630.5</v>
      </c>
      <c r="E30" s="107"/>
      <c r="F30" s="107"/>
      <c r="G30" s="107"/>
      <c r="H30" s="107"/>
    </row>
    <row r="31" spans="1:8" x14ac:dyDescent="0.2">
      <c r="A31" s="105">
        <v>24</v>
      </c>
      <c r="B31" s="105">
        <v>150</v>
      </c>
      <c r="C31" s="106" t="s">
        <v>285</v>
      </c>
      <c r="D31" s="107">
        <v>100</v>
      </c>
      <c r="E31" s="107"/>
      <c r="F31" s="107">
        <v>21675</v>
      </c>
      <c r="G31" s="107"/>
      <c r="H31" s="107"/>
    </row>
    <row r="32" spans="1:8" x14ac:dyDescent="0.2">
      <c r="A32" s="105">
        <v>25</v>
      </c>
      <c r="B32" s="105">
        <v>110</v>
      </c>
      <c r="C32" s="106" t="s">
        <v>251</v>
      </c>
      <c r="D32" s="107">
        <v>-0.4</v>
      </c>
      <c r="E32" s="107"/>
      <c r="F32" s="107"/>
      <c r="G32" s="107"/>
      <c r="H32" s="107"/>
    </row>
    <row r="33" spans="1:8" x14ac:dyDescent="0.2">
      <c r="A33" s="105">
        <v>25</v>
      </c>
      <c r="B33" s="105">
        <v>120</v>
      </c>
      <c r="C33" s="106" t="s">
        <v>252</v>
      </c>
      <c r="D33" s="107">
        <v>-1.4</v>
      </c>
      <c r="E33" s="107"/>
      <c r="F33" s="107"/>
      <c r="G33" s="107"/>
      <c r="H33" s="107"/>
    </row>
    <row r="34" spans="1:8" x14ac:dyDescent="0.2">
      <c r="A34" s="105">
        <v>25</v>
      </c>
      <c r="B34" s="105">
        <v>220</v>
      </c>
      <c r="C34" s="106" t="s">
        <v>171</v>
      </c>
      <c r="D34" s="107">
        <v>14995</v>
      </c>
      <c r="E34" s="107">
        <v>10000</v>
      </c>
      <c r="F34" s="107">
        <v>13000</v>
      </c>
      <c r="G34" s="107">
        <v>12000</v>
      </c>
      <c r="H34" s="107">
        <v>12000</v>
      </c>
    </row>
    <row r="35" spans="1:8" ht="25.5" x14ac:dyDescent="0.2">
      <c r="A35" s="105">
        <v>26</v>
      </c>
      <c r="B35" s="105">
        <v>652</v>
      </c>
      <c r="C35" s="106" t="s">
        <v>286</v>
      </c>
      <c r="D35" s="107">
        <v>2200</v>
      </c>
      <c r="E35" s="107"/>
      <c r="F35" s="107">
        <v>9600</v>
      </c>
      <c r="G35" s="107"/>
      <c r="H35" s="107"/>
    </row>
    <row r="36" spans="1:8" x14ac:dyDescent="0.2">
      <c r="A36" s="105">
        <v>26</v>
      </c>
      <c r="B36" s="105">
        <v>720</v>
      </c>
      <c r="C36" s="108" t="s">
        <v>172</v>
      </c>
      <c r="D36" s="107">
        <v>470.6</v>
      </c>
      <c r="E36" s="107">
        <v>1000</v>
      </c>
      <c r="F36" s="107">
        <v>1000</v>
      </c>
      <c r="G36" s="107">
        <v>1000</v>
      </c>
      <c r="H36" s="107">
        <v>1000</v>
      </c>
    </row>
    <row r="37" spans="1:8" ht="25.5" x14ac:dyDescent="0.2">
      <c r="A37" s="105">
        <v>26</v>
      </c>
      <c r="B37" s="105">
        <v>730</v>
      </c>
      <c r="C37" s="106" t="s">
        <v>173</v>
      </c>
      <c r="D37" s="107">
        <v>1658.7</v>
      </c>
      <c r="E37" s="107">
        <v>1000</v>
      </c>
      <c r="F37" s="107">
        <v>1800</v>
      </c>
      <c r="G37" s="107">
        <v>1000</v>
      </c>
      <c r="H37" s="107">
        <v>1000</v>
      </c>
    </row>
    <row r="38" spans="1:8" x14ac:dyDescent="0.2">
      <c r="A38" s="105">
        <v>27</v>
      </c>
      <c r="B38" s="105">
        <v>120</v>
      </c>
      <c r="C38" s="106" t="s">
        <v>174</v>
      </c>
      <c r="D38" s="107">
        <v>3739.2</v>
      </c>
      <c r="E38" s="107">
        <v>4000</v>
      </c>
      <c r="F38" s="107">
        <v>4000</v>
      </c>
      <c r="G38" s="107">
        <v>4000</v>
      </c>
      <c r="H38" s="107">
        <v>4000</v>
      </c>
    </row>
    <row r="39" spans="1:8" ht="25.5" x14ac:dyDescent="0.2">
      <c r="A39" s="105">
        <v>28</v>
      </c>
      <c r="B39" s="105">
        <v>220</v>
      </c>
      <c r="C39" s="106" t="s">
        <v>253</v>
      </c>
      <c r="D39" s="107"/>
      <c r="E39" s="107"/>
      <c r="F39" s="107"/>
      <c r="G39" s="107"/>
      <c r="H39" s="107"/>
    </row>
    <row r="40" spans="1:8" ht="25.5" x14ac:dyDescent="0.2">
      <c r="A40" s="105">
        <v>28</v>
      </c>
      <c r="B40" s="105">
        <v>230</v>
      </c>
      <c r="C40" s="106" t="s">
        <v>214</v>
      </c>
      <c r="D40" s="107">
        <v>4266.5</v>
      </c>
      <c r="E40" s="107">
        <v>4340.3999999999996</v>
      </c>
      <c r="F40" s="107">
        <v>3537.5</v>
      </c>
      <c r="G40" s="107">
        <v>4524.8</v>
      </c>
      <c r="H40" s="107">
        <v>4649.8</v>
      </c>
    </row>
    <row r="41" spans="1:8" ht="25.5" x14ac:dyDescent="0.2">
      <c r="A41" s="105">
        <v>28</v>
      </c>
      <c r="B41" s="105">
        <v>240</v>
      </c>
      <c r="C41" s="106" t="s">
        <v>213</v>
      </c>
      <c r="D41" s="107">
        <v>6257.7</v>
      </c>
      <c r="E41" s="107">
        <v>5300</v>
      </c>
      <c r="F41" s="107">
        <v>6200</v>
      </c>
      <c r="G41" s="107">
        <v>5500</v>
      </c>
      <c r="H41" s="107">
        <v>6000</v>
      </c>
    </row>
    <row r="42" spans="1:8" ht="25.5" x14ac:dyDescent="0.2">
      <c r="A42" s="105">
        <v>32</v>
      </c>
      <c r="B42" s="105">
        <v>120</v>
      </c>
      <c r="C42" s="106" t="s">
        <v>234</v>
      </c>
      <c r="D42" s="107">
        <v>30765</v>
      </c>
      <c r="E42" s="107">
        <v>54222.8</v>
      </c>
      <c r="F42" s="107">
        <v>54222.8</v>
      </c>
      <c r="G42" s="107">
        <v>54222.8</v>
      </c>
      <c r="H42" s="107">
        <v>54222.8</v>
      </c>
    </row>
    <row r="43" spans="1:8" ht="25.5" x14ac:dyDescent="0.2">
      <c r="A43" s="105">
        <v>32</v>
      </c>
      <c r="B43" s="105">
        <v>120</v>
      </c>
      <c r="C43" s="106" t="s">
        <v>235</v>
      </c>
      <c r="D43" s="107">
        <v>578.9</v>
      </c>
      <c r="E43" s="107">
        <v>1800</v>
      </c>
      <c r="F43" s="107">
        <v>1800</v>
      </c>
      <c r="G43" s="107">
        <v>1800</v>
      </c>
      <c r="H43" s="107">
        <v>1800</v>
      </c>
    </row>
    <row r="44" spans="1:8" ht="25.5" x14ac:dyDescent="0.2">
      <c r="A44" s="105">
        <v>32</v>
      </c>
      <c r="B44" s="105">
        <v>120</v>
      </c>
      <c r="C44" s="106" t="s">
        <v>233</v>
      </c>
      <c r="D44" s="107">
        <v>327.5</v>
      </c>
      <c r="E44" s="107">
        <v>1203.5</v>
      </c>
      <c r="F44" s="107">
        <v>1203.5</v>
      </c>
      <c r="G44" s="107">
        <v>1203.5</v>
      </c>
      <c r="H44" s="107">
        <v>1203.5</v>
      </c>
    </row>
    <row r="45" spans="1:8" ht="25.5" x14ac:dyDescent="0.2">
      <c r="A45" s="105">
        <v>32</v>
      </c>
      <c r="B45" s="105">
        <v>320</v>
      </c>
      <c r="C45" s="106" t="s">
        <v>256</v>
      </c>
      <c r="D45" s="107"/>
      <c r="E45" s="107"/>
      <c r="F45" s="107"/>
      <c r="G45" s="107"/>
      <c r="H45" s="107"/>
    </row>
    <row r="46" spans="1:8" x14ac:dyDescent="0.2">
      <c r="A46" s="105">
        <v>34</v>
      </c>
      <c r="B46" s="105">
        <v>110</v>
      </c>
      <c r="C46" s="106" t="s">
        <v>254</v>
      </c>
      <c r="D46" s="107">
        <v>979.1</v>
      </c>
      <c r="E46" s="107"/>
      <c r="F46" s="107"/>
      <c r="G46" s="107"/>
      <c r="H46" s="107"/>
    </row>
    <row r="47" spans="1:8" x14ac:dyDescent="0.2">
      <c r="A47" s="105">
        <v>34</v>
      </c>
      <c r="B47" s="105">
        <v>121</v>
      </c>
      <c r="C47" s="106" t="s">
        <v>175</v>
      </c>
      <c r="D47" s="107">
        <v>396.7</v>
      </c>
      <c r="E47" s="107">
        <v>440.9</v>
      </c>
      <c r="F47" s="107">
        <v>440.9</v>
      </c>
      <c r="G47" s="107">
        <v>440.9</v>
      </c>
      <c r="H47" s="107">
        <v>440.9</v>
      </c>
    </row>
    <row r="48" spans="1:8" x14ac:dyDescent="0.2">
      <c r="A48" s="105">
        <v>34</v>
      </c>
      <c r="B48" s="105">
        <v>121</v>
      </c>
      <c r="C48" s="106" t="s">
        <v>176</v>
      </c>
      <c r="D48" s="107">
        <v>3713984.8</v>
      </c>
      <c r="E48" s="107">
        <v>4084199.3</v>
      </c>
      <c r="F48" s="107">
        <v>4073959.2</v>
      </c>
      <c r="G48" s="107">
        <v>4084199.3</v>
      </c>
      <c r="H48" s="107">
        <v>4084199.3</v>
      </c>
    </row>
    <row r="49" spans="1:10" ht="25.5" x14ac:dyDescent="0.2">
      <c r="A49" s="105">
        <v>34</v>
      </c>
      <c r="B49" s="105">
        <v>130</v>
      </c>
      <c r="C49" s="106" t="s">
        <v>287</v>
      </c>
      <c r="D49" s="107">
        <v>2387.6999999999998</v>
      </c>
      <c r="E49" s="107">
        <v>1800</v>
      </c>
      <c r="F49" s="107">
        <v>1800</v>
      </c>
      <c r="G49" s="107">
        <v>1800</v>
      </c>
      <c r="H49" s="107">
        <v>1800</v>
      </c>
    </row>
    <row r="50" spans="1:10" ht="25.5" x14ac:dyDescent="0.2">
      <c r="A50" s="105">
        <v>34</v>
      </c>
      <c r="B50" s="105">
        <v>220</v>
      </c>
      <c r="C50" s="106" t="s">
        <v>205</v>
      </c>
      <c r="D50" s="107">
        <v>466.8</v>
      </c>
      <c r="E50" s="107"/>
      <c r="F50" s="107">
        <v>435.1</v>
      </c>
      <c r="G50" s="107"/>
      <c r="H50" s="107"/>
    </row>
    <row r="51" spans="1:10" ht="25.5" x14ac:dyDescent="0.2">
      <c r="A51" s="105">
        <v>34</v>
      </c>
      <c r="B51" s="105">
        <v>321</v>
      </c>
      <c r="C51" s="106" t="s">
        <v>206</v>
      </c>
      <c r="D51" s="107">
        <v>145077.4</v>
      </c>
      <c r="E51" s="107">
        <v>120000</v>
      </c>
      <c r="F51" s="107">
        <v>174426</v>
      </c>
      <c r="G51" s="107">
        <v>125000</v>
      </c>
      <c r="H51" s="107">
        <v>130000</v>
      </c>
    </row>
    <row r="52" spans="1:10" ht="25.5" x14ac:dyDescent="0.2">
      <c r="A52" s="105">
        <v>35</v>
      </c>
      <c r="B52" s="105">
        <v>110</v>
      </c>
      <c r="C52" s="113" t="s">
        <v>232</v>
      </c>
      <c r="D52" s="107">
        <v>132757.9</v>
      </c>
      <c r="E52" s="107">
        <v>70400</v>
      </c>
      <c r="F52" s="107">
        <v>62203.3</v>
      </c>
      <c r="G52" s="107">
        <v>70400</v>
      </c>
      <c r="H52" s="107">
        <v>70400</v>
      </c>
    </row>
    <row r="53" spans="1:10" ht="25.5" x14ac:dyDescent="0.2">
      <c r="A53" s="105">
        <v>35</v>
      </c>
      <c r="B53" s="105">
        <v>120</v>
      </c>
      <c r="C53" s="113" t="s">
        <v>232</v>
      </c>
      <c r="D53" s="107">
        <v>5699.7</v>
      </c>
      <c r="E53" s="107"/>
      <c r="F53" s="107">
        <v>8196.7000000000007</v>
      </c>
      <c r="G53" s="107"/>
      <c r="H53" s="107"/>
    </row>
    <row r="54" spans="1:10" x14ac:dyDescent="0.2">
      <c r="A54" s="105">
        <v>36</v>
      </c>
      <c r="B54" s="105">
        <v>110</v>
      </c>
      <c r="C54" s="113" t="s">
        <v>255</v>
      </c>
      <c r="D54" s="107">
        <v>39288.5</v>
      </c>
      <c r="E54" s="107"/>
      <c r="F54" s="107"/>
      <c r="G54" s="107"/>
      <c r="H54" s="107"/>
    </row>
    <row r="55" spans="1:10" ht="25.5" x14ac:dyDescent="0.2">
      <c r="A55" s="105">
        <v>36</v>
      </c>
      <c r="B55" s="105">
        <v>121</v>
      </c>
      <c r="C55" s="106" t="s">
        <v>230</v>
      </c>
      <c r="D55" s="107">
        <v>150841.1</v>
      </c>
      <c r="E55" s="107"/>
      <c r="F55" s="107"/>
      <c r="G55" s="107">
        <v>399142.2</v>
      </c>
      <c r="H55" s="107">
        <v>399142.2</v>
      </c>
      <c r="I55" s="115"/>
      <c r="J55" s="115"/>
    </row>
    <row r="56" spans="1:10" ht="25.5" x14ac:dyDescent="0.2">
      <c r="A56" s="105">
        <v>36</v>
      </c>
      <c r="B56" s="105">
        <v>131</v>
      </c>
      <c r="C56" s="106" t="s">
        <v>231</v>
      </c>
      <c r="D56" s="107">
        <v>1071022.8</v>
      </c>
      <c r="E56" s="107"/>
      <c r="F56" s="107"/>
      <c r="G56" s="107">
        <v>1365522.7</v>
      </c>
      <c r="H56" s="107">
        <v>1433798.7</v>
      </c>
    </row>
    <row r="57" spans="1:10" x14ac:dyDescent="0.2">
      <c r="A57" s="105">
        <v>37</v>
      </c>
      <c r="B57" s="105">
        <v>110</v>
      </c>
      <c r="C57" s="106" t="s">
        <v>177</v>
      </c>
      <c r="D57" s="107">
        <v>31177.7</v>
      </c>
      <c r="E57" s="107">
        <v>45000</v>
      </c>
      <c r="F57" s="107">
        <v>52694</v>
      </c>
      <c r="G57" s="107">
        <v>20000</v>
      </c>
      <c r="H57" s="107">
        <v>20000</v>
      </c>
    </row>
    <row r="58" spans="1:10" x14ac:dyDescent="0.2">
      <c r="A58" s="105">
        <v>37</v>
      </c>
      <c r="B58" s="105">
        <v>121</v>
      </c>
      <c r="C58" s="106" t="s">
        <v>178</v>
      </c>
      <c r="D58" s="107">
        <v>361739.6</v>
      </c>
      <c r="E58" s="107">
        <v>365601</v>
      </c>
      <c r="F58" s="107">
        <v>548707</v>
      </c>
      <c r="G58" s="107">
        <v>369821</v>
      </c>
      <c r="H58" s="107">
        <v>370821</v>
      </c>
    </row>
    <row r="59" spans="1:10" x14ac:dyDescent="0.2">
      <c r="A59" s="105">
        <v>37</v>
      </c>
      <c r="B59" s="105">
        <v>121</v>
      </c>
      <c r="C59" s="106" t="s">
        <v>179</v>
      </c>
      <c r="D59" s="107">
        <v>525114.4</v>
      </c>
      <c r="E59" s="107">
        <v>445300</v>
      </c>
      <c r="F59" s="107">
        <v>639300</v>
      </c>
      <c r="G59" s="107">
        <v>447800</v>
      </c>
      <c r="H59" s="107">
        <v>448300</v>
      </c>
    </row>
    <row r="60" spans="1:10" x14ac:dyDescent="0.2">
      <c r="A60" s="105">
        <v>37</v>
      </c>
      <c r="B60" s="105">
        <v>121</v>
      </c>
      <c r="C60" s="106" t="s">
        <v>180</v>
      </c>
      <c r="D60" s="107">
        <v>460.4</v>
      </c>
      <c r="E60" s="107">
        <v>800</v>
      </c>
      <c r="F60" s="107">
        <v>800</v>
      </c>
      <c r="G60" s="107">
        <v>800</v>
      </c>
      <c r="H60" s="107">
        <v>800</v>
      </c>
    </row>
    <row r="61" spans="1:10" x14ac:dyDescent="0.2">
      <c r="A61" s="105">
        <v>38</v>
      </c>
      <c r="B61" s="105">
        <v>110</v>
      </c>
      <c r="C61" s="106" t="s">
        <v>212</v>
      </c>
      <c r="D61" s="107">
        <v>-41</v>
      </c>
      <c r="E61" s="107"/>
      <c r="F61" s="107">
        <v>315.89999999999998</v>
      </c>
      <c r="G61" s="107"/>
      <c r="H61" s="107"/>
    </row>
    <row r="62" spans="1:10" x14ac:dyDescent="0.2">
      <c r="A62" s="105">
        <v>38</v>
      </c>
      <c r="B62" s="105">
        <v>121</v>
      </c>
      <c r="C62" s="106" t="s">
        <v>260</v>
      </c>
      <c r="D62" s="107">
        <v>6429.3</v>
      </c>
      <c r="E62" s="107">
        <v>9491.2999999999993</v>
      </c>
      <c r="F62" s="107">
        <v>14036.4</v>
      </c>
      <c r="G62" s="107">
        <v>9491.2999999999993</v>
      </c>
      <c r="H62" s="107">
        <v>9491.2999999999993</v>
      </c>
    </row>
    <row r="63" spans="1:10" x14ac:dyDescent="0.2">
      <c r="A63" s="105">
        <v>39</v>
      </c>
      <c r="B63" s="105">
        <v>120</v>
      </c>
      <c r="C63" s="106" t="s">
        <v>181</v>
      </c>
      <c r="D63" s="107">
        <v>64657.4</v>
      </c>
      <c r="E63" s="107">
        <v>106499.3</v>
      </c>
      <c r="F63" s="107">
        <v>109784.2</v>
      </c>
      <c r="G63" s="107">
        <v>92160.3</v>
      </c>
      <c r="H63" s="107">
        <v>83036.3</v>
      </c>
    </row>
    <row r="64" spans="1:10" ht="25.5" x14ac:dyDescent="0.2">
      <c r="A64" s="105">
        <v>41</v>
      </c>
      <c r="B64" s="105">
        <v>110</v>
      </c>
      <c r="C64" s="106" t="s">
        <v>257</v>
      </c>
      <c r="D64" s="107">
        <v>-127.1</v>
      </c>
      <c r="E64" s="107"/>
      <c r="F64" s="107"/>
      <c r="G64" s="107"/>
      <c r="H64" s="107"/>
    </row>
    <row r="65" spans="1:8" ht="25.5" x14ac:dyDescent="0.2">
      <c r="A65" s="105">
        <v>41</v>
      </c>
      <c r="B65" s="105">
        <v>121</v>
      </c>
      <c r="C65" s="106" t="s">
        <v>244</v>
      </c>
      <c r="D65" s="107">
        <v>12109.1</v>
      </c>
      <c r="E65" s="107">
        <v>7808.1</v>
      </c>
      <c r="F65" s="107">
        <v>19351</v>
      </c>
      <c r="G65" s="107">
        <v>7808.1</v>
      </c>
      <c r="H65" s="107">
        <v>7808.1</v>
      </c>
    </row>
    <row r="66" spans="1:8" ht="38.25" x14ac:dyDescent="0.2">
      <c r="A66" s="105">
        <v>41</v>
      </c>
      <c r="B66" s="105">
        <v>221</v>
      </c>
      <c r="C66" s="106" t="s">
        <v>245</v>
      </c>
      <c r="D66" s="107">
        <v>77127.7</v>
      </c>
      <c r="E66" s="107">
        <v>80125</v>
      </c>
      <c r="F66" s="107">
        <v>80125</v>
      </c>
      <c r="G66" s="107">
        <v>85597.5</v>
      </c>
      <c r="H66" s="107">
        <v>85597.5</v>
      </c>
    </row>
    <row r="67" spans="1:8" ht="25.5" x14ac:dyDescent="0.2">
      <c r="A67" s="105">
        <v>41</v>
      </c>
      <c r="B67" s="105">
        <v>321</v>
      </c>
      <c r="C67" s="106" t="s">
        <v>261</v>
      </c>
      <c r="D67" s="107">
        <v>-22.2</v>
      </c>
      <c r="E67" s="107"/>
      <c r="F67" s="107"/>
      <c r="G67" s="107"/>
      <c r="H67" s="107"/>
    </row>
    <row r="68" spans="1:8" ht="25.5" x14ac:dyDescent="0.2">
      <c r="A68" s="105">
        <v>41</v>
      </c>
      <c r="B68" s="105">
        <v>420</v>
      </c>
      <c r="C68" s="106" t="s">
        <v>300</v>
      </c>
      <c r="D68" s="107">
        <v>-32</v>
      </c>
      <c r="E68" s="107"/>
      <c r="F68" s="107"/>
      <c r="G68" s="107"/>
      <c r="H68" s="107"/>
    </row>
    <row r="69" spans="1:8" x14ac:dyDescent="0.2">
      <c r="A69" s="105">
        <v>43</v>
      </c>
      <c r="B69" s="105">
        <v>110</v>
      </c>
      <c r="C69" s="106" t="s">
        <v>258</v>
      </c>
      <c r="D69" s="107">
        <v>-810</v>
      </c>
      <c r="E69" s="107"/>
      <c r="F69" s="107"/>
      <c r="G69" s="107"/>
      <c r="H69" s="107"/>
    </row>
    <row r="70" spans="1:8" ht="25.5" x14ac:dyDescent="0.2">
      <c r="A70" s="105">
        <v>43</v>
      </c>
      <c r="B70" s="105">
        <v>210</v>
      </c>
      <c r="C70" s="106" t="s">
        <v>259</v>
      </c>
      <c r="D70" s="107"/>
      <c r="E70" s="107"/>
      <c r="F70" s="107"/>
      <c r="G70" s="107"/>
      <c r="H70" s="107"/>
    </row>
    <row r="71" spans="1:8" ht="25.5" x14ac:dyDescent="0.2">
      <c r="A71" s="105">
        <v>43</v>
      </c>
      <c r="B71" s="105">
        <v>220</v>
      </c>
      <c r="C71" s="106" t="s">
        <v>215</v>
      </c>
      <c r="D71" s="107">
        <v>57345.7</v>
      </c>
      <c r="E71" s="107">
        <v>90000</v>
      </c>
      <c r="F71" s="107">
        <v>86000</v>
      </c>
      <c r="G71" s="107">
        <v>90000</v>
      </c>
      <c r="H71" s="107">
        <v>90000</v>
      </c>
    </row>
    <row r="72" spans="1:8" ht="38.25" x14ac:dyDescent="0.2">
      <c r="A72" s="105">
        <v>43</v>
      </c>
      <c r="B72" s="105">
        <v>510</v>
      </c>
      <c r="C72" s="106" t="s">
        <v>262</v>
      </c>
      <c r="D72" s="107">
        <v>-13.5</v>
      </c>
      <c r="E72" s="107"/>
      <c r="F72" s="107"/>
      <c r="G72" s="107"/>
      <c r="H72" s="107"/>
    </row>
    <row r="73" spans="1:8" ht="38.25" x14ac:dyDescent="0.2">
      <c r="A73" s="105">
        <v>43</v>
      </c>
      <c r="B73" s="105">
        <v>520</v>
      </c>
      <c r="C73" s="106" t="s">
        <v>262</v>
      </c>
      <c r="D73" s="107">
        <v>-86.4</v>
      </c>
      <c r="E73" s="107"/>
      <c r="F73" s="107"/>
      <c r="G73" s="107"/>
      <c r="H73" s="107"/>
    </row>
    <row r="74" spans="1:8" x14ac:dyDescent="0.2">
      <c r="A74" s="105">
        <v>43</v>
      </c>
      <c r="B74" s="105">
        <v>821</v>
      </c>
      <c r="C74" s="106" t="s">
        <v>182</v>
      </c>
      <c r="D74" s="107">
        <v>13230.1</v>
      </c>
      <c r="E74" s="107">
        <v>12383.2</v>
      </c>
      <c r="F74" s="107">
        <v>31145.5</v>
      </c>
      <c r="G74" s="107">
        <v>13621.6</v>
      </c>
      <c r="H74" s="107">
        <v>14983.7</v>
      </c>
    </row>
    <row r="75" spans="1:8" x14ac:dyDescent="0.2">
      <c r="A75" s="105">
        <v>44</v>
      </c>
      <c r="B75" s="105">
        <v>110</v>
      </c>
      <c r="C75" s="106" t="s">
        <v>208</v>
      </c>
      <c r="D75" s="107">
        <v>5349</v>
      </c>
      <c r="E75" s="107"/>
      <c r="F75" s="107">
        <v>150</v>
      </c>
      <c r="G75" s="107"/>
      <c r="H75" s="107"/>
    </row>
    <row r="76" spans="1:8" x14ac:dyDescent="0.2">
      <c r="A76" s="105">
        <v>44</v>
      </c>
      <c r="B76" s="105">
        <v>121</v>
      </c>
      <c r="C76" s="106" t="s">
        <v>207</v>
      </c>
      <c r="D76" s="107">
        <v>97111.2</v>
      </c>
      <c r="E76" s="107">
        <v>92033.600000000006</v>
      </c>
      <c r="F76" s="107">
        <v>91883.6</v>
      </c>
      <c r="G76" s="107">
        <v>92033.600000000006</v>
      </c>
      <c r="H76" s="107">
        <v>92033.600000000006</v>
      </c>
    </row>
    <row r="77" spans="1:8" x14ac:dyDescent="0.2">
      <c r="A77" s="105">
        <v>44</v>
      </c>
      <c r="B77" s="105">
        <v>121</v>
      </c>
      <c r="C77" s="106" t="s">
        <v>209</v>
      </c>
      <c r="D77" s="107">
        <v>46023.1</v>
      </c>
      <c r="E77" s="107">
        <v>50321.7</v>
      </c>
      <c r="F77" s="107">
        <v>50321.7</v>
      </c>
      <c r="G77" s="107">
        <v>50321.7</v>
      </c>
      <c r="H77" s="107">
        <v>50321.7</v>
      </c>
    </row>
    <row r="78" spans="1:8" x14ac:dyDescent="0.2">
      <c r="A78" s="105">
        <v>44</v>
      </c>
      <c r="B78" s="105">
        <v>821</v>
      </c>
      <c r="C78" s="106" t="s">
        <v>301</v>
      </c>
      <c r="D78" s="107">
        <v>2584.9</v>
      </c>
      <c r="E78" s="107">
        <v>2950</v>
      </c>
      <c r="F78" s="107">
        <v>2950</v>
      </c>
      <c r="G78" s="107">
        <v>3060</v>
      </c>
      <c r="H78" s="107">
        <v>3170</v>
      </c>
    </row>
    <row r="79" spans="1:8" ht="25.5" x14ac:dyDescent="0.2">
      <c r="A79" s="105">
        <v>44</v>
      </c>
      <c r="B79" s="105">
        <v>210</v>
      </c>
      <c r="C79" s="106" t="s">
        <v>302</v>
      </c>
      <c r="D79" s="107">
        <v>-2.6</v>
      </c>
      <c r="E79" s="107"/>
      <c r="F79" s="107"/>
      <c r="G79" s="107"/>
      <c r="H79" s="107"/>
    </row>
    <row r="80" spans="1:8" ht="25.5" x14ac:dyDescent="0.2">
      <c r="A80" s="105">
        <v>44</v>
      </c>
      <c r="B80" s="105">
        <v>410</v>
      </c>
      <c r="C80" s="106" t="s">
        <v>210</v>
      </c>
      <c r="D80" s="107">
        <v>4646.3999999999996</v>
      </c>
      <c r="E80" s="107"/>
      <c r="F80" s="107">
        <v>5815</v>
      </c>
      <c r="G80" s="107"/>
      <c r="H80" s="107"/>
    </row>
    <row r="81" spans="1:8" ht="25.5" x14ac:dyDescent="0.2">
      <c r="A81" s="105">
        <v>44</v>
      </c>
      <c r="B81" s="105">
        <v>420</v>
      </c>
      <c r="C81" s="106" t="s">
        <v>211</v>
      </c>
      <c r="D81" s="107">
        <v>14995.1</v>
      </c>
      <c r="E81" s="107">
        <v>13120</v>
      </c>
      <c r="F81" s="107">
        <v>10505</v>
      </c>
      <c r="G81" s="107">
        <v>13120</v>
      </c>
      <c r="H81" s="107">
        <v>13120</v>
      </c>
    </row>
    <row r="82" spans="1:8" x14ac:dyDescent="0.2">
      <c r="A82" s="105">
        <v>44</v>
      </c>
      <c r="B82" s="105">
        <v>521</v>
      </c>
      <c r="C82" s="106" t="s">
        <v>263</v>
      </c>
      <c r="D82" s="107">
        <v>716</v>
      </c>
      <c r="E82" s="107"/>
      <c r="F82" s="107"/>
      <c r="G82" s="107"/>
      <c r="H82" s="107"/>
    </row>
    <row r="83" spans="1:8" ht="38.25" x14ac:dyDescent="0.2">
      <c r="A83" s="105">
        <v>44</v>
      </c>
      <c r="B83" s="105">
        <v>721</v>
      </c>
      <c r="C83" s="106" t="s">
        <v>289</v>
      </c>
      <c r="D83" s="107">
        <v>704.4</v>
      </c>
      <c r="E83" s="107"/>
      <c r="F83" s="107"/>
      <c r="G83" s="107"/>
      <c r="H83" s="107"/>
    </row>
    <row r="84" spans="1:8" ht="38.25" x14ac:dyDescent="0.2">
      <c r="A84" s="105">
        <v>44</v>
      </c>
      <c r="B84" s="105">
        <v>821</v>
      </c>
      <c r="C84" s="106" t="s">
        <v>288</v>
      </c>
      <c r="D84" s="107">
        <v>87.8</v>
      </c>
      <c r="E84" s="107"/>
      <c r="F84" s="107"/>
      <c r="G84" s="107"/>
      <c r="H84" s="107"/>
    </row>
    <row r="85" spans="1:8" x14ac:dyDescent="0.2">
      <c r="A85" s="105">
        <v>45</v>
      </c>
      <c r="B85" s="105">
        <v>121</v>
      </c>
      <c r="C85" s="106" t="s">
        <v>183</v>
      </c>
      <c r="D85" s="107">
        <v>5679.9</v>
      </c>
      <c r="E85" s="107">
        <v>7212.1</v>
      </c>
      <c r="F85" s="107">
        <v>7212.1</v>
      </c>
      <c r="G85" s="107">
        <v>7362.9</v>
      </c>
      <c r="H85" s="107">
        <v>7518.2</v>
      </c>
    </row>
    <row r="86" spans="1:8" ht="25.5" x14ac:dyDescent="0.2">
      <c r="A86" s="105">
        <v>45</v>
      </c>
      <c r="B86" s="105">
        <v>320</v>
      </c>
      <c r="C86" s="106" t="s">
        <v>291</v>
      </c>
      <c r="D86" s="107">
        <v>131.6</v>
      </c>
      <c r="E86" s="107"/>
      <c r="F86" s="107"/>
      <c r="G86" s="107"/>
      <c r="H86" s="107"/>
    </row>
    <row r="87" spans="1:8" ht="25.5" x14ac:dyDescent="0.2">
      <c r="A87" s="105">
        <v>45</v>
      </c>
      <c r="B87" s="105">
        <v>420</v>
      </c>
      <c r="C87" s="106" t="s">
        <v>290</v>
      </c>
      <c r="D87" s="107">
        <v>1368</v>
      </c>
      <c r="E87" s="107">
        <v>1500</v>
      </c>
      <c r="F87" s="107">
        <v>1500</v>
      </c>
      <c r="G87" s="107">
        <v>1500</v>
      </c>
      <c r="H87" s="107">
        <v>1500</v>
      </c>
    </row>
    <row r="88" spans="1:8" x14ac:dyDescent="0.2">
      <c r="A88" s="105">
        <v>48</v>
      </c>
      <c r="B88" s="105">
        <v>110</v>
      </c>
      <c r="C88" s="106" t="s">
        <v>184</v>
      </c>
      <c r="D88" s="107">
        <v>3024.8</v>
      </c>
      <c r="E88" s="107"/>
      <c r="F88" s="107">
        <v>23940</v>
      </c>
      <c r="G88" s="107"/>
      <c r="H88" s="107"/>
    </row>
    <row r="89" spans="1:8" x14ac:dyDescent="0.2">
      <c r="A89" s="105">
        <v>48</v>
      </c>
      <c r="B89" s="105">
        <v>120</v>
      </c>
      <c r="C89" s="106" t="s">
        <v>185</v>
      </c>
      <c r="D89" s="107">
        <v>153164.70000000001</v>
      </c>
      <c r="E89" s="107">
        <v>157872</v>
      </c>
      <c r="F89" s="107">
        <v>133932</v>
      </c>
      <c r="G89" s="107">
        <v>159766.5</v>
      </c>
      <c r="H89" s="107">
        <v>161683.70000000001</v>
      </c>
    </row>
    <row r="90" spans="1:8" ht="25.5" x14ac:dyDescent="0.2">
      <c r="A90" s="105">
        <v>50</v>
      </c>
      <c r="B90" s="105">
        <v>121</v>
      </c>
      <c r="C90" s="106" t="s">
        <v>223</v>
      </c>
      <c r="D90" s="107">
        <v>600</v>
      </c>
      <c r="E90" s="107"/>
      <c r="F90" s="107"/>
      <c r="G90" s="107"/>
      <c r="H90" s="107"/>
    </row>
    <row r="91" spans="1:8" ht="25.5" x14ac:dyDescent="0.2">
      <c r="A91" s="105">
        <v>51</v>
      </c>
      <c r="B91" s="105">
        <v>110</v>
      </c>
      <c r="C91" s="106" t="s">
        <v>292</v>
      </c>
      <c r="D91" s="107"/>
      <c r="E91" s="107"/>
      <c r="F91" s="107">
        <v>3556.2</v>
      </c>
      <c r="G91" s="107"/>
      <c r="H91" s="107"/>
    </row>
    <row r="92" spans="1:8" ht="25.5" x14ac:dyDescent="0.2">
      <c r="A92" s="105">
        <v>52</v>
      </c>
      <c r="B92" s="105">
        <v>110</v>
      </c>
      <c r="C92" s="106" t="s">
        <v>264</v>
      </c>
      <c r="D92" s="107">
        <v>584.70000000000005</v>
      </c>
      <c r="E92" s="107"/>
      <c r="F92" s="107"/>
      <c r="G92" s="107"/>
      <c r="H92" s="107"/>
    </row>
    <row r="93" spans="1:8" ht="25.5" x14ac:dyDescent="0.2">
      <c r="A93" s="105">
        <v>52</v>
      </c>
      <c r="B93" s="105">
        <v>120</v>
      </c>
      <c r="C93" s="106" t="s">
        <v>224</v>
      </c>
      <c r="D93" s="107">
        <v>113878.7</v>
      </c>
      <c r="E93" s="107">
        <v>100000</v>
      </c>
      <c r="F93" s="107">
        <v>100000</v>
      </c>
      <c r="G93" s="107">
        <v>100000</v>
      </c>
      <c r="H93" s="107">
        <v>100000</v>
      </c>
    </row>
    <row r="94" spans="1:8" x14ac:dyDescent="0.2">
      <c r="A94" s="105">
        <v>53</v>
      </c>
      <c r="B94" s="105">
        <v>110</v>
      </c>
      <c r="C94" s="106" t="s">
        <v>225</v>
      </c>
      <c r="D94" s="107">
        <v>156245.6</v>
      </c>
      <c r="E94" s="107">
        <v>161173.6</v>
      </c>
      <c r="F94" s="107">
        <v>189305.7</v>
      </c>
      <c r="G94" s="107">
        <v>169232.3</v>
      </c>
      <c r="H94" s="107">
        <v>177693.9</v>
      </c>
    </row>
    <row r="95" spans="1:8" x14ac:dyDescent="0.2">
      <c r="A95" s="105">
        <v>53</v>
      </c>
      <c r="B95" s="105">
        <v>120</v>
      </c>
      <c r="C95" s="106" t="s">
        <v>226</v>
      </c>
      <c r="D95" s="116">
        <v>117913.3</v>
      </c>
      <c r="E95" s="107">
        <v>112636.3</v>
      </c>
      <c r="F95" s="107">
        <v>150936.29999999999</v>
      </c>
      <c r="G95" s="107">
        <v>118268.1</v>
      </c>
      <c r="H95" s="107">
        <v>124181.5</v>
      </c>
    </row>
    <row r="96" spans="1:8" ht="25.5" x14ac:dyDescent="0.2">
      <c r="A96" s="105">
        <v>53</v>
      </c>
      <c r="B96" s="105">
        <v>310</v>
      </c>
      <c r="C96" s="106" t="s">
        <v>227</v>
      </c>
      <c r="D96" s="107">
        <v>2873.3</v>
      </c>
      <c r="E96" s="107">
        <v>2761.5</v>
      </c>
      <c r="F96" s="107">
        <v>2761.5</v>
      </c>
      <c r="G96" s="107">
        <v>2788</v>
      </c>
      <c r="H96" s="107">
        <v>2831.8</v>
      </c>
    </row>
    <row r="97" spans="1:8" ht="25.5" x14ac:dyDescent="0.2">
      <c r="A97" s="105">
        <v>53</v>
      </c>
      <c r="B97" s="105">
        <v>320</v>
      </c>
      <c r="C97" s="106" t="s">
        <v>228</v>
      </c>
      <c r="D97" s="107">
        <v>24634.400000000001</v>
      </c>
      <c r="E97" s="107">
        <v>25610</v>
      </c>
      <c r="F97" s="107">
        <v>25610</v>
      </c>
      <c r="G97" s="107">
        <v>26037</v>
      </c>
      <c r="H97" s="107">
        <v>26295.8</v>
      </c>
    </row>
    <row r="98" spans="1:8" ht="25.5" x14ac:dyDescent="0.2">
      <c r="A98" s="105">
        <v>54</v>
      </c>
      <c r="B98" s="105">
        <v>110</v>
      </c>
      <c r="C98" s="106" t="s">
        <v>265</v>
      </c>
      <c r="D98" s="107">
        <v>-17249.8</v>
      </c>
      <c r="E98" s="107"/>
      <c r="F98" s="107">
        <v>-2278.9</v>
      </c>
      <c r="G98" s="107"/>
      <c r="H98" s="107"/>
    </row>
    <row r="99" spans="1:8" ht="25.5" x14ac:dyDescent="0.2">
      <c r="A99" s="105">
        <v>55</v>
      </c>
      <c r="B99" s="105">
        <v>110</v>
      </c>
      <c r="C99" s="106" t="s">
        <v>239</v>
      </c>
      <c r="D99" s="107">
        <v>-19155.599999999999</v>
      </c>
      <c r="E99" s="107">
        <v>12000</v>
      </c>
      <c r="F99" s="107">
        <v>12000</v>
      </c>
      <c r="G99" s="107">
        <v>12000</v>
      </c>
      <c r="H99" s="107">
        <v>12000</v>
      </c>
    </row>
    <row r="100" spans="1:8" ht="25.5" x14ac:dyDescent="0.2">
      <c r="A100" s="105">
        <v>55</v>
      </c>
      <c r="B100" s="105">
        <v>420</v>
      </c>
      <c r="C100" s="106" t="s">
        <v>303</v>
      </c>
      <c r="D100" s="107">
        <v>2133.3000000000002</v>
      </c>
      <c r="E100" s="107">
        <v>5420.8</v>
      </c>
      <c r="F100" s="107">
        <v>5376.4</v>
      </c>
      <c r="G100" s="107">
        <v>5420.8</v>
      </c>
      <c r="H100" s="107">
        <v>5420.8</v>
      </c>
    </row>
    <row r="101" spans="1:8" ht="25.5" x14ac:dyDescent="0.2">
      <c r="A101" s="105">
        <v>56</v>
      </c>
      <c r="B101" s="105">
        <v>121</v>
      </c>
      <c r="C101" s="106" t="s">
        <v>267</v>
      </c>
      <c r="D101" s="107">
        <v>607.5</v>
      </c>
      <c r="E101" s="107"/>
      <c r="F101" s="107">
        <v>2650.8</v>
      </c>
      <c r="G101" s="107"/>
      <c r="H101" s="107"/>
    </row>
    <row r="102" spans="1:8" ht="25.5" x14ac:dyDescent="0.2">
      <c r="A102" s="105">
        <v>56</v>
      </c>
      <c r="B102" s="105">
        <v>121</v>
      </c>
      <c r="C102" s="106" t="s">
        <v>268</v>
      </c>
      <c r="D102" s="107"/>
      <c r="E102" s="107"/>
      <c r="F102" s="107"/>
      <c r="G102" s="107"/>
      <c r="H102" s="107"/>
    </row>
    <row r="103" spans="1:8" ht="25.5" x14ac:dyDescent="0.2">
      <c r="A103" s="105">
        <v>57</v>
      </c>
      <c r="B103" s="105">
        <v>110</v>
      </c>
      <c r="C103" s="106" t="s">
        <v>293</v>
      </c>
      <c r="D103" s="107">
        <v>-6969.8</v>
      </c>
      <c r="E103" s="107"/>
      <c r="F103" s="107"/>
      <c r="G103" s="107"/>
      <c r="H103" s="107"/>
    </row>
    <row r="104" spans="1:8" ht="25.5" x14ac:dyDescent="0.2">
      <c r="A104" s="105">
        <v>60</v>
      </c>
      <c r="B104" s="105">
        <v>110</v>
      </c>
      <c r="C104" s="106" t="s">
        <v>266</v>
      </c>
      <c r="D104" s="107"/>
      <c r="E104" s="107"/>
      <c r="F104" s="107"/>
      <c r="G104" s="107"/>
      <c r="H104" s="107"/>
    </row>
    <row r="105" spans="1:8" ht="25.5" x14ac:dyDescent="0.2">
      <c r="A105" s="105">
        <v>62</v>
      </c>
      <c r="B105" s="105">
        <v>120</v>
      </c>
      <c r="C105" s="106" t="s">
        <v>186</v>
      </c>
      <c r="D105" s="107">
        <v>2038.5</v>
      </c>
      <c r="E105" s="107">
        <v>5000</v>
      </c>
      <c r="F105" s="107">
        <v>3020</v>
      </c>
      <c r="G105" s="107">
        <v>5500</v>
      </c>
      <c r="H105" s="107">
        <v>6000</v>
      </c>
    </row>
    <row r="106" spans="1:8" ht="25.5" x14ac:dyDescent="0.2">
      <c r="A106" s="105">
        <v>63</v>
      </c>
      <c r="B106" s="105">
        <v>110</v>
      </c>
      <c r="C106" s="106" t="s">
        <v>294</v>
      </c>
      <c r="D106" s="107">
        <v>21926.1</v>
      </c>
      <c r="E106" s="107"/>
      <c r="F106" s="107">
        <v>26154.400000000001</v>
      </c>
      <c r="G106" s="107"/>
      <c r="H106" s="107"/>
    </row>
    <row r="107" spans="1:8" ht="25.5" x14ac:dyDescent="0.2">
      <c r="A107" s="105">
        <v>63</v>
      </c>
      <c r="B107" s="105">
        <v>130</v>
      </c>
      <c r="C107" s="106" t="s">
        <v>304</v>
      </c>
      <c r="D107" s="107">
        <v>-26586.3</v>
      </c>
      <c r="E107" s="107">
        <v>4907.7</v>
      </c>
      <c r="F107" s="107">
        <v>-21246.7</v>
      </c>
      <c r="G107" s="107">
        <v>4416.8999999999996</v>
      </c>
      <c r="H107" s="107">
        <v>3975.2</v>
      </c>
    </row>
    <row r="108" spans="1:8" ht="38.25" x14ac:dyDescent="0.2">
      <c r="A108" s="105">
        <v>63</v>
      </c>
      <c r="B108" s="105">
        <v>140</v>
      </c>
      <c r="C108" s="106" t="s">
        <v>305</v>
      </c>
      <c r="D108" s="107">
        <v>-0.6</v>
      </c>
      <c r="E108" s="107"/>
      <c r="F108" s="107"/>
      <c r="G108" s="107"/>
      <c r="H108" s="107"/>
    </row>
    <row r="109" spans="1:8" x14ac:dyDescent="0.2">
      <c r="A109" s="105">
        <v>64</v>
      </c>
      <c r="B109" s="105">
        <v>110</v>
      </c>
      <c r="C109" s="106" t="s">
        <v>229</v>
      </c>
      <c r="D109" s="107">
        <v>148.4</v>
      </c>
      <c r="E109" s="107">
        <v>309.39999999999998</v>
      </c>
      <c r="F109" s="107">
        <v>309.39999999999998</v>
      </c>
      <c r="G109" s="107">
        <v>210</v>
      </c>
      <c r="H109" s="107">
        <v>210</v>
      </c>
    </row>
    <row r="110" spans="1:8" x14ac:dyDescent="0.2">
      <c r="A110" s="105">
        <v>64</v>
      </c>
      <c r="B110" s="105">
        <v>120</v>
      </c>
      <c r="C110" s="106" t="s">
        <v>216</v>
      </c>
      <c r="D110" s="107">
        <v>3062.7</v>
      </c>
      <c r="E110" s="107">
        <v>1265</v>
      </c>
      <c r="F110" s="107">
        <v>11891.7</v>
      </c>
      <c r="G110" s="107">
        <v>1412.1</v>
      </c>
      <c r="H110" s="107">
        <v>1412.1</v>
      </c>
    </row>
    <row r="111" spans="1:8" ht="25.5" x14ac:dyDescent="0.2">
      <c r="A111" s="105">
        <v>65</v>
      </c>
      <c r="B111" s="105">
        <v>110</v>
      </c>
      <c r="C111" s="106" t="s">
        <v>269</v>
      </c>
      <c r="D111" s="107">
        <v>-567.29999999999995</v>
      </c>
      <c r="E111" s="107"/>
      <c r="F111" s="107"/>
      <c r="G111" s="107"/>
      <c r="H111" s="107"/>
    </row>
    <row r="112" spans="1:8" x14ac:dyDescent="0.2">
      <c r="A112" s="105">
        <v>68</v>
      </c>
      <c r="B112" s="105">
        <v>120</v>
      </c>
      <c r="C112" s="106" t="s">
        <v>306</v>
      </c>
      <c r="D112" s="107"/>
      <c r="E112" s="107"/>
      <c r="F112" s="107"/>
      <c r="G112" s="107"/>
      <c r="H112" s="107"/>
    </row>
    <row r="113" spans="1:8" x14ac:dyDescent="0.2">
      <c r="A113" s="105">
        <v>70</v>
      </c>
      <c r="B113" s="105">
        <v>120</v>
      </c>
      <c r="C113" s="106" t="s">
        <v>307</v>
      </c>
      <c r="D113" s="107">
        <v>10241.200000000001</v>
      </c>
      <c r="E113" s="107"/>
      <c r="F113" s="107">
        <v>6018.1</v>
      </c>
      <c r="G113" s="107"/>
      <c r="H113" s="107"/>
    </row>
    <row r="114" spans="1:8" ht="25.5" x14ac:dyDescent="0.2">
      <c r="A114" s="105">
        <v>72</v>
      </c>
      <c r="B114" s="105">
        <v>110</v>
      </c>
      <c r="C114" s="106" t="s">
        <v>270</v>
      </c>
      <c r="D114" s="107"/>
      <c r="E114" s="107"/>
      <c r="F114" s="107"/>
      <c r="G114" s="107"/>
      <c r="H114" s="107"/>
    </row>
    <row r="115" spans="1:8" ht="25.5" x14ac:dyDescent="0.2">
      <c r="A115" s="105">
        <v>72</v>
      </c>
      <c r="B115" s="105">
        <v>120</v>
      </c>
      <c r="C115" s="106" t="s">
        <v>271</v>
      </c>
      <c r="D115" s="107"/>
      <c r="E115" s="107"/>
      <c r="F115" s="107"/>
      <c r="G115" s="107"/>
      <c r="H115" s="107"/>
    </row>
    <row r="116" spans="1:8" x14ac:dyDescent="0.2">
      <c r="A116" s="105">
        <v>73</v>
      </c>
      <c r="B116" s="105">
        <v>110</v>
      </c>
      <c r="C116" s="106" t="s">
        <v>295</v>
      </c>
      <c r="D116" s="107"/>
      <c r="E116" s="107"/>
      <c r="F116" s="107">
        <v>853.5</v>
      </c>
      <c r="G116" s="107"/>
      <c r="H116" s="107"/>
    </row>
    <row r="117" spans="1:8" ht="25.5" x14ac:dyDescent="0.2">
      <c r="A117" s="105">
        <v>73</v>
      </c>
      <c r="B117" s="105">
        <v>221</v>
      </c>
      <c r="C117" s="106" t="s">
        <v>274</v>
      </c>
      <c r="D117" s="107">
        <v>1372.6</v>
      </c>
      <c r="E117" s="107">
        <v>1764.1</v>
      </c>
      <c r="F117" s="107">
        <v>1764.1</v>
      </c>
      <c r="G117" s="107">
        <v>1881.5</v>
      </c>
      <c r="H117" s="107">
        <v>1904.1</v>
      </c>
    </row>
    <row r="118" spans="1:8" x14ac:dyDescent="0.2">
      <c r="A118" s="105">
        <v>74</v>
      </c>
      <c r="B118" s="105">
        <v>110</v>
      </c>
      <c r="C118" s="106" t="s">
        <v>272</v>
      </c>
      <c r="D118" s="107">
        <v>4695.2</v>
      </c>
      <c r="E118" s="107">
        <v>16000</v>
      </c>
      <c r="F118" s="107">
        <v>15378.9</v>
      </c>
      <c r="G118" s="107">
        <v>16000</v>
      </c>
      <c r="H118" s="107">
        <v>16000</v>
      </c>
    </row>
    <row r="119" spans="1:8" x14ac:dyDescent="0.2">
      <c r="A119" s="105">
        <v>74</v>
      </c>
      <c r="B119" s="105">
        <v>120</v>
      </c>
      <c r="C119" s="106" t="s">
        <v>273</v>
      </c>
      <c r="D119" s="107">
        <v>4988</v>
      </c>
      <c r="E119" s="107">
        <v>18000</v>
      </c>
      <c r="F119" s="107">
        <v>31547.9</v>
      </c>
      <c r="G119" s="107">
        <v>18000</v>
      </c>
      <c r="H119" s="107">
        <v>18000</v>
      </c>
    </row>
    <row r="120" spans="1:8" ht="25.5" x14ac:dyDescent="0.2">
      <c r="A120" s="105">
        <v>75</v>
      </c>
      <c r="B120" s="105">
        <v>120</v>
      </c>
      <c r="C120" s="106" t="s">
        <v>275</v>
      </c>
      <c r="D120" s="107">
        <v>-7000</v>
      </c>
      <c r="E120" s="107"/>
      <c r="F120" s="107">
        <v>-3080.7</v>
      </c>
      <c r="G120" s="107"/>
      <c r="H120" s="107"/>
    </row>
    <row r="121" spans="1:8" x14ac:dyDescent="0.2">
      <c r="A121" s="105">
        <v>76</v>
      </c>
      <c r="B121" s="105">
        <v>121</v>
      </c>
      <c r="C121" s="106" t="s">
        <v>276</v>
      </c>
      <c r="D121" s="107">
        <v>-20.5</v>
      </c>
      <c r="E121" s="107"/>
      <c r="F121" s="107"/>
      <c r="G121" s="107"/>
      <c r="H121" s="107"/>
    </row>
    <row r="122" spans="1:8" x14ac:dyDescent="0.2">
      <c r="A122" s="105">
        <v>77</v>
      </c>
      <c r="B122" s="105">
        <v>110</v>
      </c>
      <c r="C122" s="106" t="s">
        <v>187</v>
      </c>
      <c r="D122" s="107">
        <v>4193.1000000000004</v>
      </c>
      <c r="E122" s="107">
        <v>5500</v>
      </c>
      <c r="F122" s="107">
        <v>5500</v>
      </c>
      <c r="G122" s="107">
        <v>5700</v>
      </c>
      <c r="H122" s="107">
        <v>5900</v>
      </c>
    </row>
    <row r="123" spans="1:8" x14ac:dyDescent="0.2">
      <c r="A123" s="105">
        <v>80</v>
      </c>
      <c r="B123" s="105">
        <v>120</v>
      </c>
      <c r="C123" s="106" t="s">
        <v>188</v>
      </c>
      <c r="D123" s="107">
        <v>20415.7</v>
      </c>
      <c r="E123" s="107">
        <v>30500</v>
      </c>
      <c r="F123" s="107">
        <v>30500</v>
      </c>
      <c r="G123" s="107">
        <v>33000</v>
      </c>
      <c r="H123" s="107">
        <v>36000</v>
      </c>
    </row>
    <row r="124" spans="1:8" ht="25.5" x14ac:dyDescent="0.2">
      <c r="A124" s="105">
        <v>81</v>
      </c>
      <c r="B124" s="105">
        <v>120</v>
      </c>
      <c r="C124" s="106" t="s">
        <v>240</v>
      </c>
      <c r="D124" s="107">
        <v>60009.7</v>
      </c>
      <c r="E124" s="107">
        <v>70700</v>
      </c>
      <c r="F124" s="107">
        <v>63000</v>
      </c>
      <c r="G124" s="107">
        <v>69039</v>
      </c>
      <c r="H124" s="107">
        <v>70713</v>
      </c>
    </row>
    <row r="125" spans="1:8" ht="38.25" x14ac:dyDescent="0.2">
      <c r="A125" s="105">
        <v>82</v>
      </c>
      <c r="B125" s="105">
        <v>110</v>
      </c>
      <c r="C125" s="106" t="s">
        <v>277</v>
      </c>
      <c r="D125" s="107">
        <v>3508.8</v>
      </c>
      <c r="E125" s="107"/>
      <c r="F125" s="107"/>
      <c r="G125" s="107"/>
      <c r="H125" s="107"/>
    </row>
    <row r="126" spans="1:8" x14ac:dyDescent="0.2">
      <c r="A126" s="105">
        <v>85</v>
      </c>
      <c r="B126" s="105">
        <v>121</v>
      </c>
      <c r="C126" s="106" t="s">
        <v>278</v>
      </c>
      <c r="D126" s="107">
        <v>6276.3</v>
      </c>
      <c r="E126" s="107"/>
      <c r="F126" s="107"/>
      <c r="G126" s="107"/>
      <c r="H126" s="107"/>
    </row>
    <row r="127" spans="1:8" x14ac:dyDescent="0.2">
      <c r="A127" s="105">
        <v>85</v>
      </c>
      <c r="B127" s="105">
        <v>321</v>
      </c>
      <c r="C127" s="106" t="s">
        <v>279</v>
      </c>
      <c r="D127" s="107">
        <v>424.2</v>
      </c>
      <c r="E127" s="107"/>
      <c r="F127" s="107"/>
      <c r="G127" s="107"/>
      <c r="H127" s="107"/>
    </row>
    <row r="128" spans="1:8" x14ac:dyDescent="0.2">
      <c r="A128" s="105">
        <v>86</v>
      </c>
      <c r="B128" s="105">
        <v>110</v>
      </c>
      <c r="C128" s="106" t="s">
        <v>308</v>
      </c>
      <c r="D128" s="107">
        <v>514.29999999999995</v>
      </c>
      <c r="E128" s="107"/>
      <c r="F128" s="107">
        <v>550</v>
      </c>
      <c r="G128" s="107"/>
      <c r="H128" s="107"/>
    </row>
    <row r="129" spans="1:8" ht="25.5" x14ac:dyDescent="0.2">
      <c r="A129" s="105">
        <v>87</v>
      </c>
      <c r="B129" s="105">
        <v>120</v>
      </c>
      <c r="C129" s="106" t="s">
        <v>280</v>
      </c>
      <c r="D129" s="107"/>
      <c r="E129" s="107"/>
      <c r="F129" s="107"/>
      <c r="G129" s="107"/>
      <c r="H129" s="107"/>
    </row>
    <row r="130" spans="1:8" x14ac:dyDescent="0.2">
      <c r="A130" s="105">
        <v>87</v>
      </c>
      <c r="B130" s="105">
        <v>220</v>
      </c>
      <c r="C130" s="106" t="s">
        <v>281</v>
      </c>
      <c r="D130" s="107"/>
      <c r="E130" s="107"/>
      <c r="F130" s="107"/>
      <c r="G130" s="107"/>
      <c r="H130" s="107"/>
    </row>
    <row r="131" spans="1:8" x14ac:dyDescent="0.2">
      <c r="A131" s="112"/>
      <c r="B131" s="112"/>
      <c r="C131" s="109" t="s">
        <v>200</v>
      </c>
      <c r="D131" s="110">
        <v>9504043.5999999959</v>
      </c>
      <c r="E131" s="110">
        <v>8811088.1999999993</v>
      </c>
      <c r="F131" s="110">
        <v>9650524.4000000004</v>
      </c>
      <c r="G131" s="110">
        <v>10579200.100000001</v>
      </c>
      <c r="H131" s="110">
        <v>10667634.199999999</v>
      </c>
    </row>
    <row r="132" spans="1:8" x14ac:dyDescent="0.2">
      <c r="E132" s="115"/>
      <c r="F132" s="115"/>
      <c r="G132" s="115"/>
      <c r="H132" s="115"/>
    </row>
    <row r="133" spans="1:8" x14ac:dyDescent="0.2">
      <c r="A133" s="114"/>
      <c r="B133" s="114"/>
      <c r="E133" s="115"/>
      <c r="F133" s="115"/>
      <c r="G133" s="115"/>
      <c r="H133" s="115"/>
    </row>
    <row r="134" spans="1:8" x14ac:dyDescent="0.2">
      <c r="A134" s="114"/>
      <c r="B134" s="114"/>
      <c r="F134" s="115"/>
    </row>
    <row r="135" spans="1:8" x14ac:dyDescent="0.2">
      <c r="E135" s="115"/>
      <c r="F135" s="115"/>
      <c r="G135" s="115"/>
      <c r="H135" s="115"/>
    </row>
  </sheetData>
  <mergeCells count="14">
    <mergeCell ref="A1:H1"/>
    <mergeCell ref="D7:D8"/>
    <mergeCell ref="E7:E8"/>
    <mergeCell ref="F7:F8"/>
    <mergeCell ref="G7:G8"/>
    <mergeCell ref="H7:H8"/>
    <mergeCell ref="A3:H3"/>
    <mergeCell ref="A5:H5"/>
    <mergeCell ref="A4:H4"/>
    <mergeCell ref="A2:H2"/>
    <mergeCell ref="A7:A8"/>
    <mergeCell ref="B7:B8"/>
    <mergeCell ref="C7:C8"/>
    <mergeCell ref="A6:H6"/>
  </mergeCells>
  <printOptions horizontalCentered="1"/>
  <pageMargins left="0.39370078740157483" right="0.39370078740157483" top="0.59055118110236227" bottom="0.59055118110236227" header="0" footer="0.19685039370078741"/>
  <pageSetup paperSize="9" scale="74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F6D542C-55AB-49F4-9643-FCCB8862B7E7}"/>
</file>

<file path=customXml/itemProps2.xml><?xml version="1.0" encoding="utf-8"?>
<ds:datastoreItem xmlns:ds="http://schemas.openxmlformats.org/officeDocument/2006/customXml" ds:itemID="{6EFB87F8-EC35-4D1D-A101-1F17D071B34D}"/>
</file>

<file path=customXml/itemProps3.xml><?xml version="1.0" encoding="utf-8"?>
<ds:datastoreItem xmlns:ds="http://schemas.openxmlformats.org/officeDocument/2006/customXml" ds:itemID="{ABD8D69C-C101-4473-B55A-00C55146FD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Анализ на 2014 год</vt:lpstr>
      <vt:lpstr>3-1-тиркеме</vt:lpstr>
      <vt:lpstr>'3-1-тиркеме'!Заголовки_для_печати</vt:lpstr>
      <vt:lpstr>'Анализ на 2014 год'!Заголовки_для_печати</vt:lpstr>
      <vt:lpstr>'3-1-тиркеме'!Область_печати</vt:lpstr>
      <vt:lpstr>'Анализ на 2014 год'!Область_печати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Дуйшоев Айбек Алибекович</dc:creator>
  <cp:lastModifiedBy>Исаев Алишер</cp:lastModifiedBy>
  <cp:lastPrinted>2018-12-07T05:57:42Z</cp:lastPrinted>
  <dcterms:created xsi:type="dcterms:W3CDTF">2013-07-15T06:41:30Z</dcterms:created>
  <dcterms:modified xsi:type="dcterms:W3CDTF">2018-12-11T03:20:40Z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