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ismailov\Desktop\2019.12.03\Бюджет на 2019 (на официальном языке)\"/>
    </mc:Choice>
  </mc:AlternateContent>
  <bookViews>
    <workbookView xWindow="0" yWindow="0" windowWidth="28800" windowHeight="11745"/>
  </bookViews>
  <sheets>
    <sheet name="Приложение 11" sheetId="1" r:id="rId1"/>
  </sheets>
  <definedNames>
    <definedName name="_xlnm.Print_Titles" localSheetId="0">'Приложение 11'!$8:$10</definedName>
    <definedName name="_xlnm.Print_Area" localSheetId="0">'Приложение 11'!$A$1:$Q$760</definedName>
  </definedNames>
  <calcPr calcId="162913"/>
</workbook>
</file>

<file path=xl/calcChain.xml><?xml version="1.0" encoding="utf-8"?>
<calcChain xmlns="http://schemas.openxmlformats.org/spreadsheetml/2006/main">
  <c r="H494" i="1" l="1"/>
  <c r="H681" i="1" l="1"/>
  <c r="H659" i="1"/>
  <c r="H413" i="1"/>
  <c r="H474" i="1"/>
  <c r="H492" i="1"/>
  <c r="H482" i="1"/>
  <c r="H654" i="1" l="1"/>
  <c r="H653" i="1"/>
  <c r="H652" i="1"/>
  <c r="H645" i="1"/>
  <c r="H640" i="1"/>
  <c r="H637" i="1"/>
  <c r="H636" i="1"/>
  <c r="H635" i="1"/>
  <c r="H81" i="1"/>
  <c r="H43" i="1" l="1"/>
  <c r="H2021" i="1" l="1"/>
  <c r="J2018" i="1"/>
  <c r="I2018" i="1"/>
  <c r="H2018" i="1"/>
  <c r="J2015" i="1"/>
  <c r="J2021" i="1" s="1"/>
  <c r="I2015" i="1"/>
  <c r="I2021" i="1" s="1"/>
  <c r="H2015" i="1"/>
  <c r="H1997" i="1"/>
  <c r="H1996" i="1"/>
  <c r="H1998" i="1" s="1"/>
  <c r="H1990" i="1"/>
  <c r="H1985" i="1"/>
  <c r="H1982" i="1"/>
  <c r="H1988" i="1" s="1"/>
  <c r="H1975" i="1"/>
  <c r="H1956" i="1"/>
  <c r="H1946" i="1"/>
  <c r="H1936" i="1"/>
  <c r="H1929" i="1"/>
  <c r="H1959" i="1" s="1"/>
  <c r="H1916" i="1"/>
  <c r="H1922" i="1" s="1"/>
  <c r="H1905" i="1"/>
  <c r="H1896" i="1"/>
  <c r="H1887" i="1"/>
  <c r="H1903" i="1" s="1"/>
  <c r="H1883" i="1"/>
  <c r="H1885" i="1" s="1"/>
  <c r="H1877" i="1"/>
  <c r="H1873" i="1"/>
  <c r="H1868" i="1"/>
  <c r="H1863" i="1"/>
  <c r="H1881" i="1" s="1"/>
  <c r="H1861" i="1"/>
  <c r="H1859" i="1"/>
  <c r="H1853" i="1"/>
  <c r="H1849" i="1"/>
  <c r="H1857" i="1" s="1"/>
  <c r="H1843" i="1"/>
  <c r="H1835" i="1"/>
  <c r="H1847" i="1" s="1"/>
  <c r="H1831" i="1"/>
  <c r="H1826" i="1"/>
  <c r="H1823" i="1"/>
  <c r="H1815" i="1"/>
  <c r="H1833" i="1" s="1"/>
  <c r="H1809" i="1"/>
  <c r="H1806" i="1"/>
  <c r="H1805" i="1"/>
  <c r="H1797" i="1"/>
  <c r="H1796" i="1"/>
  <c r="H1794" i="1"/>
  <c r="H1793" i="1"/>
  <c r="H1792" i="1"/>
  <c r="H1791" i="1"/>
  <c r="H1790" i="1"/>
  <c r="H1789" i="1"/>
  <c r="H1788" i="1" s="1"/>
  <c r="H1813" i="1" s="1"/>
  <c r="H1775" i="1"/>
  <c r="H1766" i="1"/>
  <c r="H1786" i="1" s="1"/>
  <c r="H1748" i="1"/>
  <c r="H1746" i="1"/>
  <c r="H1745" i="1"/>
  <c r="H1735" i="1" s="1"/>
  <c r="H1764" i="1" s="1"/>
  <c r="H1727" i="1"/>
  <c r="H1721" i="1"/>
  <c r="H1733" i="1" s="1"/>
  <c r="H1716" i="1"/>
  <c r="H1715" i="1"/>
  <c r="H1714" i="1"/>
  <c r="H1719" i="1" s="1"/>
  <c r="H1711" i="1"/>
  <c r="H1710" i="1"/>
  <c r="H1709" i="1"/>
  <c r="H1712" i="1" s="1"/>
  <c r="H1704" i="1"/>
  <c r="H1699" i="1"/>
  <c r="H1707" i="1" s="1"/>
  <c r="H1697" i="1"/>
  <c r="H1690" i="1"/>
  <c r="H1686" i="1"/>
  <c r="H1682" i="1"/>
  <c r="H1680" i="1"/>
  <c r="H1674" i="1"/>
  <c r="H1669" i="1"/>
  <c r="H1662" i="1"/>
  <c r="H1684" i="1" s="1"/>
  <c r="H1652" i="1"/>
  <c r="H1639" i="1"/>
  <c r="H1626" i="1"/>
  <c r="H1637" i="1" s="1"/>
  <c r="H1619" i="1"/>
  <c r="H1614" i="1"/>
  <c r="H1610" i="1"/>
  <c r="H1607" i="1"/>
  <c r="H1601" i="1" s="1"/>
  <c r="H1617" i="1" s="1"/>
  <c r="H1597" i="1"/>
  <c r="H1595" i="1"/>
  <c r="H1593" i="1"/>
  <c r="H1585" i="1"/>
  <c r="H1599" i="1" s="1"/>
  <c r="H1582" i="1"/>
  <c r="H1554" i="1" s="1"/>
  <c r="H1583" i="1" s="1"/>
  <c r="H1548" i="1"/>
  <c r="H1543" i="1"/>
  <c r="H1539" i="1"/>
  <c r="H1535" i="1"/>
  <c r="H1527" i="1"/>
  <c r="H1546" i="1" s="1"/>
  <c r="H1525" i="1"/>
  <c r="H1518" i="1"/>
  <c r="H1512" i="1"/>
  <c r="H1503" i="1"/>
  <c r="H1496" i="1"/>
  <c r="H1495" i="1"/>
  <c r="H1493" i="1"/>
  <c r="H1492" i="1"/>
  <c r="H1490" i="1" s="1"/>
  <c r="H1510" i="1" s="1"/>
  <c r="H1477" i="1"/>
  <c r="H1473" i="1"/>
  <c r="J1471" i="1"/>
  <c r="I1471" i="1"/>
  <c r="H1471" i="1"/>
  <c r="H1475" i="1" s="1"/>
  <c r="G1471" i="1"/>
  <c r="F1471" i="1"/>
  <c r="H1463" i="1"/>
  <c r="H1459" i="1"/>
  <c r="H1453" i="1" s="1"/>
  <c r="H1455" i="1"/>
  <c r="H1447" i="1"/>
  <c r="H1443" i="1"/>
  <c r="H1440" i="1"/>
  <c r="H1439" i="1"/>
  <c r="H1436" i="1"/>
  <c r="H1435" i="1"/>
  <c r="H1433" i="1" s="1"/>
  <c r="H1428" i="1"/>
  <c r="H1423" i="1"/>
  <c r="H1421" i="1"/>
  <c r="H1417" i="1" s="1"/>
  <c r="H1419" i="1"/>
  <c r="H1415" i="1"/>
  <c r="H1407" i="1"/>
  <c r="H1406" i="1" s="1"/>
  <c r="H1405" i="1"/>
  <c r="H1404" i="1"/>
  <c r="H1402" i="1"/>
  <c r="H1398" i="1" s="1"/>
  <c r="H1401" i="1"/>
  <c r="H1400" i="1"/>
  <c r="H1396" i="1"/>
  <c r="H1395" i="1"/>
  <c r="H1394" i="1"/>
  <c r="H1393" i="1"/>
  <c r="H1392" i="1"/>
  <c r="H1389" i="1" s="1"/>
  <c r="H1391" i="1"/>
  <c r="H1390" i="1"/>
  <c r="H1387" i="1"/>
  <c r="H1346" i="1"/>
  <c r="H1329" i="1"/>
  <c r="H1317" i="1"/>
  <c r="H1313" i="1"/>
  <c r="H1310" i="1"/>
  <c r="H1308" i="1"/>
  <c r="H1307" i="1"/>
  <c r="H1306" i="1"/>
  <c r="H1305" i="1"/>
  <c r="H1304" i="1"/>
  <c r="H1303" i="1"/>
  <c r="H1302" i="1" s="1"/>
  <c r="H1301" i="1"/>
  <c r="H1300" i="1"/>
  <c r="H1299" i="1"/>
  <c r="H1298" i="1"/>
  <c r="H1297" i="1"/>
  <c r="H1296" i="1"/>
  <c r="H1295" i="1"/>
  <c r="H1294" i="1"/>
  <c r="H1293" i="1"/>
  <c r="H1292" i="1"/>
  <c r="H1291" i="1"/>
  <c r="H1315" i="1" s="1"/>
  <c r="H1287" i="1"/>
  <c r="H1279" i="1"/>
  <c r="H1275" i="1"/>
  <c r="H1271" i="1"/>
  <c r="H1270" i="1"/>
  <c r="H1265" i="1"/>
  <c r="H1258" i="1"/>
  <c r="H1255" i="1" s="1"/>
  <c r="H1246" i="1"/>
  <c r="H1242" i="1"/>
  <c r="H1241" i="1"/>
  <c r="H1239" i="1" s="1"/>
  <c r="H1240" i="1"/>
  <c r="H1237" i="1"/>
  <c r="H1234" i="1"/>
  <c r="H1233" i="1"/>
  <c r="H1230" i="1"/>
  <c r="H1227" i="1"/>
  <c r="H1226" i="1"/>
  <c r="H1221" i="1"/>
  <c r="H1213" i="1"/>
  <c r="H1203" i="1"/>
  <c r="H1202" i="1"/>
  <c r="H1195" i="1" s="1"/>
  <c r="H1200" i="1"/>
  <c r="H1191" i="1"/>
  <c r="H1190" i="1"/>
  <c r="H1188" i="1"/>
  <c r="H1181" i="1"/>
  <c r="H1193" i="1" s="1"/>
  <c r="H1179" i="1"/>
  <c r="H1164" i="1"/>
  <c r="H1159" i="1"/>
  <c r="H1151" i="1"/>
  <c r="H1157" i="1" s="1"/>
  <c r="H1143" i="1"/>
  <c r="H1139" i="1"/>
  <c r="H1138" i="1"/>
  <c r="H1137" i="1"/>
  <c r="H1136" i="1"/>
  <c r="H1135" i="1"/>
  <c r="H1134" i="1"/>
  <c r="H1133" i="1"/>
  <c r="H1132" i="1"/>
  <c r="H1131" i="1"/>
  <c r="H1130" i="1"/>
  <c r="H1127" i="1" s="1"/>
  <c r="H1141" i="1" s="1"/>
  <c r="H1129" i="1"/>
  <c r="H1128" i="1"/>
  <c r="H1121" i="1"/>
  <c r="H1120" i="1"/>
  <c r="H1119" i="1"/>
  <c r="H1118" i="1"/>
  <c r="H1114" i="1" s="1"/>
  <c r="H1125" i="1" s="1"/>
  <c r="H1116" i="1"/>
  <c r="H1115" i="1"/>
  <c r="H1112" i="1"/>
  <c r="H1103" i="1"/>
  <c r="H1095" i="1"/>
  <c r="H1088" i="1"/>
  <c r="H1083" i="1"/>
  <c r="H1080" i="1"/>
  <c r="H1071" i="1"/>
  <c r="H1066" i="1"/>
  <c r="H1093" i="1" s="1"/>
  <c r="H1058" i="1"/>
  <c r="H1052" i="1"/>
  <c r="H1051" i="1"/>
  <c r="H1056" i="1" s="1"/>
  <c r="H1048" i="1"/>
  <c r="H1047" i="1"/>
  <c r="H1046" i="1"/>
  <c r="H1045" i="1" s="1"/>
  <c r="H1044" i="1"/>
  <c r="H1042" i="1"/>
  <c r="H1041" i="1"/>
  <c r="H1040" i="1" s="1"/>
  <c r="H1035" i="1"/>
  <c r="H1038" i="1" s="1"/>
  <c r="H1030" i="1"/>
  <c r="H1027" i="1"/>
  <c r="H1023" i="1"/>
  <c r="H1020" i="1"/>
  <c r="H1016" i="1" s="1"/>
  <c r="H1018" i="1"/>
  <c r="H1017" i="1"/>
  <c r="H1015" i="1"/>
  <c r="H1010" i="1" s="1"/>
  <c r="H1013" i="1"/>
  <c r="H1012" i="1"/>
  <c r="H1008" i="1"/>
  <c r="H1004" i="1" s="1"/>
  <c r="H1006" i="1"/>
  <c r="H1002" i="1"/>
  <c r="H1001" i="1"/>
  <c r="H993" i="1" s="1"/>
  <c r="H998" i="1"/>
  <c r="H995" i="1"/>
  <c r="H984" i="1"/>
  <c r="H983" i="1" s="1"/>
  <c r="H979" i="1"/>
  <c r="H977" i="1"/>
  <c r="H976" i="1"/>
  <c r="H974" i="1"/>
  <c r="H981" i="1" s="1"/>
  <c r="H967" i="1"/>
  <c r="H957" i="1" s="1"/>
  <c r="H963" i="1"/>
  <c r="H958" i="1"/>
  <c r="H952" i="1"/>
  <c r="H946" i="1"/>
  <c r="H945" i="1"/>
  <c r="H939" i="1"/>
  <c r="H937" i="1"/>
  <c r="H931" i="1"/>
  <c r="H916" i="1"/>
  <c r="H911" i="1"/>
  <c r="H908" i="1"/>
  <c r="H901" i="1"/>
  <c r="H900" i="1"/>
  <c r="H894" i="1"/>
  <c r="H893" i="1"/>
  <c r="H876" i="1" s="1"/>
  <c r="H890" i="1"/>
  <c r="H888" i="1"/>
  <c r="H859" i="1"/>
  <c r="H850" i="1"/>
  <c r="H849" i="1"/>
  <c r="H848" i="1"/>
  <c r="H847" i="1"/>
  <c r="H846" i="1"/>
  <c r="H845" i="1"/>
  <c r="H843" i="1"/>
  <c r="H842" i="1"/>
  <c r="H841" i="1"/>
  <c r="H839" i="1"/>
  <c r="H838" i="1"/>
  <c r="H836" i="1" s="1"/>
  <c r="H852" i="1" s="1"/>
  <c r="H837" i="1"/>
  <c r="H833" i="1"/>
  <c r="H825" i="1" s="1"/>
  <c r="H816" i="1"/>
  <c r="H810" i="1"/>
  <c r="H799" i="1"/>
  <c r="H792" i="1" s="1"/>
  <c r="H798" i="1"/>
  <c r="H767" i="1"/>
  <c r="H765" i="1"/>
  <c r="H762" i="1" s="1"/>
  <c r="H763" i="1"/>
  <c r="H1032" i="1" l="1"/>
  <c r="H1460" i="1"/>
  <c r="H972" i="1"/>
  <c r="H1049" i="1"/>
  <c r="H834" i="1"/>
  <c r="H1289" i="1"/>
  <c r="H155" i="1" l="1"/>
  <c r="H165" i="1"/>
  <c r="H146" i="1" l="1"/>
  <c r="H715" i="1" l="1"/>
  <c r="H711" i="1"/>
  <c r="H702" i="1"/>
  <c r="H704" i="1"/>
  <c r="H695" i="1"/>
  <c r="H690" i="1"/>
  <c r="H679" i="1"/>
  <c r="H666" i="1"/>
  <c r="H658" i="1"/>
  <c r="H714" i="1"/>
  <c r="H707" i="1"/>
  <c r="H694" i="1"/>
  <c r="H693" i="1"/>
  <c r="H622" i="1"/>
  <c r="H621" i="1"/>
  <c r="H627" i="1"/>
  <c r="H626" i="1"/>
  <c r="H619" i="1"/>
  <c r="H569" i="1"/>
  <c r="H559" i="1"/>
  <c r="H550" i="1"/>
  <c r="H597" i="1"/>
  <c r="H595" i="1"/>
  <c r="H360" i="1" l="1"/>
  <c r="H345" i="1"/>
  <c r="H344" i="1"/>
  <c r="H343" i="1"/>
  <c r="H348" i="1"/>
  <c r="H347" i="1"/>
  <c r="H322" i="1"/>
  <c r="H336" i="1"/>
  <c r="H335" i="1"/>
  <c r="H333" i="1"/>
  <c r="H332" i="1"/>
  <c r="H331" i="1"/>
  <c r="H328" i="1"/>
  <c r="H327" i="1"/>
  <c r="H325" i="1"/>
  <c r="H324" i="1"/>
  <c r="H323" i="1"/>
  <c r="H321" i="1"/>
  <c r="H320" i="1"/>
  <c r="H319" i="1"/>
  <c r="H317" i="1"/>
  <c r="H315" i="1"/>
  <c r="H314" i="1"/>
  <c r="H313" i="1"/>
  <c r="H312" i="1"/>
  <c r="H311" i="1"/>
  <c r="H310" i="1"/>
  <c r="H309" i="1"/>
  <c r="H305" i="1"/>
  <c r="H301" i="1"/>
  <c r="H291" i="1"/>
  <c r="H289" i="1"/>
  <c r="H287" i="1"/>
  <c r="H284" i="1"/>
  <c r="H283" i="1"/>
  <c r="H282" i="1"/>
  <c r="H280" i="1"/>
  <c r="H279" i="1"/>
  <c r="H275" i="1"/>
  <c r="H273" i="1"/>
  <c r="H272" i="1"/>
  <c r="H271" i="1"/>
  <c r="H264" i="1"/>
  <c r="H255" i="1"/>
  <c r="H210" i="1"/>
  <c r="H207" i="1"/>
  <c r="H196" i="1"/>
  <c r="H75" i="1"/>
  <c r="H71" i="1"/>
  <c r="H101" i="1"/>
  <c r="H99" i="1"/>
  <c r="H72" i="1"/>
  <c r="H68" i="1"/>
  <c r="H63" i="1"/>
  <c r="H51" i="1"/>
  <c r="H44" i="1"/>
  <c r="H19" i="1"/>
  <c r="H12" i="1" s="1"/>
  <c r="H502" i="1" l="1"/>
  <c r="H2022" i="1" s="1"/>
  <c r="H624" i="1" l="1"/>
  <c r="H245" i="1"/>
  <c r="H239" i="1"/>
  <c r="H231" i="1"/>
  <c r="H226" i="1"/>
  <c r="H250" i="1" l="1"/>
  <c r="H209" i="1"/>
  <c r="G350" i="1" l="1"/>
  <c r="I350" i="1"/>
  <c r="J350" i="1"/>
  <c r="F350" i="1"/>
  <c r="H469" i="1" l="1"/>
  <c r="H436" i="1"/>
  <c r="H414" i="1"/>
  <c r="H412" i="1"/>
  <c r="H401" i="1"/>
  <c r="H396" i="1"/>
  <c r="H382" i="1"/>
  <c r="H376" i="1"/>
  <c r="H370" i="1"/>
  <c r="H361" i="1"/>
  <c r="H352" i="1"/>
  <c r="H416" i="1" l="1"/>
  <c r="H100" i="1" l="1"/>
  <c r="H66" i="1"/>
  <c r="H102" i="1" s="1"/>
  <c r="H688" i="1" l="1"/>
  <c r="H623" i="1" l="1"/>
  <c r="H625" i="1"/>
  <c r="H620" i="1"/>
  <c r="H618" i="1"/>
  <c r="H628" i="1" l="1"/>
  <c r="H665" i="1"/>
  <c r="H59" i="1"/>
  <c r="H64" i="1" s="1"/>
  <c r="H41" i="1"/>
  <c r="H45" i="1" s="1"/>
  <c r="H342" i="1" l="1"/>
  <c r="H350" i="1" s="1"/>
  <c r="H154" i="1"/>
  <c r="H145" i="1"/>
  <c r="H143" i="1"/>
  <c r="H135" i="1"/>
  <c r="H132" i="1"/>
  <c r="H126" i="1"/>
  <c r="H120" i="1"/>
  <c r="H111" i="1"/>
  <c r="H104" i="1"/>
  <c r="H117" i="1" s="1"/>
  <c r="H152" i="1"/>
  <c r="H151" i="1" s="1"/>
  <c r="H171" i="1" l="1"/>
  <c r="H149" i="1"/>
  <c r="H141" i="1"/>
  <c r="H713" i="1"/>
  <c r="H717" i="1"/>
  <c r="H706" i="1"/>
  <c r="H700" i="1"/>
  <c r="H755" i="1" l="1"/>
  <c r="H733" i="1"/>
  <c r="H721" i="1"/>
  <c r="H760" i="1" l="1"/>
  <c r="H657" i="1"/>
  <c r="H719" i="1" s="1"/>
  <c r="H524" i="1"/>
  <c r="H519" i="1"/>
  <c r="H517" i="1"/>
  <c r="H516" i="1"/>
  <c r="H513" i="1"/>
  <c r="H512" i="1"/>
  <c r="H510" i="1"/>
  <c r="H507" i="1"/>
  <c r="H522" i="1"/>
  <c r="H651" i="1" l="1"/>
  <c r="H655" i="1" s="1"/>
  <c r="H643" i="1"/>
  <c r="H638" i="1"/>
  <c r="H633" i="1"/>
  <c r="H630" i="1"/>
  <c r="H614" i="1"/>
  <c r="H608" i="1"/>
  <c r="H599" i="1"/>
  <c r="H582" i="1"/>
  <c r="H557" i="1"/>
  <c r="H547" i="1"/>
  <c r="H528" i="1"/>
  <c r="H520" i="1"/>
  <c r="H518" i="1"/>
  <c r="H514" i="1"/>
  <c r="H508" i="1"/>
  <c r="H505" i="1"/>
  <c r="H221" i="1"/>
  <c r="H216" i="1"/>
  <c r="H212" i="1"/>
  <c r="H205" i="1"/>
  <c r="H98" i="1"/>
  <c r="H92" i="1"/>
  <c r="H47" i="1"/>
  <c r="H57" i="1" s="1"/>
  <c r="H334" i="1"/>
  <c r="H329" i="1"/>
  <c r="H326" i="1"/>
  <c r="H318" i="1"/>
  <c r="H308" i="1"/>
  <c r="H304" i="1"/>
  <c r="H302" i="1"/>
  <c r="H290" i="1"/>
  <c r="H286" i="1"/>
  <c r="H281" i="1"/>
  <c r="H270" i="1"/>
  <c r="H306" i="1" l="1"/>
  <c r="H224" i="1"/>
  <c r="H616" i="1"/>
  <c r="H648" i="1"/>
  <c r="H340" i="1"/>
  <c r="H526" i="1"/>
  <c r="H261" i="1"/>
  <c r="H252" i="1"/>
  <c r="H194" i="1"/>
  <c r="H186" i="1"/>
  <c r="H33" i="1"/>
  <c r="H28" i="1"/>
  <c r="H22" i="1"/>
  <c r="H39" i="1" l="1"/>
  <c r="H268" i="1"/>
  <c r="H203" i="1"/>
</calcChain>
</file>

<file path=xl/comments1.xml><?xml version="1.0" encoding="utf-8"?>
<comments xmlns="http://schemas.openxmlformats.org/spreadsheetml/2006/main">
  <authors>
    <author>shtybaeva</author>
  </authors>
  <commentList>
    <comment ref="K1803" authorId="0" shapeId="0">
      <text>
        <r>
          <rPr>
            <b/>
            <sz val="8"/>
            <color indexed="81"/>
            <rFont val="Tahoma"/>
            <family val="2"/>
            <charset val="204"/>
          </rPr>
          <t>shtybaeva:</t>
        </r>
        <r>
          <rPr>
            <sz val="8"/>
            <color indexed="81"/>
            <rFont val="Tahoma"/>
            <family val="2"/>
            <charset val="204"/>
          </rPr>
          <t xml:space="preserve">
месячных -12
квартальных -6
полугодовых-2
годовых-36, других-2
</t>
        </r>
      </text>
    </comment>
  </commentList>
</comments>
</file>

<file path=xl/sharedStrings.xml><?xml version="1.0" encoding="utf-8"?>
<sst xmlns="http://schemas.openxmlformats.org/spreadsheetml/2006/main" count="6501" uniqueCount="2932">
  <si>
    <t>Бюджеты министерств и ведомств на программной основе</t>
  </si>
  <si>
    <t>Код ПР</t>
  </si>
  <si>
    <t>Код МЕ</t>
  </si>
  <si>
    <t>Код ИН</t>
  </si>
  <si>
    <t>Бюджетные программы/
Бюджетные меры</t>
  </si>
  <si>
    <t>11. Жогорку Кенеш Кыргызской Республики</t>
  </si>
  <si>
    <t>01</t>
  </si>
  <si>
    <t>Обеспечение общего руководства</t>
  </si>
  <si>
    <t>02</t>
  </si>
  <si>
    <t>Обеспечение финансового менеджмента и учета</t>
  </si>
  <si>
    <t>03</t>
  </si>
  <si>
    <t>Управление человеческими ресурсами</t>
  </si>
  <si>
    <t>04</t>
  </si>
  <si>
    <t>Правовая поддержка</t>
  </si>
  <si>
    <t>05</t>
  </si>
  <si>
    <t>Поддержание внешних связей и связей с общественностью</t>
  </si>
  <si>
    <t>06</t>
  </si>
  <si>
    <t>Организация деятельности и службы обеспечения</t>
  </si>
  <si>
    <t>Обеспечение доступа к качественным услугам дошкольного образования для всех групп населения</t>
  </si>
  <si>
    <t xml:space="preserve">Транспортное обеспечение </t>
  </si>
  <si>
    <t>Социальная поддержка</t>
  </si>
  <si>
    <t>0</t>
  </si>
  <si>
    <t xml:space="preserve">Обеспечение механизмов межфракционного согласия при утверждении общегосударственных программ развития Кыргызской Республики </t>
  </si>
  <si>
    <t xml:space="preserve">Обеспечение прозрачности и подотчетности деятельности Жогорку Кенеша </t>
  </si>
  <si>
    <t>Законодательное обеспечение реформ, необходимых для устойчивого развития общества и государства</t>
  </si>
  <si>
    <t>Повышение качества разрабатываемых законопроектов</t>
  </si>
  <si>
    <t>Усиление сотрудничества с парламентами иностранных государств и межпарламентскими организациями</t>
  </si>
  <si>
    <t xml:space="preserve">Улучшение качества контроля над деятельностью Правительства и других подотчетных органов </t>
  </si>
  <si>
    <t>Улучшение инструментов парламентского контроля</t>
  </si>
  <si>
    <t>Итого: всего по Жогорку Кенешу Кыргызской Республики</t>
  </si>
  <si>
    <t>13. Архив Президента Кыргызской Республики</t>
  </si>
  <si>
    <t>Комплектование архива архивными документами архивного фонда Президента Кыргызской Республики</t>
  </si>
  <si>
    <t>Обеспечение сохранности и госучет документов,  находящихся на постоянном госхранении</t>
  </si>
  <si>
    <t>Создание и совершенствование автоматизированной информационно-поисковой системы док-в (электронный архив)</t>
  </si>
  <si>
    <t>Сохранение страхового фонда документов</t>
  </si>
  <si>
    <t>Итого: всего по Архиву Президента Кыргызской Республики</t>
  </si>
  <si>
    <t>15. Управление делами Президента и Правительства Кыргызской Республики</t>
  </si>
  <si>
    <t>Поддержание существующей сети государственных дошкольных образовательных организаций</t>
  </si>
  <si>
    <t xml:space="preserve">Повышение  качества  услуг и приобщение населения к профессиональному искусству </t>
  </si>
  <si>
    <t>Итого: всего по  Управлению делами Президента и Правительства Кыргызской Республики</t>
  </si>
  <si>
    <t>16. Верховный суд Кыргызской Республики</t>
  </si>
  <si>
    <t>Поддержание внешних связей</t>
  </si>
  <si>
    <t>Поддержание связей с общественностью</t>
  </si>
  <si>
    <t>Осуществление правосудия по гражданским, уголовным и административно-экономическим делам</t>
  </si>
  <si>
    <t>Оснащение здания Верховного суда современным оборудованием (мебель, ПК и др.)/ Выделение финансов на их приобретение</t>
  </si>
  <si>
    <t>Поддержание рабочего состояния технического оборудования ( мебель, ПК, МФУ, ксерокопии)</t>
  </si>
  <si>
    <t>Проведение регулярного обучения судей и работников аппарата, семинаров по повышению квалификации (за исключением плана УЦС Верховного суда Кыргызской Республики)</t>
  </si>
  <si>
    <t>Обобщение и совершенствование судебной практики</t>
  </si>
  <si>
    <t>07</t>
  </si>
  <si>
    <t>08</t>
  </si>
  <si>
    <t>Итого: всего по Верховному суду Кыргызской Республики</t>
  </si>
  <si>
    <t>Конституционная палата Верховного суда Кыргызской Республики</t>
  </si>
  <si>
    <t xml:space="preserve">Распространение опыта Конституционной палаты Кыргызской Республики в других странах </t>
  </si>
  <si>
    <t>Членство в профессиональных международных организациях (Азиатская Ассоциация конституционных судов, ВК, Всемирная Ассоциация конституционных судов)</t>
  </si>
  <si>
    <t xml:space="preserve">Проведение международных конференций, посвященных актуальным вопросам конституционализма в Кыргызстане </t>
  </si>
  <si>
    <t>Организация стажировок для Конституционного суда других стран (принятие делегатов)</t>
  </si>
  <si>
    <t>Создание научно-консультативного совета с участием международных экспертов</t>
  </si>
  <si>
    <t>Обеспечение доступа  общества к информации по доходам судей Конституционной палаты и других сотрудников аппарата Конституционной палаты через единый сайт Государственной кадровой службы</t>
  </si>
  <si>
    <t>Реализация плана мероприятий по информационно-коммуникационной политике (в т.ч. публикации, работа со СМИ, выпуск "Вестника"</t>
  </si>
  <si>
    <t>Осуществление конституционного правосудия</t>
  </si>
  <si>
    <t>Внедрение системы информационной и технической безопасности</t>
  </si>
  <si>
    <t>Поддержание систем автоматизации конституционного правосудия</t>
  </si>
  <si>
    <t>Итого: всего по Конституционной палате Верховного суда Кыргызской Республики</t>
  </si>
  <si>
    <t>Высшая школа правосудия при Верховном суде Кыргызской Республики</t>
  </si>
  <si>
    <t>Итого: всего по Высшей школе правосудия при Верховном суде Кыргызской Республики</t>
  </si>
  <si>
    <t>Судебный департамент при Верховном суде Кыргызской Республики</t>
  </si>
  <si>
    <t>Обеспечение мониторинга, анализа и стратегического планирования</t>
  </si>
  <si>
    <t>Общая координация на региональном уровне</t>
  </si>
  <si>
    <t>Обеспечение безопасности и охрана зданий судов</t>
  </si>
  <si>
    <t>Осуществление правосудия</t>
  </si>
  <si>
    <t>Обеспечение надлежащего профессионального уровня судей, работников местных судов</t>
  </si>
  <si>
    <t>Обеспечение деятельности института исполнительного производства</t>
  </si>
  <si>
    <t xml:space="preserve">Создание необходимых условий труда для осуществления правосудия </t>
  </si>
  <si>
    <t>Обеспечение оперативности процесса судопроизводства</t>
  </si>
  <si>
    <t>Внедрение института присяжных заседателей</t>
  </si>
  <si>
    <t>Итого: всего по Судебному департаменту при Верховном суде Кыргызской Республики</t>
  </si>
  <si>
    <t>17. Счетная палата Кыргызской Республики</t>
  </si>
  <si>
    <t>Обеспечение координации и общего руководства</t>
  </si>
  <si>
    <t xml:space="preserve">Итого: всего по Счетной палате Кыргызской Республики </t>
  </si>
  <si>
    <t>18. Центральная комиссия по выборам и проведению референдумов Кыргызской Республики</t>
  </si>
  <si>
    <t>Разработка обучающих и информационных программ и проведение регулярного обучения членов избирательных комиссий, резерва, а также иных участников избирательного процесса.</t>
  </si>
  <si>
    <t>Итого: всего по Центральной комиссии по выборам и проведению референдумов Кыргызской Республики</t>
  </si>
  <si>
    <t>19. Генеральная прокуратура Кыргызской Республики</t>
  </si>
  <si>
    <t>Проведение внутренних расследований</t>
  </si>
  <si>
    <t>Итого: всего по Генеральной прокуратуре Кыргызской Республики</t>
  </si>
  <si>
    <t>20. Военная прокуратура Кыргызской Республики</t>
  </si>
  <si>
    <t>Финансовое  и ресурсное обеспечение</t>
  </si>
  <si>
    <t>Обеспечение информацией о деятельности, контроля исполнения, кадров, организация и взаимодействие со СМИ</t>
  </si>
  <si>
    <t>Надзор за точным и единообразным исполнением законодательства Кыргызской Республики</t>
  </si>
  <si>
    <t>Надзор за исполнением законов и воинских уставов</t>
  </si>
  <si>
    <t>Уголовное преследование лиц, совершивших преступление в Вооруженных силах</t>
  </si>
  <si>
    <t>Предупреждение преступлений в Вооруженных силах</t>
  </si>
  <si>
    <t>Участие в военных судебных процессах</t>
  </si>
  <si>
    <t>Подготовка и предъявление государственного обвинения в военных судах</t>
  </si>
  <si>
    <t>Итого: всего по Военной прокуратуре Кыргызской Республики</t>
  </si>
  <si>
    <t>21. Аппарат Омбудсмена (Акыйкатчы) Кыргызской Республики</t>
  </si>
  <si>
    <t>Защита прав детей и молодежи</t>
  </si>
  <si>
    <t>Соблюдение прав человека правоохранительными органами в местах лишения и ограничения свободы</t>
  </si>
  <si>
    <t>Обеспечение материально-технической базы</t>
  </si>
  <si>
    <t>Итого: всего по Аппарату Омбудсмена (Акыйкатчы) Кыргызской Республики</t>
  </si>
  <si>
    <t>22. Министерство юстиции Кыргызской Республики</t>
  </si>
  <si>
    <t>Организация деятельности службы обеспечения</t>
  </si>
  <si>
    <t>Экспертиза проектов подзаконных актов и осуществление экспертизы проектов международных договоров и соглашений.</t>
  </si>
  <si>
    <t xml:space="preserve">Введение Государственного реестра НПА и формирование Централизованного банка данных правовой информации </t>
  </si>
  <si>
    <t>Осуществление координации нотариальной деятельности  и в сфере  апостилирования исходящих документов от Кыргызской Республики</t>
  </si>
  <si>
    <t xml:space="preserve">Проведение единой государственной  регистрации юридических лиц, филиалов (представительств) </t>
  </si>
  <si>
    <t>Итого: всего по Министерству юстиции Кыргызской Республики</t>
  </si>
  <si>
    <t>23. Министерство иностранных дел Кыргызской Республики</t>
  </si>
  <si>
    <t>Организация образовательного процесса</t>
  </si>
  <si>
    <t>Обеспечение политико-дипломатического  взаимодействия с иностранными государствами в двустороннем формате</t>
  </si>
  <si>
    <t>Организация и проведение переговоров по вопросам всего спектра двустороннего сотрудничества с зарубежными странами</t>
  </si>
  <si>
    <t>Международно-правовое обеспечение внешнеполитической деятельности Кыргызской Республики</t>
  </si>
  <si>
    <t>Участие Кыргызской Республики в международных и региональных организациях и объединениях.</t>
  </si>
  <si>
    <t xml:space="preserve">Выработка и продвижение внешнеполитических инициатив  Кыргызской Республики </t>
  </si>
  <si>
    <t>Создание и поддержание благоприятных и безопасных условий для жизнеобеспечения загранучреждений, включая создание системы социальной поддержки дипломатических и консульских работников</t>
  </si>
  <si>
    <t>Обеспечение и проведение внешнеполитического курса Кыргызской Республики в странах аккредитации</t>
  </si>
  <si>
    <t>Содействие и поддержка в проведении международного сотрудничества министерств и ведомств Кыргызской Республики с зарубежными странами</t>
  </si>
  <si>
    <t>Предоставление консульских услуг за рубежом</t>
  </si>
  <si>
    <t>Расширение географии консульских учреждений Кыргызской Республики за рубежом</t>
  </si>
  <si>
    <t>Итого: всего по Министерству иностранных дел Кыргызской Республики</t>
  </si>
  <si>
    <t>27. Национальный центр информационных технологий</t>
  </si>
  <si>
    <t>Итого: всего по Национальному центру информационных технологий</t>
  </si>
  <si>
    <t>28. Министерство экономики Кыргызской Республики</t>
  </si>
  <si>
    <t>1</t>
  </si>
  <si>
    <t>09</t>
  </si>
  <si>
    <t>Цель программы: Создание благоприятных условий для поступательного роста экспорта и развития внутренней торговли</t>
  </si>
  <si>
    <t>Обучение и повышение квалификации сотрудников министерства</t>
  </si>
  <si>
    <t>Правовая поддержка и экспертиза</t>
  </si>
  <si>
    <t>Итого: всего по Министерству экономики Кыргызской Республики</t>
  </si>
  <si>
    <t>32. Государственная служба исполнения наказаний при Правительстве Кыргызской Республики</t>
  </si>
  <si>
    <t>Осуществление руководства и контроля за обеспечением деятельности Государственной службы исполнения наказаний  и организацией деятельности подразделений</t>
  </si>
  <si>
    <t>Организация деятельности и службы обеспечения подразделений Государственной службы исполнения наказаний</t>
  </si>
  <si>
    <t>Организация деятельности по исполнению наказаний осужденных на местах лишения свободы</t>
  </si>
  <si>
    <t>Обеспечение инфраструктуры учреждений и привлечение осужденных к труду</t>
  </si>
  <si>
    <t>Обеспечение осужденных продуктами питания</t>
  </si>
  <si>
    <t>Обеспечение осужденных продуктами питания в лечебных учреждениях</t>
  </si>
  <si>
    <t>Обеспечение инфраструктуры в лечебных учреждениях Государственной службы исполнения наказаний</t>
  </si>
  <si>
    <t>Поддержание дошкольных учреждений и их расширение</t>
  </si>
  <si>
    <t>Повышение программы дошкольной подготовки детей от 2-х до 7-ми лет</t>
  </si>
  <si>
    <t>Расширение вариативных дошкольных образовательных учреждений</t>
  </si>
  <si>
    <t>Итого: всего по Государственной службе исполнения наказаний при Правительстве Кыргызской Республики</t>
  </si>
  <si>
    <t>Обеспечение конвоированием судебных учреждений</t>
  </si>
  <si>
    <t>Взаимодействие  с администрациями  исправительных учреждений, судами, органами внутренних дел  и национальной безопасности, учреждениями Государственного комитета по делам обороны</t>
  </si>
  <si>
    <t>34. Министерство образования и науки Кыргызской Республики</t>
  </si>
  <si>
    <t>Общая координация на республиканском уровне</t>
  </si>
  <si>
    <t>Организация деятельности и службы обеспечения (ТОП, МОП, автохозяйство, ИТ, охрана и.т.п)</t>
  </si>
  <si>
    <t>Создание условий для полноценного развития детей путем обеспечения доступа к эффективному образованию</t>
  </si>
  <si>
    <t>Поддержание функционирования сети школьных учреждений в соответствии со стандартами (бюджетные средства)</t>
  </si>
  <si>
    <t>Обеспечение условий предоставления инклюзивного образования детям с особыми нуждами на базе общеобразовательных и специальных школ</t>
  </si>
  <si>
    <t>Перевод общеобразовательных организаций на принципы финансово-административной самостоятельности, основанной на ответственности перед получателем образовательных услуг (ПГИ внутреннее финансирование)</t>
  </si>
  <si>
    <t>Изменение структуры подготовки кадров со средним профессиональным образованием на основе анализа страновых приоритетов и экономических стратегий регионов (бюджетные средства)</t>
  </si>
  <si>
    <t>Создание условий для развития системы повышения квалификации преподавателей вузов (бюджетные средства)</t>
  </si>
  <si>
    <t>Обеспечение охвата основным образованием людей, не имеющих образования или выбывших из системы школьного образования ранее нормативно установленных сроков (бюджетные средства)</t>
  </si>
  <si>
    <t>Содействие адаптации экономически активного населения к быстро меняющимся требованиям рынка труда (спец. средства)</t>
  </si>
  <si>
    <t>Развитие прикладной науки (бюджетные средства)</t>
  </si>
  <si>
    <r>
      <t>Развитие институционального потенциала и повышение качества вузовской науки, увеличение в вузах количества НИР, направленных на получение практического применения (</t>
    </r>
    <r>
      <rPr>
        <b/>
        <sz val="11"/>
        <rFont val="Times New Roman"/>
        <family val="1"/>
        <charset val="204"/>
      </rPr>
      <t>ППУР</t>
    </r>
    <r>
      <rPr>
        <sz val="11"/>
        <rFont val="Times New Roman"/>
        <family val="1"/>
        <charset val="204"/>
      </rPr>
      <t>) (спец. средства)</t>
    </r>
  </si>
  <si>
    <t>Итого: всего по Министерству образования и науки Кыргызской Республики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</si>
  <si>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</si>
  <si>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</si>
  <si>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</si>
  <si>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</si>
  <si>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</si>
  <si>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</si>
  <si>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</si>
  <si>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</si>
  <si>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</si>
  <si>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</si>
  <si>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</si>
  <si>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</si>
  <si>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</si>
  <si>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Обновление топографических карт на приграничные территории</t>
  </si>
  <si>
    <t xml:space="preserve">Обеспечение финансового менеджмента и учета </t>
  </si>
  <si>
    <t>Приложение 11</t>
  </si>
  <si>
    <t xml:space="preserve"> </t>
  </si>
  <si>
    <t>Финансирование</t>
  </si>
  <si>
    <t>Индикаторы результативности</t>
  </si>
  <si>
    <t>Ед. изм-я</t>
  </si>
  <si>
    <t>Целевые значения</t>
  </si>
  <si>
    <t>(по программам/мерам) (тыс. сом.)</t>
  </si>
  <si>
    <t>2019 г.</t>
  </si>
  <si>
    <t>2020 г.</t>
  </si>
  <si>
    <t>Отношение расходов на заработную плату по Программе 001 к сумме расходов на заработную плату по всем программам</t>
  </si>
  <si>
    <t>%</t>
  </si>
  <si>
    <t>Индекс доверия населения</t>
  </si>
  <si>
    <t>коэф.</t>
  </si>
  <si>
    <t>Процент исполнения бюджета без нарушений</t>
  </si>
  <si>
    <t xml:space="preserve">Доля выигранных судебных процессов по трудовым спорам </t>
  </si>
  <si>
    <t>Отношение выигранных судебных дел к их общему количеству</t>
  </si>
  <si>
    <t>Количество положительных упоминаний мин-ва/вед-ва в СМИ</t>
  </si>
  <si>
    <t>ед.</t>
  </si>
  <si>
    <t xml:space="preserve">Доля сотрудников служб обеспечения от общей численности сотрудников ЦА </t>
  </si>
  <si>
    <t>чел.</t>
  </si>
  <si>
    <t>Количество служебных автомашин</t>
  </si>
  <si>
    <t>Доля законопроектов, инициированных депутатами в общем количестве принятых законопроектов</t>
  </si>
  <si>
    <t>Количество рабочих месяцев работы Жогорку Кенеша (без каникул и выходных)</t>
  </si>
  <si>
    <t>мес.</t>
  </si>
  <si>
    <t>дн.</t>
  </si>
  <si>
    <t>Доля расходов бюджета на парламент в номинальном объеме ВВП</t>
  </si>
  <si>
    <t>Количество штатных единиц на одного постоянно работающего депутата</t>
  </si>
  <si>
    <t>Количество проведенных заседаний совета</t>
  </si>
  <si>
    <t>Доля подписанных Президентом законопроектов от количества принятых Жогорку Кенешем</t>
  </si>
  <si>
    <t>Количество принятых постановлений на 100 депутато-дней</t>
  </si>
  <si>
    <t xml:space="preserve">Расходы бюджета на один нормативный акт, принятый парламентом </t>
  </si>
  <si>
    <t>сом</t>
  </si>
  <si>
    <t>Количество подписанных Президентом законов за 100 депутато-дней</t>
  </si>
  <si>
    <t>Количество подписанных документов о сотрудничестве</t>
  </si>
  <si>
    <t xml:space="preserve">Индекс доверия населения Правительству Кыргызской Республики </t>
  </si>
  <si>
    <t>Исполнение протокольных поручений</t>
  </si>
  <si>
    <t xml:space="preserve">Исполненные запросы депутатов </t>
  </si>
  <si>
    <t>Количество созданных депутатских Комиссий</t>
  </si>
  <si>
    <t xml:space="preserve">Доля док-в архивного фонда Президента Кыргызской Республики, находящихся в нормативных условиях, обеспечивающих их постоянное (даже вечное) хранение (в пр-х к общему кол-ву док-в архивного фонда Президента Кыргызской Республики)  </t>
  </si>
  <si>
    <t xml:space="preserve">Доля принятых в архив новых док-в (в общем количестве  док-в архивного фонда Президента Кыргызской Республики)  </t>
  </si>
  <si>
    <t xml:space="preserve">Доля док-в архивного фонда Президента Кыргызской Республики, требующих улучшения физического состояния (в общем количестве  док-в архивного фонда Президента Кыргызской Республики)  </t>
  </si>
  <si>
    <t>Информационно-поисковая система док-в (электронный архив) создана и функционирует</t>
  </si>
  <si>
    <t>да/нет</t>
  </si>
  <si>
    <t>нет</t>
  </si>
  <si>
    <t>да</t>
  </si>
  <si>
    <t>Доля архивных документов, переведенных в цифровой формат</t>
  </si>
  <si>
    <t>Доля особо ценных док-в, на которые сделаны страховые копии (к общему количеству выявленных особо ценных докум-в)</t>
  </si>
  <si>
    <t xml:space="preserve">Доля разработанных и используемых в работе методических материалов в области архивного дела (в общем количестве запланированных к разработке методических материалов) </t>
  </si>
  <si>
    <t>Количество внесенных и принятых предложений по совершенствованию законодательства в области архивного дела</t>
  </si>
  <si>
    <t>Количество найденных и приобретенных архивных копий документов, имеющих историческое политическое значение в архивах и научных учреждениях зарубежья и нашего государства</t>
  </si>
  <si>
    <t>шт.</t>
  </si>
  <si>
    <t>Количество детей</t>
  </si>
  <si>
    <t>Отношение расходов на заработную плату по программе 001 к расходам по всем программам Верховного суда  Кыргызской Республики</t>
  </si>
  <si>
    <t>чел</t>
  </si>
  <si>
    <t>Доля выигранных судебных процессов по трудовым спорам</t>
  </si>
  <si>
    <t>Количество встреч и приема гостей высокого уровня</t>
  </si>
  <si>
    <t>Количество поездок судей на международные мероприятия высокого уровня</t>
  </si>
  <si>
    <t>Количество положительных упоминаний Верховного суда  в СМИ</t>
  </si>
  <si>
    <t>1300-1500</t>
  </si>
  <si>
    <t>Доля сотрудников служб обеспечения от общей численности сотрудников центрального аппарата Верховного суда</t>
  </si>
  <si>
    <t>Количество возвращенных дел по причине некачественного правосудия в местных судах</t>
  </si>
  <si>
    <t>Количество отмененных дел по причине некачественного правосудия в местных судах</t>
  </si>
  <si>
    <t>640</t>
  </si>
  <si>
    <t>630</t>
  </si>
  <si>
    <t>Оснащенность оборудованием – 0-100%</t>
  </si>
  <si>
    <t>Поддержание оборудования</t>
  </si>
  <si>
    <t>кол-во</t>
  </si>
  <si>
    <t>Отношение расходов на заработную плату по программе 001 к расходам по всем программам Конституционной палаты Верховного суда Кыргызской Республики</t>
  </si>
  <si>
    <t>Количество нарушений, связанных с должностными обязанностями сотрудников аппарата Конституционной палаты Верховного суда Кыргызской Республики</t>
  </si>
  <si>
    <t>Процент исполнения бюджета Конституционной палаты Верховного суда Кыргызской Республики  без нарушений и неоправданных задержек</t>
  </si>
  <si>
    <t>н/п</t>
  </si>
  <si>
    <t>Количество положительных упоминаний учреждения в СМИ</t>
  </si>
  <si>
    <t>Количество рассмотренных дел по обеспечению конституционности</t>
  </si>
  <si>
    <t>Количество поездок на 1 судью</t>
  </si>
  <si>
    <t>`5/11</t>
  </si>
  <si>
    <t>`10/11</t>
  </si>
  <si>
    <t>`18/11</t>
  </si>
  <si>
    <t>Членство в профессиональных организациях</t>
  </si>
  <si>
    <t xml:space="preserve">Проведение международной конференции 1 раз в два года </t>
  </si>
  <si>
    <t>Количество делегатов, прошедших стажировку в Конституционной палате</t>
  </si>
  <si>
    <t>Количество подписанных меморандумов о сотрудничестве</t>
  </si>
  <si>
    <t>Система информационной и технической безопасности в Конституционной палате разработана и внедрена</t>
  </si>
  <si>
    <t>Функционирование всех систем автоматизации конституционного правосудия</t>
  </si>
  <si>
    <t>Отношение расходов на заработную плату по программе 001 к расходам по всем программам Учебного центра при Верховном суде Кыргызской Республики</t>
  </si>
  <si>
    <t>Количество нарушений, связанных с должностными обязанностями сотрудников аппарата Высшей школы правосудия при Верховном суде Кыргызской Республики</t>
  </si>
  <si>
    <t>Отношение расходов на заработную плату по программе 001 к расходам по всем программам Судебного департамента при Верховном суде Кыргызской Республики</t>
  </si>
  <si>
    <t>ед./ед.</t>
  </si>
  <si>
    <t>Доля сотрудников служб обеспечения от общей численности сотрудников центрального аппарата</t>
  </si>
  <si>
    <t>Количество нарушений, связанных с должностными обязанностями сотрудников областных управлений Судебного департамента при Верховном суде  Кыргызской Республики</t>
  </si>
  <si>
    <t>Оценка Жогорку Кенеша Кыргызской Республики о деятельности Счетной палаты Кыргызской Республики</t>
  </si>
  <si>
    <t>оценка</t>
  </si>
  <si>
    <t>Обеспечение финансирования мероприятий</t>
  </si>
  <si>
    <t>Количество разработанных проектов  нормативно-правовых актов и внутренних локальных документов</t>
  </si>
  <si>
    <t>Количество проведенного юридического сопровождения аудиторских мероприятий</t>
  </si>
  <si>
    <t>Процент обновления материально-технического оснащения (компьютерной и другой оргтехники)</t>
  </si>
  <si>
    <t>Количество информационных пресс-релизов по итогам заседаний, встреч и международных поездок</t>
  </si>
  <si>
    <t>Доля уточненных списков избирателей по республике</t>
  </si>
  <si>
    <t>Доля изученных и реализуемых практик, методов и подходов по подготовке и проведению выборов.</t>
  </si>
  <si>
    <t xml:space="preserve">ед. </t>
  </si>
  <si>
    <t>Количество возбужденных уголовных дел, сумма выявленного и возмещенного ущерба, количество расследованных уголовных дел, количество направленных в суд уголовных дел.</t>
  </si>
  <si>
    <t>Индекс доверия военнослужащих</t>
  </si>
  <si>
    <t>Доля выигранных судебных процессов</t>
  </si>
  <si>
    <t>Кол уг.дел</t>
  </si>
  <si>
    <t>Улучшение качественного состава руководящих кадров. Качественное и своевременное исполнение отчётных данных, выступление в СМИ</t>
  </si>
  <si>
    <t>Количество</t>
  </si>
  <si>
    <t>Уменьшение правонарушений по несоблюдению военного законодательства</t>
  </si>
  <si>
    <t>Количество проведённых проверок по несоблюдению военного законодательства</t>
  </si>
  <si>
    <t>Количество проверок</t>
  </si>
  <si>
    <t>Количество жалоб и заявлений на действия командиров и начальников</t>
  </si>
  <si>
    <t>Представление и предписания</t>
  </si>
  <si>
    <t>Доля нормативных актов, возвращенных на доработку от общего числа разработанных нормативных актов</t>
  </si>
  <si>
    <t>Увеличение процента раскрываемости преступлений в Вооруженных силах</t>
  </si>
  <si>
    <t>Доля раскрытых уголовных дел в Вооруженных силах</t>
  </si>
  <si>
    <t>Количество уголовных дел</t>
  </si>
  <si>
    <t>Доля военнослужащих, прошедших занятия по профилактике преступлений (к общему количеству военнослужащих)</t>
  </si>
  <si>
    <t>Доля государственных обвинений, поддержанных решением военного суда</t>
  </si>
  <si>
    <t>Качество рассмотренных уголовных дел судами</t>
  </si>
  <si>
    <t>Количество уг.дел</t>
  </si>
  <si>
    <t>Доля положительных решений государственными органами и органами МСУ по актам реагирования</t>
  </si>
  <si>
    <t xml:space="preserve">Уровень исполнительской дисциплины </t>
  </si>
  <si>
    <t>Доля сотрудников служб обеспечения от общей численности сотрудников ЦА</t>
  </si>
  <si>
    <t>Повышение качества экспертизы</t>
  </si>
  <si>
    <t>Количество разработанных проектов НПА</t>
  </si>
  <si>
    <t>Количество экспертизы подзаконных актов, количество проектов международных договоров.</t>
  </si>
  <si>
    <t xml:space="preserve">Обеспечение качественной и своевременной  услугой </t>
  </si>
  <si>
    <t>Повышение качества регистрации и залоговых сделок</t>
  </si>
  <si>
    <t xml:space="preserve">Количество  залоговых сделок </t>
  </si>
  <si>
    <t>Доля результатов мониторинга принятых к исполнению в официальных внутренних документах от общего количества результатов мониторинга</t>
  </si>
  <si>
    <t>Количество инициированных и проведенных мероприятий культурно-гуманитарных научно-исследовательского, образовательного характера.</t>
  </si>
  <si>
    <t>Количество проведенных внешнеполитических мероприятий в рамках двусторонних отношений</t>
  </si>
  <si>
    <t>Количество проведенных внешнеполитических мероприятий  в Кыргызской Республике</t>
  </si>
  <si>
    <t>Количество проведенных внешнеполитических мероприятий за рубежом</t>
  </si>
  <si>
    <t>Количество проведенных  переговоров</t>
  </si>
  <si>
    <t>Количество инициированных, проработанных и заключенных международных документов  Кыргызской Республики с зарубежными странами</t>
  </si>
  <si>
    <t xml:space="preserve">Количество  мероприятий в рамках международных организаций и объединений </t>
  </si>
  <si>
    <t>Участие официальных делегаций Кыргызской Республики в работе международных и региональных организаций и объединений</t>
  </si>
  <si>
    <t xml:space="preserve">Количество  внешнеполитических инициатив Кыргызской Республики </t>
  </si>
  <si>
    <t>Количество мероприятий, проведенных в загранучреждениях</t>
  </si>
  <si>
    <t>Усовершенствование программного обеспечения системы оказания консульских услуг.</t>
  </si>
  <si>
    <t>-</t>
  </si>
  <si>
    <t>единиц</t>
  </si>
  <si>
    <t>Количество мероприятий, семинаров по информированию населения</t>
  </si>
  <si>
    <t>Количество принятых НПА для поддержки развития предпринимательства и совершенствование налогового администрирования</t>
  </si>
  <si>
    <t>Срок выпуска товаров</t>
  </si>
  <si>
    <t>часов</t>
  </si>
  <si>
    <t xml:space="preserve">Количество стран, с которыми подписаны и ратифицированы соглашения об избежании двойного  налогообложения </t>
  </si>
  <si>
    <t xml:space="preserve"> + 2</t>
  </si>
  <si>
    <t>Количество принятых НПА в сфере управления государственным имуществом</t>
  </si>
  <si>
    <t>Количество НПА в сфере регулирования процессов банкротства в Кыргызской Республике</t>
  </si>
  <si>
    <t>Количество утвержденных внутренних стратегических документов  и планов</t>
  </si>
  <si>
    <t>Процент исполнения  Плана  действий/обязательств министра</t>
  </si>
  <si>
    <t>Количество предприятий, в отношении которых применена реструктуризация, реабилитация, санация и мировое соглашение</t>
  </si>
  <si>
    <t>Приток прямых иностранных инвестиций</t>
  </si>
  <si>
    <t>млн. долл.</t>
  </si>
  <si>
    <t>Проведение обучающих семинаров</t>
  </si>
  <si>
    <t>Количество принятых НПА для стимулирования притока прямых иностранных инвестиций</t>
  </si>
  <si>
    <t>Проведение переговоров по заключению двусторонних соглашений по защите и поощрению инвестиций</t>
  </si>
  <si>
    <t>Проведение переговоров по созданию совместных инвестиционных фондов</t>
  </si>
  <si>
    <t xml:space="preserve">Обновление  действующих информационных порталов </t>
  </si>
  <si>
    <t>Объем привлеченных средств донорской помощи</t>
  </si>
  <si>
    <t>Количество рассмотренных проектов</t>
  </si>
  <si>
    <t>Количество проведенных мероприятий по привлечению средств донорской помощи</t>
  </si>
  <si>
    <t>Число принятых НПА по внедрению системы координации и эффективности реализации проектов</t>
  </si>
  <si>
    <t>Отклонение прогнозных значений макропоказателей (темп роста ВВП) от фактических значений</t>
  </si>
  <si>
    <t>п.п.</t>
  </si>
  <si>
    <t>±5</t>
  </si>
  <si>
    <t>Количество НПА (Концепции, постановления, законы)</t>
  </si>
  <si>
    <t>Количество разработанных НПА</t>
  </si>
  <si>
    <t>Темп роста оптового и розничного товарооборота, ремонта автомобилей и мотоциклов</t>
  </si>
  <si>
    <t xml:space="preserve">Количество направленных уведомлений </t>
  </si>
  <si>
    <t>10+/-3</t>
  </si>
  <si>
    <t xml:space="preserve">Количество НПА в сфере технического регулирования и метрологии </t>
  </si>
  <si>
    <t>Количество проведенных мероприятий</t>
  </si>
  <si>
    <t>Уровень обеспечения стандартами для ТР ТС</t>
  </si>
  <si>
    <t>100% По мере принятия новых ТР ТС</t>
  </si>
  <si>
    <t>Подтверждение компетентности испытательных, калибровочных  лабораторий требованиям ИСО/ МЭК 17025; медицинские лаборатории на соответствие ИСО 15189.</t>
  </si>
  <si>
    <t xml:space="preserve">Подтверждение компетентности органов по сертификации продукции/услуг  требованиям ИСО/ МЭК17065, органов  по сертификации систем менеджмента ИСО/МЭК 17021, органов по  сертификации персонала ИСО/МЭК 17024, органов контроля  ИСО/МЭК 17020 </t>
  </si>
  <si>
    <t>Процент исполнения плана</t>
  </si>
  <si>
    <t>Количество нормативных правовых актов (НПА) по оптимизации системы предоставления государственных услуг  (Единый реестр, стандарты и административные регламенты государственных услуг)</t>
  </si>
  <si>
    <t>Организация проведения заседаний Межведомственной комиссии по оптимизации системы предоставления государственных и муниципальных  услуг</t>
  </si>
  <si>
    <t>Организация и  проведение  экспертных  и консультационных встреч по вопросам разработки проектов  государственных   услуг, стандартов и административных регламентов государственных услуг</t>
  </si>
  <si>
    <t>Количество разработанных НПА в сфере системы оценки качества государственного управления (госорганов, руководителей, подразделений)</t>
  </si>
  <si>
    <t>Организация и  проведение  экспертных  и консультационных встреч с представителями государственных органов в целях совершенствования нормативной правовой базы системы оценки их деятельности.</t>
  </si>
  <si>
    <t xml:space="preserve">Процент исполнения бюджета </t>
  </si>
  <si>
    <t>% сотрудников, прошедших обучение из бюджетных средств</t>
  </si>
  <si>
    <t>Осуществление закупок товаров, работ, услуг и консультационных услуг в установленном порядке</t>
  </si>
  <si>
    <t>Обеспечение работников министерства необходимым имуществом ( канц. принадлежностями, средствами связи, оргтехникой,  своевременное тех.обслуж., ремонт т.д.)</t>
  </si>
  <si>
    <t xml:space="preserve">Организация пресс-туров с участием СМИ </t>
  </si>
  <si>
    <t>Выпуск бюллетеней</t>
  </si>
  <si>
    <t>Участие в судебных делах</t>
  </si>
  <si>
    <t>Исполнение Плана законопроектных работ министерства</t>
  </si>
  <si>
    <t>Разработка проектов программ, НПА, типовых контрактов</t>
  </si>
  <si>
    <t>Мероприятия по инвентаризации отраслевых  НПА и актов министерства</t>
  </si>
  <si>
    <t>Правовая консультация структурных подразделений министерства в рассмотрении заявлений и обращений физических и юридических лиц</t>
  </si>
  <si>
    <t>Обеспечение прозрачности деятельности Государственной службы исполнения наказаний при Правительстве Кыргызской Республики</t>
  </si>
  <si>
    <t>Организация порядка и условий отбывания наказаний в УИС</t>
  </si>
  <si>
    <t xml:space="preserve">Уровень нарушения режима исполнения и отбывания наказаний (на 1000 чел) </t>
  </si>
  <si>
    <t>Строительство, реконструкция, ремонтно-восстановительные работы</t>
  </si>
  <si>
    <t>Снижение общей заболеваемости в лечебных учреждениях</t>
  </si>
  <si>
    <t>Оказание первичной медико-санитарной помощи</t>
  </si>
  <si>
    <t>Нормы питания по категориям на количество осужденных</t>
  </si>
  <si>
    <t>Повышение  умственного и физического развития детей дошкольного возраста</t>
  </si>
  <si>
    <t>Улучшение материально-технической базы образовательных учреждений</t>
  </si>
  <si>
    <t>кпг- 2   кппо-4 кпвз-4 кннч-0 кпвзз-0</t>
  </si>
  <si>
    <t>кппо-4 кпвз-4 кннч-2 кпвзз-2</t>
  </si>
  <si>
    <t>Количество отконвоированных  осужденных и подсудимых - 23626</t>
  </si>
  <si>
    <t>коо- 16258</t>
  </si>
  <si>
    <t>коо- 16200</t>
  </si>
  <si>
    <t>коп-15395</t>
  </si>
  <si>
    <t>коо- 16000</t>
  </si>
  <si>
    <t>Отношение расходов по ЗП Программы 001 к сумме расходов по ЗП по другим программам</t>
  </si>
  <si>
    <t>по факту</t>
  </si>
  <si>
    <t>14/19</t>
  </si>
  <si>
    <t>Обеспечение общеобразовательных организаций учебниками, компьютерами и мебелью</t>
  </si>
  <si>
    <t xml:space="preserve">Число детей соответствующего возраста, охваченных программами предшкольной подготовки.                                         </t>
  </si>
  <si>
    <t>Количество оборудованных класс-комплектов по предшкольной подготовке (парта, стулья, стол с учетом возрастных особенностей детей 5 - 6 - летнего возраста)</t>
  </si>
  <si>
    <t>Доля оборудованных класс-комплектов по предшкольной подготовке от потребности</t>
  </si>
  <si>
    <t xml:space="preserve">Количество ДОО, где внедрен государственный стандарт            </t>
  </si>
  <si>
    <t xml:space="preserve">Доля ДОО, где внедрен государственный стандарт       </t>
  </si>
  <si>
    <t>Численность педагогов, прошедших повышение квалификации;</t>
  </si>
  <si>
    <t>Число новых ДОО</t>
  </si>
  <si>
    <t xml:space="preserve">по факту </t>
  </si>
  <si>
    <t xml:space="preserve">Доля новых ДОО от потребности </t>
  </si>
  <si>
    <t>Охват детей базовым образованием (1-9 класс)</t>
  </si>
  <si>
    <t>не ниже 96%</t>
  </si>
  <si>
    <t>Доля школ полностью (100%) укомплектованных педагогическими кадрами</t>
  </si>
  <si>
    <t xml:space="preserve">Доля школ, обеспеченных УМК для 1 кл (с учетом изношенности); </t>
  </si>
  <si>
    <t>Доля обеспеченности УМК для 2-4 классов</t>
  </si>
  <si>
    <r>
      <t>Удельный вес школ, перешедших на нормативное бюджетное финансирование (</t>
    </r>
    <r>
      <rPr>
        <b/>
        <sz val="11"/>
        <rFont val="Times New Roman"/>
        <family val="1"/>
        <charset val="204"/>
      </rPr>
      <t>ППУР</t>
    </r>
    <r>
      <rPr>
        <sz val="11"/>
        <rFont val="Times New Roman"/>
        <family val="1"/>
        <charset val="204"/>
      </rPr>
      <t>)</t>
    </r>
  </si>
  <si>
    <t>Сформирована рациональная и оптимальная система ПТО</t>
  </si>
  <si>
    <t>Доля трудоустроенных и занятых выпускников (с учетом продолжения обучения) СПУЗов в первый год после окончания обучения</t>
  </si>
  <si>
    <t xml:space="preserve">Доля работодателей, включенных в состав государственных аттестационных комиссий </t>
  </si>
  <si>
    <t xml:space="preserve">Доля специальностей СПО (по которым осуществляется бюджетный набор), соответствующих потребностям рынка труда </t>
  </si>
  <si>
    <t>Доля образовательных организаций, получающих заказ на подготовку специалистов от работодателей</t>
  </si>
  <si>
    <t xml:space="preserve">Доля трудоустроенных выпускников ВУЗов на бюджетной основе (с учетом продолжения обучения и самозанятости) </t>
  </si>
  <si>
    <t xml:space="preserve">Доля трудоустроенных по специальности выпускников педагогических специальностей ВУЗов (на бюджетной основе)   </t>
  </si>
  <si>
    <t xml:space="preserve">Доля направлений и специальностей высшего профессионального образования (по которым осуществляется бюджетный набор), соответствующих страновым приоритетам и экономическим стратегиям </t>
  </si>
  <si>
    <t xml:space="preserve">Доля педагогов, участвовавших в программах повышения квалификации              </t>
  </si>
  <si>
    <t xml:space="preserve">Количество вечерних/сменных/заочных школ </t>
  </si>
  <si>
    <t>Количество принятых в вечерние/сменные/заочные школы</t>
  </si>
  <si>
    <t>Количество вечерних/сменных/заочных классов</t>
  </si>
  <si>
    <t>Количество принятых в вечерние/сменные/заочные классы при дневных общеобразовательных школах</t>
  </si>
  <si>
    <t xml:space="preserve">Количество учебных заведений среднего профессионального образования, предоставляющих услуги дополнительного профессионального образования.            </t>
  </si>
  <si>
    <t xml:space="preserve">Количество учебных заведений высшего профессионального образования, предоставляющих услуги дополнительного профессионального образования. </t>
  </si>
  <si>
    <t>Доля средств, выделяемых вузами на развитие научно-исследовательской работы</t>
  </si>
  <si>
    <t xml:space="preserve">Увеличение доли научных проектов, нацеленных на обеспечение позитивных структурных сдвигов в экономике республики </t>
  </si>
  <si>
    <t>Доля молодых специалистов, привлеченных к выполнению исследований и разработок</t>
  </si>
  <si>
    <t>до 10</t>
  </si>
  <si>
    <t>тыс.сом</t>
  </si>
  <si>
    <t>Количество принятых НПА</t>
  </si>
  <si>
    <t>место</t>
  </si>
  <si>
    <t>ед/ед</t>
  </si>
  <si>
    <t>ед</t>
  </si>
  <si>
    <t>4</t>
  </si>
  <si>
    <t xml:space="preserve">% </t>
  </si>
  <si>
    <t>индекс</t>
  </si>
  <si>
    <t>2021 г.</t>
  </si>
  <si>
    <t xml:space="preserve">Аудит и аудит ээфективности: оценка исполнения республиканского бюджета, составления и исполнения местного бюджета, внебюджетных  и специальных средств, использования государственной  и муниципальной собственности, обеспечение и реализация международных стандартов государственного аудита. </t>
  </si>
  <si>
    <t xml:space="preserve">% фактического исполнения запланированных аудиторских мероприятий </t>
  </si>
  <si>
    <t>Общая координация на региональном уровне (бюджет и спец.средства)</t>
  </si>
  <si>
    <t>Модернизация содержания образования с учетом компетентностного подхода (ПГИ внешнее финансирование) БВ и АБР</t>
  </si>
  <si>
    <t xml:space="preserve">Обеспечение взаимосвязи между системой НПО и потребностями рынка труда </t>
  </si>
  <si>
    <t>не ниже 100 тыс.</t>
  </si>
  <si>
    <t>%(суммарная доля)</t>
  </si>
  <si>
    <t xml:space="preserve">Количество разработанных инклюзивных программ для обучения социально уязимых категорий населения и ЛОВЗ </t>
  </si>
  <si>
    <t xml:space="preserve">чел(ежегодно) </t>
  </si>
  <si>
    <t xml:space="preserve">Повышение квалификации педагогического персонала и мастеров производственного обучения </t>
  </si>
  <si>
    <t>ед(ежегодно)</t>
  </si>
  <si>
    <t xml:space="preserve">чел. </t>
  </si>
  <si>
    <t xml:space="preserve">Привлечение осужденных к труду и создание условий для их моральной и материальной заинтересованности в результатах труда </t>
  </si>
  <si>
    <t xml:space="preserve">Количество осужденных , количество беглецов , количество убийц </t>
  </si>
  <si>
    <t>от 2 до 5</t>
  </si>
  <si>
    <t xml:space="preserve">от 5 до 10 </t>
  </si>
  <si>
    <t>от 10 до 15</t>
  </si>
  <si>
    <t>Количество расчетов и аналитических материалов</t>
  </si>
  <si>
    <t>+2</t>
  </si>
  <si>
    <t>Количество подписанных договоров на разработку технико-экономического обоснования проектов ГЧП</t>
  </si>
  <si>
    <t>Обновление и публикация ежегодного отчета по международным рейтингам страны (Ведение бизнеса и суверенный рейтинг)</t>
  </si>
  <si>
    <t>Количество исполненных мероприятий матрицы программы улучшения инвестиционного климата</t>
  </si>
  <si>
    <t>Разработка  и внедрение  программного обеспечения по направлениям:  оперативный и экономический анализ</t>
  </si>
  <si>
    <t>±2</t>
  </si>
  <si>
    <t>Количество разработанных  и принятых программ развития регионов</t>
  </si>
  <si>
    <t>Количество встреч рабочих органов ВТО с участием Представительства</t>
  </si>
  <si>
    <t>50+/-5</t>
  </si>
  <si>
    <t>Количество проведенных  встреч с Секретариатом и делегациями по актуальным для КР вопросам</t>
  </si>
  <si>
    <t>40+/-5</t>
  </si>
  <si>
    <t>Темп роста обьемов экспорта товаров</t>
  </si>
  <si>
    <t>Подготовлены к подписанию/подписаны Соглашения о торгово-экономическом сотруничестве</t>
  </si>
  <si>
    <t>Проценты раелизованных договоренностей в рамках межправительственных комиссий</t>
  </si>
  <si>
    <t>_</t>
  </si>
  <si>
    <t>Цель программы: Совершенствовать нормативную правовую базу, регулирующую сферу предоставления государственных услуг, системы оценки деятельности органов исполнительной власти и местного самоуправления</t>
  </si>
  <si>
    <t>Цель программы: Обеспечить координацию работы по действиям министерств и ведомств по вопросам Евразийского экономического союза и  взаимодействия с Евразийской экономической комиссией.</t>
  </si>
  <si>
    <t xml:space="preserve">Количество подготовленных аналитических материалов </t>
  </si>
  <si>
    <t>шт</t>
  </si>
  <si>
    <t>Количество положительных упоминаний мин-ва/вед-ва в средствах массовой информации</t>
  </si>
  <si>
    <t xml:space="preserve">Доля сотрудников служб обеспечения от общей численности сотрудников центрального аппарата </t>
  </si>
  <si>
    <t>Доля жалоб обращения граждан  по правам человека в регионах</t>
  </si>
  <si>
    <t>Защита социально-экономических  и культурных прав</t>
  </si>
  <si>
    <t>Доля жалоб по нарушению прав детей и женщин, семьи (к общему количеству всех заявлений и жалоб)</t>
  </si>
  <si>
    <t>Из обращений граждан положительно решенных вопросов в местах лишения и ограничения свободы</t>
  </si>
  <si>
    <t>Доля жалоб по нарушению  и гендерной дискриминации социально-эконономических прав (к общему  количеству всех заявлений и жалоб)</t>
  </si>
  <si>
    <t>Доля жалоб по нарушению прав мигрантов и иностранных граждан</t>
  </si>
  <si>
    <t>39/38</t>
  </si>
  <si>
    <t>Организация подготовки и проведение выборов Президента, депутатов ЖК КР, депутатов местных кенешей, глав исполнительных органов местного самоуправления</t>
  </si>
  <si>
    <t>Осуществление контроля за исполнением избирательного законодательства</t>
  </si>
  <si>
    <t xml:space="preserve">Обеспечение механизма постоянного и действенного диалога с избирателями </t>
  </si>
  <si>
    <t xml:space="preserve">Обеспечение и поддержка деятельности консультативно-общественного совета при Торага Жогорку Кенеша </t>
  </si>
  <si>
    <t>Обеспечение  мониторинга, анализа и стратегического планирования</t>
  </si>
  <si>
    <t>Количество публикаций в СМИ о внешнеполитической деятельности МИД Кыргызской Республики</t>
  </si>
  <si>
    <t>Количество сотрудников загранучреждений МИД КР с учетом необходимости создания системы социальной поддержки дипломатических и консульских работников</t>
  </si>
  <si>
    <t>Предоставление консульских услуг на территории КР</t>
  </si>
  <si>
    <t>Обеспечение своевременных и качественных услуг</t>
  </si>
  <si>
    <t xml:space="preserve">Количество положительно рассмотренных обращений физических и юридических лиц КР по защите их прав и интересов.  </t>
  </si>
  <si>
    <t>Объем консульских услуг физическим лицам Кыргызской Республики</t>
  </si>
  <si>
    <t>Количество проведенных закупок</t>
  </si>
  <si>
    <t>секр</t>
  </si>
  <si>
    <t>млн.сом</t>
  </si>
  <si>
    <t xml:space="preserve">12. Аппарат Президента Кыргызской Республики </t>
  </si>
  <si>
    <t xml:space="preserve">Аппарат Президента КР </t>
  </si>
  <si>
    <t xml:space="preserve">Отношение расходов по бюджетной мере к общим расходам республиканского бюджета </t>
  </si>
  <si>
    <t xml:space="preserve">Полнота обеспеченности </t>
  </si>
  <si>
    <t xml:space="preserve">Количество изданных распоряжений на оказание финансовой помощи </t>
  </si>
  <si>
    <t xml:space="preserve">14. Аппарат Правительства КР </t>
  </si>
  <si>
    <t xml:space="preserve">Аппарат Правительства КР </t>
  </si>
  <si>
    <t xml:space="preserve">постановления </t>
  </si>
  <si>
    <t xml:space="preserve">Координация и принятие решений в вопросах делимитации и демаркации  государственной границы КР </t>
  </si>
  <si>
    <t xml:space="preserve">Количество проведенных встреч по вопросам делимитации и демаркации госграниц </t>
  </si>
  <si>
    <t>Оказание государственной  поддержки в случае  возникновения непредвиденных  расходов,  связанных  с социально-культурными и другими мероприятиями, проводимыми в республике</t>
  </si>
  <si>
    <t>аудит не произведен</t>
  </si>
  <si>
    <t>Количество проведенных расследований, количество рассмотренных жалоб, количество возбужденных уголовных дел</t>
  </si>
  <si>
    <t>4                                                                 122                                                             0</t>
  </si>
  <si>
    <t>0                                                                       111                                                              0</t>
  </si>
  <si>
    <t>9417                                                          14607                                                          9670                                                 3992150089 сом</t>
  </si>
  <si>
    <t>19018                                             8049                                           5581                                       388945321 сом</t>
  </si>
  <si>
    <t>6021                                                 10074                                        5693                                 3936303442 сом</t>
  </si>
  <si>
    <t xml:space="preserve">8170                                                  5210                                                       3022                                                       332291628 сом </t>
  </si>
  <si>
    <t>2030                                                2625                                                       2154                                            55846646 сом</t>
  </si>
  <si>
    <t xml:space="preserve">4124                                                1892                                                       1528                                           56653693 сом </t>
  </si>
  <si>
    <t>1366                                                       1908                                                      1823</t>
  </si>
  <si>
    <t>6724                                                 947                                              1031</t>
  </si>
  <si>
    <t>898                                          92195                                                 424                                                 12529                                           1045                                            604                                              78</t>
  </si>
  <si>
    <t>473                                                 44975                                                                  159                                                             7386                                                                          494                                                             245                                                       34</t>
  </si>
  <si>
    <t>Надзор за следствием и оперативно-розыскной деятельностью в органах внутренних дел и исполнения наказания.</t>
  </si>
  <si>
    <t>Количество проведенных проверок, количество проверенных материалов об отказе возбуждении уголовных дел, количество выявленных укрытых пресуплений, количество отмененных необоснованных решений следователей, количество внесенных представлений, количество наказанных в административном и дисциплинарном порядке лиц, количество должностных лиц правоохранительных органов привлеченных к уголовной ответственности.</t>
  </si>
  <si>
    <t>802                                                         86440                                        398                                                   10285                                               861                                      556                                          65</t>
  </si>
  <si>
    <t>428                                             42142                                                             148                                                        5951                                                                   453                                                           222                                                    22</t>
  </si>
  <si>
    <t>Надзор за следствием и оперативно-розыскной деятельностью в органах государственной службы по экономическим преступлениям и следствие в Военной прокуратуре.</t>
  </si>
  <si>
    <t>70                                           5337                                                20                                               1841                                                     62                                              48                                          2</t>
  </si>
  <si>
    <t>31                                                    1511                                                      6                                                              786                                                          29                                                                   21                                                       0</t>
  </si>
  <si>
    <t>26                                           418                                                   6                                                  403                                          22                                              0                                       11</t>
  </si>
  <si>
    <t>12                                                             144                                                          2                                                              317                                                                   12                                                    2                                                12</t>
  </si>
  <si>
    <t>141                                                  27576919                                                      19139296                                              211                                                   123</t>
  </si>
  <si>
    <t>97                                                           13655801                                             13655801                                                                    121                                        97</t>
  </si>
  <si>
    <t>24357                                5760                                     2172                                      1925                                       1603                                           5444326000</t>
  </si>
  <si>
    <t>10208                                                       2818                                             1034                                                      684                                                665                                                     45850555</t>
  </si>
  <si>
    <t>21739                                           5760                                                   2076                                                       1785                                                   1488</t>
  </si>
  <si>
    <t xml:space="preserve">8390                                                           2818                                                                   934                                                               634                                                665 </t>
  </si>
  <si>
    <t>2618                                             96                                       140                                      115                            5444326000</t>
  </si>
  <si>
    <t>1818                                                                  100                                                                    50                                                       0                                                 45850555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</si>
  <si>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</si>
  <si>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t>Охват сотрудников аппарата ВС КР семинарами и др.</t>
  </si>
  <si>
    <t>Укрепление кадрового потенциала в судебной системе Кыргызской Республики</t>
  </si>
  <si>
    <t>Повышение уровня профессионализма</t>
  </si>
  <si>
    <t>Внедрение практики совместного обучения судей, прокуроров и адвокатов</t>
  </si>
  <si>
    <t xml:space="preserve">Повышение уровня профессиональной культуры работников судебной системы </t>
  </si>
  <si>
    <t>Усиление прозрачности и профессионализма судейского корпуса</t>
  </si>
  <si>
    <t>Независимый отбор судей Советом по отбору судей КР</t>
  </si>
  <si>
    <t>Внедрение автоматизированной информационной системы (АИС)</t>
  </si>
  <si>
    <t>Создание государственного реестра судебных актов</t>
  </si>
  <si>
    <t>Создание электронного архива</t>
  </si>
  <si>
    <t xml:space="preserve">Обеспечение безопасности для участников сторон судебных процессов </t>
  </si>
  <si>
    <t>Обеспечение деятельности Совета судей КР и Дисциплинарной комиссии при Совете судей</t>
  </si>
  <si>
    <t>600</t>
  </si>
  <si>
    <t>1000</t>
  </si>
  <si>
    <t>2058</t>
  </si>
  <si>
    <t>Обеспечение деятельности служб судебных приставов</t>
  </si>
  <si>
    <t>Внедрение технических средств и системы безопасности зданий судов</t>
  </si>
  <si>
    <t>Доля граждан, считающих организацию работы судов неудовлетворительной, в том числе опрошенных</t>
  </si>
  <si>
    <t>Обеспечен реальный доступ граждан к квалифицированной юридической помощи</t>
  </si>
  <si>
    <t>Разработка и внедрение системы для получения судебных актов в удаленном режиме (система электронного правосудия)</t>
  </si>
  <si>
    <t>Улучшение качества отправления правосудия</t>
  </si>
  <si>
    <t>Автоматизированное распределение судебных актов (АРД)</t>
  </si>
  <si>
    <t xml:space="preserve">Количество обслуживаемых смет </t>
  </si>
  <si>
    <t xml:space="preserve">Обеспечение высокго уровня предоставления государственных услуг, а также обеспечение государственного протокола. </t>
  </si>
  <si>
    <t>Программное и техническое обеспчение единого канала связи государственных учреждений  и обеспечение прозрачности выборов референдумов</t>
  </si>
  <si>
    <t xml:space="preserve">Количество государственных учреждений </t>
  </si>
  <si>
    <t xml:space="preserve">Количество изготовленных наград </t>
  </si>
  <si>
    <t xml:space="preserve">Количество лиц </t>
  </si>
  <si>
    <t xml:space="preserve">Количество мероприятий  гос.значимых </t>
  </si>
  <si>
    <t xml:space="preserve">Обеспечение деятельности должностных лиц, возложенных на УДППКР </t>
  </si>
  <si>
    <t xml:space="preserve">Обеспечение высокого уровня предоставления государственных услуг </t>
  </si>
  <si>
    <t>Управления делами ППКР</t>
  </si>
  <si>
    <t xml:space="preserve">КБ УД </t>
  </si>
  <si>
    <t xml:space="preserve">АТО и гостевые </t>
  </si>
  <si>
    <t xml:space="preserve">коэф. </t>
  </si>
  <si>
    <t xml:space="preserve">кол.во </t>
  </si>
  <si>
    <t xml:space="preserve">Включение в Государственный  реестр норматинвых  правовых атков </t>
  </si>
  <si>
    <t xml:space="preserve">Формирование  Централизованной базы данных (ЦБД) правовой информации </t>
  </si>
  <si>
    <t xml:space="preserve">Количество электронных  версий  нормативных  правовых актов КР в ЦБД </t>
  </si>
  <si>
    <t xml:space="preserve">1)Количество гос.нот.действий                             </t>
  </si>
  <si>
    <t>2)количество апостил-х документов 3)количество легализованных документов</t>
  </si>
  <si>
    <t xml:space="preserve">Осуществление нотариальной деятельности </t>
  </si>
  <si>
    <t xml:space="preserve">Кол-во гос.нот действий </t>
  </si>
  <si>
    <t>Обеспечение усовершеноствание и актуализация базы данных юридических лиц, филиалов (представительств)</t>
  </si>
  <si>
    <t>Закупка сервера  для базы данных юридических  лиц, филиалов  (представительств)</t>
  </si>
  <si>
    <t xml:space="preserve">колво </t>
  </si>
  <si>
    <t xml:space="preserve">Закупка сканеров  территориальным  органам  юстиции  для оцифровки регистрационных  документов </t>
  </si>
  <si>
    <t>Обеспечение сохранности  архивных  регистрационных  дел юр.лиц, филиалов, представительств МЮ</t>
  </si>
  <si>
    <t xml:space="preserve">Проведение Государственной регистрации залоговых  сделок  движимого  имущества </t>
  </si>
  <si>
    <t xml:space="preserve">Количество  оказанной юридической помощи </t>
  </si>
  <si>
    <t>Осуществление обслуживания работниками  МОП и ТОП</t>
  </si>
  <si>
    <r>
      <rPr>
        <b/>
        <sz val="11"/>
        <rFont val="Times New Roman"/>
        <family val="1"/>
        <charset val="204"/>
      </rPr>
      <t xml:space="preserve">Определение приоритетных направлений развития судебной системы Кыргызской Республики </t>
    </r>
    <r>
      <rPr>
        <sz val="11"/>
        <rFont val="Times New Roman"/>
        <family val="1"/>
        <charset val="204"/>
      </rPr>
      <t>/ Усилен потенциал органов судейского самоуправления</t>
    </r>
  </si>
  <si>
    <r>
      <t>Совершенствование взаимодействия модели исполнения судебных решений /</t>
    </r>
    <r>
      <rPr>
        <i/>
        <sz val="11"/>
        <rFont val="Times New Roman"/>
        <family val="1"/>
        <charset val="204"/>
      </rPr>
      <t xml:space="preserve"> Увеличение доли исполнения судебных решений</t>
    </r>
  </si>
  <si>
    <r>
      <t xml:space="preserve">Защита прав и интересов граждан и юридических лиц
</t>
    </r>
    <r>
      <rPr>
        <i/>
        <sz val="11"/>
        <rFont val="Times New Roman"/>
        <family val="1"/>
        <charset val="204"/>
      </rPr>
      <t>Цель программы: Высокий уровень защищенности прав и интересов граждан и юридических лиц КР за рубежом</t>
    </r>
  </si>
  <si>
    <t>Количество судебных дел по защите объектов интеллектуальной собственности</t>
  </si>
  <si>
    <t xml:space="preserve">Количество подписанных договоров, меморандумов,  соглашений и планов мероприятий с патентными ведомствами зарубежных стран </t>
  </si>
  <si>
    <t>Количество положительных упоминаний ведомства в СМИ или количество материалов, опубликованных на web-ресурсе ведомства</t>
  </si>
  <si>
    <t xml:space="preserve">Количество видеороликов о деятельности Кыргызпатента </t>
  </si>
  <si>
    <t>Обеспечение мониторинга, анализа и стратегического планирования (по противодействию коррупции, стратегического панирования и анализа)</t>
  </si>
  <si>
    <t>Оценка деятельности Кыргызпатента и его руководителя</t>
  </si>
  <si>
    <t>Стимулирование авторов к созданию новых результатов интеллектуальной деятельности и повышению престижа изобретателей, авторов и научных работников</t>
  </si>
  <si>
    <t>Количество наград  изобретателям, авторам и научным работникам</t>
  </si>
  <si>
    <t xml:space="preserve">Доля заявок на служебные изобретения </t>
  </si>
  <si>
    <t xml:space="preserve">Развитие инфраструктуры для создания интеллектуальной собственности 
</t>
  </si>
  <si>
    <t xml:space="preserve">Количество филиалов Центра поддержки технологий и инноваций </t>
  </si>
  <si>
    <t xml:space="preserve">Количество обученных координаторов Центра поддержки технологий и инноваций  по патентному поиску </t>
  </si>
  <si>
    <t>Количество пользователей услуг Центра поддержки технологий и инноваций   в количестве не менее 500 человек в год</t>
  </si>
  <si>
    <t xml:space="preserve">Количество награжденных координаторов Центра поддержки технологий и инноваций  </t>
  </si>
  <si>
    <t>Разработка механизмов выявления и вовлечения талантливых детей и молодежи в творческий процесс</t>
  </si>
  <si>
    <t xml:space="preserve">Количество  премий в области научно- технического творчества детей и молодежи </t>
  </si>
  <si>
    <t>Количество республиканских и областных конкурсов, олимпиад, выставок  научно-технического и творческого направлений</t>
  </si>
  <si>
    <t>Расширение сети кружков научно-технического творчества</t>
  </si>
  <si>
    <t>Количество кружков научно-технического творчества детей</t>
  </si>
  <si>
    <t xml:space="preserve">Охват детей научно-техническим творчеством </t>
  </si>
  <si>
    <t>1067</t>
  </si>
  <si>
    <t>1071</t>
  </si>
  <si>
    <t>1075</t>
  </si>
  <si>
    <t>1079</t>
  </si>
  <si>
    <t>1083</t>
  </si>
  <si>
    <t>Использование доступных образовательных и информационных ресурсов и опыта международных и региональных партнеров</t>
  </si>
  <si>
    <t xml:space="preserve">Количество обученных специалистов в Российской государственой академии интеллектуальной собственности </t>
  </si>
  <si>
    <t>Количество обученных специалистов - патентоведов для предприятий и бюджетных организаций</t>
  </si>
  <si>
    <t>Количество баз данных патентной и непатентной информации других стран</t>
  </si>
  <si>
    <t>Расширение использования IT-технологий при подаче и рассмотрении заявок</t>
  </si>
  <si>
    <t xml:space="preserve">Электронный документооборот
</t>
  </si>
  <si>
    <t xml:space="preserve">Вовлечение гражданского общества в процесс осуществления прав интеллектуальной собственности, формирование института медиации для досудебного регулирования споров
</t>
  </si>
  <si>
    <t>Количество отобранных инновационных проектов  для финансирования по результатам конкурса "Лучший инновационный проект"</t>
  </si>
  <si>
    <t xml:space="preserve">Создание демонстрационно-опытных площадок для взаимодействия авторов интеллектуальной собственности и бизнес-структур
</t>
  </si>
  <si>
    <t xml:space="preserve">Количество созданных технопарков на базе вузов республики </t>
  </si>
  <si>
    <t xml:space="preserve">Количество проведенных выставок и ярмарок </t>
  </si>
  <si>
    <t>Создание условий для финансовой поддержки развития инновационной деятельности</t>
  </si>
  <si>
    <t xml:space="preserve">Государственный  инновационный фонд </t>
  </si>
  <si>
    <t xml:space="preserve">Организация процесса профессиональной подготовки и повышения квалификации кадров по инновационным специальностям  </t>
  </si>
  <si>
    <t xml:space="preserve">Количество обученных специалистов в сфере развития инноваций </t>
  </si>
  <si>
    <t xml:space="preserve">Вовлечение в процесс создания объектов интеллектуальной собственности  государственных, научно-исследовательских и частных предприятий </t>
  </si>
  <si>
    <t>Отношение расходов на заработную плату по Программе 001 к сумме полученных доходов от организации курсов повышения квалификации</t>
  </si>
  <si>
    <t>Подготовка содержания краткосрочных курсов повышения квалификации</t>
  </si>
  <si>
    <t>Отношение обновленных материалов курсов к общему числу организованных курсов</t>
  </si>
  <si>
    <t>Организация учебного процесса повышения квалификации</t>
  </si>
  <si>
    <t>Общее число участников курсов повышения квалификации</t>
  </si>
  <si>
    <t>Управление преподавательскими ресурсами</t>
  </si>
  <si>
    <t>Процент обеспеченности преподавательским составом запланированных курсов повышения квалификации</t>
  </si>
  <si>
    <t>Обеспечение бесперебойного функционирования и сохранности сетевого и компьютерного оборудования</t>
  </si>
  <si>
    <t>Число чрезвычайных и аварийных ситуаций, повлиявших на сохранность и бесперебойное функционирование оборудования</t>
  </si>
  <si>
    <t>Повышение квалификации преподавателей краткосрочных курсов повышения квалификации</t>
  </si>
  <si>
    <t>Число полученных сертификатов международного образца инструкторами</t>
  </si>
  <si>
    <t>Число участников сертификационных экзаменов</t>
  </si>
  <si>
    <t>Ежегодная сертификация администраторов проведения экзаменов</t>
  </si>
  <si>
    <t>Число сертифицированных администраторов проведения экзаменов</t>
  </si>
  <si>
    <t>Организация экзаменов по профессиональной сертификации от авторизованных международных тестовых центров</t>
  </si>
  <si>
    <t>Обеспечение бесперебойного функционирования и сохранности тестового компьютерного оборудования</t>
  </si>
  <si>
    <t>Процент бесперебойного функционирования</t>
  </si>
  <si>
    <t>Обслуживание компьютерного оборудование и администрирование сетевой инфраструктуры Японского агентства международного сотрудничества</t>
  </si>
  <si>
    <t>Отношение отказов к бесперебойному обеспечению интернетом</t>
  </si>
  <si>
    <t>Организация круглосуточной деятельности Сетевого операционного центра Центрально-Азиатской научно-образовательной сети</t>
  </si>
  <si>
    <t>Развитие и внедрение международного роумингового сервиса для лиц, занятых в сфере научно-исследовательской деятельности, высшего образования и дополнительного профессионального образования</t>
  </si>
  <si>
    <t>Число научно-образовательных учреждений, подключенных к eduroam</t>
  </si>
  <si>
    <t>Число научно-образовательных учреждений, подключенных к edugain</t>
  </si>
  <si>
    <t>Повышение квалификации сотрудников, ответственных за деятельность Сетевого операционного центра</t>
  </si>
  <si>
    <t>Число полученных сертификатов международного образца сотрудниками Сетевого операционного центра</t>
  </si>
  <si>
    <t>Организация курсов повышения квалификации для сетевых администраторов и инженеров вузов-членов Кыргызской научно-образовательной компьютерной сети</t>
  </si>
  <si>
    <t>Число участников курсов повышения квалификации</t>
  </si>
  <si>
    <t>Планирование, управление и администрирование</t>
  </si>
  <si>
    <t>Отношение расходов на заработную плату по Программе 004 к сумме расходов на заработную плату по всем программам</t>
  </si>
  <si>
    <t>Процент увеличения доходов</t>
  </si>
  <si>
    <t>Доля спецсредств к общей сумме организации</t>
  </si>
  <si>
    <t>23</t>
  </si>
  <si>
    <t>Код ВК</t>
  </si>
  <si>
    <t xml:space="preserve">Проведение  государственного аудита </t>
  </si>
  <si>
    <t xml:space="preserve">Планирование, управление и администрирование                                                                                                                              
</t>
  </si>
  <si>
    <t>Осуществление общего надзора за соблюдением военного законодательства</t>
  </si>
  <si>
    <t>Поддержание государственного обвинения в военных судах</t>
  </si>
  <si>
    <t>Наращивание внутреннего потенциала Министерства экономики.                                                                                           Планирование, управление и администрирование</t>
  </si>
  <si>
    <t>Макроэкономическая  инвестиционная политика, стратегическое планирование и политика предпринимательства</t>
  </si>
  <si>
    <t>Устойчивый рост экспорта с расширением его географии, а также номенклатуры товаров и услуг. Обеспечение положительного сальдо торгового баланса</t>
  </si>
  <si>
    <t>Единый реестр государственных услуг, система оценки деятельности органов исполнительной власти</t>
  </si>
  <si>
    <t xml:space="preserve">Координация деятельности министерств и ведомств, связанных с выполнением условий и обязательств по Договору о Евразийском экономическом союзе от 29 мая 2014 г. </t>
  </si>
  <si>
    <t>2017 г.</t>
  </si>
  <si>
    <t>2018 г.</t>
  </si>
  <si>
    <t>Средний срок рассмотрения обращений избирателей</t>
  </si>
  <si>
    <t>Количество детей посещающих ясли-сад № 172 "Арген"</t>
  </si>
  <si>
    <t>Исполнение постановлений</t>
  </si>
  <si>
    <t>Количество депутатских комиссий, работа которых была завершена</t>
  </si>
  <si>
    <t xml:space="preserve">Оказание государственной поддержки в случае возникновения  непредвиденных  расходов по экономическим, социально-культурным и другим мероприятиям, а также  чрезвычайным событиям. </t>
  </si>
  <si>
    <t xml:space="preserve">Экспертно-аналитическое, информационное, правовое, протокольное, организационное, документационное  обеспечение функционирования Президента КР </t>
  </si>
  <si>
    <t>Обеспечение деятельности Президента КР согласно Закону КР "О гарантиях деятельности Президента КР"</t>
  </si>
  <si>
    <t xml:space="preserve">Итого: всего по Аппарату Президента Кыргызской Республики </t>
  </si>
  <si>
    <t xml:space="preserve">Количество оргнизованных протокольных мероприятий </t>
  </si>
  <si>
    <t xml:space="preserve">Количество принятых нормативно-правовых актов по инициативе Правительства КР </t>
  </si>
  <si>
    <t xml:space="preserve">Обеспечение и организация  мероприятий по награждению государственными  наградами  лиц, внесших вклад в защиту и укрепление  государства и демократического общества, единства народа, а также заслуг в различных видах деятельности перед государством и народом. </t>
  </si>
  <si>
    <t>Транспортное обеспечение экс-Президента  КР и бывших руководителей Кыргызской ССР</t>
  </si>
  <si>
    <t>Обеспечение и организация саммитов и других госзначимых  мероприятий</t>
  </si>
  <si>
    <t xml:space="preserve">Предоставление транспортных услуг в государственном секторе </t>
  </si>
  <si>
    <t>Аппарата Президента КР</t>
  </si>
  <si>
    <t xml:space="preserve">Аппарата Правительства КР </t>
  </si>
  <si>
    <t>экс-руководителей</t>
  </si>
  <si>
    <t>министерств и ведомств</t>
  </si>
  <si>
    <t xml:space="preserve">Обеспечение деятельности Правительства КР путем координации госорганов исполнительной власти и осуществление мониторинга реализации ими своих полномочий, а также  реализации полномочий Премьер-министра КР </t>
  </si>
  <si>
    <t xml:space="preserve">Удельный вес в % от общей суммы годового бюджета </t>
  </si>
  <si>
    <t xml:space="preserve">Гостевые </t>
  </si>
  <si>
    <t xml:space="preserve">Количество обслуживаемых мероприятий государственного протокола </t>
  </si>
  <si>
    <t>Обеспечение деятельности и службы обеспечения</t>
  </si>
  <si>
    <t>Количество нарушений, связанных с должностными обязанностями сотрудников аппарата Верховного суда</t>
  </si>
  <si>
    <t>Обеспечение Верховного суда зданием соответствующего стандарта</t>
  </si>
  <si>
    <t>Доля сотрудников служб обеспечения от общей численности сотрудников центрального аппарата Конституционной палаты</t>
  </si>
  <si>
    <t>Информация по доходам судей и других сотрудников аппарата Конституционной палаты размещена на едином сайте Государственной кадровой службы</t>
  </si>
  <si>
    <t>Ежегодное выполнение плана</t>
  </si>
  <si>
    <t>Количество коррупционных проявлений среди сотрудников аппарата, судей Конституционной палаты Верховного суда Кыргызской Республики</t>
  </si>
  <si>
    <t>Количество коррупционных проявлений  среди сотрудников аппарата Верховного суда Кыргызской Республики</t>
  </si>
  <si>
    <t>Развитие международных связей (СНГ, страны дальнего зарубежья) Высшей школы правосудия и Совета судей в сфере профессиональной подготовки судей, проведению тематических конференций и семинаров)</t>
  </si>
  <si>
    <t>Количество нарушений, связанных с должностными обязанностями сотрудников аппарата Судебного департамента при Верховном суде  Кыргызской Республики</t>
  </si>
  <si>
    <t>Поддержка систем аудио-, видеофиксации судебных процессов</t>
  </si>
  <si>
    <t>Аудио-, видеофиксация судебных процессов производится на каждом заседании</t>
  </si>
  <si>
    <t>Внедрение системы аудио-, видеофиксации судебных процессов</t>
  </si>
  <si>
    <t>Количество судов, оснащенных системами аудио-, видеофиксации и протоколирования судебных заседаний</t>
  </si>
  <si>
    <r>
      <rPr>
        <b/>
        <sz val="11"/>
        <rFont val="Times New Roman"/>
        <family val="1"/>
        <charset val="204"/>
      </rPr>
      <t xml:space="preserve">Создание условий для участников сторон судебных процессов / </t>
    </r>
    <r>
      <rPr>
        <sz val="11"/>
        <rFont val="Times New Roman"/>
        <family val="1"/>
        <charset val="204"/>
      </rPr>
      <t xml:space="preserve">количество модернизированных и построенных новых зданий для местных судов КР, отвечающих утвержденным нормативам для служебных помещений судов </t>
    </r>
  </si>
  <si>
    <r>
      <t>Количество судов, оснащенных информационными системами (видеозапись и трансляция судебных процессов, аудио-, видеопротоколирование и т.д.) /</t>
    </r>
    <r>
      <rPr>
        <i/>
        <sz val="11"/>
        <rFont val="Times New Roman"/>
        <family val="1"/>
        <charset val="204"/>
      </rPr>
      <t xml:space="preserve"> Обеспечена полная гласность и прозрачность судебных разбирательств</t>
    </r>
  </si>
  <si>
    <t>Количество судов, в которых внедрены информационные технологии, обеспечивающие быстрое разрешение судебных дел</t>
  </si>
  <si>
    <t>Доля сотрудников, прошедших оценку деятельности с высоким баллом от общего количества сотрудников</t>
  </si>
  <si>
    <t>Доля сотрудников, повысивших квалификацию от общего количества сотрудников</t>
  </si>
  <si>
    <t>Количество судебных процессов, по которым представлялись интересы Счетной палаты Кыргызской Республики</t>
  </si>
  <si>
    <t>Количество межрайонных судов, рассматривающие судебные дела с участием присяжных заседателей</t>
  </si>
  <si>
    <t>Повышение процента явки избирателей в день голосования</t>
  </si>
  <si>
    <t>Проведение итогов голосований и определение результата выборов</t>
  </si>
  <si>
    <t>Сокращение количества обжалований действий комиссии, сокращение нарушений избирательного законодательства</t>
  </si>
  <si>
    <t>Информирование избирателей, участников референдума о ходе избирательной кампании, кампании референдума, избирательного законодательства</t>
  </si>
  <si>
    <t>Изучение практики подготовки и проведения выборов, референдумов в других странах и представление в Жогорку Кенеш предложений по совершенствованию избирательного законодательства.</t>
  </si>
  <si>
    <t>Количество информационных кампаний (круглые столы, выступление в СМИ, выпущенных печатных материалов)</t>
  </si>
  <si>
    <r>
      <t>Количество проведенных проверок (</t>
    </r>
    <r>
      <rPr>
        <b/>
        <u/>
        <sz val="11"/>
        <rFont val="Times New Roman"/>
        <family val="1"/>
        <charset val="204"/>
      </rPr>
      <t>выявлено нарушений в 2018 году</t>
    </r>
    <r>
      <rPr>
        <b/>
        <sz val="11"/>
        <rFont val="Times New Roman"/>
        <family val="1"/>
        <charset val="204"/>
      </rPr>
      <t>),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</t>
    </r>
  </si>
  <si>
    <t>Надзор за законностью издаваемых органами исполнительной власти НПА и исполнением законов</t>
  </si>
  <si>
    <t>Надзор за соблюдением законов органами, осуществляющими оперативно-розыскную деятельность, следствие</t>
  </si>
  <si>
    <t>Противодействие коррупции. Координация деятельности госорганов по противодействию коррупции</t>
  </si>
  <si>
    <t>Надзор за исполнением законов по защите прав детей</t>
  </si>
  <si>
    <t>Надзор за следствием и оперативно-розыскной деятельностью в органах национальной безопастности</t>
  </si>
  <si>
    <t>Расследование уголовных дел в Военной прокуратре</t>
  </si>
  <si>
    <t>Обеспечение поддержания гособвинения и представительство в судах</t>
  </si>
  <si>
    <t>Поддержание гособвинения в судах</t>
  </si>
  <si>
    <t>Представительство прокуратуры в гражданских, административных и экономических делах в интересах государства</t>
  </si>
  <si>
    <r>
      <t>Количество проведенных проверок</t>
    </r>
    <r>
      <rPr>
        <u/>
        <sz val="11"/>
        <rFont val="Times New Roman"/>
        <family val="1"/>
        <charset val="204"/>
      </rPr>
      <t xml:space="preserve"> (выявлено нарушений в 2018 году)</t>
    </r>
    <r>
      <rPr>
        <sz val="11"/>
        <rFont val="Times New Roman"/>
        <family val="1"/>
        <charset val="204"/>
      </rPr>
      <t>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</t>
    </r>
  </si>
  <si>
    <r>
      <t>Количество проведенных проверок (</t>
    </r>
    <r>
      <rPr>
        <u/>
        <sz val="11"/>
        <rFont val="Times New Roman"/>
        <family val="1"/>
        <charset val="204"/>
      </rPr>
      <t>выявлено нарушений в 2018 году)</t>
    </r>
    <r>
      <rPr>
        <sz val="11"/>
        <rFont val="Times New Roman"/>
        <family val="1"/>
        <charset val="204"/>
      </rPr>
      <t>, внесенных актов прокурорского реагирования, наказанных в административном и дисциплинарном порядке лиц</t>
    </r>
  </si>
  <si>
    <r>
      <t>Количество проведенных проверок (</t>
    </r>
    <r>
      <rPr>
        <u/>
        <sz val="11"/>
        <rFont val="Times New Roman"/>
        <family val="1"/>
        <charset val="204"/>
      </rPr>
      <t>выявлено нарушений в 2018 году</t>
    </r>
    <r>
      <rPr>
        <sz val="11"/>
        <rFont val="Times New Roman"/>
        <family val="1"/>
        <charset val="204"/>
      </rPr>
      <t>),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 и т.д.</t>
    </r>
  </si>
  <si>
    <t>Количество проведенных проверок, количество проверенных материалов об отказе в возбуждении уголовных дел, количество выявленных укрытых преступлений, количество отмененных необоснованных решений следователей, количество внесенных представлений, количество наказанных в административном и дисциплинарном порядке лиц, количество должностных лиц правоохранительных органов, привлеченных к уголовной ответственности.</t>
  </si>
  <si>
    <t xml:space="preserve">Количество принятых участий на судебных процессах. Количество обвинительных приговоров. Количество внесенных апелляционных, кассационных и надзорных представлений. </t>
  </si>
  <si>
    <t>Количество принятых участий на судебных процессах. Количество внесенных апелляционных, кассационных и надзорных представлений. Сумма возмещенного по искам ущерба.</t>
  </si>
  <si>
    <t>Количество принятых участий на судебных процессах. Количество обвинительных приговоров первой инстанции. Количество внесенных апелляционных, кассационных и надзорных представлений. Сумма возмещенного по искам ущерба.</t>
  </si>
  <si>
    <t>Качественный контроль и эффективное управление деятельности органов Военной прокуратуры Кыргызской Республики.</t>
  </si>
  <si>
    <t xml:space="preserve">Надзор за соответствием издаваемых Вооруженными силами нормативных актов </t>
  </si>
  <si>
    <t>Предупреждение и раскрытие уголовных дел в Вооруженных силах</t>
  </si>
  <si>
    <t>Защита прав пациентов, находящихся в психиатрических стационарах</t>
  </si>
  <si>
    <t>Улучшение условий содержания пациентов в психиатрических стационарах</t>
  </si>
  <si>
    <t>Защита гражданско-политических прав, прав мигрантов и  иностранных граждан</t>
  </si>
  <si>
    <t>Поездка сотрудников МЮКР для участия в заседаниях  Совещания  министров  юстиции государств- членов ШОС и Совета министров юстиции государств-участников СНГ. (министр и 2 эксперта)</t>
  </si>
  <si>
    <t xml:space="preserve">Проведение в Кыргызской Республике заседаний Совещания министров юстиции государств-членов ШОС (2018 год)  и  Совета министров юстиции государств-участников  СНГ (2020 год) . </t>
  </si>
  <si>
    <t xml:space="preserve">Координация исполнения плана законопроектных работ, разработка и экспертиза проектов нормативных правовых актов  </t>
  </si>
  <si>
    <t>Количество положительных упоминаний мин-в и ведомств в СМИ</t>
  </si>
  <si>
    <t>Внедрение и функционирование онлайн-регистрации юридических лиц, филиалов (представительств)</t>
  </si>
  <si>
    <t xml:space="preserve">Количество гос. регистрации, перерегистрации и прекращение                   </t>
  </si>
  <si>
    <t xml:space="preserve">Разработка и внедрение программного обеспечения </t>
  </si>
  <si>
    <t>Проведение обучающих семинаров  для сотрудников МЮ и территориальных органов юстиции, задействованных  в процессе регистрации юридических лиц, филиалов (представительств)</t>
  </si>
  <si>
    <t>Привлечение IT-специалистов по договору для оказания услуг по базе данных юридических  лиц, филиалов (представительств)</t>
  </si>
  <si>
    <t xml:space="preserve">Привлечение  специалистов  по договору  для инвентаризации архивных  регистрационных документов юр.лиц, филиалов, представительств МЮ и территориальных органов </t>
  </si>
  <si>
    <t xml:space="preserve">Привлечение специалистов по договору для сканирования  архивных регистрационных  документов юр.лиц </t>
  </si>
  <si>
    <t xml:space="preserve">Закупка и установление сигнализации, бронирование дверей </t>
  </si>
  <si>
    <t xml:space="preserve">Предоставление качественной  государственной гарантированной  юридической  помощи </t>
  </si>
  <si>
    <t xml:space="preserve">Обеспечение своевременной  услугой в сфере обслуживания </t>
  </si>
  <si>
    <t xml:space="preserve">Уровень своевременного и качественного обслуживания </t>
  </si>
  <si>
    <t>Осуществление государственной  гарантированной  юридической помощи</t>
  </si>
  <si>
    <t>Количество осуществленных внешнеполитических мероприятий в рамках двустороннего формата</t>
  </si>
  <si>
    <r>
      <t xml:space="preserve">Проведение внешнеполитической деятельности государства в двустороннем формате
</t>
    </r>
    <r>
      <rPr>
        <i/>
        <sz val="11"/>
        <rFont val="Times New Roman"/>
        <family val="1"/>
        <charset val="204"/>
      </rPr>
      <t xml:space="preserve">Цель программы: Всестороннее и эффективное обеспечение национальных интересов на международной арене в двустороннем формате и создание благоприятных внешних условий </t>
    </r>
  </si>
  <si>
    <t xml:space="preserve">Организация и проведение двусторонних визитов в Кыргызской Республике глав государств, глав правительств, спикеров парламентов, глав внешнеполитических и внешнеэкономических ведомств. </t>
  </si>
  <si>
    <t xml:space="preserve">Организация и проведение  двусторонних визитов Президента Кыргызской Республики, Премьер-министра, Торага Жогорку Кенеша, министра иностранных дел, руководителей министерств и ведомств в зарубежные страны  </t>
  </si>
  <si>
    <t>Расширение географии дипломатических миссий Кыргызской Республики за рубежом и зарубежных стран в Кыргызской Республике</t>
  </si>
  <si>
    <t>Содействие в создании благоприятного имиджа Кыргызской Республики на международной арене</t>
  </si>
  <si>
    <t>Количество открытых посольств, генеральных консульств, консульских пунктов Кыргызской Республики за рубежом и зарубежных стран в Кыргызской Республике</t>
  </si>
  <si>
    <t>Количество проведенных внешнеполитических мероприятий в странах аккредитации (организация и проведение визитов, переговоров, встреч, участие в работе международных и региональных организаций и объединений.</t>
  </si>
  <si>
    <t>Объем консульских действий, связанных с обслуживанием иностранных граждан</t>
  </si>
  <si>
    <t>Количество проведенных мероприятий в странах аккредитации (встречи/проводы, размещение, сопровождение делегации Кыргызской Республики в зарубежных странах)</t>
  </si>
  <si>
    <t>Количество генеральных консульств, консульских пунктов</t>
  </si>
  <si>
    <t>Развитие и внедрение международной межфедеральной службы, объединяющая исследовательские и образовательные федерации идентичности</t>
  </si>
  <si>
    <t>Цели программы: Усиление потенциала Министерства путем развития УЧР, оптимизация рабочих процессов и совершенствование систем. Координирующее и организационное воздействие на реализацию других программ</t>
  </si>
  <si>
    <t>Финансирование бюджетных программ в пределах средств, выделенных на деятельность министерства и в соответствии с выбранными приоритетами</t>
  </si>
  <si>
    <t>Количество размещенных материалов на сайте Министерства экономики и в СМИ</t>
  </si>
  <si>
    <t>Экспертиза законопроектов, разрабатываемых другими госорганами</t>
  </si>
  <si>
    <t>Цель программы: Обеспечить устойчивость  макроэкономического роста, динамичного роста  инвестиций в экономику и повышения эффективности их использования, а также создание единой системы стратегического планирования устойчивого развития в стране и благоприятных условий для активного развития предпринимательства</t>
  </si>
  <si>
    <t>Создание и содержание мобильного приложения по условиям ведения инвестиционной деятельности в Кыргызской Республике с наличием всей необходимой информации.</t>
  </si>
  <si>
    <t>Количество  протоколов межправительственных комиссий по торговому экономическому сотрудничеству</t>
  </si>
  <si>
    <t>Доля документов, выданных по принципу "единого окна" вовлеченными ведомствами, где проведена полная автоматизация внутренних бизнес процессов</t>
  </si>
  <si>
    <t>Организация проведения консультатционных встреч по  результатам экспертизы  ведомоственных реестров функций и формирование единого реестра функций  государственных органов</t>
  </si>
  <si>
    <t>Внесение предложений по объединению оценки по постановлению Правительства Кыргызской Республики "Об оценке деятельности государственных органов исполнительной власти Кыргызской Республики, мэрий городов Бишкек, Ош и их руководителей, уполномоченных представителей Правительства  Кыргызской Республики в областях" от 17 июня 2016 года №329 с оценкой итогов социально-экономического развития Кыргызской Республики за отчетный период</t>
  </si>
  <si>
    <t xml:space="preserve">Количество изданных  брошюр об участии Кыргызской Республики в Евразийском экономическом союзе </t>
  </si>
  <si>
    <t>Обеспечение доступа к качественным услугам дошкольного образования</t>
  </si>
  <si>
    <t>Департамент по охране исправительных учреждений и конвоированию осужденных и лиц, заключенных под стражу, Государственной службы исполнения наказаний при Правительстве Кыргызской Республики</t>
  </si>
  <si>
    <t>Охрана и оборона  исправительных учреждений и конвоирование осужденных</t>
  </si>
  <si>
    <t>Итого: всего по Департаменту по охране исправительных учреждений и конвоированию осужденных и лиц, заключенных под стражу, ГСИН</t>
  </si>
  <si>
    <t>Охват детей соответствующего возраста (5, 5-7 лет) программами предшкольной подготовки (от изъявивших желание)</t>
  </si>
  <si>
    <t xml:space="preserve">Поддержание и расширение существующей сети государственных дошкольных образовательных организаций (ДОО) и повышение охвата детей 5-6 лет (включая детей с ограниченными возможностями здоровья) программой предшкольной подготовки (бюджетные средства) </t>
  </si>
  <si>
    <t>Расширение сети государственных и муниципальных дошкольных образовательных организаций (спец. средства)</t>
  </si>
  <si>
    <t>Оптимизация управления и финансирования детских учреждений интернатного типа</t>
  </si>
  <si>
    <t xml:space="preserve">Количество  учреждений интернатного типа,
по которым подготовлены планы оптимизации/трансформации
</t>
  </si>
  <si>
    <t>Кол-во общеобразовательных и специальных школ, в которых созданы условия для обучения детей с особыми нуждами.</t>
  </si>
  <si>
    <t xml:space="preserve">Улучшение доступа к обучению начального профессионального образования (бюджет и спец.средства) </t>
  </si>
  <si>
    <t xml:space="preserve">Количество граждан , обученных по профессиям, востребованным в секторах экономики (за счет республиканского бюджета и на контрактно-краткосрочной основе) </t>
  </si>
  <si>
    <t xml:space="preserve">Доля бюджетных мест, выделяемых на специальности, соответствующие страновым приоритетам и экономическим стратегиям </t>
  </si>
  <si>
    <t>Изменение структуры подготовки кадров с высшим профессиональным образованием на основе анализа страновых приоритетов и экономических стратегий регионов (спец. средства)</t>
  </si>
  <si>
    <t>Доля вузов (% от общего числа), формирующих план приема на основании заключенных с работодателями договоров о целевой подготовке</t>
  </si>
  <si>
    <t>Доля взрослого населения, охваченного лицензированными образовательными программами (формальное: вечернее/сменное/заочное, неформальное - повышение квалификации, переподготовка) от числа обратившихся</t>
  </si>
  <si>
    <t xml:space="preserve">Количество сотрудников ведомства, прошедших обучающие курсы и стажировки </t>
  </si>
  <si>
    <t xml:space="preserve">Доля электронных ресурсов Государственной патентно-технической библиотеки </t>
  </si>
  <si>
    <t>Доля заявок на объекты интеллектуальной собственности, поданных в электронном формате</t>
  </si>
  <si>
    <t xml:space="preserve">Количество проведенных заседаний Межведомственной комиссии по пресечению правонарушений в области интеллектуальной собственности </t>
  </si>
  <si>
    <t xml:space="preserve">Налаживание межгосударственного и межведомственного взаимодействия для снижения уровня распространения контрафактной продукциии, повышение результативности борьбы с нарушениями </t>
  </si>
  <si>
    <t xml:space="preserve">Поддержка деятельности по использованию интеллектуальной собственности организациями бюджетной сферы
</t>
  </si>
  <si>
    <t>Количество обученных медиаторов по разрешению споров, связанных с интеллектуальной собственностью</t>
  </si>
  <si>
    <t xml:space="preserve">Контроль за соблюдением свобод, прав человека и всех форм дискриминаций
</t>
  </si>
  <si>
    <r>
      <rPr>
        <b/>
        <sz val="11"/>
        <rFont val="Times New Roman"/>
        <family val="1"/>
        <charset val="204"/>
      </rPr>
      <t>Развитие начального и среднего профессионального образования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 xml:space="preserve">Цель программы: Создание эффективной системы управления и механизмов финансирования </t>
    </r>
  </si>
  <si>
    <r>
      <t xml:space="preserve">Предоставление высшего профессионального образования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Подготовка кадров в ВУЗах в соответствии с потребностями рынка труда </t>
    </r>
  </si>
  <si>
    <r>
      <t xml:space="preserve">Обеспечение открытости и прозрачности деятельности Конституционной палаты 
</t>
    </r>
    <r>
      <rPr>
        <i/>
        <sz val="11"/>
        <rFont val="Times New Roman"/>
        <family val="1"/>
        <charset val="204"/>
      </rPr>
      <t>Цель программы: Достижение прозрачности деятельности судебной системы</t>
    </r>
  </si>
  <si>
    <r>
      <t xml:space="preserve">Обеспечение эффективности и доступности конституционного правосудия 
</t>
    </r>
    <r>
      <rPr>
        <i/>
        <sz val="11"/>
        <rFont val="Times New Roman"/>
        <family val="1"/>
        <charset val="204"/>
      </rPr>
      <t>Цель программы: Повышение эффективности деятельности аппарата Конституционной палаты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</si>
  <si>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</si>
  <si>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Реализация конституционных прав граждан на осуществление власти через участие в выборах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Высокий уровень явки избирателей на референдумах и выборах</t>
    </r>
  </si>
  <si>
    <r>
      <rPr>
        <b/>
        <sz val="11"/>
        <rFont val="Times New Roman"/>
        <family val="1"/>
        <charset val="204"/>
      </rPr>
      <t xml:space="preserve">Повышение прозрачности                                                 </t>
    </r>
    <r>
      <rPr>
        <i/>
        <sz val="11"/>
        <rFont val="Times New Roman"/>
        <family val="1"/>
        <charset val="204"/>
      </rPr>
      <t>Цель программы: Высокий уровень доверия населения к избирательному процессу</t>
    </r>
  </si>
  <si>
    <r>
      <t xml:space="preserve">Поддержка дошкольного образования при Управлении делами Президента и Правительства Кыргызской Республики
</t>
    </r>
    <r>
      <rPr>
        <i/>
        <sz val="11"/>
        <rFont val="Times New Roman"/>
        <family val="1"/>
        <charset val="204"/>
      </rPr>
      <t>Цель программы: Обеспечение доступа к качественным услугам дошкольного образования для всех групп населения</t>
    </r>
  </si>
  <si>
    <r>
      <t xml:space="preserve">Координация, экспертиза законопроектной деятельности государственных органов,   систематизации и кодификации нормативных актов.                       
</t>
    </r>
    <r>
      <rPr>
        <i/>
        <sz val="11"/>
        <rFont val="Times New Roman"/>
        <family val="1"/>
        <charset val="204"/>
      </rPr>
      <t>Цель программы: Нормативное правовое обеспечение, координация законопроектной деятельности и повышение качества экспертиз.</t>
    </r>
  </si>
  <si>
    <r>
      <t xml:space="preserve">Оказание государственных нотариальных услуг, осуществление деятельности в сфере апостилирования и гарантированной государством юридической помощи. 
</t>
    </r>
    <r>
      <rPr>
        <i/>
        <sz val="11"/>
        <rFont val="Times New Roman"/>
        <family val="1"/>
        <charset val="204"/>
      </rPr>
      <t>Цель программы: Координирующее воздействие на адвокатскую,  нотариальную деятельность и апостилирование</t>
    </r>
  </si>
  <si>
    <r>
      <t xml:space="preserve">Проведение единой государственной политики в области регистрации, залоговых сделок.                                  
</t>
    </r>
    <r>
      <rPr>
        <i/>
        <sz val="11"/>
        <rFont val="Times New Roman"/>
        <family val="1"/>
        <charset val="204"/>
      </rPr>
      <t>Цель программы: Обеспечение регистрации юридических лиц и залоговых сделок в пределах предоставленных полномочий</t>
    </r>
  </si>
  <si>
    <r>
      <t xml:space="preserve">Осуществление  функции обслуживания .                                                                   </t>
    </r>
    <r>
      <rPr>
        <i/>
        <sz val="11"/>
        <rFont val="Times New Roman"/>
        <family val="1"/>
        <charset val="204"/>
      </rPr>
      <t xml:space="preserve"> Цель программы: Осуществление обслуживающей и технической  деятельности, не связанной с функциями государственных служащих </t>
    </r>
  </si>
  <si>
    <r>
      <t xml:space="preserve">Проведение внешнеполитической деятельности государства в многостроннем формате
</t>
    </r>
    <r>
      <rPr>
        <i/>
        <sz val="11"/>
        <rFont val="Times New Roman"/>
        <family val="1"/>
        <charset val="204"/>
      </rPr>
      <t>Цель программы: Всестороннее и эффективное обеспечение национальных интересов на международной арене в рамках международных и региональных организаций и объединений</t>
    </r>
  </si>
  <si>
    <r>
      <t xml:space="preserve">Деятельность заграничных учреждений Кыргызской Республики                                                    </t>
    </r>
    <r>
      <rPr>
        <i/>
        <sz val="11"/>
        <rFont val="Times New Roman"/>
        <family val="1"/>
        <charset val="204"/>
      </rPr>
      <t>Цель программы: Расширение и углубление политического и экономического сотрудничества в двустороннем и многостороннем формате</t>
    </r>
  </si>
  <si>
    <r>
      <t xml:space="preserve">Предоставление услуг Сетевого операционного центра для Центрально-Азиатской научно-образовательной сети (CAREN) - проекта ЕС и интернет-услуг согласно лицензии ГАС КР № 17-0157-КР от 23 мая 2017 года
</t>
    </r>
    <r>
      <rPr>
        <i/>
        <sz val="11"/>
        <color indexed="8"/>
        <rFont val="Times New Roman"/>
        <family val="1"/>
        <charset val="204"/>
      </rPr>
      <t>Цель программы: Содействие развитию высокоскоростных сетей передачи данных, предназначенных для удовлетворения потребностей образовательных и научно-исследовательских сообществ, что обеспечивает возможность надежного и быстрого электронного обмена информацией для эффективной совместной работы исследователей, преподавателей и студентов</t>
    </r>
  </si>
  <si>
    <t>Мониторинг и оценка детализированного плана мероприятий по демонтажу системной коррупции в Министерстве экономики КР</t>
  </si>
  <si>
    <t>Обеспечение благоприятного налогового климата для развития предпринимательства и совершенствование налогового администрирования.</t>
  </si>
  <si>
    <t xml:space="preserve">Проведение анализа влияния и оценки фискальных рисков при изменении налогового законодательства. </t>
  </si>
  <si>
    <t>Имплементация требований таможенного законодательства Евразийского экономического союза, регулирующих вопросы упрощения таможенных процедур</t>
  </si>
  <si>
    <t>Обеспечение избежания двойного налогообложения между Кыргызской Республикой и другими государствами</t>
  </si>
  <si>
    <t>Построение эффективной системы управления государственным имуществом, соответствующей критериям экономической и социальной эффективности</t>
  </si>
  <si>
    <t>Совершенствование нормативно-правовой базы, предусматривающей процесс банкротства в Кыргызской Республике</t>
  </si>
  <si>
    <t>Осуществление мер по применению оздоровительных процедур банкротства с целью сохранения производства должника</t>
  </si>
  <si>
    <t xml:space="preserve">Обеспечение мероприятий по проведению переговоров, связанных с имущественными вопросами (спорами) с Республикой Казахстан </t>
  </si>
  <si>
    <t xml:space="preserve">Повышение инвестиционной привлекательности и продвижение проектов в рамках ГЧП </t>
  </si>
  <si>
    <t>Совершенствование инвестиционного законодательства, обеспечение соблюдения прав и интересов</t>
  </si>
  <si>
    <t>Улучшение позиций страны в международных рейтингах</t>
  </si>
  <si>
    <t>Улучшение инвестиционного климата страны, а также создание благоприятных условий для привлечения зарубежных инвестиций</t>
  </si>
  <si>
    <t xml:space="preserve">Расширение доступа к финансовым ресурсам </t>
  </si>
  <si>
    <t xml:space="preserve">Реализация программы улучшения инвестиционного климата </t>
  </si>
  <si>
    <t>Повышение осведомленности предпринимателей о действующем инвестиционном законодательстве и проводимых мероприятиях</t>
  </si>
  <si>
    <t xml:space="preserve">Усовершенствование и ведение информационного портала об инвестиционных возможностях Кыргызской Республики </t>
  </si>
  <si>
    <t>Повышение эффективности координации, мониторинга и оценки  донорской помощи</t>
  </si>
  <si>
    <t>Координация  и реализация единой макроэкономической политики в целом и на региональном уровне</t>
  </si>
  <si>
    <t>Проведение единой согласованной макроэкономической политики при улучшении координации министерств и административных ведомств, полномочных представительств Правительства КР в областях, мэрии гг. Бишкек и Ош по вопросам макроэкономического анализа и прогнозирования</t>
  </si>
  <si>
    <t xml:space="preserve">Совершенствование нормативной правовой базы в сфере государственного материального резерва. </t>
  </si>
  <si>
    <t>Ежегодное уточнение номенклатуры и норм накопления материальных ценностей государственного материального резерва</t>
  </si>
  <si>
    <t>Создание благоприятной предпринимательской среды путем принятия соответствующих НПА в сфере предпринимательской деятельности (Развитие и поддержка предпринимательской деятельности, внедрение новых подходов в системе анализа регулятивного воздействия (АРВ), лицензионно-разрешительной и контрольно-надзорной сферах)</t>
  </si>
  <si>
    <t>Совершенствование антимонопольного (конкурентного) законодательства, законодательства в области защиты прав потребителей и рекламы, проведение работы покоординации защиты прав потребителей</t>
  </si>
  <si>
    <t>Определение долгосрочных основ и приоритетов  развития   страны и регионов</t>
  </si>
  <si>
    <t>Обеспечение стратегического планирования</t>
  </si>
  <si>
    <t>Обеспечение предсказуемости и ясности нормативной правовой базы в торговле в соответствии с обязательствами перед Всемирной Торговой Организацией и региональными торгово-экономическими объединениями, с учетом Договора о Евразийском экономическом союзе</t>
  </si>
  <si>
    <t>Обеспечить соблюдение международных обязательств Кыргызской Республики перед Всемирной торговой организации и эффективное исползование преимуществ участия Кыргызской Республики в рамках многосторонней торговой системы</t>
  </si>
  <si>
    <t>Создание благоприятных условий для развития внутренней торговли</t>
  </si>
  <si>
    <t>Способствование продвижению экспорта отечественных товаров</t>
  </si>
  <si>
    <t>Обеспечить развитие внешнеэкономического сотрудничества путем проведения заседаний межправительственных комиссий по торгово-экономическому сотрудничеству КР с зарубежными странами</t>
  </si>
  <si>
    <t>Формирование благоприятной нормативно-правовой среды для сокращения технических барьеров и активизации экспортного потенциала. Развитие Халал индустрии</t>
  </si>
  <si>
    <t>Проведение информационно-разъяснительной работы среди субъектов предпринимательства, потребителей продукции о требованиях и правилах устанавливаемых техническими регламентами ТС/ЕАЭС</t>
  </si>
  <si>
    <t>Развитие предоставления услуг по внешнеэкономической деятельности по принципу единого окна</t>
  </si>
  <si>
    <t>Повышение уровня гармонизации  национальных стандартов с международными и европейскими нормами  и защита интересов государства и граждан от последствий недостоверных результатов измерений</t>
  </si>
  <si>
    <t>Подтверждение соответствия КЦА на соответствие ИСО/МЭК 17011</t>
  </si>
  <si>
    <t>Нормативное правовое обеспечение дальнейшей оптимизации системы предоставления госуслуг</t>
  </si>
  <si>
    <t xml:space="preserve">Внедрение системы оценки  качества государственного управления, ориентированного на результат госорганов, руководителей госорганов, структурных подразделений госорганов </t>
  </si>
  <si>
    <t>Проведение комплексной оценки экономических и социальных эффектов от вступления Кыргызской Республики в ЕАЭС</t>
  </si>
  <si>
    <t>Проведение информационных кампаний и обучающих семинаров, мероприятий по информированию населения по  вопросам адаптации Кыргызстана к условиям интеграции в ЕАЭС</t>
  </si>
  <si>
    <t>Подготовка и выпуск брошюры "Об участии Кыргызской Республики в Евразийском экономическом союзе"</t>
  </si>
  <si>
    <t>Построение эффективной работы с бизнес - сообществом для совместных усилий по решению проблемных вопросов в рамках Евразийского экономического союза</t>
  </si>
  <si>
    <r>
      <t xml:space="preserve">Содержание осужденных и подследственных.                                                               </t>
    </r>
    <r>
      <rPr>
        <i/>
        <sz val="11"/>
        <rFont val="Times New Roman"/>
        <family val="1"/>
        <charset val="204"/>
      </rPr>
      <t xml:space="preserve">Цель: Создание и поддержание условий отбывания наказания, обеспечивающих достижений целей наказания и способствующих ресоциализация осужденных после освобождения от наказания                                                       </t>
    </r>
  </si>
  <si>
    <r>
      <rPr>
        <b/>
        <sz val="11"/>
        <rFont val="Times New Roman"/>
        <family val="1"/>
        <charset val="204"/>
      </rPr>
      <t xml:space="preserve">Охрана в исправительных учреждениях и  конвоирование осужденных 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обеспечение соблюдения заключенными и осужденными режима в исправительных учреждениях. </t>
    </r>
  </si>
  <si>
    <r>
      <t xml:space="preserve">Государственная поддержка развития  приоритетных отраслей  науки                                  </t>
    </r>
    <r>
      <rPr>
        <b/>
        <i/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 xml:space="preserve">Цель: Развитие прикладной (вузовской) науки и повышение качества вузовской науки, увеличение в вузах количества НИР, направленных на получение практического применения.  </t>
    </r>
    <r>
      <rPr>
        <b/>
        <i/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</t>
    </r>
  </si>
  <si>
    <r>
      <t xml:space="preserve">Реализация Концепции  научно-инновационного развития  КР на период до 2022 года                                                                  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Выстраивание системы целей, приоритетов и инструментов государственной инновационной политики</t>
    </r>
  </si>
  <si>
    <t>Реализация инфраструктурных проектов</t>
  </si>
  <si>
    <t>Реализация проектов государственных инвестиций</t>
  </si>
  <si>
    <t>24. Резервные и другие фонды территорий</t>
  </si>
  <si>
    <t>Резервные и другие фонды территорий</t>
  </si>
  <si>
    <t>Фонд развития Иссык-Кульской области</t>
  </si>
  <si>
    <t>Фонды развития районов</t>
  </si>
  <si>
    <t>Фонды развития областей</t>
  </si>
  <si>
    <t>Резервный фонд полномочного представителя Правительства Кыргызской Республики в областях</t>
  </si>
  <si>
    <t>Резервный фонд акимов</t>
  </si>
  <si>
    <t>Фонд финансирования подготовки проектов государственно-частного партнерства</t>
  </si>
  <si>
    <t>Итого: всего по Резервным и другим фондам территорий</t>
  </si>
  <si>
    <r>
      <t xml:space="preserve">Поддержка образования детей и молодежи.       </t>
    </r>
    <r>
      <rPr>
        <i/>
        <sz val="11"/>
        <rFont val="Times New Roman"/>
        <family val="1"/>
        <charset val="204"/>
      </rPr>
      <t>Цель: Поддержка инициатив в области развития  гуманного , научного и кадрового  потенциала</t>
    </r>
  </si>
  <si>
    <r>
      <t xml:space="preserve">Государственная гарантированная юридическая помощь.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 Государственная  гарантированная  юридическая помощь </t>
    </r>
  </si>
  <si>
    <t>Обучение и повышение квалификации персонала</t>
  </si>
  <si>
    <t>Индекс доверия населения министерству</t>
  </si>
  <si>
    <t>25</t>
  </si>
  <si>
    <t>24</t>
  </si>
  <si>
    <t>Примечание: бюджет в программном формате по Государственной службе исполнения наказаний не включают расходы на Департамент по охране исправительных учреждений и конвоированию осужденных и лиц, заключенных под стражу в сумме 216 296,8 тыс. сом, которое финансируется как самостоятельные бюджетное учреждение</t>
  </si>
  <si>
    <t xml:space="preserve">Планирование, управление и администрирование                            </t>
  </si>
  <si>
    <t>Обеспечение территории КР и ее регионов в топографо-геодезическом и картографическом отношении</t>
  </si>
  <si>
    <t>Реконструкция и поддержание государственной геодизической сети</t>
  </si>
  <si>
    <t xml:space="preserve">Обновление и издание топографических карт </t>
  </si>
  <si>
    <t>Делимитация и демаркация государственной границы КР</t>
  </si>
  <si>
    <t>Рекогносцировка и установка пограничных знаков</t>
  </si>
  <si>
    <t>Итого: всего по  Государственному агенству по земельным ресурсам при ПКР</t>
  </si>
  <si>
    <t>Выполнение проектно-изыскательных и обследовательских работ по землеустройству</t>
  </si>
  <si>
    <t>Корректировка почвенных обследований, мониторинг пахотных земель, проектно изыскательные-обследовательские работы по землеустройству</t>
  </si>
  <si>
    <t>Фонд развития Нарынской области</t>
  </si>
  <si>
    <t xml:space="preserve">Организация деятельности и службы обеспечения </t>
  </si>
  <si>
    <t>25. Министерство финансов Кыргызской Республики</t>
  </si>
  <si>
    <t xml:space="preserve">Доля сотрудников служб обеспечения от общей численности сотрудников </t>
  </si>
  <si>
    <t>Переподготовка и повышение квалификации сотрудников госуправления и органов местного самоуправления по вопросам  эффективного управления госфинансами</t>
  </si>
  <si>
    <t>Количество слушателей</t>
  </si>
  <si>
    <t>Своевременное представление проекта республиканского бюджета в Правительство Кыргызской Республики и Жогорку Кенеш Кыргызской Республики</t>
  </si>
  <si>
    <t>Согласно графику</t>
  </si>
  <si>
    <t xml:space="preserve">Внедрение программно-целевых подходов бюджетирования и анализ расходов республиканского бюджета </t>
  </si>
  <si>
    <t xml:space="preserve">Доля расходов республиканского бюджета, представленных в программном формате                                                          </t>
  </si>
  <si>
    <t>не менне      80 %</t>
  </si>
  <si>
    <t xml:space="preserve">Обеспечение бюджетной прозрачности </t>
  </si>
  <si>
    <t>Индекс открытости бюджета</t>
  </si>
  <si>
    <t>Среднесрочное прогнозирование бюджета</t>
  </si>
  <si>
    <t xml:space="preserve">Формирование и представление Основных направлений фискальной политики Кыргызской Республики в Совет Правительства Кыргызской Республики </t>
  </si>
  <si>
    <t xml:space="preserve">Количество министерств и ведомств, представивших Среднесрочные стратегии бюджетных расходов к Основным направлениям фискальной политики Кыргызской Республики </t>
  </si>
  <si>
    <t>Анализ и оценка ресурсной базы республиканского бюджета</t>
  </si>
  <si>
    <t>Объем доходов республиканского бюджета</t>
  </si>
  <si>
    <t>Планирование капитальных расходов и стимулирующих (долевых) грантов</t>
  </si>
  <si>
    <t>Количество завершенных объектов, финансируемых из республиканского бюджета</t>
  </si>
  <si>
    <t>Планирование  и привлечение государственных инвестиций</t>
  </si>
  <si>
    <t>Объем привлеченной грантовой помощи</t>
  </si>
  <si>
    <t>Объем привлеченных кредитных средств на льготной основе</t>
  </si>
  <si>
    <r>
      <t xml:space="preserve">Межбюджетные отношения                       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Совершенствование системы межбюджетных отношений.</t>
    </r>
  </si>
  <si>
    <t xml:space="preserve">Доля местных бюджетов, не получающих межбюджетные трансферты </t>
  </si>
  <si>
    <t>Мониторинг планирования и исполнения местных бюджетов</t>
  </si>
  <si>
    <t>Доля местных бюджетов, не получающих межбюджетные трансферты</t>
  </si>
  <si>
    <t>Доля просроченной кредиторской задолженности в расходах местных бюджетов (на 01.01.15 г 183,2 млн. от 16751,1 млн утверждены)</t>
  </si>
  <si>
    <t>Проведение плановых, внеплановых и тематических проверок планирования и исполнения местных бюджетов</t>
  </si>
  <si>
    <t>Количество проверок ОМСУ в год</t>
  </si>
  <si>
    <t>количество ОМСУ</t>
  </si>
  <si>
    <t xml:space="preserve">Планирование капитальных расходов и стимулирующих (долевых) грантов </t>
  </si>
  <si>
    <t>Финансирование за счет стимулирующих грантов</t>
  </si>
  <si>
    <t>Автоматизация бюджетной отчетности местных бюджетов</t>
  </si>
  <si>
    <t>Количество районных фин. подразделений (доля) и ОМСУ, в которых применяется автоматизированное программное обеспечение</t>
  </si>
  <si>
    <t>количество районов, ОМСУ</t>
  </si>
  <si>
    <r>
      <t xml:space="preserve">Управление государственным долгом                                                                                                                                              </t>
    </r>
    <r>
      <rPr>
        <b/>
        <i/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 xml:space="preserve">Цель программы: Устойчивость государственного долга Кыргызской Республики. </t>
    </r>
  </si>
  <si>
    <t>Уровень государственного внешнего долга к ВВП</t>
  </si>
  <si>
    <t xml:space="preserve">≤ 60% </t>
  </si>
  <si>
    <t>Поддержание устойчивости государственного долга в среднесрочной перспективе</t>
  </si>
  <si>
    <t xml:space="preserve">Объем просроченной задолженности по государственному долгу </t>
  </si>
  <si>
    <t>Уровень льготности новых внешних заимствований (% грант-элемента)</t>
  </si>
  <si>
    <t>≥ 35%</t>
  </si>
  <si>
    <t>Наращивание потенциала рынка государственных ценных бумаг (ГЦБ) как источника государственных заимствований</t>
  </si>
  <si>
    <t>Доля выпуска ГЦБ на аукционной основе</t>
  </si>
  <si>
    <t>Положительный рост ГЦБ со сроком обращения более 2 лет в общей структуре эмиссии ГЦБ</t>
  </si>
  <si>
    <t>изменение в % к пред. году</t>
  </si>
  <si>
    <t>Положительный рост</t>
  </si>
  <si>
    <t xml:space="preserve">Объем просроченной задолженности по государственному внутреннему долгу </t>
  </si>
  <si>
    <r>
      <rPr>
        <b/>
        <sz val="11"/>
        <rFont val="Times New Roman"/>
        <family val="1"/>
        <charset val="204"/>
      </rPr>
      <t xml:space="preserve">Кассовое обслуживание исполнения бюджета по доходам и расходам.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Совершенствование процесса исполнения бюджета и отчетности</t>
    </r>
  </si>
  <si>
    <t xml:space="preserve">Доля ГРБС(РБС, ПБС) и органов местного самоуправления, для которых органами казначейства осуществляется ведение лицевых счетов бюджетополучателей и предоставление других услуг, связанных с кассовым обслуживанием исполнения бюджета </t>
  </si>
  <si>
    <t>Доведение до заинтересованных пользователей информации о бюджетных ассигнованиях, лимитах бюджетных обязательств и кассовых планах</t>
  </si>
  <si>
    <t xml:space="preserve">Доля ПБС республиканского бюджета, до которых органами казначейства доводится информация о бюджетных ассигнованиях, лимитах бюджетных средств и кассовых планах </t>
  </si>
  <si>
    <t>Доля статей экономической классификации расходов республиканского бюджета, по которым осуществляется учет бюджетных обязательств</t>
  </si>
  <si>
    <r>
      <t>С</t>
    </r>
    <r>
      <rPr>
        <sz val="11"/>
        <rFont val="Times New Roman"/>
        <family val="1"/>
        <charset val="204"/>
      </rPr>
      <t>анкционирование и осуществление платежей</t>
    </r>
  </si>
  <si>
    <t>Доля средств ГРБС, ПБС и органов местного самоуправления, обслуживаемых органами казначейства через ЕКС</t>
  </si>
  <si>
    <t>Формирование отчетности об исполнении государственного бюджета</t>
  </si>
  <si>
    <t>Установленный срок предоставления ежемесячной отчетности об исполнении государственного бюджета</t>
  </si>
  <si>
    <t>Дата</t>
  </si>
  <si>
    <t>25 число, следующее за отчетным</t>
  </si>
  <si>
    <t>Установленный срок предоставления годового отчета об исполнении государственного бюджета</t>
  </si>
  <si>
    <t>1 мая</t>
  </si>
  <si>
    <t>Установленный срок предоставления годовой консолидированной бухгалтерской отчетности по государственному  бюджету</t>
  </si>
  <si>
    <t>15 мая</t>
  </si>
  <si>
    <t>Ведение лицевых счетов и предоставление других услуг, связанных с кассовым обслуживанием исполнения бюджета Кыргызской Республики</t>
  </si>
  <si>
    <r>
      <rPr>
        <b/>
        <sz val="11"/>
        <rFont val="Times New Roman"/>
        <family val="1"/>
        <charset val="204"/>
      </rPr>
      <t xml:space="preserve">Реализация госполитики по операциям с драгоценными металлами и драгоценными камнями и изделиями из них.    </t>
    </r>
    <r>
      <rPr>
        <sz val="11"/>
        <rFont val="Times New Roman"/>
        <family val="1"/>
        <charset val="204"/>
      </rPr>
      <t xml:space="preserve">                                           
</t>
    </r>
    <r>
      <rPr>
        <i/>
        <sz val="11"/>
        <rFont val="Times New Roman"/>
        <family val="1"/>
        <charset val="204"/>
      </rPr>
      <t>Цель программы:  Организация эффективного государственного контроля и регулирования операций с драгоценными металлами и драгоценными камнями на территории Кыргызской Республики.</t>
    </r>
  </si>
  <si>
    <t>Доля экспертных заключений, подготовленных в установленные сроки</t>
  </si>
  <si>
    <t>Осуществление государственного контроля  и надзора за операциями с драгоценными металлами и драгоценными  камнями на территории  Кыргызской Республики</t>
  </si>
  <si>
    <t xml:space="preserve">Количество проведенных проверок </t>
  </si>
  <si>
    <t>Доля выявленных нарушений физическими и юридическими лицами от числа проведенных проверок</t>
  </si>
  <si>
    <t>Объем взысканных штрафов</t>
  </si>
  <si>
    <t>Оказание пробирных услуг по клеймению ювелирных и других изделий из драгоценных металлов и драгоценных камней</t>
  </si>
  <si>
    <t>Исполнение годового плана по сбору пробирной платы</t>
  </si>
  <si>
    <t>Подготовка экспертных заключений на получение лицензии по экспорту, импорту драгоценных металлов и драгоценных камней в установленном порядке</t>
  </si>
  <si>
    <r>
      <rPr>
        <b/>
        <sz val="11"/>
        <rFont val="Times New Roman"/>
        <family val="1"/>
        <charset val="204"/>
      </rPr>
      <t xml:space="preserve">Мониторинг и аудит управления государственными финансами.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 Совершенствование финансового управления и контроля</t>
    </r>
  </si>
  <si>
    <t>Размещение результатов мониторинга на официальном сайте Министерства финансов Кыргызской Республики</t>
  </si>
  <si>
    <t>4 раза</t>
  </si>
  <si>
    <t>Осуществление внутреннего аудита</t>
  </si>
  <si>
    <t>Количество проведенных аудитов</t>
  </si>
  <si>
    <t xml:space="preserve">день </t>
  </si>
  <si>
    <t>Реализация плана мероприятий по противодействию коррупции на соответствующий год</t>
  </si>
  <si>
    <t>Оказание методологической и консультативной помощи закупающим организациям и поставщикам (подрядчикам)</t>
  </si>
  <si>
    <t xml:space="preserve">Степень удовлетворенности закупающих организаций и поставщиков (подрядчиков) оказанной помощью </t>
  </si>
  <si>
    <t>Мониторинг выполнения государственных программ, по вопросам Министерства финансов Кыргызской Республики</t>
  </si>
  <si>
    <t>Количество реализуемых программ</t>
  </si>
  <si>
    <r>
      <rPr>
        <b/>
        <sz val="11"/>
        <rFont val="Times New Roman"/>
        <family val="1"/>
        <charset val="204"/>
      </rPr>
      <t xml:space="preserve">Реализация бюджетной политики и совершенствование методологии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Реализация реформ в системе управления государственными финансами Кыргызской Республики.</t>
    </r>
  </si>
  <si>
    <t>Внедрение оценки эффективности бюджетных программ</t>
  </si>
  <si>
    <t>Внедрена</t>
  </si>
  <si>
    <t>Совершенствование методологической базы по программному бюджетированию</t>
  </si>
  <si>
    <t>Количество разработанных/усовершенствованных инструктивно-методологических документов по программному бюджетированию</t>
  </si>
  <si>
    <t>Совершенствование и администрирование налогов и неналоговых  сборов</t>
  </si>
  <si>
    <t>Своевременность  рассмотрения и подготовки заключений к проектам НПА по вопросам управления</t>
  </si>
  <si>
    <t>Обеспечение эффективной системы закупок</t>
  </si>
  <si>
    <t>Оценка PEFA "D"</t>
  </si>
  <si>
    <t>"А"</t>
  </si>
  <si>
    <t>Развитие методологической и нормативной базы государственных закупок</t>
  </si>
  <si>
    <t>Развитие официального портала государственных закупок Кыргызской Республики</t>
  </si>
  <si>
    <t xml:space="preserve">Доля объявлений о государственных закупках на портале госзакупок от общего числа предоставленной информации в Департамент     </t>
  </si>
  <si>
    <t>95/5</t>
  </si>
  <si>
    <t xml:space="preserve">Среднее количество участников в процессе закупок (отношение общего количества поданных заявок к общему количеству объявлений о госзакупках) </t>
  </si>
  <si>
    <t>6 к 1</t>
  </si>
  <si>
    <t>7 к 1</t>
  </si>
  <si>
    <t>8 к 1</t>
  </si>
  <si>
    <t>9 к 1</t>
  </si>
  <si>
    <t>Общее время бесперебойного функционирования портала в течение года</t>
  </si>
  <si>
    <t>99/1</t>
  </si>
  <si>
    <t>Мероприятия по повышению квалификации и организация повышения квалификации специалистов по внутреннему аудиту и бухгалтерскому учету сектора государственного управления Кыргызской Республики.</t>
  </si>
  <si>
    <t>Количество специалистов, прошедших обучение  по внутреннему аудиту, бухгалтерскому учету.</t>
  </si>
  <si>
    <t>Оказание консультационной поддержки, мониторинг и оценка развития системы внутреннего аудита в государственном секторе Кыргызской Республики.</t>
  </si>
  <si>
    <t>Внешняя оценка служб внутреннего аудита</t>
  </si>
  <si>
    <r>
      <rPr>
        <b/>
        <sz val="11"/>
        <rFont val="Times New Roman"/>
        <family val="1"/>
        <charset val="204"/>
      </rPr>
      <t>Формирование условий для экономического роста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Возврат государственных заемных средств.</t>
    </r>
  </si>
  <si>
    <t>Осуществление мониторинга, учета и анализа государственных заемных средств</t>
  </si>
  <si>
    <t>Объем исполнения плановых показателей по возврату государственных заемных средств</t>
  </si>
  <si>
    <t>Итого: всего по Министерству финансов Кыргызской Республики</t>
  </si>
  <si>
    <t>26. Министерство финансов  Кыргызской Республики</t>
  </si>
  <si>
    <r>
      <t xml:space="preserve">Планирование, управление и администрирование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Цели программы: Институциональное усиление ФОМС в качестве Единого плательщика. Координирующее и организационное воздействие на реализацию других программ</t>
    </r>
  </si>
  <si>
    <t>Охват населения обязательным медицинским страхованием</t>
  </si>
  <si>
    <t>не менее 35%</t>
  </si>
  <si>
    <t>Уровень исполнения индикаторов Плана реализации Стратегии развития Фонда ОМС на 2018-2021 годы</t>
  </si>
  <si>
    <t>не менее 80%</t>
  </si>
  <si>
    <t>Соотношение количества младшего и технического персонала к общему числу основного персонала Фонда ОМС</t>
  </si>
  <si>
    <t>Средний показатель Индекса доверия населения</t>
  </si>
  <si>
    <t>Соотношение фактического количества  врачей (физических лиц) к утвержденным врачебным должностям по штатному расписанию в оОЗ</t>
  </si>
  <si>
    <t>Уровень средней заработной платы семейных врачей к среднему заработной плате врачей по республике</t>
  </si>
  <si>
    <t>не ниже 80%</t>
  </si>
  <si>
    <t>не ниже 90%</t>
  </si>
  <si>
    <t>не ниже 100%</t>
  </si>
  <si>
    <t>Обеспечение планирования, утверждения, финансирования и учета исполнения консолидированного бюджета системы Единого плательщика</t>
  </si>
  <si>
    <t>Исполнение плана консолидированного бюджета системы Единого плательщика</t>
  </si>
  <si>
    <t>не менее 95%</t>
  </si>
  <si>
    <t>Обеспечение учета и отчетности по бюджету Фонда ОМС при ПКР</t>
  </si>
  <si>
    <t xml:space="preserve">Процент охвата организаций здравоохранения автоматизированным учетом 1С бухгалтерия </t>
  </si>
  <si>
    <t>Обеспечение контроля качества медицинских услуг, предоставляемых организациями здравоохранения в системе Единого плательщика</t>
  </si>
  <si>
    <t>Количество ОЗ ПМСП, в которых проведена оценка качества деятельности ОЗ по оценочной карте</t>
  </si>
  <si>
    <t>Количество ОЗ,  в которых проведена оценка качества деятельности ОЗ стационарного уровня по оценочной карте</t>
  </si>
  <si>
    <t xml:space="preserve">Обеспечение контроля за целевым и рациональным использованием средств системы Единого плательщика </t>
  </si>
  <si>
    <t>Соотношение выполненных ОЗ рекомендаций к общему числу рекомендаций, указанных в Заключении внутреннего аудита</t>
  </si>
  <si>
    <t>Обеспечение работы по повышению информированности населения о правах при получении медицинских услуг в рамках реализуемых Фондом ОМС программ</t>
  </si>
  <si>
    <t xml:space="preserve">Количество проведенных встреч и выступлений в СМИ             </t>
  </si>
  <si>
    <t>Количество распространенной печатной продукции</t>
  </si>
  <si>
    <t>Количество показанных информационных и социальных роликов</t>
  </si>
  <si>
    <t>Обеспечение сопровождения баз данных Фонда ОМС по пролеченным случаям, ДП ОМС, ПГГ, экспертиза качества, индикаторам договоров, телефону доверия, выдачи полисов ОМС</t>
  </si>
  <si>
    <t>Количество сопровождаемых баз данных Фондом ОМС</t>
  </si>
  <si>
    <t>Развитие информационных технологий в рамках стратегических закупок медицинких услуг с целью усиления прозрачности и подотчетности</t>
  </si>
  <si>
    <t>Доля организаций здравоохранения, обеспеченных компьютерами и доступом к интернету</t>
  </si>
  <si>
    <t>Трансферты Фонду ОМС при ПКР</t>
  </si>
  <si>
    <t>Доля расходов на ПМСП в общих расходах по другим программам</t>
  </si>
  <si>
    <t>Количество посещений к врачам ГСВ на 1 жителя</t>
  </si>
  <si>
    <t>Доля организаций ПМСП, внедривших сервис "Электронная очередь"</t>
  </si>
  <si>
    <t>Уровень удовлетворенности пациентов (по оценочной карте)</t>
  </si>
  <si>
    <t>Гранты другим единицам сектора государственного управления</t>
  </si>
  <si>
    <t>Процент соответствия количества фактически функционирующих бригад СМП к утвержденному количеству</t>
  </si>
  <si>
    <t>Количество обслуженных вызовов ЭМП на 1000 населения</t>
  </si>
  <si>
    <t>случаев</t>
  </si>
  <si>
    <t>Обеспечение доступности базовых медицинских услуг на уровне первичной медико-санитарной помощи (ПМСП) населению республики</t>
  </si>
  <si>
    <t>Доля новорожденных, взятых на учет в ГСВ в первые три дня после выписки из роддома (в случае родов на дому без последующей госпитализации - в первые три дня после рождения)</t>
  </si>
  <si>
    <t>Доля детей в возросте до 1-года посетивших семейного врача (врача общей практики), %</t>
  </si>
  <si>
    <t>Доля женщин, вставших на учет по поводу беременности в сроке до 12 недель, %</t>
  </si>
  <si>
    <t xml:space="preserve">Число впервые выявленных  пациентов с диагнозом ГБ </t>
  </si>
  <si>
    <t xml:space="preserve">Обеспечение доступности к медицинской помощи по борьбе с туберкулезом, оказываемой организациями ПМСП </t>
  </si>
  <si>
    <t xml:space="preserve">Количество случаев туберкулеза, успешно завершивших  лечение на амбулаторном уровне в пилотных ОЗ ПМСП   </t>
  </si>
  <si>
    <t xml:space="preserve">Обеспечение доступа  населению республики к льготному лекарственному обеспечению по ПГГ (онкологическим больным в терминальной стадии; больным параноидной шизофренией и хроническими бредовыми расстройствами; аффективными расстройствами различного генеза; эпилепсией; бронхиальной астмой) </t>
  </si>
  <si>
    <t xml:space="preserve">Уровень возмещения реализованных лекарств по рецептам ПГГ на амбулаторном  уровне </t>
  </si>
  <si>
    <t>не менее 90%</t>
  </si>
  <si>
    <t>Обеспечение доступа  застрахованному населению республики к льготному лекарственному обеспечению по ОМС</t>
  </si>
  <si>
    <t xml:space="preserve">Уровень возмещения реализованных лекарств по рецептам ОМС на амбулаторном  уровне </t>
  </si>
  <si>
    <t>не менее 50%</t>
  </si>
  <si>
    <t xml:space="preserve">Оказание населению платных медицинских услуг сверх объема Программы государственных гарантий                                                                                      </t>
  </si>
  <si>
    <t>Доля расходов, направленных на развитие организации ПМСП, от общего объема средств, поступивших от сооплаты населения</t>
  </si>
  <si>
    <t>не менее 25%</t>
  </si>
  <si>
    <t>Оказание немедицинских и иных услуг организациями здравоохранения работающим в системе Единого плательщика</t>
  </si>
  <si>
    <t>Доля расходов, направленных на развитие организации, от общего объема средств, поступивших от оказания  платных немедицинских и иных услуг</t>
  </si>
  <si>
    <t>Улучшение качества предоставления медицинской помощи населению путем предоставления стимулирующей оплаты за достижение целевых показателей качества от деятельности ГСВ</t>
  </si>
  <si>
    <t>Количество ОЗ, в которых проведены стимулирующие выплаты по достижению результатов</t>
  </si>
  <si>
    <t>Уровень госпитализации на 100 населения</t>
  </si>
  <si>
    <t>не более 13,8%</t>
  </si>
  <si>
    <t>не более 13,5%</t>
  </si>
  <si>
    <t>не более 13,2%</t>
  </si>
  <si>
    <t>не более 13%</t>
  </si>
  <si>
    <t>Уровень удовлетворенности (по оценочной карте)</t>
  </si>
  <si>
    <t>Доля прямых расходов на пациента в общих расходов стационаров:</t>
  </si>
  <si>
    <t>медикаменты</t>
  </si>
  <si>
    <t>питание</t>
  </si>
  <si>
    <t>Обеспечение доступности медицинских услуг на уровне стационарной помощи в рамках ПГГ населению республики</t>
  </si>
  <si>
    <t xml:space="preserve">Доля   населения, получивших лечение по социальным льготам </t>
  </si>
  <si>
    <t xml:space="preserve">Доля   населения, получивших льготное лечение по медицинским показаниям   </t>
  </si>
  <si>
    <t>не менее 20%</t>
  </si>
  <si>
    <t>Соотношение фактически пролеченных случаев к согласованному плану</t>
  </si>
  <si>
    <t xml:space="preserve">Обеспечение доступности к медицинской помощи по борьбе с туберкулезом, оказываемой  организациями здравоохранения стационарного уровня </t>
  </si>
  <si>
    <t xml:space="preserve">Обеспечение доступности к медицинским услугам на уровне специализированной онкологической и гематологической помощи </t>
  </si>
  <si>
    <t xml:space="preserve">Обеспечение доступности к медицинским услугам на уровне специализированной кардиохирургической помощи </t>
  </si>
  <si>
    <t>Обеспечение доступности к медицинским услугам на уровне специализированной психиатрической помощи</t>
  </si>
  <si>
    <t>Доля расходов, направленных на развитие организации, от общего объема средств, поступивших от сооплаты населения</t>
  </si>
  <si>
    <t>Доля расходов, направленных на развитие организации, от общего объема средств, поступивших от платных услуг</t>
  </si>
  <si>
    <t>Улучшение качества предоставления медицинской помощи населению путем предоставления стимулирующей оплаты за достижение целевых показателей качества от деятельности организации</t>
  </si>
  <si>
    <t>Количество ОЗ , в которых проведена оценка качества деятельности ОЗ по оценочной карте для стимулирующих выплат</t>
  </si>
  <si>
    <t xml:space="preserve">Соотношение  пациентов с терминальной стадией хронической почечной недостаточности, охваченных льготным гемодиализным лечением, к общему числу пациентов, состоящих на учете </t>
  </si>
  <si>
    <t>Обеспечение доступа к льготному гемодиализному лечению остронуждающихся пациентов с терминальной стадией хронической почечной недостаточности, получающих платное лечение в частных медицинских центрах и ожидающих перевода на полный бюджетный гемодиализ в государственных организациях здравоохранения, а также в целях сокращения бремени затрат пациентами при получении услуг гемодиализа</t>
  </si>
  <si>
    <t xml:space="preserve">Количество пациентов с терминальной стадией хронической почечной недостаточности, получающих платное лечение в частных медицинских центрах и ожидающих перевода на полный бюджетный гемодиализ в государственных организациях здравоохранения, а также в целях сокращения бремени затрат пациентами при получении услуг гемодиализа  </t>
  </si>
  <si>
    <t>Пенсионное обеспечение и компенсации за счет бюджетных средств</t>
  </si>
  <si>
    <r>
      <rPr>
        <b/>
        <sz val="11"/>
        <rFont val="Times New Roman"/>
        <family val="1"/>
        <charset val="204"/>
      </rPr>
      <t xml:space="preserve">Индикатор результативности </t>
    </r>
    <r>
      <rPr>
        <sz val="11"/>
        <rFont val="Times New Roman"/>
        <family val="1"/>
        <charset val="204"/>
      </rPr>
      <t>(целевой индикатор по Программе) Количество нарушений по задержке выплаты пенсий, финансируемых за счёт республиканского бюджета.</t>
    </r>
  </si>
  <si>
    <t>Обеспечение базовой части пенсии</t>
  </si>
  <si>
    <t>Количество нарушений по задержке выплаты пенсий, финансируемых за счёт республиканского бюджета.</t>
  </si>
  <si>
    <t>Выплата компенсации за электроэнергию пенсионерам</t>
  </si>
  <si>
    <t>Пенсионное обеспечение военнослужащих, выплата сотрудникам органов внутренних дел и членам их семей единовременного пособия</t>
  </si>
  <si>
    <t>Льготное (досрочное) пенсионное обеспечение отдельных категорий населения и выплата надбавок к пенсиям</t>
  </si>
  <si>
    <t>Общегосударственные программы</t>
  </si>
  <si>
    <t>Финансирование экспортоориентированных и импортозамещающих предприятий</t>
  </si>
  <si>
    <t>Реализация Национальной программы развития государственного языка и совершенствования языковой политики в КР</t>
  </si>
  <si>
    <t>Цифровая экономика</t>
  </si>
  <si>
    <t>На развитие регионов КР</t>
  </si>
  <si>
    <t>Безопасный город</t>
  </si>
  <si>
    <t>Взносы в международные организации</t>
  </si>
  <si>
    <t>Государственный долг</t>
  </si>
  <si>
    <t>Возмещение и возврат НДС</t>
  </si>
  <si>
    <t>Исполнение решений суда</t>
  </si>
  <si>
    <t>Оплата услуг банков</t>
  </si>
  <si>
    <t>ГА по управлению бюджетными кредитами</t>
  </si>
  <si>
    <t>Субсидирование процентных ставок коммерческих банков</t>
  </si>
  <si>
    <t>Развитие приграничных территорий</t>
  </si>
  <si>
    <t>ОАО "Государственная ипотечная компания"</t>
  </si>
  <si>
    <t>МП "Кадамжай Сууканал"</t>
  </si>
  <si>
    <t>Государственные программы, мероприятия и выплаты</t>
  </si>
  <si>
    <t>Капитальные вложения</t>
  </si>
  <si>
    <t>Мероприятия по ликвидации стихийных бедствий</t>
  </si>
  <si>
    <t>Повышение социальных выплат</t>
  </si>
  <si>
    <t>Выравнивающие трансферты</t>
  </si>
  <si>
    <t>Целевые трансферты</t>
  </si>
  <si>
    <t>Стимулирующие гранты</t>
  </si>
  <si>
    <t>Учреждения, переданные из местного бюджета на республиканский бюджет</t>
  </si>
  <si>
    <t>Учреждения, переданные из районного бюджета на республиканский бюджет</t>
  </si>
  <si>
    <t>Государственный бюджетный резерв</t>
  </si>
  <si>
    <t>Итого: всего по Министерству финансов КР (государственные программы, мероприятия и выплаты)</t>
  </si>
  <si>
    <t>Итого: Всего по резервному  и другими фондами территорий</t>
  </si>
  <si>
    <t>ГП "Центр электронного взаимодействия" при ГКИТиС</t>
  </si>
  <si>
    <t>Возвратные средства Встречных фондов Правительства Японии</t>
  </si>
  <si>
    <t>38.Министерство труда и социального развития Кыргызской Республики</t>
  </si>
  <si>
    <r>
      <t xml:space="preserve">Планирование, управление и администрирование
</t>
    </r>
    <r>
      <rPr>
        <i/>
        <sz val="11"/>
        <rFont val="Times New Roman"/>
        <family val="1"/>
        <charset val="204"/>
      </rPr>
      <t>Цель программы: Координация и организация для обеспечения эффективной реализации бюджетных программ, включенных в настоящую стратегию</t>
    </r>
  </si>
  <si>
    <t>Службы обеспечения (административная поддержка и т.д.)</t>
  </si>
  <si>
    <t>31</t>
  </si>
  <si>
    <t>Обеспечение своевременного и качественного предоставления государственных пособий, денежных компенсаций взамен льгот и других социальных выплат, социального обслуживания лиц с ограниченными возможностями здоровья и пожилым гражданам</t>
  </si>
  <si>
    <t>32</t>
  </si>
  <si>
    <t>Предоставление своевременных и качественных социальных услуг, обеспечение эффективной социальной защиты социально незащищенных категорий граждан, семей и детей, находящихся в трудной жизненной ситуации.</t>
  </si>
  <si>
    <r>
      <t xml:space="preserve">Семья и дети, находящиеся в трудной жизненной ситуации                                                  </t>
    </r>
    <r>
      <rPr>
        <i/>
        <sz val="11"/>
        <rFont val="Times New Roman"/>
        <family val="1"/>
        <charset val="204"/>
      </rPr>
      <t xml:space="preserve">                         Цель программы: 1.</t>
    </r>
    <r>
      <rPr>
        <b/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Повышение благосостояния лиц, находящихся в трудной жизненной ситуации (ТЖС), включая лиц с ограниченными возможностями здоровья и пожилых граждан, а также обеспечение детей государственными пособиями; 2. Развитие института приемной семьи, оказавшихся в ТЖС; 3. Возвращение в КР детей граждан КР, оставшихся без попечения родителей на территории иностранного государства; 4. Раннее выявление семей с детьми, оказавшихся в ТЖС и оказание государственной помощи с целью предотвращения разлучения ребенка с семьей.</t>
    </r>
  </si>
  <si>
    <t>Обеспечение пособиями детей: при рождении ребенка и нуждающихся семей, имеющих детей в возрасте до 16 лет</t>
  </si>
  <si>
    <t>Размер единовременного пособия при рождении каждого ребенка - "балага сүйүнчү"</t>
  </si>
  <si>
    <t>Размер ежемесячного пособия семьям, имеющим детей в возрасте до 16 лет - "үй-бүлөгө көмөк"</t>
  </si>
  <si>
    <t>Обеспечение лиц, не имеющих права на пенсионное обеспечение, ежемесячными социальными пособиями</t>
  </si>
  <si>
    <t>Соотношение размера пособий для детей с ОВЗ к базовой части пенсии</t>
  </si>
  <si>
    <t>Соотношение размеров пособий для ЛОВЗ с детства  к базовой части пенсии</t>
  </si>
  <si>
    <t>112,3-168,5</t>
  </si>
  <si>
    <t>151,7-224,7</t>
  </si>
  <si>
    <t>Соотношение размера ЕСП пожилых граждан к базовой части пенсии</t>
  </si>
  <si>
    <t xml:space="preserve">Выплата дополнительного ежемесячного социального пособия членам семей погибших и пострадавшим лицам в результате событий, произошедших в апреле-июне 2010 года на уровне базового года </t>
  </si>
  <si>
    <t>Размер дополнительного ежемесячного социального пособия</t>
  </si>
  <si>
    <t>количество расчетных показателей</t>
  </si>
  <si>
    <t>Выплата дополнительного социального пособия членам семей погибших и пострадавшим лицам в результате событий, произошедших в 2002 году в Аксыйском районе Джалал-Абадской области</t>
  </si>
  <si>
    <t xml:space="preserve">Размер дополнительного социального пособия </t>
  </si>
  <si>
    <t>расчетный показатель</t>
  </si>
  <si>
    <r>
      <t>Развитие социальных услуг для детей, находящихся в трудной жизненной ситуации (</t>
    </r>
    <r>
      <rPr>
        <i/>
        <sz val="11"/>
        <rFont val="Times New Roman"/>
        <family val="1"/>
        <charset val="204"/>
      </rPr>
      <t>в ст.5 Кодекса КР о детях, определены категории детей ТЖС</t>
    </r>
    <r>
      <rPr>
        <sz val="11"/>
        <rFont val="Times New Roman"/>
        <family val="1"/>
        <charset val="204"/>
      </rPr>
      <t xml:space="preserve">), в рамках государственного социального заказа </t>
    </r>
  </si>
  <si>
    <t xml:space="preserve">Наличие центра </t>
  </si>
  <si>
    <t>количество центров</t>
  </si>
  <si>
    <t>Поддержка созданных ранее центров</t>
  </si>
  <si>
    <t xml:space="preserve">Повышение потенциала сотрудников отделов защиты семьи и детей РГУСР </t>
  </si>
  <si>
    <t>Охвачены обучением не менее 100 сотрудников РГУСР</t>
  </si>
  <si>
    <t xml:space="preserve">Осуществление мониторинга и оценки деятельности отделов защиты семьи и детей РГУСР по  вопросу выявления и социального сопровождения семей и детей, находящихся в ТЖС. </t>
  </si>
  <si>
    <t xml:space="preserve">Наличие отчетов по полугодиям </t>
  </si>
  <si>
    <t>документ</t>
  </si>
  <si>
    <t>Увеличение численности приемных (фостерных) семей</t>
  </si>
  <si>
    <t>Численность подготовленных  приемных семей</t>
  </si>
  <si>
    <t>Численность размещенных детей в приемных семьях</t>
  </si>
  <si>
    <t>Возвращение (репатриация) детей, оставшихся без попечения родителей, являющихся гражданами КР на территории иностранного государства</t>
  </si>
  <si>
    <t>Численность возвращенных детей</t>
  </si>
  <si>
    <t>Осуществление мониторинга детских учреждений интернатного типа, независимо от форм собственности по предостовлению услуг по уходу за детьми в ТЖС</t>
  </si>
  <si>
    <t>Осуществление мониторинга детей переданных на усыновление (удочерение), под опеку (попечительство), приемные семьи, а также детские учреждения интернатного типа, незвисимо от форм собственности.</t>
  </si>
  <si>
    <t xml:space="preserve">наличие ежеквартальных отчетов РГУСР </t>
  </si>
  <si>
    <t xml:space="preserve">документ </t>
  </si>
  <si>
    <t>Осуществление выявления и социального сопровождения детей, находяшихся в ТЖС</t>
  </si>
  <si>
    <t>Численность выявленных детей, находящихся в ТЖС</t>
  </si>
  <si>
    <t xml:space="preserve">Количество разработанных и реализованных ИПЗР </t>
  </si>
  <si>
    <t>Численность выявленных семей, находящихся в ТЖС</t>
  </si>
  <si>
    <t>Количество разработанных и реализованных ПИРС</t>
  </si>
  <si>
    <t>Усиление мер для качественного обеспечения прав и защиты детей</t>
  </si>
  <si>
    <t>Наличие принятого НПА</t>
  </si>
  <si>
    <t>Увеличение штатной единицы РГУСР</t>
  </si>
  <si>
    <t xml:space="preserve">Оказание консультативно-психологической помощи абонентам по телефону, в том числе детям </t>
  </si>
  <si>
    <t>Количество поступивших звонков от абонентов, в том числе от детей</t>
  </si>
  <si>
    <t>абонент</t>
  </si>
  <si>
    <r>
      <rPr>
        <b/>
        <sz val="11"/>
        <rFont val="Times New Roman"/>
        <family val="1"/>
        <charset val="204"/>
      </rPr>
      <t xml:space="preserve">Социальная защита лиц с ограниченными возможностями здоровья (ЛОВЗ) и пожилых граждан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       Цель: Обеспечение равноправного доступа к базовым услугам и создание доступной среды жизнедеятельности для лиц с ограниченными возможностями здоровья в целях эффективной интеграции их в общество</t>
    </r>
  </si>
  <si>
    <t>Оптимизация административной, функциональной структуры и инфраструктуры системы медико-социальной экспертизы (МСЭ)</t>
  </si>
  <si>
    <t xml:space="preserve">1. Разработана обновленная методика МКФ </t>
  </si>
  <si>
    <t>2. Количество обученных врачей-экспертов по МКФ</t>
  </si>
  <si>
    <t>3. Внедрение должности реабилитолога в МСЭК</t>
  </si>
  <si>
    <t>шт.ед.</t>
  </si>
  <si>
    <t>4. Обеспечение территориальных МСЭК специализированными автомобилями (шт.) и водителями (шт.ед.)</t>
  </si>
  <si>
    <t>шт. ед.</t>
  </si>
  <si>
    <t>Реабилитация лиц с ограниченными возможностями здоровья (ЛОВЗ)</t>
  </si>
  <si>
    <t xml:space="preserve">Количество ЛОВЗ, охваченных реабилитацией </t>
  </si>
  <si>
    <t xml:space="preserve">Предоставление услуг в социальных стационарных  учреждениях 
</t>
  </si>
  <si>
    <t>1. Количество обслуживаемых</t>
  </si>
  <si>
    <t xml:space="preserve">2. Общая сумма расходов (респ.бюджет)
</t>
  </si>
  <si>
    <t xml:space="preserve">3. Сумма на обслуживание одного получателя услуг в месяц
</t>
  </si>
  <si>
    <t>Предоставление социальных услуг пожилым гражданам и лицам с ограниченными возможностями здоровья (ЛОВЗ), в рамках государственного социального заказа</t>
  </si>
  <si>
    <t>1. Разработка подзаконных актов по внедрению госсоцзаказа в новой редакции</t>
  </si>
  <si>
    <t>2. Количество ЛОВЗ, охваченных через госсоцзаказ к общему количеству ЛОВЗ</t>
  </si>
  <si>
    <t>3. Количество пожилых граждан, охваченных  через госсоцзаказ к общему количеству пожилых граждан в системе МТСР</t>
  </si>
  <si>
    <t>Обеспечение ЛОВЗ техническими средствами для реабилитации (протезно-ортопедические изделия, технические вспомогательные средства и иные специализированные средства)</t>
  </si>
  <si>
    <t>1. Количество ЛОВЗ, обеспеченных техническими средствами, (чел.) и потребность в единицах</t>
  </si>
  <si>
    <t>2. Количество обученных специалистов</t>
  </si>
  <si>
    <t>3. Количество изготовленных протезно-ортопедических изделий (ед.) и потребность в единицах.</t>
  </si>
  <si>
    <t>Обеспечение ЛОВЗ путевками на санаторно-курортное лечение</t>
  </si>
  <si>
    <t>1. Количество ЛОВЗ, обеспеченных путевками на санаторно-курортное лечение, на количество обращений</t>
  </si>
  <si>
    <r>
      <t xml:space="preserve">Предоставление денежных компенсаций отдельным категориям граждан и социальные гарантии 
</t>
    </r>
    <r>
      <rPr>
        <i/>
        <sz val="11"/>
        <rFont val="Times New Roman"/>
        <family val="1"/>
        <charset val="204"/>
      </rPr>
      <t>Цель программы: Сохранение размера денежных компенсаций 25 категориям граждан на уровне базового года. Обеспечение выплат ежегодных единовременных денежных пособий к 9 мая и ежемесячной пожизненной стипендии ветеранам ВОВ, а также ритуальных пособий</t>
    </r>
  </si>
  <si>
    <t xml:space="preserve">Сохранение размера денежных компенсаций 25 категориям граждан на уровне базового года  </t>
  </si>
  <si>
    <t xml:space="preserve">Размеры денежных компенсаций </t>
  </si>
  <si>
    <t>1000-7000</t>
  </si>
  <si>
    <t>Обеспечение выплат ежегодного единовременного денежного пособия к 9 мая ветеранам Великой Отечественной войны</t>
  </si>
  <si>
    <t xml:space="preserve">Размеры денежного пособия </t>
  </si>
  <si>
    <t>100-600</t>
  </si>
  <si>
    <t>Обеспечение выплат ежегодного дополнительного единовременного денежного пособия к 9 мая  ветеранам Великой Отечественной войны</t>
  </si>
  <si>
    <t xml:space="preserve">Размеры дополнительного денежного пособия  </t>
  </si>
  <si>
    <t>10000-15000</t>
  </si>
  <si>
    <t>Обеспечение выплат ежемесячной пожизненной стипендии ветеранам Великой Отечественной войны</t>
  </si>
  <si>
    <t xml:space="preserve">Размеры пожизненной стипендии </t>
  </si>
  <si>
    <t xml:space="preserve">Обеспечение выплат ритуального пособия (на погребение) </t>
  </si>
  <si>
    <t>Соотношение среднего размера ритуального пособия  к среднемесячной заработной плате в %</t>
  </si>
  <si>
    <r>
      <t xml:space="preserve">Труд и занятость
</t>
    </r>
    <r>
      <rPr>
        <i/>
        <sz val="11"/>
        <rFont val="Times New Roman"/>
        <family val="1"/>
        <charset val="204"/>
      </rPr>
      <t>Цель программы: 1. Эффективное содействие занятости населения (реализация мер активной политики занятости), оказание услуг по поиску подходящей работы и соц.поддержки безработных граждан и лиц, ищущих работу через органы гос.службы занятости; 2. Создание эффективной системы оплаты труда с иерархией должностей и с результатами деятельности служащих; 3. Обеспечение выплат пособий по беременности и родам.</t>
    </r>
  </si>
  <si>
    <r>
      <t xml:space="preserve">Пассивные меры политики занятости </t>
    </r>
    <r>
      <rPr>
        <i/>
        <sz val="11"/>
        <rFont val="Times New Roman"/>
        <family val="1"/>
        <charset val="204"/>
      </rPr>
      <t>(выплата пособий по безработице)</t>
    </r>
  </si>
  <si>
    <t>Количество получающих пособия</t>
  </si>
  <si>
    <t>тыс.чел.</t>
  </si>
  <si>
    <t>Обучение безработных граждан профессиям, востребованным на рынке труда</t>
  </si>
  <si>
    <t>Доля безработных граждан, трудоустроенных после обучения, переобучения, повышения квалификации</t>
  </si>
  <si>
    <t xml:space="preserve">Расширение временной занятости </t>
  </si>
  <si>
    <t>Количество безработных, охваченных по линии оплачиваемых общественных работ (ООР)</t>
  </si>
  <si>
    <t>Повышение потенциала сотрудников отделов содействия занятости РГУСР и УСЗ</t>
  </si>
  <si>
    <t>Охвачены обучением не менее 210 сотрудников РГУСР и УСЗ</t>
  </si>
  <si>
    <t xml:space="preserve">Интеграция безработных в число занятого населения </t>
  </si>
  <si>
    <t>Количество безработных, трудоустроенных в результате посещения Ярмарки вакансий</t>
  </si>
  <si>
    <t xml:space="preserve">Трудоустройство </t>
  </si>
  <si>
    <t>Совершенствование системы оплаты труда государственных гражданских и муниципальных служащих</t>
  </si>
  <si>
    <t>Введение новой системы оплаты труда; будет достигнута справедливость в оплате труда, основанная на принципах "равной оплаты за равную работу"; внедрены новые реестры государственных и муниципальных должностей; увеличены возможности горизонтального продвижения для большинства служащих; сотрудники станут стремиться к повышению своей квалификации и карьерному росту.</t>
  </si>
  <si>
    <t xml:space="preserve">Обеспечение выплат пособия по беременности и родам с одиннадцатого рабочего дня </t>
  </si>
  <si>
    <t>Соотношение среднемесячного размера пособия по беременности и родам к среднемесячной заработной плате в %</t>
  </si>
  <si>
    <r>
      <t xml:space="preserve">Реализация Национальной Стратегии по достижению гендерного равенства до 2020 года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</t>
    </r>
    <r>
      <rPr>
        <sz val="11"/>
        <rFont val="Times New Roman"/>
        <family val="1"/>
        <charset val="204"/>
      </rPr>
      <t>Соз</t>
    </r>
    <r>
      <rPr>
        <i/>
        <sz val="11"/>
        <rFont val="Times New Roman"/>
        <family val="1"/>
        <charset val="204"/>
      </rPr>
      <t>дание институциональной базы для обеспечения равных прав и возможностей граждан страны независимо от пола, возраста, социального статуса, возможностей здоровья, гендерной идентичности и других оснований дискриминации для полноценной реализации человеческого потенциала населения Кыргызской Республики</t>
    </r>
  </si>
  <si>
    <t>Организация на местном уровне мероприятия по профессиональной ориентации и мотивации для экономически неактивного населения в трудоспособном возрасте с целью уменьшения  численности экономически неактивных женщин</t>
  </si>
  <si>
    <t>Увеличение экономически активных женщин в трудоспособном возрасте</t>
  </si>
  <si>
    <t>единица</t>
  </si>
  <si>
    <t>Внесение изменений в действующее законодательство в части предупреждения гендерной дискриминации и гендерного насилия на основе монторинга реализации гендерной политики в пилотных министерствах (ГКС, МЗ, МЧС)</t>
  </si>
  <si>
    <t>Мониторинг проведен и подготовлен отчет</t>
  </si>
  <si>
    <t>НПА разработаны</t>
  </si>
  <si>
    <t>человек</t>
  </si>
  <si>
    <t>Для организации работы комитетов по охране и защите от семейного насилия на уровне местных сообществ провести двухдневные семинары с сотрудниками ОМСУ и местными активистами по вопросам  создания местных комитетов по охране и защите от семейного насилия и выработке планов работы</t>
  </si>
  <si>
    <t>Отчет по семинарам и созданным комитетам</t>
  </si>
  <si>
    <t>отчет</t>
  </si>
  <si>
    <t>Методология оценки социальных услуг для лиц, пострадавших от семейного насилия</t>
  </si>
  <si>
    <t xml:space="preserve">Отчет по исследованию </t>
  </si>
  <si>
    <t>Развитие услуг  социальных служб/кризисных центров  по оказанию помощи лицам, пострадавшим от гендерного и семейного насилия</t>
  </si>
  <si>
    <t>Число кризисных центров, оказывающих услуги пострадавшим</t>
  </si>
  <si>
    <t>Разработка методологии по оценке потребностей в услугах коррекционной программы для лиц, совершивших  семейное насилие</t>
  </si>
  <si>
    <t>Отчет по методологии оценки</t>
  </si>
  <si>
    <t xml:space="preserve">Внедрение коррекционных программ для лиц, совершивших семейное насилие, в пилотных областях </t>
  </si>
  <si>
    <t>Число лиц, прошедших коррекционные программы</t>
  </si>
  <si>
    <t>Итого: всего по Министерству труда и социального развития Кыргызской Республики</t>
  </si>
  <si>
    <t>39. Академия государственного управления при Президенте Кыргызской Республики</t>
  </si>
  <si>
    <t>Объем финансовых и научных работ, прошедших анализ и экспертизу</t>
  </si>
  <si>
    <r>
      <t xml:space="preserve">Предоставление высшего профессионального образования Академией государственного управления при Президенте Кыргызской Республики
</t>
    </r>
    <r>
      <rPr>
        <i/>
        <sz val="11"/>
        <rFont val="Times New Roman"/>
        <family val="1"/>
        <charset val="204"/>
      </rPr>
      <t>Цель программы:</t>
    </r>
    <r>
      <rPr>
        <b/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Подготовка кадров с высшим профессиональным образованием в соответствии с потребностями рынка труда</t>
    </r>
  </si>
  <si>
    <t xml:space="preserve">Доля выпускников высшего профессионального образования, успешно окончивших академию </t>
  </si>
  <si>
    <t>Реализация учебных программ</t>
  </si>
  <si>
    <t>Годовой объем обучающихся студентов</t>
  </si>
  <si>
    <t>Подготовка квалифицированного кадрового персонала ВПО</t>
  </si>
  <si>
    <t>Доля студентов, занявших призовые места на соревнованиях, конкурсах республиканского и международного уровней</t>
  </si>
  <si>
    <r>
      <t xml:space="preserve">Повышение квалификации государственных и муниципальных служащих
</t>
    </r>
    <r>
      <rPr>
        <i/>
        <sz val="11"/>
        <rFont val="Times New Roman"/>
        <family val="1"/>
        <charset val="204"/>
      </rPr>
      <t>Цель программы: Подготовка, переподготовка и повышение квалификации государственных и муниципальных служащих</t>
    </r>
  </si>
  <si>
    <t>Количество государственных и муниципальных служащих, получивших сертификаты</t>
  </si>
  <si>
    <t>Проведение тренингов</t>
  </si>
  <si>
    <t>Количество привлеченных государственных служащих на повышение квалификации</t>
  </si>
  <si>
    <t>Доля выпускников среднего профессионального образования, успешно окончивших техникум</t>
  </si>
  <si>
    <t>Подготовка квалифицированного кадрового персонала СПО</t>
  </si>
  <si>
    <t>Доля обучающихся, занявших призовые места на соревнованиях, конкурсах республиканского и международного уровней</t>
  </si>
  <si>
    <t>Итого: всего по Академии Управления при Президенте Кыргызской Республики</t>
  </si>
  <si>
    <t>40. Общественное объединение «Организация ветеранов (пенсионеров) войны, труда, Вооруженных Сил, правоохранительных органов Кыргызской Республики»</t>
  </si>
  <si>
    <t>Внесение предложений по защите материальных и социальных прав ветеранов и ветеранских организаций</t>
  </si>
  <si>
    <t>Итого: всего по Общественному объединению «Организация ветеранов (пенсионеров) войны, труда, Вооруженных Сил, правоохранительных органов Кыргызской Республики»</t>
  </si>
  <si>
    <t>41. Министерство сельского хозяйства, пищевой промышленности и мелиорации Кыргызской Республики</t>
  </si>
  <si>
    <t>коеф</t>
  </si>
  <si>
    <t>Количество положительных упоминаний министерства в СМИ</t>
  </si>
  <si>
    <t xml:space="preserve">Степень выполнения национальных и государственных программ  странового уровня </t>
  </si>
  <si>
    <t>Количество сотрудников региональных представительств на область КР</t>
  </si>
  <si>
    <t>52</t>
  </si>
  <si>
    <t>Обеспечение внутреннего мониторинга и контроля (службы внутреннего аудита)</t>
  </si>
  <si>
    <t>Стратегический и годовой план</t>
  </si>
  <si>
    <t>33</t>
  </si>
  <si>
    <t>Общая координация развития аграрного сектора</t>
  </si>
  <si>
    <t>Государственная поддержка сельского хозяйства</t>
  </si>
  <si>
    <t xml:space="preserve">ВВП сельского хозяйства </t>
  </si>
  <si>
    <t>млрд.сом</t>
  </si>
  <si>
    <t>Индекс физического объема в % к предыдущему году</t>
  </si>
  <si>
    <t>Индекс цен в % к предыдущему году</t>
  </si>
  <si>
    <t>ВВП пищевой промыщленности</t>
  </si>
  <si>
    <t>ВВП продукции растениеводства</t>
  </si>
  <si>
    <t>Индекс физического объема, в % к предыдущему году</t>
  </si>
  <si>
    <t>ВВП продукции животноводства</t>
  </si>
  <si>
    <t>Проведение мероприятий по борьбе с болезнями растений и вредителями</t>
  </si>
  <si>
    <t>Площади химической обработки сельскохозяйственных угодий против саранчовых вредителей</t>
  </si>
  <si>
    <t>тыс.га</t>
  </si>
  <si>
    <t>Площади химической обработки сельскохозяйственных угодий против карантинного вредителя АББ</t>
  </si>
  <si>
    <t>Обследование посевов сельхоз культури сельхоз угодий на выявление вредителей, а также саранчовых и карантинного вредителя АББ, организация и контроль за проведением химобработок против саранчовых вредителей и АББ</t>
  </si>
  <si>
    <t>41770,1</t>
  </si>
  <si>
    <t>39994,8</t>
  </si>
  <si>
    <t>Площадь обследования на выявление саранчовых вредителей</t>
  </si>
  <si>
    <t>Площадь обследования на выявление  вредителей АББ</t>
  </si>
  <si>
    <t>3,0/180,3</t>
  </si>
  <si>
    <t>3,0/189,3</t>
  </si>
  <si>
    <t>3,0/198,2</t>
  </si>
  <si>
    <t>3,0/189,2</t>
  </si>
  <si>
    <t>Обеспеченность пестицидов</t>
  </si>
  <si>
    <t>тыс.литр</t>
  </si>
  <si>
    <t>Обеспечение фитосанитарной и агрохимической безопасности</t>
  </si>
  <si>
    <t>8071,3</t>
  </si>
  <si>
    <t>9416,3</t>
  </si>
  <si>
    <t>Количество лабараторных исседований</t>
  </si>
  <si>
    <t>148/3500</t>
  </si>
  <si>
    <t>300/3000</t>
  </si>
  <si>
    <t>Биологическая защита растений</t>
  </si>
  <si>
    <t>25026,8</t>
  </si>
  <si>
    <t>17770,9</t>
  </si>
  <si>
    <t>18628,2</t>
  </si>
  <si>
    <t>19386</t>
  </si>
  <si>
    <t>Обработка площадей земель сельскохозяйственных назначений биологическими средствами по КР</t>
  </si>
  <si>
    <t>Увеличение объемов производства биологических средств</t>
  </si>
  <si>
    <t>Биолигнин</t>
  </si>
  <si>
    <t>литр</t>
  </si>
  <si>
    <t>Триходермин</t>
  </si>
  <si>
    <t>кг/литр</t>
  </si>
  <si>
    <t>Амблисейус</t>
  </si>
  <si>
    <t>тыс. особ</t>
  </si>
  <si>
    <t>Трихограмма</t>
  </si>
  <si>
    <t>грамм</t>
  </si>
  <si>
    <t>Лизинг сельскохозяйственной техники</t>
  </si>
  <si>
    <t xml:space="preserve">Проведение полевых инспекций семеноводческих посевов </t>
  </si>
  <si>
    <t>Удельный вес площади, засеваемой элитными семенами</t>
  </si>
  <si>
    <t>тыс.га %</t>
  </si>
  <si>
    <t>1,6/4,3</t>
  </si>
  <si>
    <t>Наличие сертифицированных семян</t>
  </si>
  <si>
    <t>тыс.тонн</t>
  </si>
  <si>
    <t>Проведение экспертизы зерна и продуктов его переработки</t>
  </si>
  <si>
    <t>Объем сертифицированных семян</t>
  </si>
  <si>
    <t>Проведение анализа образцов зерна поступающих их госрезерва, комбинатов хлебных продуктов</t>
  </si>
  <si>
    <t>тонн</t>
  </si>
  <si>
    <t xml:space="preserve">Проведение апробации и сортоиспытания, официальные испытания, сохранение генетических ресурсов растений, </t>
  </si>
  <si>
    <t>проведение официальных испытаний новых сортов и гибридов сельхозкультур</t>
  </si>
  <si>
    <t>сорто-опыт</t>
  </si>
  <si>
    <t>Проведение качественной  оценки сортов и гибридов с/х культур</t>
  </si>
  <si>
    <t xml:space="preserve">анализ </t>
  </si>
  <si>
    <t>Сохранение генетических ресурсов растений</t>
  </si>
  <si>
    <t>образец</t>
  </si>
  <si>
    <t>Выполнение проектно-изыскательских и обследовательских работ по землеустройству</t>
  </si>
  <si>
    <t>Инвентаризация земельного фонда и установление границ в разрезе районов/айыл аймаков</t>
  </si>
  <si>
    <t>11районов 116 айыл  аймаки</t>
  </si>
  <si>
    <t>11 районов 130 айыл  аймаки</t>
  </si>
  <si>
    <t>2район 23 айыл  аймаки, 7 городов, земли го.резерв</t>
  </si>
  <si>
    <t>2 района, 90 нас.пункт. земли гос.резерв.</t>
  </si>
  <si>
    <t>2 района, 85 нас.пунктов земли гос.резерв.</t>
  </si>
  <si>
    <t>Корректировка почвенных обследований, мотиторинг пахотных земель</t>
  </si>
  <si>
    <t>Кооректировка материалов почвенного и геобатанического обследования  в разрезе районов/айыл аймаков</t>
  </si>
  <si>
    <t>42район, 40 аймаки</t>
  </si>
  <si>
    <t>4 район,    45  аймаки</t>
  </si>
  <si>
    <t>4 район,   45  аймаки</t>
  </si>
  <si>
    <t>4 район,     45  аймаки</t>
  </si>
  <si>
    <t>Развитие земледелия, семеноводства, повышение плодородия земель</t>
  </si>
  <si>
    <t>Обеспечение населения основными продуктами растеневодства (за счет собственного производства)              зерно пшеницы                                         картофель                                                овоще-бахчевые</t>
  </si>
  <si>
    <t xml:space="preserve">                                                                                                                                          %                %                  % </t>
  </si>
  <si>
    <t xml:space="preserve">                                                                                                                      59,1                149,0             140,6</t>
  </si>
  <si>
    <t xml:space="preserve">                    65,0               100         147,0                   </t>
  </si>
  <si>
    <t xml:space="preserve">                                        65,5              102,0           148,0          </t>
  </si>
  <si>
    <t xml:space="preserve">                       66,0      102,2         148,5</t>
  </si>
  <si>
    <t xml:space="preserve">                            66,5           105                 149,5</t>
  </si>
  <si>
    <t>Обеспечение продбезопасности и агромаркетинга в растеневодстве</t>
  </si>
  <si>
    <t>Стабильно высокий уровень продовольственной безопасности с учётом импорта                                             За счет собственного министерства</t>
  </si>
  <si>
    <t>%               %</t>
  </si>
  <si>
    <t>110         70,5</t>
  </si>
  <si>
    <t>102,5               70,8</t>
  </si>
  <si>
    <t>102,6                   70,9</t>
  </si>
  <si>
    <t>102,6              71,0</t>
  </si>
  <si>
    <t>102,9          71,5</t>
  </si>
  <si>
    <t>Реализация проекта "Поддержка общественных семенных фондов"</t>
  </si>
  <si>
    <t>Поддержка общественных семенных фондов</t>
  </si>
  <si>
    <t>кол.</t>
  </si>
  <si>
    <t xml:space="preserve">Создание групп  взаимопомощи с фермерами , включая женщин
</t>
  </si>
  <si>
    <t>698 групп, 4774 ферм.,    4120 женщин</t>
  </si>
  <si>
    <t xml:space="preserve">Закупленные семена и минерал. удобрения в рамках проекта
</t>
  </si>
  <si>
    <t>1778,2/1588,2</t>
  </si>
  <si>
    <t xml:space="preserve">Общая засеянная площадь участниками проекта
</t>
  </si>
  <si>
    <t>га</t>
  </si>
  <si>
    <t>Реализация проекта "Финансирование поставок сельскохозяйственной техники в КР" (АКФ ЕврАзЭС)</t>
  </si>
  <si>
    <t>поставка сельскохозяйственной техники</t>
  </si>
  <si>
    <t>темп роста  сельскохозяйственной техники</t>
  </si>
  <si>
    <t>количество  сельскохозяйственной техники</t>
  </si>
  <si>
    <t>Обьем поставок  сельхоз техники на территории</t>
  </si>
  <si>
    <t>Реализация проекта "Цепочка добавленной стоимости агрофинансирования (КФБ)</t>
  </si>
  <si>
    <t>Номинальный ВВП ЦДС сельского хозяйства</t>
  </si>
  <si>
    <t>Поддержка развития племенного дела</t>
  </si>
  <si>
    <t>темп реального роста КРС в % к предыдущему году</t>
  </si>
  <si>
    <t>Осеменение КРС</t>
  </si>
  <si>
    <t>голов</t>
  </si>
  <si>
    <t>Осеменение МРС</t>
  </si>
  <si>
    <t>Открытие исскуственного осеменения КРС (Турецкий кредит)</t>
  </si>
  <si>
    <t xml:space="preserve">Создание  племенных хозяйств </t>
  </si>
  <si>
    <t>Получение приплода от закупленных КРС по линии ЮСАИД</t>
  </si>
  <si>
    <t>Учет и контроль за качеством и безопасностью ветеринарных  лекарственных средств</t>
  </si>
  <si>
    <t>Государственная регистрация и сертификация ветеринарных лекарственных средств</t>
  </si>
  <si>
    <t>Экспертиза качества ветеринарных лекарственных средств</t>
  </si>
  <si>
    <t>Содержание и увеличение рыбных запасов</t>
  </si>
  <si>
    <t>Количество выданных рыболовных карточек</t>
  </si>
  <si>
    <t>Количество проведенных мероприятий по выявлениям факта наруш.</t>
  </si>
  <si>
    <t>Выпуск молоди (зарыбление) в водоемы Кыргызской Республики</t>
  </si>
  <si>
    <t>млн. шт.</t>
  </si>
  <si>
    <t>Увеличение производства товарной рыбы</t>
  </si>
  <si>
    <t>тыс. тонн</t>
  </si>
  <si>
    <t>Мониторинг над состоянием и использованием пастбищ и пастбищного хозяйства</t>
  </si>
  <si>
    <t>Площадь пастбищ  по республике</t>
  </si>
  <si>
    <t>Количество экологически устойчивых жайыт комитетов</t>
  </si>
  <si>
    <t xml:space="preserve">Количество планов по здоровью  животных (ПЗЖ), реализованных должным образом с учетом критерий эффективности работы ОПП, установленных проектом
</t>
  </si>
  <si>
    <t>кол</t>
  </si>
  <si>
    <t>Проект "Обеспечения доступа к рынкам"</t>
  </si>
  <si>
    <t xml:space="preserve">стоимость продукции животноводства, продаваемая целевыми фермерами в зоне реализации проекта
</t>
  </si>
  <si>
    <t xml:space="preserve">Создание постоянных рабочих мест (40% женщин) за счет работы на фермерском хозяйстве
</t>
  </si>
  <si>
    <t xml:space="preserve">увеличение числа пунктов переработки и новых сельских предприятий
</t>
  </si>
  <si>
    <t>Проект "Улучшение управлением пастбищами"- донор ВБ</t>
  </si>
  <si>
    <t xml:space="preserve">Количество планов сообщества по  управлению пастбищами (ПСУП) подготовленных и реализованных должным образом с учетом критерий эффективности работы ОПП, установленных проектом.
</t>
  </si>
  <si>
    <t xml:space="preserve">Повышение площади используемых пастбищ
</t>
  </si>
  <si>
    <t>кол.га</t>
  </si>
  <si>
    <t xml:space="preserve">Процент пастбищепользователей, довольных услугами по управлению пастбищами, которые предоставляют ОПП относительно базового показателя
</t>
  </si>
  <si>
    <t xml:space="preserve">Комплексное развитие производительности молочного сектора (ВБ) </t>
  </si>
  <si>
    <t>Оказания поддержки сельскохозяйственного сектора с финансированием</t>
  </si>
  <si>
    <t>Реализация "Регионального проекта по здоровью животных"</t>
  </si>
  <si>
    <t>Контроль за производством и оборотом этилового спирта, алкогольной продукции и спиртосодержащей продукции</t>
  </si>
  <si>
    <t>Пересечение нелегального оборота  (изъятие алкогольной продукции)</t>
  </si>
  <si>
    <t>шт (0,5 бут)</t>
  </si>
  <si>
    <t xml:space="preserve">Обьем производства алкогольной продукции                                                                     </t>
  </si>
  <si>
    <t>тыс.дал</t>
  </si>
  <si>
    <t xml:space="preserve">   Лицензирование субьектов предпринимательства</t>
  </si>
  <si>
    <t xml:space="preserve">Поддержка и развитие государственного ирригационного фонда и мелиорации
</t>
  </si>
  <si>
    <t>1698563,8</t>
  </si>
  <si>
    <t>2094304,8</t>
  </si>
  <si>
    <t xml:space="preserve">Оббьем орошаемых земель 
</t>
  </si>
  <si>
    <t>Содержание аппарата</t>
  </si>
  <si>
    <t>15307,3</t>
  </si>
  <si>
    <t>15173,4</t>
  </si>
  <si>
    <t>15400,2</t>
  </si>
  <si>
    <t>15575,6</t>
  </si>
  <si>
    <t xml:space="preserve">Площадь орошаемых земель по территории
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</si>
  <si>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г.Ош-2,5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</si>
  <si>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г.Ош-2,6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</si>
  <si>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г.Ош-2,7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</si>
  <si>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г.Ош-2,8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</si>
  <si>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г.Ош-2,9</t>
  </si>
  <si>
    <t xml:space="preserve">Процент потери воды при транспортировке
</t>
  </si>
  <si>
    <t>произ.-0,9%, хоз.питье.-2%, орош.-62%, с\х водсноб.-0,7%</t>
  </si>
  <si>
    <r>
      <t xml:space="preserve">Содержание и капитальный ремонт государственных ирригационных и мелиоративных  сооружений, за исключением насосных станций и скважин
</t>
    </r>
    <r>
      <rPr>
        <b/>
        <sz val="11"/>
        <color theme="1"/>
        <rFont val="Calibri"/>
        <family val="2"/>
        <charset val="204"/>
        <scheme val="minor"/>
      </rPr>
      <t/>
    </r>
  </si>
  <si>
    <t>4.1.1  Улучшение мелиоративного состояния земель</t>
  </si>
  <si>
    <t>тыс. га</t>
  </si>
  <si>
    <t>4.1.2  Восстановление ирригационных каналов</t>
  </si>
  <si>
    <t>км</t>
  </si>
  <si>
    <t>4.1.4   Ремонт ГВС, ГТС, улучшение урегулирования объема подачи воды</t>
  </si>
  <si>
    <t>4.1.5   Ремонт ГП улучшения учета объема воды</t>
  </si>
  <si>
    <t>Содержание и капитальный ремонт государственных насосных станции,  подача поливной воды</t>
  </si>
  <si>
    <t>4.1.3  Капитальный ремонт и замена насосных агрегатов</t>
  </si>
  <si>
    <t>98/272</t>
  </si>
  <si>
    <t>102/274</t>
  </si>
  <si>
    <t>102/234</t>
  </si>
  <si>
    <t>102/265</t>
  </si>
  <si>
    <t>106/280</t>
  </si>
  <si>
    <t>Подача поливной воды на орошение</t>
  </si>
  <si>
    <t>м.куб.</t>
  </si>
  <si>
    <t xml:space="preserve">Увеличение числа ассоциаций водопользователей (АВП) и обслуживание ими земель
</t>
  </si>
  <si>
    <t>кол-во ед/тыс. га</t>
  </si>
  <si>
    <t>486/753</t>
  </si>
  <si>
    <t>486/747</t>
  </si>
  <si>
    <t>486/749</t>
  </si>
  <si>
    <t>Водные ресурсы</t>
  </si>
  <si>
    <t xml:space="preserve">Развитие ирригационной сети Сарымсак в КР (ИБР)
</t>
  </si>
  <si>
    <t>Итого: всего по Министерству сельского хозяйства, пищевой промышленности и мелиорации Кыргызской Республики</t>
  </si>
  <si>
    <t>Содержание и капитальный ремонт государственных водохозяйственных объектов</t>
  </si>
  <si>
    <t>Устойчивое развитие водоснабжения и водоотведения</t>
  </si>
  <si>
    <t>44. Министерство культуры, информации и туризма Кыргызской Республики</t>
  </si>
  <si>
    <t>Управление человеческими ресурсами и правовая поддержка</t>
  </si>
  <si>
    <t xml:space="preserve">Поддержание внешних связей </t>
  </si>
  <si>
    <t>Отдел обеспечения и связи с общественностью</t>
  </si>
  <si>
    <t xml:space="preserve">Доля сотрудников отдела обеспечения от общей численности сотрудников ЦА </t>
  </si>
  <si>
    <t>Управление развития искусства</t>
  </si>
  <si>
    <t xml:space="preserve">Количество разработанных проектов НПА </t>
  </si>
  <si>
    <t xml:space="preserve">Разработка проектов НПА по сохранению, охране и использованию ИКН </t>
  </si>
  <si>
    <t>Повышение доступности и качества услуг библиотек</t>
  </si>
  <si>
    <t>Количество посетителей библиотек</t>
  </si>
  <si>
    <t>Охват населения услугами библиотек (% посетителей библиотек от общей численности  жителей обслуживаемой территории)</t>
  </si>
  <si>
    <t>Количество произведений, переведенных на цифровые носители</t>
  </si>
  <si>
    <t>Повышение качества доступности услуг музеев</t>
  </si>
  <si>
    <t>Количество музейных экспонатов</t>
  </si>
  <si>
    <t>Количество посетителей музеев</t>
  </si>
  <si>
    <t>тыс чел</t>
  </si>
  <si>
    <t>Количество выставок  по изобразительному искусству</t>
  </si>
  <si>
    <t>Расширение  возможностей доступа к культурным  ценностям</t>
  </si>
  <si>
    <t>Количество проведенных мероприятий  международного и республиканского значения</t>
  </si>
  <si>
    <t>раз</t>
  </si>
  <si>
    <t>Создание условий по сокращению количества объектов ИКН, требующих оперативных мер по сохранению и охране</t>
  </si>
  <si>
    <t>Количество отреставрированных памятников историко-культурного наследия</t>
  </si>
  <si>
    <t>Повышение качества  услуг театрально-зрелищных учреждений (ТЗП) и приобщение населения  к профессиональному искусству</t>
  </si>
  <si>
    <t>Количество проведенных гастролей</t>
  </si>
  <si>
    <t>Количество новых постановок</t>
  </si>
  <si>
    <t>Повышение  творческой активности и потенциала творческих деятелей культуры</t>
  </si>
  <si>
    <t>Количество зрителей  ТЗП</t>
  </si>
  <si>
    <t>Количество мастер классов для работников ТЗП</t>
  </si>
  <si>
    <t xml:space="preserve">Обеспечение условий для повышения качества образования в сфере культуры </t>
  </si>
  <si>
    <t>Для образовательных учреждений сферы культуры, оснащенных современным материально-техническим оборудованием в общем количестве образовательных учреждений</t>
  </si>
  <si>
    <t>Обеспечение отрасли профессиональными кадрами</t>
  </si>
  <si>
    <t>Для выпускников от общего количества, продолжающих трудовую деятельность в сфере культуры</t>
  </si>
  <si>
    <t>Количество обучающихся  в образовательных учреждениях</t>
  </si>
  <si>
    <t>Повышение уровня педагогической готовности детей к школе</t>
  </si>
  <si>
    <t>Количество  детей дошкольного образования</t>
  </si>
  <si>
    <t>Реализация государственной политики в сфере  кинематографии</t>
  </si>
  <si>
    <t>Обеспечение условий для создания национальных фильмов</t>
  </si>
  <si>
    <t>Количество выпущенных национальных фильмов</t>
  </si>
  <si>
    <t>Количество выпущенных фильмов по линии кинопродукции</t>
  </si>
  <si>
    <t>Создание условий для доступа граждан к произведениям мирового и отечественного киноискусства</t>
  </si>
  <si>
    <t>Для посещаемости зрителей от общего  населения страны</t>
  </si>
  <si>
    <t>Количество бесплатных сеансов для социально уязвимых слоев населения</t>
  </si>
  <si>
    <t>Валовый сбор</t>
  </si>
  <si>
    <t>Разработка и реализация образовательных и маркетинговых мероприятий, способствующих пропаганде туризма</t>
  </si>
  <si>
    <t>Количество образовательных и маркетинговых мероприятий</t>
  </si>
  <si>
    <t>Пропаганда туристических возможностей Кыргызстана</t>
  </si>
  <si>
    <t>Количество реализованных мероприятий  международного значения</t>
  </si>
  <si>
    <t>Количество прибывших граждан из стран дальнего и ближнего зарубежья, подпадающих под классификацию ВТО (Всемирная турист.орг)</t>
  </si>
  <si>
    <t>тыс.чел</t>
  </si>
  <si>
    <r>
      <t xml:space="preserve">Развитие  информационной среды                         </t>
    </r>
    <r>
      <rPr>
        <i/>
        <sz val="11"/>
        <color theme="1"/>
        <rFont val="Times New Roman"/>
        <family val="1"/>
        <charset val="204"/>
      </rPr>
      <t>Цель: Сформировать государственную  информационную политику</t>
    </r>
  </si>
  <si>
    <t>Реализация государственной политики в сфере  информации</t>
  </si>
  <si>
    <t xml:space="preserve">Техническое переоснащение СМИ от общего количества государственных СМИ </t>
  </si>
  <si>
    <t>Создание условий для развития государственных региональных  СМИ</t>
  </si>
  <si>
    <t>Подготовка и переподготовка кадров государственных региональных СМИ</t>
  </si>
  <si>
    <t>Переход  телерадиокомпаний  страны на цифровой формат выщания</t>
  </si>
  <si>
    <t>Количество произведенного национального аудиовизуального продукта</t>
  </si>
  <si>
    <t>часы</t>
  </si>
  <si>
    <t>Итого: всего по Министерству культуры, информации и туризма Кыргызской Республики</t>
  </si>
  <si>
    <t>Примечание: расходы по Министерству культуры, информации и туризма в программном формате не включают расходы  Комитета по госпремиям им. Токтогула - 842,7 тыс. сом; Кыргызского национального информационного агентства "Кабар" -22 407,5 ты.с сом,  и Кыргызского национального комплекса «Манас Ордо» на сумму 18 157,6 тыс. сом, которые финансируются как самостоятельные бюджетные учреждения</t>
  </si>
  <si>
    <t>Комитет по гос. премиям им. Токтогула</t>
  </si>
  <si>
    <r>
      <rPr>
        <b/>
        <sz val="11"/>
        <rFont val="Times New Roman"/>
        <family val="1"/>
        <charset val="204"/>
      </rPr>
      <t xml:space="preserve">Предоставление государственных премий в области литературы, искусства и архитектуры          </t>
    </r>
    <r>
      <rPr>
        <sz val="11"/>
        <rFont val="Times New Roman"/>
        <family val="1"/>
        <charset val="204"/>
      </rPr>
      <t xml:space="preserve">                         </t>
    </r>
  </si>
  <si>
    <t xml:space="preserve">Обеспечение общего руководства, финансового менеджмента и учета </t>
  </si>
  <si>
    <t xml:space="preserve"> Отношение расходов на заработную плату по Программе 001 к сумме расходов на заработную плату по всему Комитету</t>
  </si>
  <si>
    <t>Вручение государственной премии Кыргызской Республики им. Токтогула в области литературы, искусства и архитектуры</t>
  </si>
  <si>
    <t>Количество участников, получивших государственную премию</t>
  </si>
  <si>
    <t>Итого: всего по Комитету по гос. премиям им. Токтогула</t>
  </si>
  <si>
    <t>КНИА “Кабар“</t>
  </si>
  <si>
    <t>коэфф.</t>
  </si>
  <si>
    <r>
      <t xml:space="preserve">Предоставление информационных услуг населению и зарубежной аудитории из официальных источников государственной власти
</t>
    </r>
    <r>
      <rPr>
        <i/>
        <sz val="11"/>
        <rFont val="Times New Roman"/>
        <family val="1"/>
        <charset val="204"/>
      </rPr>
      <t>Цель программы: Информационные услуги населению КР и зарубежной аудитории от официальных источников государственной власти</t>
    </r>
  </si>
  <si>
    <t>Общее количество выпускаемых информаций агентством</t>
  </si>
  <si>
    <t>Бесперебойная подготовка информации о жизни Кыргызстана и работе Президента Кыргызской Республики</t>
  </si>
  <si>
    <t>Хронометраж созданных ежедневных информаций, выпускаемых каждым журналистом 9-12 информаций на кыргызском и русском языках</t>
  </si>
  <si>
    <t>инф</t>
  </si>
  <si>
    <t>Доведение информации о нашей стране до зарубежного читателя</t>
  </si>
  <si>
    <t>Перевод информаций и аналитических материалов на английский и турецкий языки</t>
  </si>
  <si>
    <t>Проведение анализа</t>
  </si>
  <si>
    <t>Хронометраж посещаемости сайта в среднем в год</t>
  </si>
  <si>
    <t>Итого: всего по КНИА "Кабар"</t>
  </si>
  <si>
    <t>Кыргызский национальный комплекс "Манас Ордо"</t>
  </si>
  <si>
    <t>Укрепление национального самосознания, активного содействия развитию и взаимообогащению духовных, культурных ценностей и традиций, единства и межнационального согласия народов Кыргызской Республики, активизация пропаганды духовно-нравственного наследия эпоса "Манас"</t>
  </si>
  <si>
    <t>Количество посетителей комплекса</t>
  </si>
  <si>
    <t>Организация экскурсионной, туристической, гостиничной деятельности, научно-просветительской и культурно-массовой работы на территории комплекса</t>
  </si>
  <si>
    <t>Количество экспонатов</t>
  </si>
  <si>
    <t>Количество экскурсий</t>
  </si>
  <si>
    <t>Количество видов публикуемой информации (деловые папки, настенный календарь , блокнот, буклет, брошюры (на русском и на кыргызском языке), книги</t>
  </si>
  <si>
    <t>тыс.шт.</t>
  </si>
  <si>
    <t>Количество публикаций</t>
  </si>
  <si>
    <t>экз.</t>
  </si>
  <si>
    <t>Итого: всего по Кыргызскому национальному комплексу "Манас Ордо"</t>
  </si>
  <si>
    <t>45. Министерство чрезвычайных ситуаций Кыргызской Республики</t>
  </si>
  <si>
    <t>Соотношение фонда заработной платы по программе "Планирование, управление и администрирование" к фонду заработной платы всего министерства</t>
  </si>
  <si>
    <t xml:space="preserve">Процент исполнения бюджета без нарушений </t>
  </si>
  <si>
    <t xml:space="preserve">Отношение выигранных судебных дел к их общему количеству </t>
  </si>
  <si>
    <t>Количество положительных упоминаний министерства/ведомства в средствах массовой информации</t>
  </si>
  <si>
    <t>Кол-во</t>
  </si>
  <si>
    <t>Обеспечение внутреннего мониторинга и контроля (служба внутреннего аудита)</t>
  </si>
  <si>
    <r>
      <t xml:space="preserve">Прогнозирование опасных природных процессов и явлений 
</t>
    </r>
    <r>
      <rPr>
        <i/>
        <sz val="11"/>
        <rFont val="Times New Roman"/>
        <family val="1"/>
        <charset val="204"/>
      </rPr>
      <t>Цель программ: Совершенствование оценки риски и раннего предупреждения чрезвычайных ситуаций в Кыргызкой Республике</t>
    </r>
  </si>
  <si>
    <t>Оправдываемость прогноза</t>
  </si>
  <si>
    <t xml:space="preserve">Осуществление мониторинга и анализа опасных природных, техногенных процессов и явлений, выполнение научно-исследовательской работы на отдельных опасных участках </t>
  </si>
  <si>
    <t>Оправдываемость прогнозов по проведению мониторинга первоочередных, предупредительных работ</t>
  </si>
  <si>
    <t xml:space="preserve">Выпуск всех видов прогнозов и представление специализированной метеорологической, агрометеорологической и гидрометеорологической информации </t>
  </si>
  <si>
    <t xml:space="preserve">Оправдываемость прогнозов опасных природных явлений и процессов </t>
  </si>
  <si>
    <t xml:space="preserve">Государственные инвестиции по сокращению риска стихийных бедствий </t>
  </si>
  <si>
    <t xml:space="preserve">Освоение </t>
  </si>
  <si>
    <r>
      <t xml:space="preserve">Предупреждение, проведение превентивных и защитных мероприятий от ЧС 
</t>
    </r>
    <r>
      <rPr>
        <i/>
        <sz val="11"/>
        <rFont val="Times New Roman"/>
        <family val="1"/>
        <charset val="204"/>
      </rPr>
      <t>Цель программы: Минимизация рисков и негативных последствий чрезвычайных ситуаций с помощью проведения плановых превентивных и защитных мероприятий.</t>
    </r>
  </si>
  <si>
    <t>Объем выполненных работ по предотвращению ЧС</t>
  </si>
  <si>
    <t>К-во завершенных объектов</t>
  </si>
  <si>
    <t>К-во защищенных дворов</t>
  </si>
  <si>
    <t>К-во защищенных сельхозугодий</t>
  </si>
  <si>
    <t>га.</t>
  </si>
  <si>
    <t>Проведение первоочередных  превентивных, аварийно-восстнановительных, защитных мероприятий; строительство и эксплуатация селезащитных инженерных сооружений.</t>
  </si>
  <si>
    <t xml:space="preserve">Объем выполненных работ </t>
  </si>
  <si>
    <t>Проведение комплексного мониторинга хвостохранилищ и горных отвалов бывшего уранодобывающего производства, предупредительных защитных аварийно-восстановительных и реабилитационных работ</t>
  </si>
  <si>
    <r>
      <t xml:space="preserve">Организация и тушение пожаров, поисково-спасательные, аварийно-восстановительные и другие неотложные работы, ликвидация последствий ЧС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Своевременное реагирование на чрезвычайные сиуации,  проведение поисковых, аварийно-спасательных работ по ликвидации последствий ЧС. </t>
    </r>
  </si>
  <si>
    <t>Кол-во спасенных людей при ЧС</t>
  </si>
  <si>
    <t>Снижение уровня смертности</t>
  </si>
  <si>
    <t>Снижение уровня материального ущерба, причиненного пожарами</t>
  </si>
  <si>
    <t xml:space="preserve">Организация тушения пожаров и связанных с ними спасательных работ </t>
  </si>
  <si>
    <t>Снижение уровня смертности от пожаров</t>
  </si>
  <si>
    <r>
      <t xml:space="preserve">Подготовка органов самоуправления, сил Гражданской защиты и населения к действиям в чрезвычайных ситуациях.                                                        </t>
    </r>
    <r>
      <rPr>
        <i/>
        <sz val="11"/>
        <rFont val="Times New Roman"/>
        <family val="1"/>
        <charset val="204"/>
      </rPr>
      <t>Цель программы: Минимизация рисков и негативных последствий чрезвычайных ситуаций за счет повышения уровня осведомленности и подготовки органов управления, сил Гражданской защиты и населения.</t>
    </r>
  </si>
  <si>
    <t xml:space="preserve">Кол-во подготовленных специалистов </t>
  </si>
  <si>
    <t>Подготовка и переподготовка специалистов ГЗ, органов самоуправления и населения к действиям в ЧС.</t>
  </si>
  <si>
    <t>Кол-во подготовленных специалистов по ГЗ</t>
  </si>
  <si>
    <t>Подготовка и переподготовка специалистов по водолазному делу, проведение подводно-технических, поисково-спасательных, научно-исследовательских и экспертных работ на всех водных объектах.</t>
  </si>
  <si>
    <t>Кол-во подготовленных специалистов по водолазному делу</t>
  </si>
  <si>
    <t>Итого: всего по Министерству чрезвычайных ситуаций Кыргызской Республики</t>
  </si>
  <si>
    <t>46. Центрально-Азиатский институт прикладных исследований Земли</t>
  </si>
  <si>
    <t xml:space="preserve">Капитальный ремонт лабораторного корпуса </t>
  </si>
  <si>
    <t>Исследование опасных природных ресурсов, климата и водных ресурсов и геоэкологии и создание системы мониторинга</t>
  </si>
  <si>
    <r>
      <rPr>
        <b/>
        <sz val="11"/>
        <rFont val="Times New Roman"/>
        <family val="1"/>
        <charset val="204"/>
      </rPr>
      <t xml:space="preserve">Индикатор результативности </t>
    </r>
    <r>
      <rPr>
        <sz val="11"/>
        <rFont val="Times New Roman"/>
        <family val="1"/>
        <charset val="204"/>
      </rPr>
      <t>(</t>
    </r>
    <r>
      <rPr>
        <i/>
        <sz val="11"/>
        <rFont val="Times New Roman"/>
        <family val="1"/>
        <charset val="204"/>
      </rPr>
      <t>целевой индикатор по Программе</t>
    </r>
    <r>
      <rPr>
        <sz val="11"/>
        <rFont val="Times New Roman"/>
        <family val="1"/>
        <charset val="204"/>
      </rPr>
      <t>)</t>
    </r>
  </si>
  <si>
    <t>Исследование геодинамических процессов и георисков в Кыргызстане и трансграничных регионах Центрально-Азиатских стран</t>
  </si>
  <si>
    <t>Данные публикации</t>
  </si>
  <si>
    <t>Публ.</t>
  </si>
  <si>
    <t>Данные мониторинга</t>
  </si>
  <si>
    <t>Реком.</t>
  </si>
  <si>
    <t>Изучение опорных ледников Кыргызстана  и бассейна озера Иссык-Куль</t>
  </si>
  <si>
    <t xml:space="preserve">Тренинги и семинары </t>
  </si>
  <si>
    <t>Конф.</t>
  </si>
  <si>
    <t>Расширение и модернизация  сети мониторинга (станции)</t>
  </si>
  <si>
    <t xml:space="preserve">Станция </t>
  </si>
  <si>
    <t>Разработка системы мониторинга и базы геоданных опасных природных процессов</t>
  </si>
  <si>
    <t>Пополнение базы данных в реальном времени</t>
  </si>
  <si>
    <t>БД</t>
  </si>
  <si>
    <t>Изучение рисков  стихийных бедствий :  методология социально -экономической оценки уязвимости и адаптации сельских обществ.</t>
  </si>
  <si>
    <t>Итого: всего по Центрально-Азиатскому институту прикладных исследований Земли</t>
  </si>
  <si>
    <t>47. Государственная налоговая служба при Правительстве Кыргызской Республики</t>
  </si>
  <si>
    <r>
      <t xml:space="preserve">Планирование, управление и администрирование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</si>
  <si>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11,8</t>
  </si>
  <si>
    <t>11,6</t>
  </si>
  <si>
    <t xml:space="preserve">Обеспечение общего руководства </t>
  </si>
  <si>
    <t>Уровень удовлетворенности и /или Индекс доверия населения</t>
  </si>
  <si>
    <t>Службы обеспечения</t>
  </si>
  <si>
    <t>133/135</t>
  </si>
  <si>
    <t>не более 20</t>
  </si>
  <si>
    <t>Обеспечение полноты сбора налогов</t>
  </si>
  <si>
    <t>Увеличение темпа прироста налоговых сборов</t>
  </si>
  <si>
    <t>Обеспечение полноты сбора налоговых платежей</t>
  </si>
  <si>
    <t>% выполнения плановых показателей сбора налогов</t>
  </si>
  <si>
    <t xml:space="preserve">Мероприятия, направленные на упрощение налогообложения  . </t>
  </si>
  <si>
    <t xml:space="preserve">Рост количества  налогоплательщиков, сдающих отчетность в электронном виде: </t>
  </si>
  <si>
    <t>Проведение комплекса мероприятий по сокращению недоимки</t>
  </si>
  <si>
    <t>Доля недоимки в общем объеме налоговых поступлений</t>
  </si>
  <si>
    <t>Итого: всего по Государственной налоговой службе при Правительстве Кыргызской Республики</t>
  </si>
  <si>
    <t>48. Государственная таможенная служба при Правительстве Кыргызской Республики</t>
  </si>
  <si>
    <t>Процент исполнения  расходной части бюджета без нарушений</t>
  </si>
  <si>
    <t xml:space="preserve">Управление человеческими ресурсами </t>
  </si>
  <si>
    <t>11 дел</t>
  </si>
  <si>
    <t xml:space="preserve">Правовая поддержка </t>
  </si>
  <si>
    <t xml:space="preserve">Поддержание внешних связей и связей с общественностью </t>
  </si>
  <si>
    <t xml:space="preserve">Доля сотрудников служб обеспечения от общей численности сотрудников центрального аппарата и подведомственных органов </t>
  </si>
  <si>
    <t xml:space="preserve">Обеспечение мониторинга, анализа и стратегического планирования </t>
  </si>
  <si>
    <t xml:space="preserve">Мониторинг, анализ и стратегическое планирование деятельности развития таможенной службы </t>
  </si>
  <si>
    <r>
      <t xml:space="preserve">Фискальная программа 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 xml:space="preserve">Цель программы.Таможенный контроль </t>
    </r>
  </si>
  <si>
    <r>
      <rPr>
        <b/>
        <sz val="11"/>
        <rFont val="Times New Roman"/>
        <family val="1"/>
        <charset val="204"/>
      </rPr>
      <t xml:space="preserve">Индикатор результативности </t>
    </r>
    <r>
      <rPr>
        <sz val="11"/>
        <rFont val="Times New Roman"/>
        <family val="1"/>
        <charset val="204"/>
      </rPr>
      <t>(целевой индикатор по Программе)</t>
    </r>
  </si>
  <si>
    <t xml:space="preserve">Сбор таможенных платежей и осуществление таможенных процедур  </t>
  </si>
  <si>
    <t>Процент пополнения доходной части республиканского бюджета %</t>
  </si>
  <si>
    <t xml:space="preserve">Обустройство, оснащение пунктов пропуска </t>
  </si>
  <si>
    <t>Количество построенных/ реконструированных пунктов пропуска таможенных органов</t>
  </si>
  <si>
    <r>
      <t xml:space="preserve">Предупреждение и пресечение таможенных правонарушений  </t>
    </r>
    <r>
      <rPr>
        <sz val="11"/>
        <rFont val="Times New Roman"/>
        <family val="1"/>
        <charset val="204"/>
      </rPr>
      <t xml:space="preserve"> 
</t>
    </r>
    <r>
      <rPr>
        <i/>
        <sz val="11"/>
        <rFont val="Times New Roman"/>
        <family val="1"/>
        <charset val="204"/>
      </rPr>
      <t xml:space="preserve">Цель программы.Обеспечение соблюдения таможенных процедур </t>
    </r>
  </si>
  <si>
    <t xml:space="preserve">Выявление правонарушений </t>
  </si>
  <si>
    <t xml:space="preserve">Предупреждение и пресечение таможенных правонарушений </t>
  </si>
  <si>
    <t xml:space="preserve">Количество переданных материалов  в компетентные органы </t>
  </si>
  <si>
    <t>Количество дел об административных правонарушениях</t>
  </si>
  <si>
    <t>Итого: всего по Государственной таможенной службе при Правительстве Кыргызской Республики</t>
  </si>
  <si>
    <t xml:space="preserve">49. Центральное правление «Кыргызского общества слепых и глухих» </t>
  </si>
  <si>
    <r>
      <t xml:space="preserve">Обеспечение равных прав и возможностей  в обществе для инвалидов по зрению и слуху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Социальная реабилитация лиц с ограниченными  возможностями здоровья</t>
    </r>
  </si>
  <si>
    <t>Обеспечение книжного фонда для инвалидов по зрению и слуху спецбиблиотеки КОС и КОГ, что позволяет их обучению и трудоустройству</t>
  </si>
  <si>
    <t xml:space="preserve">Общий книжный фонд,                                                                в т.ч.обеспеченность спецбиблиотеки необходимой литературой по системе Брайля рельефно-точечным шрифтом                                                                                                                                                                                    </t>
  </si>
  <si>
    <t>шт.                          шт.</t>
  </si>
  <si>
    <t>22392          10267</t>
  </si>
  <si>
    <t>26400          10200</t>
  </si>
  <si>
    <t>26500           10300</t>
  </si>
  <si>
    <t>27000    10400</t>
  </si>
  <si>
    <t>27500         10500</t>
  </si>
  <si>
    <t xml:space="preserve"> Содержание спецбиблиотеки</t>
  </si>
  <si>
    <t>Создание передвижных спецбиблиотек по Кыргызскому обществу слепых и глухих</t>
  </si>
  <si>
    <t>Посещение цифрового зала</t>
  </si>
  <si>
    <t xml:space="preserve">Использование товаров и услуг </t>
  </si>
  <si>
    <t xml:space="preserve">Оцифровано и озвучено кыргызским синтезатором речи </t>
  </si>
  <si>
    <t>Студия звукозаписи - создание книжного фонда аудио книгами на CD и жестких дисках на кыргызском и русском языках</t>
  </si>
  <si>
    <t xml:space="preserve">шт. </t>
  </si>
  <si>
    <t xml:space="preserve"> Приобретение тифлосурдосредств инвалидам по зрению и слуху для реабилитации  и интеграции в здоровое общество</t>
  </si>
  <si>
    <t>Обеспеченность тифлосурдосредствами  -тифлоплеерами инвалидов по зрению и слуху</t>
  </si>
  <si>
    <r>
      <t xml:space="preserve">Социальная защита  работающих инвалидов по зрению и слуху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Приобщение к труду, создание благоприятных условий</t>
    </r>
  </si>
  <si>
    <t>Занятость инвалидов работой на учебно-производственных предприятиях Кыргызского общества слепых и глухих</t>
  </si>
  <si>
    <t>Рост объемов производства на учебно-производственных предприятиях Кыргызского общества слепых и глухих  к фактически выпущенной в 2017 году</t>
  </si>
  <si>
    <t>тыс. сом</t>
  </si>
  <si>
    <t>Возмещение налогов и сборов , НДС   по Кыргызскому обществу слепых и глухих</t>
  </si>
  <si>
    <t xml:space="preserve">Рост среднемесячной оплаты труда инвалидов  по зрению и слуху к 2017 году </t>
  </si>
  <si>
    <t xml:space="preserve">Получение прибыли от производства на учебно-производственных предприятиях, организациях  Кыргызского общества слепых и глухих </t>
  </si>
  <si>
    <t>Возмещение  отчислений в Социальный фонд от работодателя (17,25%) по Кыргызскому обществу слепых и глухих</t>
  </si>
  <si>
    <t xml:space="preserve">Итого: всего по Центральному правлению «Кыргызского общества слепых и глухих» </t>
  </si>
  <si>
    <t>50. Национальная комиссия по государственному языку  при Президенте Кыргызской Республики</t>
  </si>
  <si>
    <r>
      <t xml:space="preserve">Создание и развитие Национального корпуса кыргызского языка, формирование и развитие научного стиля кыргызского языка. 
</t>
    </r>
    <r>
      <rPr>
        <sz val="11"/>
        <rFont val="Times New Roman"/>
        <family val="1"/>
        <charset val="204"/>
      </rPr>
      <t>Цель программы: стандартизация и совершенствование технологий преподавания языков.</t>
    </r>
  </si>
  <si>
    <t xml:space="preserve">Индикатор результативности (целевой  индикатор по программе) </t>
  </si>
  <si>
    <t>Издание учебно-методической литературы по изучению языка: кыргызский язык для русскоязычных групп, издание на конкурсной основе детской и юношеской  литературы на государственном языке: литература для детей 5-6 лет, книга "Кыргыз эл жомоктору"</t>
  </si>
  <si>
    <t>500 экз.                                                    
500 экз                                                                
500 экз.</t>
  </si>
  <si>
    <t>Издание печатной продукции: Словари народов мира</t>
  </si>
  <si>
    <t>каждая по 500 экз.</t>
  </si>
  <si>
    <t>Издание печатной продукции художественные каталоги</t>
  </si>
  <si>
    <t>Создание специальных программ, социальных и рекламных  роликов, направленных на повышение престижа госязыка</t>
  </si>
  <si>
    <t>согл. программам передач</t>
  </si>
  <si>
    <t>Перевод на государственный язык новых образцов мировой литературы и их издание: произведения лауреатов Нобелевской премии, классическая литература Восточная и Западная, тюркская литература, лингвистический справочник  кыргызского языка</t>
  </si>
  <si>
    <t>500 экз.            
500 экз                                                                
500 экз</t>
  </si>
  <si>
    <t xml:space="preserve">Издание словарей кыргызского языка  </t>
  </si>
  <si>
    <t>каждая по 500 экз</t>
  </si>
  <si>
    <t>Издание переводных словарей</t>
  </si>
  <si>
    <t>Выпуск методического издания по стилистическим нормам и реквизитам деловых бумаг на государственном языке</t>
  </si>
  <si>
    <t>Перевод интернет-порталов и сайтов на государственный язык, применение интернет-ресурсов для обучения языку</t>
  </si>
  <si>
    <t xml:space="preserve">Создание веб-портала для электронной формы  терминов и науки название бюджетной меры </t>
  </si>
  <si>
    <t>1 веб-портал</t>
  </si>
  <si>
    <t>Итого: всего по Нацкомиссии по государственному языку при Президенте Кыргызской Республики</t>
  </si>
  <si>
    <t>51. Государственное агентство по делам местного самоуправления и межэтнических отношений при Правительстве Кыргызской Республики</t>
  </si>
  <si>
    <t xml:space="preserve">Поддержка внешних связей и связей с общественностью.           </t>
  </si>
  <si>
    <t xml:space="preserve">Развитие местного самоуправления, создание и укрепление межэтнического  согласия </t>
  </si>
  <si>
    <t xml:space="preserve">Развитие местного самоуправления в Кыргызской Республике </t>
  </si>
  <si>
    <t>Полнота реализации государственных программ в сфере местного самоуправления</t>
  </si>
  <si>
    <t xml:space="preserve">Межэтнические отношения </t>
  </si>
  <si>
    <t xml:space="preserve">Сокращение конфликтов в сфере межэтнических отношений </t>
  </si>
  <si>
    <t>Итого: всего по  Госагентству по делам местного самоуправления и межэтнических отношений при Правительстве Кыргызской Республики</t>
  </si>
  <si>
    <t>52. Государственное агентство охраны окружающей среды и лесного хозяйства при Правительстве Кыргызской Республики</t>
  </si>
  <si>
    <t>Отношение расходов на заработную плату по  Программе 001 к сумме расходов на заработную плату по Центральному аппарату ГАООСЛХ</t>
  </si>
  <si>
    <t xml:space="preserve">Пропаганда бережного отношения к окружающей среде и рационального природопользования </t>
  </si>
  <si>
    <t xml:space="preserve">Количество мероприятий, акций, публикаций в СМИ по пропаганде бережного отношения к окружающей среде и рационального природопользования </t>
  </si>
  <si>
    <t>40</t>
  </si>
  <si>
    <t xml:space="preserve">Проведение мероприятий за счет средств РФОП </t>
  </si>
  <si>
    <t xml:space="preserve">количество одобренных проектов (с описанием при отчетности) </t>
  </si>
  <si>
    <t xml:space="preserve">Позиция Кыргызской Республики в рейтинге «Индекс экологической эффективности» </t>
  </si>
  <si>
    <t>Координация деятельности по экологической политике</t>
  </si>
  <si>
    <t xml:space="preserve">Количество заседаний межведомственных координационных механизмов в области охраны окружающей среды и изменения климата  </t>
  </si>
  <si>
    <t xml:space="preserve">Количество специализированных разделов по охране окружающей среды и/или снижению негативного воздействия на нее в принятых национальных и секторальных стратегических документах </t>
  </si>
  <si>
    <t>Проведение государственной экологической экспертизы и регулирование природопользования</t>
  </si>
  <si>
    <t>Количество выданных заключений к объектам, поступивших на  государственную экологическую экспертизу</t>
  </si>
  <si>
    <t>по мере поступления</t>
  </si>
  <si>
    <t>Количество положительных заключений, выданных по итогам проведения государственной экологической экспертизы</t>
  </si>
  <si>
    <t>по итогам экспертизы</t>
  </si>
  <si>
    <t xml:space="preserve">Количество отрицательных заключений, выданных по итогам проведения государственной экологической экспертизы </t>
  </si>
  <si>
    <t>Количество рассмотренных заявлений на выбросы загрязняющих атмосферу веществ от стационарных источников</t>
  </si>
  <si>
    <t>Количество рассмотренных заявлений на разрешение на сброс загрязненных сточных вод</t>
  </si>
  <si>
    <t xml:space="preserve">Количество  рассмотренных заявлений на разрешение на озоноразрушающие вещества </t>
  </si>
  <si>
    <t>Количество рассмотренных заявлений на утилизацию, хранение, захоронение, уничтожение отходов токсич.матер.и веществ, в том числе радиоактивных</t>
  </si>
  <si>
    <t>Развитие системы мониторинга за состоянием окружающей среды</t>
  </si>
  <si>
    <t xml:space="preserve">Количество  отобранных проб на качество компонентов окружающей среды  </t>
  </si>
  <si>
    <t xml:space="preserve">Количество  проведенных лабораторных  исследований  </t>
  </si>
  <si>
    <t xml:space="preserve">Количество проведенных комиссионных обследований участков </t>
  </si>
  <si>
    <t>Количество точек наблюдения за загрязнением прибрежных вод на оз. Иссык-Куль</t>
  </si>
  <si>
    <t>Количество индикаторов, отслеживаемых в информационной системе "Кереге"</t>
  </si>
  <si>
    <t xml:space="preserve">Координация деятельности по радиационной, биологической и химической безопасности. </t>
  </si>
  <si>
    <t>Количество сниженных рисков для окружающей среды и здоровья населения от стойких органических загрязнителей  - могильников устаревших пестицидов</t>
  </si>
  <si>
    <t>Количество сниженных рисков для окружающей среды и здоровья населения от стойких органических загрязнителей - складов устаревших пестицидов</t>
  </si>
  <si>
    <t xml:space="preserve">Количество сниженных рисков для окружающей среды и здоровья населения от радиоактивных хвостохранилищ и источников ионизирующего излучения </t>
  </si>
  <si>
    <t xml:space="preserve">Управление отходами производства и потребления. </t>
  </si>
  <si>
    <t>Обеспеченность контейнерами для твердых бытовых отходов, % от потребности</t>
  </si>
  <si>
    <t>Обеспеченность спецтехникой для вывоза твердых бытовых отходов, % от потребности</t>
  </si>
  <si>
    <t>Количество очищенного мусора</t>
  </si>
  <si>
    <t xml:space="preserve">куб.м </t>
  </si>
  <si>
    <t>Обеспеченность пылеулавливателями , % от потребности</t>
  </si>
  <si>
    <t xml:space="preserve">Количество одобренных проектов (с описанием при отчетности) </t>
  </si>
  <si>
    <t xml:space="preserve">Покрытая лесом площадь государственного лесного фонда </t>
  </si>
  <si>
    <t>Охрана лесов от лесонарушений и пожара</t>
  </si>
  <si>
    <t>Площадь государственного лесного фонда, подлежащий к охране от лесонарушений и пожаров</t>
  </si>
  <si>
    <t>Отношение количества вовремя потушенных лесных пожаров к общему количеству пожаров</t>
  </si>
  <si>
    <t>Защита лесов от вредителей и болезней</t>
  </si>
  <si>
    <t xml:space="preserve">Отношение площади обработанных против вредителей лесов к общей площади зараженных вредителями лесов </t>
  </si>
  <si>
    <t>Воспроизводство лесных ресурсов</t>
  </si>
  <si>
    <t>Приживаемость лесных культур, %</t>
  </si>
  <si>
    <t>Площадь ежегодной посадки лесных культур на землях государственного лесного фонда</t>
  </si>
  <si>
    <t>Количество выращенных посадочных материалов</t>
  </si>
  <si>
    <t>Сохранение и повышение продуктивности лесов</t>
  </si>
  <si>
    <t>Площадь, пройденная рубками ухода</t>
  </si>
  <si>
    <t>Организация лесопользования</t>
  </si>
  <si>
    <t>Количество лесопользователей, сдающих государственную статистическую отчетность в НСК</t>
  </si>
  <si>
    <t>тыс. человек</t>
  </si>
  <si>
    <t xml:space="preserve">Численность населения, получающая доход от леса  </t>
  </si>
  <si>
    <t>Координация и организация ведения лесного хозяйства</t>
  </si>
  <si>
    <t xml:space="preserve">Доля сотрудников руководства, бухгалтерии, кадров, ТОП и МОП от общей численности сотрудников Департамента лесных хозяйств </t>
  </si>
  <si>
    <t>Организация ведения лесного хозяйства на региональном уровне</t>
  </si>
  <si>
    <t xml:space="preserve">Доля сотрудников руководства, бухгалтерии,ТОП и МОП лесных хозяйств от общей численности сотрудников лесных хозяйств </t>
  </si>
  <si>
    <t>Охват базами данных по инвентаризации леса, по планированию лесохозяйственных мероприятий, по учету диких животных, по типологии и бонитировке, цифровые модели картографических материалов, лесоустроительные проекты, стратегический план охотхозяйственной деятельности, проекты межхозяйственного охотустройства, %</t>
  </si>
  <si>
    <t>Управление и организация лесоохотустроительных работ</t>
  </si>
  <si>
    <t>Доля сотрудников руководства, бухгалтерии, кадров, ТОП и МОП от общей численности сотрудников ГУ "Лесохотустройство"</t>
  </si>
  <si>
    <t>Проведение инвентаризации лесов</t>
  </si>
  <si>
    <t>Площадь, пройденная Национальной инвентаризацией лесов</t>
  </si>
  <si>
    <t>Проведение лесоустройства</t>
  </si>
  <si>
    <t>Площадь, пройденная лесоустройством</t>
  </si>
  <si>
    <t>Оценка выделов</t>
  </si>
  <si>
    <t>Количество пробных площадей инвентаризации лесов</t>
  </si>
  <si>
    <t>Лесоустроительные проекты</t>
  </si>
  <si>
    <t>Проведение охотустройства</t>
  </si>
  <si>
    <t>Площадь, пройденная межхозяйственным охотустройством</t>
  </si>
  <si>
    <t>Наблюдательные пункты учета диких животных</t>
  </si>
  <si>
    <t>Длина пройденных маршрутов по учету диких животных</t>
  </si>
  <si>
    <t>км.</t>
  </si>
  <si>
    <t xml:space="preserve">Проекты межхозяйственного охотустройства </t>
  </si>
  <si>
    <t xml:space="preserve"> Проведение камеральных работ</t>
  </si>
  <si>
    <t>Камеральные работы (цифрование)</t>
  </si>
  <si>
    <t xml:space="preserve">Ввод карточки, оценка выделов и инвентаризация лесов </t>
  </si>
  <si>
    <t>Выпуск таксацинные описание</t>
  </si>
  <si>
    <t>Выпуск картографических материалов</t>
  </si>
  <si>
    <r>
      <t xml:space="preserve">Сохранение биоразнообразия  
</t>
    </r>
    <r>
      <rPr>
        <i/>
        <sz val="11"/>
        <rFont val="Times New Roman"/>
        <family val="1"/>
        <charset val="204"/>
      </rPr>
      <t>Цель программы: Сохранение и улучшение биоразнообразия, в т.ч. восстановление численности популяций редких и исчезающих видов животного и растительного мира; устойчивое использование биоразнообразия Кыргызской Республики.</t>
    </r>
  </si>
  <si>
    <t xml:space="preserve">Число охраняемых видов зверей (позвоночных и беспозвоночных), занесенных в Красную книгу </t>
  </si>
  <si>
    <t xml:space="preserve">Число охраняемых видов птиц, занесенных в Красную книгу </t>
  </si>
  <si>
    <t>Число охраняемых видов растений и грибов, занесенных в Красную книгу</t>
  </si>
  <si>
    <t xml:space="preserve">Координация деятельности ООПТ и пропаганда вопросов по сохранению экосистем  </t>
  </si>
  <si>
    <t xml:space="preserve">Количество ООПТ, на которых внедрена международная оценка эффективности управления </t>
  </si>
  <si>
    <t xml:space="preserve">Доля особо охраняемых природных территорий к общей площади страны </t>
  </si>
  <si>
    <t xml:space="preserve">%  </t>
  </si>
  <si>
    <t>Площадь природных национальных парков и заповедников</t>
  </si>
  <si>
    <t>Количество разработанных экологических троп в ООПТ</t>
  </si>
  <si>
    <t>Количество информационных центров в ООПТ</t>
  </si>
  <si>
    <t xml:space="preserve">Количество проведенных мероприятий по пропаганде вопросов сохранения биоразнообразия </t>
  </si>
  <si>
    <t xml:space="preserve">Мероприятия по сохранению биоразнообразия на территории ООПТ  </t>
  </si>
  <si>
    <t>Количество устроенных солонцов для охотничьих животных в ООПТ</t>
  </si>
  <si>
    <t>Количество очищенных родников на территории охотничьих хозяйств в ООПТ</t>
  </si>
  <si>
    <t>Количество пожаров</t>
  </si>
  <si>
    <t xml:space="preserve">Отношение площади деградированных экосистем к общей площади ООПТ (заповедники и нацпарки) </t>
  </si>
  <si>
    <t>Отношение раскрытых нарушений на территории ООПТ (браконьерство, лесонарушения, незаконная пастьба скота, нарушения режима ООПТ и др.) к количеству случаев</t>
  </si>
  <si>
    <t xml:space="preserve">Количество проведенных научных работ  </t>
  </si>
  <si>
    <t>Ведение мониторинга, учёта и кадастра объектов животного мира и национальной базы данных диких животных</t>
  </si>
  <si>
    <t xml:space="preserve">Количество  охотничьих видов/подвидов диких животных, охватываемых учетом  </t>
  </si>
  <si>
    <t xml:space="preserve">Количество  видов/подвидов диких животных, занесенных в Красную книгу КР, охватываемых учетом  </t>
  </si>
  <si>
    <t>Количество мониторинговых площадок</t>
  </si>
  <si>
    <t xml:space="preserve">Количество  видов/подвидов диких животных, сведения о которых занесены в базу данных диких животных Кыргызстана  </t>
  </si>
  <si>
    <t>Поддержание, сохранение и воспроизводство объектов животного мира</t>
  </si>
  <si>
    <t xml:space="preserve">Количество добытых "вредных" животных </t>
  </si>
  <si>
    <t xml:space="preserve">Количество устроенных солонцов для охотничьих животных </t>
  </si>
  <si>
    <t xml:space="preserve">Количество очищенных родников на территории охотничьих хозяйств </t>
  </si>
  <si>
    <t xml:space="preserve">Количество мероприятий по выявлению и предотвращению распространения заболеваний диких животных </t>
  </si>
  <si>
    <t>Охрана природных ресурсов животного и растительного мира и среды их обитания/произрастания, координация и контроль использования</t>
  </si>
  <si>
    <t>Количество установленных информационных  аншлагов и панно за год/всего</t>
  </si>
  <si>
    <t>17/34</t>
  </si>
  <si>
    <t>18/52</t>
  </si>
  <si>
    <t>18/70</t>
  </si>
  <si>
    <t>20/90</t>
  </si>
  <si>
    <t>Отношение раскрытых нарушений правил охоты и случаев браконьерства к количеству случаев</t>
  </si>
  <si>
    <t>Отношение  взысканных сумм к предъявленным на возмещение причиненного ущерба</t>
  </si>
  <si>
    <t>Количество рассмотренных заявок на предоставление права ведения охотхозяйственной деятельности</t>
  </si>
  <si>
    <t>Количество местных сообществ, вовлеченных в совместную охрану ресурсов животного мира</t>
  </si>
  <si>
    <t>Координация деятельности охотпользователей</t>
  </si>
  <si>
    <t>кол-во охотпользователей</t>
  </si>
  <si>
    <t>Количество выданных государственных охотничьих удостоверений</t>
  </si>
  <si>
    <t>Итого: всего по Госагентству охраны окружающей среды и лесного хозяйства при Правительстве Кыргызской Республики</t>
  </si>
  <si>
    <t>53. Государственная регистрационная служба при Правительстве Кыргызской Республики</t>
  </si>
  <si>
    <t>ед/ед.</t>
  </si>
  <si>
    <t>Реализация Стратегии развития ГРС при ПКР на 2014-2017 годы</t>
  </si>
  <si>
    <t>Регистрация населения и актов гражданского состояния</t>
  </si>
  <si>
    <t xml:space="preserve">Сокращение количества жалоб от населения </t>
  </si>
  <si>
    <t>Регистрация населения</t>
  </si>
  <si>
    <t>Количество персонифицированных паспортов</t>
  </si>
  <si>
    <t xml:space="preserve">Регистрация  актов гражданского состояния </t>
  </si>
  <si>
    <t>Количество зарегистрированных актов гражданского состояния</t>
  </si>
  <si>
    <t>Регистрация транспортных средств и водительского состава</t>
  </si>
  <si>
    <t>Индикатор результативности</t>
  </si>
  <si>
    <t>Регистрация транспортных средств</t>
  </si>
  <si>
    <t>Зарегистрировано транспортных средств</t>
  </si>
  <si>
    <t>Регистрация водительского состава</t>
  </si>
  <si>
    <t>Выдано водительских удостоверений</t>
  </si>
  <si>
    <t>Регистрация прав на недвижимое имущество</t>
  </si>
  <si>
    <t xml:space="preserve">Планирование, управление и администрирование                                                                                                                              </t>
  </si>
  <si>
    <t>Сокращение количества жалоб от населения</t>
  </si>
  <si>
    <t>Обеспечение сохранности документов архивного фонда КР</t>
  </si>
  <si>
    <t>Формирование, комплектование, сохранение и использование Национального архивного фонда КР в интересах государства и общества</t>
  </si>
  <si>
    <t>ед. хранения</t>
  </si>
  <si>
    <t>Повышение качества и безопасности при хранении архивных документов</t>
  </si>
  <si>
    <t>Позволит обеспечить нормативы и стандарты физического сохранения архивных документов на постоянное хранение</t>
  </si>
  <si>
    <t>кол. коробок</t>
  </si>
  <si>
    <t>Оцифровка архивных документов</t>
  </si>
  <si>
    <t>Создание страхового фонда архивных документов (цифровая копия архивных документов); создание фонда пользования архивных документов в целях неиспользования оригиналов документов, оперативный поиск архивных документов</t>
  </si>
  <si>
    <t>Программа по выявлению и сбору документов и материалов о кыргызах и Кыргызстане в архивах, музеях и библиотеках зарубежных стран на 2015-2025 годы</t>
  </si>
  <si>
    <t>Пополнение архивного фонда ценными историческими документами</t>
  </si>
  <si>
    <t>листы/ед. хранения</t>
  </si>
  <si>
    <t>1424/585</t>
  </si>
  <si>
    <t>1424/586</t>
  </si>
  <si>
    <t>1424/587</t>
  </si>
  <si>
    <t>1424/588</t>
  </si>
  <si>
    <t>1424/589</t>
  </si>
  <si>
    <t>Исследование документальной истории кыргызов и Кыргызстана в зарубежных архивах</t>
  </si>
  <si>
    <t>Расширение научно-исследовательской работы</t>
  </si>
  <si>
    <t>кол. дней</t>
  </si>
  <si>
    <t>Копирование и доставка в Кыргызскую Республику документов, имеющих историческое наследие</t>
  </si>
  <si>
    <t>Формирование архивного фонда на осн. документы, полученные из зарубежных архивов</t>
  </si>
  <si>
    <t>Итого: всего по Государственной регистрационной службе при Правительстве Кыргызской Республики</t>
  </si>
  <si>
    <t>54. Государственная инспекция по экологической и технической безопасности при Правительстве Кыргызской Республики</t>
  </si>
  <si>
    <t xml:space="preserve">Доля выигранных судебных процессов по трудовым спорам в системе ГИЭТБ </t>
  </si>
  <si>
    <t xml:space="preserve">Доля инспекторов, прошедших в течение последних 3 лет программы переобучения или повышения квалификации </t>
  </si>
  <si>
    <t>82/369</t>
  </si>
  <si>
    <t xml:space="preserve">Количество показанных видеороликов по работе ГИЭТБ </t>
  </si>
  <si>
    <t>Доля профилактических мероприятий в общем объеме контрольно-надзорной деятельности</t>
  </si>
  <si>
    <t xml:space="preserve">Количество проведенных семинаров, конференций, разъяснительной работы в средствах массовой информации, горячих линий и подобных мероприятий </t>
  </si>
  <si>
    <t xml:space="preserve">Количество привлеченных грантов </t>
  </si>
  <si>
    <t xml:space="preserve">Доля сотрудников служб обеспечения от общей численности сотрудников центрального аппарата и региональных управлений </t>
  </si>
  <si>
    <t>Составление отчета, выявление проблемных сторон и пути их решения на основе стратегии развития ГИЭТБ (ежеквартально)</t>
  </si>
  <si>
    <t>квартал</t>
  </si>
  <si>
    <r>
      <t xml:space="preserve">Мониторинг и контроль экологической безопасности                                   
</t>
    </r>
    <r>
      <rPr>
        <i/>
        <sz val="11"/>
        <rFont val="Times New Roman"/>
        <family val="1"/>
        <charset val="204"/>
      </rPr>
      <t xml:space="preserve">Цель программы: Высший уровень экологической безопасности в Кыргызской Республике </t>
    </r>
  </si>
  <si>
    <t xml:space="preserve">Позиция Кыргызской Республики в рейтинге Индекса экологической эффективности </t>
  </si>
  <si>
    <t>Государственный контроль охраны окружающей среды, рационального использования природных ресурсов, использования и охраны биоресурсов, химической безопасности</t>
  </si>
  <si>
    <t xml:space="preserve">Количество выявленных правонарушений, связанных с охраной биоразнообразия </t>
  </si>
  <si>
    <t xml:space="preserve">Количество несанкционированных свалок </t>
  </si>
  <si>
    <t>Общее количество проверок</t>
  </si>
  <si>
    <t xml:space="preserve">Охват объектов,  подлежащих контролю и надзору, проверками  </t>
  </si>
  <si>
    <t>Количество выявленных при проведении проверок нарушений, связанных с неисполнением предписаний</t>
  </si>
  <si>
    <t xml:space="preserve">Осуществление надзора и контроля за использованием водных ресурсов и объектов </t>
  </si>
  <si>
    <t>Количество выявленных нарушений в процессе контроля и надзора за водными ресурсами и объектами</t>
  </si>
  <si>
    <t xml:space="preserve">Осуществление надзора, контроля и охрана земель </t>
  </si>
  <si>
    <t xml:space="preserve">Площадь земель, выведенных из сельхозоборота по причине деградации </t>
  </si>
  <si>
    <t>Доля выявленных при проведении проверок нарушений, связанных с неисполнением предписаний</t>
  </si>
  <si>
    <t xml:space="preserve">Осуществление надзора и контроля за радиоактивными и ядерными материалами и объектами </t>
  </si>
  <si>
    <r>
      <t xml:space="preserve">Мониторинг и контроль технической безопасности                                     
</t>
    </r>
    <r>
      <rPr>
        <i/>
        <sz val="11"/>
        <rFont val="Times New Roman"/>
        <family val="1"/>
        <charset val="204"/>
      </rPr>
      <t>Цель программы: Высший уровень технической безопасности в Кыргызской Республике</t>
    </r>
  </si>
  <si>
    <t xml:space="preserve">Общее количество смертельных случаев по контролируемым видам рисков </t>
  </si>
  <si>
    <t xml:space="preserve">Общее количество пострадавших и травмированных случаев по контролируемым видам рисков </t>
  </si>
  <si>
    <t>Охрана труда и трудовых отношений</t>
  </si>
  <si>
    <t>Количество расследованных несчастных случаев, произошедших  на производстве</t>
  </si>
  <si>
    <t>  Обеспечение промышленной безопасности</t>
  </si>
  <si>
    <t>Количество несчастных случаев, произошедших  на промышленных объектах</t>
  </si>
  <si>
    <t>Количество нарушений, выявленных на промышленных объектах</t>
  </si>
  <si>
    <t xml:space="preserve">Осуществление горного надзора </t>
  </si>
  <si>
    <t>Количество несчастных случаев, связанных с нарушениями в сфере горного надзора</t>
  </si>
  <si>
    <t xml:space="preserve">Количество нарушений, связанных с нарушениями правил эксплуатации производственных объектов </t>
  </si>
  <si>
    <t>Рациональное использование недр</t>
  </si>
  <si>
    <t xml:space="preserve">Количество отклонений проводимых работ от проекта  </t>
  </si>
  <si>
    <t xml:space="preserve">Количество инцидентов, связанных с нарушениями лицензионных соглашений </t>
  </si>
  <si>
    <t xml:space="preserve">Обеспечение качества и надежности строящихся и реконструируемых зданий и сооружений </t>
  </si>
  <si>
    <t>Доля выявленных и устраненных нарушений при проведении проверок</t>
  </si>
  <si>
    <t>Количество инцидентов, связанных с нарушениями технологий и норм</t>
  </si>
  <si>
    <t>Расследование технологических нарушений в энергосистеме и несчастных случаев электротравматизма</t>
  </si>
  <si>
    <t xml:space="preserve">Количество инцидентов, связанных с нарушениями технологий и норм </t>
  </si>
  <si>
    <t xml:space="preserve">Количество нарушений, выявленных уже в процессе эксплуатации энергосистем </t>
  </si>
  <si>
    <t>Осуществление надзора и контроля за исполнением требований, норм и правил пожарной безопасности</t>
  </si>
  <si>
    <t>Количество инцидентов, связанных с нарушениями технологий и норм (снижение)</t>
  </si>
  <si>
    <t>Осуществление контроля и надзора в сфере транспортной безопасности</t>
  </si>
  <si>
    <t xml:space="preserve">Защита интересов государства и граждан от последствий недостоверных результатов измерений </t>
  </si>
  <si>
    <t xml:space="preserve">Количество нарушений требований Закона КР "ОЕИ"
</t>
  </si>
  <si>
    <t>Итого: всего по Госинспекции по экологической и технической безопасности при Правительстве Кыргызской Республики</t>
  </si>
  <si>
    <t>55. Государственный комитет промышленности, энергетики и недропользования Кыргызской Республики</t>
  </si>
  <si>
    <r>
      <rPr>
        <b/>
        <sz val="11"/>
        <rFont val="Times New Roman"/>
        <family val="1"/>
        <charset val="204"/>
      </rPr>
      <t>Планирование, управление и администрирование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</si>
  <si>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Отношение расходов на заработную плату по Программе 001 к сумме расходов на заработную плату по агентству</t>
  </si>
  <si>
    <t>48,4</t>
  </si>
  <si>
    <t>Отношение выигранных судебных дел к  количеству завершенных дел</t>
  </si>
  <si>
    <t>Поддержание  внешних связей и связей с общественностью</t>
  </si>
  <si>
    <t>Исполнение планов по демонтажу системной коррупции</t>
  </si>
  <si>
    <t>Доля проведенных аудиторских проверок к утвержденному Плану проверок</t>
  </si>
  <si>
    <r>
      <rPr>
        <b/>
        <sz val="11"/>
        <rFont val="Times New Roman"/>
        <family val="1"/>
        <charset val="204"/>
      </rPr>
      <t xml:space="preserve">Управление природными ресурсами                      </t>
    </r>
    <r>
      <rPr>
        <i/>
        <sz val="11"/>
        <rFont val="Times New Roman"/>
        <family val="1"/>
        <charset val="204"/>
      </rPr>
      <t>Цель программы:  Благоприятные условия для развития горнодобывающей промышленности и рациональное использование недр</t>
    </r>
  </si>
  <si>
    <t>Добыча полезных ископаемых, млн.сомов</t>
  </si>
  <si>
    <t>млн. сом</t>
  </si>
  <si>
    <t>индекс физического объема в % к предыдущему году, темп роста</t>
  </si>
  <si>
    <t>Совершенствование законодательного регулирования в сфере недропользования</t>
  </si>
  <si>
    <t>Количество разработанных нормативно-правовых актов в области недропользования</t>
  </si>
  <si>
    <t xml:space="preserve"> Лицензирование недропользования, совершенствование директивных документов по изучению и использованию недр</t>
  </si>
  <si>
    <t>Увеличение соотношения суммы выданных лицензий и мотивированных отказов к общему числу поступивших заявлений на получение лицензии</t>
  </si>
  <si>
    <t xml:space="preserve">Защита экономических интересов государства при пользовании недрами. </t>
  </si>
  <si>
    <t>Количество рассмотренных Государственной комиссией по запасам КР геологических  отчетов и проектов, с подсчетом запасов полезных ископаемых</t>
  </si>
  <si>
    <t>штук</t>
  </si>
  <si>
    <t>Предоставление геологической информации (отчетов) недропользователям</t>
  </si>
  <si>
    <t>Количество  предоставленных  отчетов  заявителям</t>
  </si>
  <si>
    <t xml:space="preserve"> Экспертиза промышленной безопасности на строительство и эксплуатацию опасных производственных объектов</t>
  </si>
  <si>
    <t>Количество проведенных экспертиз по вопросам промышленной безопасности на строительство и эксплуатацию опасных производственных объектов</t>
  </si>
  <si>
    <t xml:space="preserve">Рациональное использование недр </t>
  </si>
  <si>
    <t xml:space="preserve">Количество экспертиз проектов в части охраны недр (новый показатель) </t>
  </si>
  <si>
    <r>
      <t xml:space="preserve">Геологические исследования недр, контроль  состояния подземных вод и опасных экзогенных геологических процессов                                             </t>
    </r>
    <r>
      <rPr>
        <i/>
        <sz val="11"/>
        <rFont val="Times New Roman"/>
        <family val="1"/>
        <charset val="204"/>
      </rPr>
      <t>Цель программы: Проведение поисково-оценочных работ, направленных на выявление месторождений полезных ископаемых с оценкой их прогнозных ресурсов. Системное изучение геологической среды в части наблюдения за режимом и качеством подземных вод и опасных экзогенных геологических процессов.</t>
    </r>
  </si>
  <si>
    <t xml:space="preserve">Цель программы: проведение поисково-оценочных работ, направленных на выявление месторождений полезных ископаемых с оценкой их прогнозных ресурсов. Системное изучение геологической среды в части наблюдений за режимом и качеством подземных вод и опасных экзогенных геологических процессов. </t>
  </si>
  <si>
    <t>Поиски и оценка месторождений полезных ископаемых</t>
  </si>
  <si>
    <t>Площадь проведения поисков</t>
  </si>
  <si>
    <t>кв. км</t>
  </si>
  <si>
    <t>Обеспечение доступности геологической информации, анализ и обобщение геологических материалов</t>
  </si>
  <si>
    <t>Перенос материалов на цифровые носители</t>
  </si>
  <si>
    <t>количество отсканированных  листов</t>
  </si>
  <si>
    <t>Составление справок и определение координат месторождений (показатель)</t>
  </si>
  <si>
    <t xml:space="preserve">кол-во справок </t>
  </si>
  <si>
    <t xml:space="preserve">кол-во месторождений </t>
  </si>
  <si>
    <t xml:space="preserve">Составление электронных вариантов карт по строительным камням (новый показатель) </t>
  </si>
  <si>
    <t xml:space="preserve">кол-во  карт </t>
  </si>
  <si>
    <t xml:space="preserve">Составление карт полезных ископаемых в электронном варианте (новый показатель) </t>
  </si>
  <si>
    <t>кол-во планшетовв м-ба1:200000</t>
  </si>
  <si>
    <t>1 (S-640kм^2)</t>
  </si>
  <si>
    <t xml:space="preserve">Создание базы данных по всем видам геолого-геохимических поисков (новый показатель) </t>
  </si>
  <si>
    <t>тыс.проб.</t>
  </si>
  <si>
    <t xml:space="preserve">Составление карт рудной специализации в электронном варианте, в м-бе 1:200000; 1:500000 (новый показатель) </t>
  </si>
  <si>
    <t xml:space="preserve">кол-во карт </t>
  </si>
  <si>
    <t>Мониторинг геологической среды в части наблюдений за режимом и качеством подземных  вод и развитием опасных экзогенных геологических процессов</t>
  </si>
  <si>
    <t>Количество  обследованных объектов водопользования за состоянием качества подземных вод</t>
  </si>
  <si>
    <t>Количество обследованных участков проявления опасных геологических процессов</t>
  </si>
  <si>
    <t>участок</t>
  </si>
  <si>
    <r>
      <rPr>
        <b/>
        <sz val="11"/>
        <rFont val="Times New Roman"/>
        <family val="1"/>
        <charset val="204"/>
      </rPr>
      <t>Обеспечение территории КР и ее регионов в топографо-геодезическом и картографическом отношении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 xml:space="preserve">Цель программы: Современная картографо-геодезическая основа территории КР для обеспечения нужд силовых структур, хозяйственной деятельности и прогноза развития минерально-сырьевой базы  </t>
    </r>
  </si>
  <si>
    <t xml:space="preserve">Цель программы: Современная картографогеодезическая основа территории КР для обеспечения нужд силовых структур, хозяйственной деятельности и прогноза развития минерально-сырьевой базы </t>
  </si>
  <si>
    <t>Реконструкция и поддержание государственной геодезической сети</t>
  </si>
  <si>
    <t>Пункты GPS-сети второго порядка и исходные пункты нулевого и первого порядков повышенной точности</t>
  </si>
  <si>
    <t>пункт</t>
  </si>
  <si>
    <t>Каталоги координат и высот геодезических пунктов в системах координат СК-42, СК-95 и Kyrg-06 на листы карты масштаба 1:200 000</t>
  </si>
  <si>
    <t>каталог</t>
  </si>
  <si>
    <t xml:space="preserve">Обновление и издание топографических карт масштабного ряда </t>
  </si>
  <si>
    <t>Топографические карты масштабного ряда при обновлении</t>
  </si>
  <si>
    <t>лист</t>
  </si>
  <si>
    <t>Топографические карты масштабного ряда при подготовке карт к изданию</t>
  </si>
  <si>
    <r>
      <rPr>
        <b/>
        <sz val="11"/>
        <rFont val="Times New Roman"/>
        <family val="1"/>
        <charset val="204"/>
      </rPr>
      <t>Делимитация и демаркация государственной границы Кыргызской Республики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 xml:space="preserve">Цель программы: Современная картографическая и геодезическая основа территории КР для обеспечения геополитических интересов страны </t>
    </r>
  </si>
  <si>
    <t xml:space="preserve">Цель программы: Современная картографическая и геодезическая основа территории  КР для обеспечения геополитеческих интересов страны </t>
  </si>
  <si>
    <t>Рекогносцировка и установка пограничных знаков; спутниковые измерения на пограничных знаках и исходных пунктах</t>
  </si>
  <si>
    <t>Пограничные знаки по линии государственной границы Кыргызской Республики</t>
  </si>
  <si>
    <t>знак</t>
  </si>
  <si>
    <t>Площадь выполнения планово-высотной привязки космических снимков</t>
  </si>
  <si>
    <t>Топографические карты необходимого масштаба при обновлении на приграничные территории</t>
  </si>
  <si>
    <t>Цифровые делимитационные и демаркационные карты необходимого масштаба</t>
  </si>
  <si>
    <t xml:space="preserve">Цель программы: поддержание высокого уровня научно-технологического потенциала, направленного на эффективное использование энергетических ресурсов страны. </t>
  </si>
  <si>
    <t>Повышение надежности и эффективности функционирования технических средств топливно- энергетического комплекса</t>
  </si>
  <si>
    <t>Разработка практических рекомендаций по повышению надежности и эффективности функционирования электротехнического оборудования</t>
  </si>
  <si>
    <t>кол. отчет</t>
  </si>
  <si>
    <t>1 отчет (3док.)</t>
  </si>
  <si>
    <t xml:space="preserve">1 отчет </t>
  </si>
  <si>
    <t>Проведение энергетического обследования эффективности использования электроэнергии в бюджетных организациях</t>
  </si>
  <si>
    <t xml:space="preserve">Количество обследованных бюджетных организаций и мониторинг энергетических паспортов и технических паспортов котельных в обследованных бюджетных организациях </t>
  </si>
  <si>
    <t>объект шт.</t>
  </si>
  <si>
    <t xml:space="preserve">150 объект </t>
  </si>
  <si>
    <t xml:space="preserve">(150 обект)1 отчет </t>
  </si>
  <si>
    <t xml:space="preserve">150 объект , 1 отчет </t>
  </si>
  <si>
    <t>150 объект, 1отчет</t>
  </si>
  <si>
    <t xml:space="preserve">150 объект, 1отчет </t>
  </si>
  <si>
    <t>Проведение комплекса исследований по развитию инновационных технологий по использованию возобновляемых источников энергии.</t>
  </si>
  <si>
    <t>Разработка методов расчета и проектирования технических средств работающих на ВИЭ</t>
  </si>
  <si>
    <t>кол отчетов</t>
  </si>
  <si>
    <t xml:space="preserve">1 отчет при финансировании </t>
  </si>
  <si>
    <t>Технико-экономическое исследование по обеспечению эффективности развития отраслей топливно-энергетического комплекса.</t>
  </si>
  <si>
    <t>Формирование базы данных НТД и НПА топливно-энергетического комплекса.</t>
  </si>
  <si>
    <t xml:space="preserve">1отчет при финансировании </t>
  </si>
  <si>
    <r>
      <rPr>
        <b/>
        <sz val="11"/>
        <rFont val="Times New Roman"/>
        <family val="1"/>
        <charset val="204"/>
      </rPr>
      <t>Стабильное развитие энергетического сектора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Обеспечение электроэнергией потребностей экономики населения, достижения энергетической независимости страны и наращивания потенциала энергетических мощностей.</t>
    </r>
  </si>
  <si>
    <t xml:space="preserve">Цель программы: Реализация  государственной политики в энергетической сфере </t>
  </si>
  <si>
    <t>Совершенствование законодательного регулирования в сфере электроэнергетики</t>
  </si>
  <si>
    <t xml:space="preserve">Количество разработанных нормативно-провавых актов в области энергетики (новый показатель) </t>
  </si>
  <si>
    <t>Реабилитация сектора энергетики</t>
  </si>
  <si>
    <t>Реконструкция ГЭС</t>
  </si>
  <si>
    <t>Трансформатор 2 штук КЛ,500кВ- 2,4км</t>
  </si>
  <si>
    <t>Повышение эффективности электрораспредительных сетей</t>
  </si>
  <si>
    <t>Сокращение потерь ОАО "Северэлектро"</t>
  </si>
  <si>
    <t xml:space="preserve">Реконструкция Атбашинской ГЭС </t>
  </si>
  <si>
    <t>Генератор 4 шт</t>
  </si>
  <si>
    <t>Модернизация ТЭЦ города Бишкек</t>
  </si>
  <si>
    <t>Реконструкция ТЭЦ</t>
  </si>
  <si>
    <t>энергоблок 2 шт.</t>
  </si>
  <si>
    <t xml:space="preserve"> CASA -1000</t>
  </si>
  <si>
    <t xml:space="preserve">Начало строительства ЛЭП 500 кВ  </t>
  </si>
  <si>
    <t>ПИР-1шт</t>
  </si>
  <si>
    <t xml:space="preserve"> Повышение подотчетности и надежности системы электроснабжения</t>
  </si>
  <si>
    <t>Строительство подстанций и установка прибора учета</t>
  </si>
  <si>
    <t xml:space="preserve">ПС-3шт </t>
  </si>
  <si>
    <t>эл. Счетчики-37000 шт</t>
  </si>
  <si>
    <t xml:space="preserve">Улучшение электроснабжения Аркинского массива Лейлекского района и Баткенской области </t>
  </si>
  <si>
    <t>Строительство ЛЭП 110 кВ и ПС 110 кВ, реконструкция ПС 110 кВ</t>
  </si>
  <si>
    <t xml:space="preserve">ЛЭП- 51км, ПС-2 шт </t>
  </si>
  <si>
    <t>Ввод в эксплуатацию второго гидроагрегата Камбаратинской ГЭС-2</t>
  </si>
  <si>
    <t>Установка гидроагрегата мощностью 120 МВт</t>
  </si>
  <si>
    <t>агрегат-1шт</t>
  </si>
  <si>
    <t>Реабилитация Токтогульской ГЭС  Фаза 2 и фаза 3</t>
  </si>
  <si>
    <t>Замена 2-х генераторов</t>
  </si>
  <si>
    <t>Генератор 1штук</t>
  </si>
  <si>
    <t xml:space="preserve"> Генератор1 штук</t>
  </si>
  <si>
    <t>Реабилитация Уч-курганский ГЭС АБР (план)</t>
  </si>
  <si>
    <t>Замена -1 генератора</t>
  </si>
  <si>
    <t>1-генератор</t>
  </si>
  <si>
    <t>Улучшение электроснабжения города Бишкек и города Ош.</t>
  </si>
  <si>
    <t>Реконструкция ПС 220 кВ и строительство ВЛ 220 кВ</t>
  </si>
  <si>
    <t>ПС -4 шт. и ВЛ 19,8км</t>
  </si>
  <si>
    <t>Развитие сектора энергетики</t>
  </si>
  <si>
    <t>Внедрение систем АСКУЭ и SKADA на ПС, замена выключателей</t>
  </si>
  <si>
    <t>Выключатели 50 шт</t>
  </si>
  <si>
    <t>Проект улучшения теплоснабжения</t>
  </si>
  <si>
    <t>Модернизация индивидуальных общедомовых тепловых пунктов, замена и реконструкция магистральной тепловой сети «Восток».</t>
  </si>
  <si>
    <t>Модернизация индивидуальных тепловых пунктов(ИТП):</t>
  </si>
  <si>
    <t xml:space="preserve">231 новых ИТП 1700 действ. </t>
  </si>
  <si>
    <t xml:space="preserve"> Установка приборов учета тепловой энергии и водомеров горячей воды</t>
  </si>
  <si>
    <t xml:space="preserve"> 2000 приборов учета  и 2000 водомеров </t>
  </si>
  <si>
    <t>«Реконструкция и строительство насосных станций»</t>
  </si>
  <si>
    <t>Модернизация системы теплоснабжения г. Бишкек</t>
  </si>
  <si>
    <t>реконструкция насосных станций</t>
  </si>
  <si>
    <t> установка на 13 насосных станциях 36 насосов с регулируемым числом оборотов</t>
  </si>
  <si>
    <t>модернизация и расширение существующей системы СКАДА</t>
  </si>
  <si>
    <t xml:space="preserve"> на 14 насосных станциях и 2 пунктах съема показаний и оснащение дополнительно 5 насосных станций </t>
  </si>
  <si>
    <t xml:space="preserve">Реабилитация ОАО «Востокэлектро» </t>
  </si>
  <si>
    <t>Сокращение потерь ОАО "Востокэлектро". Внедрение систем АСКУЭ</t>
  </si>
  <si>
    <t xml:space="preserve">АСКУЭ тыс. штук , СИП кабели </t>
  </si>
  <si>
    <t xml:space="preserve">32 тыс. штук, СИП кабель -258 км </t>
  </si>
  <si>
    <t xml:space="preserve">Реабилитация ОАО «Ошэлектро» </t>
  </si>
  <si>
    <t>Сокращение потерь ОАО "Ошэлектро". Внедрение систем АСКУЭ</t>
  </si>
  <si>
    <t>АСКУЭ тыс. штук, СИП кабуль</t>
  </si>
  <si>
    <t xml:space="preserve">22 тыс. шт., СИП кабель - 335 км </t>
  </si>
  <si>
    <r>
      <rPr>
        <b/>
        <sz val="11"/>
        <rFont val="Times New Roman"/>
        <family val="1"/>
        <charset val="204"/>
      </rPr>
      <t>Создание условий для развития обрабатывающей промышленности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Стабильное и устойчивое развитие промышленного сектора</t>
    </r>
  </si>
  <si>
    <t xml:space="preserve">Цель программы: Стабильное и устойчивое развитие промышленного сектора </t>
  </si>
  <si>
    <t xml:space="preserve">Совершенствование законодательного регулирования в сфере промышленности </t>
  </si>
  <si>
    <t xml:space="preserve">Количество разработанных нормативно-правовых актов в сфере промышленности (новый показатель) </t>
  </si>
  <si>
    <t xml:space="preserve">Мониторинг, анализ и реализация политики развития курируемых отраслей обрабатывающей промышленности
</t>
  </si>
  <si>
    <t>Темп роста призводства обрабатывающей промышленности</t>
  </si>
  <si>
    <t>Темп роста производства основных металлов</t>
  </si>
  <si>
    <t>Темп роста строительных материалов</t>
  </si>
  <si>
    <t>Темп роста производства нефтеперерабатывающей отрасли</t>
  </si>
  <si>
    <t>Мониторинг, анализ и реализация политики развития легкой промышленности и прочих отраслей</t>
  </si>
  <si>
    <t>Темп роста производства  легкой промышленности.</t>
  </si>
  <si>
    <t>Итого: всего по Госкомитету промышленности, энергетики и недропользования Кыргызской Республики</t>
  </si>
  <si>
    <t>Примечание: бюджет в программном формате по Государственный комитету промышленности, энергетики и недропользования Кыргызской Республики не включают расходы на ГП "Кыргызтеплоэнерго" в сумме 1 245 824,4 тыс. сом.</t>
  </si>
  <si>
    <t>Государственное предприятие "Кыргызтеплоэнерго" при  Государственном комитете промышленности, энергетики и недропользования КР</t>
  </si>
  <si>
    <t xml:space="preserve">Обеспечение населения тепловой энергией </t>
  </si>
  <si>
    <t>Социально значимый тариф по населению</t>
  </si>
  <si>
    <t>сом/Гкал</t>
  </si>
  <si>
    <t>Централизованная заготовка топлива в части выработки теплоэнергии населению  и покрытие других затрат</t>
  </si>
  <si>
    <t>Количество заготовленного угля</t>
  </si>
  <si>
    <t>70,6/56,5</t>
  </si>
  <si>
    <t>67/57,6</t>
  </si>
  <si>
    <t>68,3/54,6</t>
  </si>
  <si>
    <t>Количество заготовленного мазута</t>
  </si>
  <si>
    <t>35/28</t>
  </si>
  <si>
    <t>26,9/23,9</t>
  </si>
  <si>
    <t>31,9/25,5</t>
  </si>
  <si>
    <t>Количество заготовленного газа</t>
  </si>
  <si>
    <t>тыс,/м3</t>
  </si>
  <si>
    <t>27,1/21,7</t>
  </si>
  <si>
    <t>22,7/18,2</t>
  </si>
  <si>
    <t>22,7/18,3</t>
  </si>
  <si>
    <t>22,7/18,4</t>
  </si>
  <si>
    <t>22,7/18,5</t>
  </si>
  <si>
    <t>Подготовка объектов тепловодоснабжения и водоотведения к работе в осенне-зимний период. Проведение капитального ремонта котельных, инженерного оборудования и теплосетей</t>
  </si>
  <si>
    <t>Объем электроэнергии</t>
  </si>
  <si>
    <t>тыс/КВт/ч</t>
  </si>
  <si>
    <t>64,2/51,4</t>
  </si>
  <si>
    <t>69/54,5</t>
  </si>
  <si>
    <t>63,5/50,8</t>
  </si>
  <si>
    <t>Капитальный ремонт</t>
  </si>
  <si>
    <t>Создание аварийного запаса (резерва) материально-технических ресурсов для ликвидации аварий и последствия стихийных бедствий на замену вышедшего из строя оборудования в период отопительного сезона</t>
  </si>
  <si>
    <t>Повышение КПД</t>
  </si>
  <si>
    <t>Снижение потерь теплоэнергии</t>
  </si>
  <si>
    <t>Поддержание инфраструктуры пгт. Мин-Куш</t>
  </si>
  <si>
    <t xml:space="preserve">Предоставление услуг населению по реализации воды </t>
  </si>
  <si>
    <t>тыс.м.куб</t>
  </si>
  <si>
    <t xml:space="preserve">Бюджетные меры. Удовлетворение потребностей жителей пгт.Мин-Куш в качественных услугах по тепловодоснабжению и водоотведению с наименьшими затратами </t>
  </si>
  <si>
    <t>Саночистка и благоустройство</t>
  </si>
  <si>
    <t xml:space="preserve">тонн </t>
  </si>
  <si>
    <t>Захоронение радиоактивных отходов</t>
  </si>
  <si>
    <t xml:space="preserve">Захоронение радиоактивных отходов и дезактивация белья </t>
  </si>
  <si>
    <t>Дезактивация загрязненного белья радиоактивными веществами</t>
  </si>
  <si>
    <t>кг</t>
  </si>
  <si>
    <t>Итого: всего по ГП "Кыргызтеплоэнерго" при  Государственном комитете промышленности, энергетики и недропользования КР</t>
  </si>
  <si>
    <t>56. Государственное агентство по делам молодежи, физической культуры и спорта при  Правительстве Кыргызской Республики</t>
  </si>
  <si>
    <t>Процент реализации Программы Правительства</t>
  </si>
  <si>
    <t>Обеспечение финансового менеджмента и финансового планирования</t>
  </si>
  <si>
    <t>Своевременное финансирование утвержденной сметы</t>
  </si>
  <si>
    <t>Управление человеческими ресурсами, правовая поддержка</t>
  </si>
  <si>
    <t>Оценка деятельности, % рекомендуемых на повышение заработной платы</t>
  </si>
  <si>
    <t>Поддержание  связей с общественностью</t>
  </si>
  <si>
    <t>Количество спортивных теле, радио, интернетпередач и конференций</t>
  </si>
  <si>
    <t>Обеспечение делопроизводства и контроля за исполнением</t>
  </si>
  <si>
    <t>Уровень исполнительской дисциплины</t>
  </si>
  <si>
    <t>Обеспечение внутреннего мониторинга и контроля (службa внутреннего аудита)</t>
  </si>
  <si>
    <t>Количество проведенных мероприятий по внутреннему аудиту</t>
  </si>
  <si>
    <t>Работа по предупреждению коррупции</t>
  </si>
  <si>
    <t>Процент реализации мероприятий  плана по демонтажу коррупции</t>
  </si>
  <si>
    <t xml:space="preserve">Разработка политики и ведение международных отношений </t>
  </si>
  <si>
    <t>Количество разработанных и принятых НПА</t>
  </si>
  <si>
    <t>Работа по привлечению инвестиции</t>
  </si>
  <si>
    <t>Количество разработанных ГЧП проектов</t>
  </si>
  <si>
    <t>Количество разработанных проектов государственных услуг</t>
  </si>
  <si>
    <t>Массовость занятий физической культурой и спортом</t>
  </si>
  <si>
    <t>Развитие спорта в регионах</t>
  </si>
  <si>
    <t>% региональных учреждений, подвергшихся мониторингу</t>
  </si>
  <si>
    <t>Проведение спортивно-массовых и комплексных мероприятий</t>
  </si>
  <si>
    <t>Количество проведенных спортивно-массовых мероприятий</t>
  </si>
  <si>
    <t xml:space="preserve">Обеспечение объектов ФКиС спортивным инвентарем и оборудованием </t>
  </si>
  <si>
    <t>Количество учреждений, обеспеченных спортивным инвентарем</t>
  </si>
  <si>
    <t>Проведение III Всемирных игр кочевников</t>
  </si>
  <si>
    <t>Привлечение населения к занятиям национальными видами спорта</t>
  </si>
  <si>
    <t>Количество занимающихся национальными видами спорта</t>
  </si>
  <si>
    <t>КПД отечественного спорта (соотношение профинансированных спортсменов к спортсменам, завоевавшим медали)</t>
  </si>
  <si>
    <t>Развитие спорта высших достижений</t>
  </si>
  <si>
    <t>Количество нормативно-правовых и правовых актов, регулирующих спорт высших достижений</t>
  </si>
  <si>
    <t xml:space="preserve">Предоставление общего, среднеспециального образования со спортивным уклоном </t>
  </si>
  <si>
    <t>Количество учащихся получивших диплом, спортивное звание</t>
  </si>
  <si>
    <t>Обучение детей и молодежи  видам спорта</t>
  </si>
  <si>
    <t xml:space="preserve">Количество занимающихся детей и молодежи </t>
  </si>
  <si>
    <t>Завоевание призовых мест  на международной спортивной арене,  подготовка олимпийского резерва</t>
  </si>
  <si>
    <t>Количество завоеванных призовых мест на спортивной арене</t>
  </si>
  <si>
    <t xml:space="preserve">Антидопинговое обеспечение </t>
  </si>
  <si>
    <t xml:space="preserve">Количество правовых актов в сфере антидопинговой политики </t>
  </si>
  <si>
    <t>Повышение социальной защищенности ведущих спортсменов Кыргызской Республики</t>
  </si>
  <si>
    <t>Количество спортсменов, получающих стипендию</t>
  </si>
  <si>
    <t>Созданные молодежные центры в регионах</t>
  </si>
  <si>
    <t>Мероприятия в рамках государственного социального заказа, направленные на реализацию молодежной политики</t>
  </si>
  <si>
    <t xml:space="preserve">Количество мероприятий, реализованных посредством ГСЗ </t>
  </si>
  <si>
    <t>Мероприятия, направленные на  воспитание молодежи и поддержку молодежных инициатив</t>
  </si>
  <si>
    <t>Количество мероприятий, направленных на формирование в молодежной среде духовно-нравственных и патриотических ценностей, воспитание молодежи, поддержка молодежных инициатив</t>
  </si>
  <si>
    <t xml:space="preserve">Проведение региональных мероприятий   в сфере молодежной политики </t>
  </si>
  <si>
    <t xml:space="preserve">Количество проведенных мероприятий в регионах республики </t>
  </si>
  <si>
    <t>Работа с молодежными организациями</t>
  </si>
  <si>
    <t>Количество проведенных мероприятий, тренингов</t>
  </si>
  <si>
    <t xml:space="preserve">Количество лиц, участвовавших в тренингах и получивших сертификаты    </t>
  </si>
  <si>
    <t xml:space="preserve">Институциональное укрепление реализации государственной молодежной политики </t>
  </si>
  <si>
    <t>Количество разработанных и принятых НПА в сфере молодежи</t>
  </si>
  <si>
    <t>Итого: всего по Госагентству по делам молодежи, физической культуры и спорта при  Правительстве Кыргызской Республики</t>
  </si>
  <si>
    <t>57. Агентство по продвижению и защите инвестиций Кыргызской Республики</t>
  </si>
  <si>
    <t>Оценка Аппарата Правительства Кыргызской Республики о деятельности Агентства по продвижению и защите инвестиций Кыргызской Республики</t>
  </si>
  <si>
    <t>Исполнение Плана законопроектных работ Агентства</t>
  </si>
  <si>
    <t>Осуществление закупок товаров, работ, услуг в установленном порядке</t>
  </si>
  <si>
    <t xml:space="preserve">Привлечение инвестиций и продвижение экпорта </t>
  </si>
  <si>
    <t>Цель программы: Улучшение инвестиционного климата страны,  создание благоприятных условий для привлечения зарубежных инвестиций и увеличение экпорта.</t>
  </si>
  <si>
    <t>Улучшение позиций страны в международных рейтингах и инвестиционного климата</t>
  </si>
  <si>
    <t>Проведение международных форумов и B2B встреч. Реализация инвестиционных проектов.</t>
  </si>
  <si>
    <t>Продвижение проектов в рамках ГЧП</t>
  </si>
  <si>
    <t>Реализация инвестиционных проектов в рамках ГЧП</t>
  </si>
  <si>
    <t>Заключение контрактов на экспорт</t>
  </si>
  <si>
    <t>Итого: всего по Агентству по продвижению и защите инвестиций Кыргызской Республики</t>
  </si>
  <si>
    <t>58. Государственная служба  регулирования и надзора за финансовым рынком при Правительстве Кыргызской Республики</t>
  </si>
  <si>
    <t>Организационная работа (Управление человеческими ресурсами, Поддержка внешних связей, анализ и стратегическое планирование)</t>
  </si>
  <si>
    <t>Доля выигранных трудовых процессов по трудовым спорам</t>
  </si>
  <si>
    <t>Количество положительных упоминаний в СМИ</t>
  </si>
  <si>
    <t>Развитие рынка ценных бумаг</t>
  </si>
  <si>
    <t>Перевод государственных ценных бумаг на биржу</t>
  </si>
  <si>
    <t>Объем торгов</t>
  </si>
  <si>
    <t>млрд, сом</t>
  </si>
  <si>
    <t>Повышение финансовой  грамотности населения</t>
  </si>
  <si>
    <t xml:space="preserve">Количество сделок с ценными бумагами </t>
  </si>
  <si>
    <t>Стимулирование увеличения объема инвестиций через фондовый рынок</t>
  </si>
  <si>
    <t>Капитализация фондового рынка</t>
  </si>
  <si>
    <t>Развитие рынка страхования и деятельности НПФ</t>
  </si>
  <si>
    <t>Введение новых видов обязательного страхования</t>
  </si>
  <si>
    <t>Объем страховых премий по обязательным видам страхования</t>
  </si>
  <si>
    <t>млн, сом</t>
  </si>
  <si>
    <t>Создание национальной системы перестрахования</t>
  </si>
  <si>
    <t>Доля национального перестрахования</t>
  </si>
  <si>
    <t>Развитие накопительной пенсионной системы</t>
  </si>
  <si>
    <t>Объем средств пенсионных накоплений НПФ</t>
  </si>
  <si>
    <t>Развитие аудита и  бухгалтерского учета</t>
  </si>
  <si>
    <t>Повышение качества, своевременности и прозрачности аудита</t>
  </si>
  <si>
    <t>Количество аудиторов, получивших сертификат</t>
  </si>
  <si>
    <t>Увеличение доли внедрения МСФО на предприятиях Кыргызской Республики</t>
  </si>
  <si>
    <t>Количество предприятий, использующих МСФО</t>
  </si>
  <si>
    <t>Итого: всего по Государственной службе  регулирования и надзора за финансовым рынком при Правительстве Кыргызской Республики</t>
  </si>
  <si>
    <t>59. Государственная кадровая служба при Правительстве Кыргызской Республики</t>
  </si>
  <si>
    <t>% исполнения плана ГКС</t>
  </si>
  <si>
    <t>Доля сотрудников, повысивших квалификацию от общего количества сотрудников;</t>
  </si>
  <si>
    <t>Кол-во положительных упоминаний ГКС в СМИ</t>
  </si>
  <si>
    <r>
      <t xml:space="preserve">Совершенствование государственной кадровой политики
</t>
    </r>
    <r>
      <rPr>
        <i/>
        <sz val="11"/>
        <rFont val="Times New Roman"/>
        <family val="1"/>
        <charset val="204"/>
      </rPr>
      <t>Цель программы:Разработка, реализация и обеспечение устойчивого функционирования единой государственной кадровой политики в органах государственного и местного самоуправления КР</t>
    </r>
  </si>
  <si>
    <t>Индекс эффективности исполнения задач</t>
  </si>
  <si>
    <t>Совершенствование нормативной  правовой базы в сфере государственной и муниципальной службы</t>
  </si>
  <si>
    <t>Анализ действия нормативно- правовых актов и выработка предложений по совершенствованию</t>
  </si>
  <si>
    <t>проект/ПЗА</t>
  </si>
  <si>
    <t>Экспертиза проектов внутренних и внешних НПА на соответствие законодательства о государственной гражданской службе и муниципальной службе</t>
  </si>
  <si>
    <t>1(1)</t>
  </si>
  <si>
    <t>х</t>
  </si>
  <si>
    <t xml:space="preserve">Обеспечение равного доступа при поступлении и прохождении на государственную службу </t>
  </si>
  <si>
    <t>Доля вакантных административных государственных должностей, замещенных в соответствии с законодательством</t>
  </si>
  <si>
    <t>Внедрение антикоррупционных мер при поступлении и прохождении государственной службы</t>
  </si>
  <si>
    <t>Доля вакантных административных государственных должностей, замещенных  в рамках карьерного продвижения</t>
  </si>
  <si>
    <t>Доля  государственных органов, утвердивших квалификационные требования и должностные инструкции к административным государственным должностям и своевременное внесение дополнений и изменений.</t>
  </si>
  <si>
    <t>Доля  государственных органов, внедривших систему оценки деятельности служащих</t>
  </si>
  <si>
    <t>Доля органов, в которых действует комиссия по этике</t>
  </si>
  <si>
    <t>Доля вакантных административных муниципальных  должностей, замещенных в соответствии с законодательством</t>
  </si>
  <si>
    <t>Доля органов МСУ, утвердивших квалификационные требования и должностные инструкции к административным государственным должностям и своевременное внесение дополнений и изменений</t>
  </si>
  <si>
    <t>Доля  органов местного самоуправления, внедривших систему оценки деятельности служащих</t>
  </si>
  <si>
    <t xml:space="preserve">Обеспечение объективного и прозрачного тестирования на знание законодательства при поступлении и прохождении ГМС </t>
  </si>
  <si>
    <t xml:space="preserve">Количество участников тестирования </t>
  </si>
  <si>
    <t xml:space="preserve">Внедрение (анализ, поддержка и сопровождение) информационной  системы управления человеческими  ресурсами  в сфере государственной службы КР </t>
  </si>
  <si>
    <t xml:space="preserve">Техническое задание программы информационной системы  управления человеческими ресурсами </t>
  </si>
  <si>
    <t>модулей (ед)</t>
  </si>
  <si>
    <t>Количество автоматизированных задач</t>
  </si>
  <si>
    <t>Интеграция с автоматизированными системами</t>
  </si>
  <si>
    <t xml:space="preserve">Карьерное планирование </t>
  </si>
  <si>
    <t>Количество лиц, состоящих в Национальном резерве</t>
  </si>
  <si>
    <t>Кол-во лиц, назначенных на должности из состава  Национального  резерва</t>
  </si>
  <si>
    <t>Количество положительных упоминаний ГКС КР в СМИ</t>
  </si>
  <si>
    <t>Количество разъяснительных и консультативных публикаций</t>
  </si>
  <si>
    <t xml:space="preserve">Реализация госзаказа на обучение государственной и муниципальной службы </t>
  </si>
  <si>
    <t xml:space="preserve">Доля обученных государственных и муниципальных служащих за счет госбюджета </t>
  </si>
  <si>
    <t xml:space="preserve">Мониторинг соблюдения законодательства в сфере государственной и муниципальной  службы </t>
  </si>
  <si>
    <t>Доля проведенных мониторингов в государственных органах и органах местного самоуправления согласно утвержденному плану</t>
  </si>
  <si>
    <t xml:space="preserve">Количество своевременно рассмотренных жалоб </t>
  </si>
  <si>
    <t>заявл</t>
  </si>
  <si>
    <t xml:space="preserve">Реализация национальных (государственных) программ в сфере  государственной и муниципальной службы </t>
  </si>
  <si>
    <t>Доля реализованных мероприятий национальных (государственных) программ (НПА) в сфере государственной и муниципальной службы</t>
  </si>
  <si>
    <t>Координация деяательности ГКС по реализации государственной политики в сфере предупреждения коррупции</t>
  </si>
  <si>
    <t xml:space="preserve">                                                                                                         Исполнение плана мероприятий по противодействию коррупции</t>
  </si>
  <si>
    <t>Создание системы открытости и прозрачности доходов государственных и муниципальных служащих, их подотчетности и ответственности перед народом Кыргызстана</t>
  </si>
  <si>
    <t xml:space="preserve">                                                                                                         Кол-во деклараций, проверенных на предмет полноты и достоверности</t>
  </si>
  <si>
    <t>% от общего числа полит. админ. государст. Должностей</t>
  </si>
  <si>
    <t xml:space="preserve">Реализация кадровой политики на территориальном уровне (ЦТП, ЮТП, СТП) </t>
  </si>
  <si>
    <t>Итого: всего по Государственной кадровой службе при Правительстве Кыргызской Республики</t>
  </si>
  <si>
    <t>60. Государственное агентство архитектуры, строительства и ЖКХ при Правительстве Кыргызской Республики</t>
  </si>
  <si>
    <t>Создание условий для устойчивого развития питьевого водоснабжения и водоотведения населенных пунктов</t>
  </si>
  <si>
    <t>Итого: всего по Госагентству архитектуры, строительства и ЖКХ при Правительстве Кыргызской Республики</t>
  </si>
  <si>
    <t>61. Государственная служба по борьбе с экономическими преступлениями при Правительстве Кыргызской Республики (Финансовая полиция)</t>
  </si>
  <si>
    <r>
      <t xml:space="preserve">Повышение эффективности предупреждения и своевременного пресечения экономических и коррупционных правонарушений
</t>
    </r>
    <r>
      <rPr>
        <i/>
        <sz val="11"/>
        <rFont val="Times New Roman"/>
        <family val="1"/>
        <charset val="204"/>
      </rPr>
      <t>Цель программы: Профилактика преступности, устранение причин и условий совершения экономических и коррупционных правонарушений.</t>
    </r>
  </si>
  <si>
    <t xml:space="preserve">Доля экономических и коррупционных правонарушений, выявленных оперативным путем к общему числу зарегистрированных </t>
  </si>
  <si>
    <t xml:space="preserve">Доля возбужденных уголовных дел оперативным путем к общему числу зарегистрированных </t>
  </si>
  <si>
    <t>Повышение эффективности предупреждения и своевременного пресечения экономических и коррупционных правонарушений</t>
  </si>
  <si>
    <t xml:space="preserve">Доля материалов, переданных СМИ для информирования общественности от общего числа раскрытых преступлений </t>
  </si>
  <si>
    <t xml:space="preserve">Создание социальных видеороликов антикоррупционной направленности </t>
  </si>
  <si>
    <r>
      <t xml:space="preserve">Повышение качества расследования уголовных дел
</t>
    </r>
    <r>
      <rPr>
        <i/>
        <sz val="11"/>
        <rFont val="Times New Roman"/>
        <family val="1"/>
        <charset val="204"/>
      </rPr>
      <t>Цель программы: Доведение уголовных дел до логического завершения с направлением в суды.</t>
    </r>
  </si>
  <si>
    <t>Увеличить соотношение уголовных дел, направленных в судебные органы, к числу возбужденных и достичь планируемого уровня.</t>
  </si>
  <si>
    <t>Уменьшить количество уголовных дел, возвращенных для восполнения пробелов следствия к числу направленных в судебные органы и достичь планируемого уровня</t>
  </si>
  <si>
    <t>к-во</t>
  </si>
  <si>
    <t>Повышение эффективности возмещения причиненного материального ущерба по уголовным делам и рассматриваемым материалам</t>
  </si>
  <si>
    <t>Увеличить возмещение ущерба по оконченным уголовным делам и материалам  к сумме установленного и достичь планируемого уровня.</t>
  </si>
  <si>
    <t>Итого: всего по  Государственной службе по борьбе с экономическими преступлениями при Правительстве Кыргызской Республики (Финансовая полиция)</t>
  </si>
  <si>
    <t>62. Государственная инспекция  по санитарной, ветеринарной и фитосанитарной безопасности при Правительстве Кыргызской Республики</t>
  </si>
  <si>
    <t>Отношение расходов на заработную плату по программе 001 к сумме расходов на заработную плату по всем программам</t>
  </si>
  <si>
    <t>Повышение эффективности ветеринарного и фитосанитарного надзора</t>
  </si>
  <si>
    <t>Надзор за организацией ветеринарно-санитарной экспертизы продуктов животного происхождения</t>
  </si>
  <si>
    <t>Количество проверенных субъектов предпринимательства</t>
  </si>
  <si>
    <t>Контроль за противоэпизоотическими мероприятиями</t>
  </si>
  <si>
    <t>Снижение количества зарегистрированных вспышек заболеваний животных</t>
  </si>
  <si>
    <t>Кол-во вспышек</t>
  </si>
  <si>
    <t>Количество провакцинированных животных</t>
  </si>
  <si>
    <t>Млн.голов</t>
  </si>
  <si>
    <t>Предотвращение ввоза, вывоза и распространения болезней, общих для человека и животных</t>
  </si>
  <si>
    <t>Количество проверенных автогрузов и авиагрузов</t>
  </si>
  <si>
    <t>Проведение ветеринарной диагностики животных</t>
  </si>
  <si>
    <t>Количество проведенных ветеринарно-диагностических исследований</t>
  </si>
  <si>
    <t>Тыс.голов</t>
  </si>
  <si>
    <t>Количество прошедших ветеринарную диагностику животных</t>
  </si>
  <si>
    <t>Млн. голов</t>
  </si>
  <si>
    <t>Снижение риска заболеваний и заноса возбудителей заболеваний</t>
  </si>
  <si>
    <t>Осуществление государственного надзора за соблюдением санитарных, ветеринарных и фитосанитарных норм</t>
  </si>
  <si>
    <t>Не допускать вспышки особо опасных заболеваний животных и птиц в КР</t>
  </si>
  <si>
    <t>Кол-во исслед. (млн)</t>
  </si>
  <si>
    <t>Обеспечение продовольственной безопасности, предотвращение пищевых отравлений</t>
  </si>
  <si>
    <t>экспертиз</t>
  </si>
  <si>
    <t>Итого: всего по Госинспекции  по санитарной, ветеринарной и фитосанитарной безопасности при Правительстве Кыргызской Республики</t>
  </si>
  <si>
    <t>63. Государственный комитет информационных технологий и связи Кыргызской Республики</t>
  </si>
  <si>
    <t>Отношение текущих расходов по Программе 1 к сумме текущих расходов по другим программам</t>
  </si>
  <si>
    <t>Целевое использование бюджетных средств</t>
  </si>
  <si>
    <t>Оценка работы госслужащих, % рекомендуемых на повышение заработной платы</t>
  </si>
  <si>
    <t>Количество экспертизы НПА</t>
  </si>
  <si>
    <t>Оценка деятельности госоргана и его руководителя</t>
  </si>
  <si>
    <t>45</t>
  </si>
  <si>
    <t>Развитие международного сотрудничества и обеспечение перевода</t>
  </si>
  <si>
    <t>46</t>
  </si>
  <si>
    <t>Лицензионный контроль</t>
  </si>
  <si>
    <t>Количество вынесенных актов реагирования в адрес операторов связи</t>
  </si>
  <si>
    <t>Количество рассмотренных жалоб и обращений по вопросам качества и организации услуг связи</t>
  </si>
  <si>
    <t>47</t>
  </si>
  <si>
    <t>Государственные закупки</t>
  </si>
  <si>
    <t>48</t>
  </si>
  <si>
    <t>Отраслевые функции</t>
  </si>
  <si>
    <t>Степень реализации поставленных задач</t>
  </si>
  <si>
    <r>
      <t xml:space="preserve">Развитие инфраструктуры информационно-коммуникационных технологий и связи
</t>
    </r>
    <r>
      <rPr>
        <i/>
        <sz val="11"/>
        <rFont val="Times New Roman"/>
        <family val="1"/>
        <charset val="204"/>
      </rPr>
      <t>Цель программы: Развитие электронного управления, внедрения электронной государственной услуги</t>
    </r>
  </si>
  <si>
    <t>Количество функционирующих информационных систем, порталов</t>
  </si>
  <si>
    <t>Обеспечение каналом связи единой системы учета внешней миграции</t>
  </si>
  <si>
    <t>Количество подключенных объектов</t>
  </si>
  <si>
    <t>Создание централизованной базы данных переносимости номеров</t>
  </si>
  <si>
    <t>Обеспечение абонентов мобильной связи услугой переносимости номеров (% от общего количества абонентов мобильной связи)</t>
  </si>
  <si>
    <t>Компонент "Безопасный город" проекта "Умный город"</t>
  </si>
  <si>
    <t>Уменьшение нарушений ПДД в населенных пунктах и на трассах</t>
  </si>
  <si>
    <t>Обеспечение функционирования государственного портала электронных услуг</t>
  </si>
  <si>
    <t>Количество предоставляемых государственных услуг на портале</t>
  </si>
  <si>
    <t>Обеспечение функционирования информационной системы платежного шлюза</t>
  </si>
  <si>
    <t>Количество банков, подключенных к системе платежного шлюза</t>
  </si>
  <si>
    <t>Обеспечение функционирования системы электронного межведомственного взаимодействия «Тундук»</t>
  </si>
  <si>
    <t xml:space="preserve">Количество государственных органов, предоставляющих государственные услуги в электронном формате с использованием «СЭМВ «Тундук» </t>
  </si>
  <si>
    <t>Обеспечение функционирования электронной торговой площадки</t>
  </si>
  <si>
    <t>Удельный вес выполненных работ по обеспечению функционирования электронной торговой площадки</t>
  </si>
  <si>
    <t>Развертывание корневого удостоверяющего центра</t>
  </si>
  <si>
    <t xml:space="preserve">Удельный вес выполненных работ  по развертыванию корневого удостоверяющего центра </t>
  </si>
  <si>
    <t>Реализация проекта "Таза Коом"</t>
  </si>
  <si>
    <t>Удельный вес выполненных работ  по проекту "Таза Коом"</t>
  </si>
  <si>
    <r>
      <t xml:space="preserve">Эффективное управление радиочастотным спектром республики
</t>
    </r>
    <r>
      <rPr>
        <i/>
        <sz val="11"/>
        <rFont val="Times New Roman"/>
        <family val="1"/>
        <charset val="204"/>
      </rPr>
      <t>Цель программы: Чистота эфира и максимальное отсутствие помехов влияний для действующих операторов связи и потенциальных инвесторов</t>
    </r>
  </si>
  <si>
    <t>Покрытие зоны охвата радиомониторинга</t>
  </si>
  <si>
    <t>Расширение зоны охвата системы радиомониторинга</t>
  </si>
  <si>
    <t>Количество стационарных/мобильных радиоконтрольных пунктов, работающих в системе радиомониторинга (ППУР)</t>
  </si>
  <si>
    <t>7/5</t>
  </si>
  <si>
    <t>11/5</t>
  </si>
  <si>
    <t>11/6</t>
  </si>
  <si>
    <t>11/7</t>
  </si>
  <si>
    <t>11/8</t>
  </si>
  <si>
    <t>Обеспеченность средствами радиомониторинга (% от потребности)</t>
  </si>
  <si>
    <t>Международная правовая защита национального радиочастотного спектра</t>
  </si>
  <si>
    <t>Отношение количества признанных частотных присвоений к количеству поданных заявок</t>
  </si>
  <si>
    <t>Повышение инвестиционной привлекательности телекоммуникационного рынка путем гарантированной частоты радиочастотного спектра</t>
  </si>
  <si>
    <t>Место КР среди стран СНГ по доступности радиочастот</t>
  </si>
  <si>
    <t>рейтинг</t>
  </si>
  <si>
    <t>2</t>
  </si>
  <si>
    <t>Подбор радиочастот доступных к выделению</t>
  </si>
  <si>
    <r>
      <t xml:space="preserve">Содействие развитию сетей систем связи
</t>
    </r>
    <r>
      <rPr>
        <i/>
        <sz val="11"/>
        <rFont val="Times New Roman"/>
        <family val="1"/>
        <charset val="204"/>
      </rPr>
      <t>Цель программы: Построение высокотехнологичной и конкурентоспособной Национальной сети передачи данных для интеграции в мировое глобальное инфокоммуникационное сообщество</t>
    </r>
  </si>
  <si>
    <t>Международный рейтинг (кол-во абонентов фиксированной и сотовой связи на 100 человек)</t>
  </si>
  <si>
    <t>5,8-117,8</t>
  </si>
  <si>
    <t>5,5-116,1</t>
  </si>
  <si>
    <t>5,2-115,5</t>
  </si>
  <si>
    <t>4,9-115</t>
  </si>
  <si>
    <t>4,7-114,9</t>
  </si>
  <si>
    <t>Обеспечение предоставления широкого спектра телекоммуникационных услуг</t>
  </si>
  <si>
    <t>Охват населения сотовой связью по отношению к общему населению Кыргызстана %</t>
  </si>
  <si>
    <t>99,2</t>
  </si>
  <si>
    <t>99,5</t>
  </si>
  <si>
    <t>99,6</t>
  </si>
  <si>
    <t>99,7</t>
  </si>
  <si>
    <t>Удельный вес населения, имеющего возможность приема обязательных цифровых телерадиоканалов (в рамках соцпакета ППУТ)</t>
  </si>
  <si>
    <t>Эффективное использование частотного ресурса</t>
  </si>
  <si>
    <t>Выдача частотных присвоений</t>
  </si>
  <si>
    <t>Выдача частотных присвоений (% от потребности)</t>
  </si>
  <si>
    <r>
      <t xml:space="preserve">Защита интересов граждан и других потребителей услуг связи
</t>
    </r>
    <r>
      <rPr>
        <i/>
        <sz val="11"/>
        <rFont val="Times New Roman"/>
        <family val="1"/>
        <charset val="204"/>
      </rPr>
      <t>Цель программы: Беспрепятственное предоставление качественных услуг связи по доступным ценам на недискриминационной основе, защищенные и развитые конкурентные отношения на рынке связи КР</t>
    </r>
  </si>
  <si>
    <t>Количество выданных разрешительных документов и сертификатов</t>
  </si>
  <si>
    <t>Осуществление государственного контроля за качеством предоставляемых услуг и техническим состоянием средств связи</t>
  </si>
  <si>
    <t>Количество сертификационных испытаний</t>
  </si>
  <si>
    <t>Количество выданных сертификатов соответствия</t>
  </si>
  <si>
    <t>Количество выданных допусков на ввоз</t>
  </si>
  <si>
    <t>2911</t>
  </si>
  <si>
    <t>2000</t>
  </si>
  <si>
    <t>2130</t>
  </si>
  <si>
    <t>2500</t>
  </si>
  <si>
    <t>Лицензирование в области связи</t>
  </si>
  <si>
    <t>Количество выданных (продленных) лицензий</t>
  </si>
  <si>
    <t>Выдача (продление) лицензий % от рассмотренных заявлений</t>
  </si>
  <si>
    <t>77,2</t>
  </si>
  <si>
    <t>76,7</t>
  </si>
  <si>
    <t>Программа 6. Фельдъегерская связь</t>
  </si>
  <si>
    <t>Обеспечение фельдъегерской связью</t>
  </si>
  <si>
    <t>Количество доставленных корреспонденций</t>
  </si>
  <si>
    <t>тыс. шт.</t>
  </si>
  <si>
    <t xml:space="preserve">Программа государственных инвестиций </t>
  </si>
  <si>
    <t>Проект Digital CASA - Кыргызская Республика</t>
  </si>
  <si>
    <t>Итого: всего по  Государственному комитету информационных технологий и связи Кыргызской Республики</t>
  </si>
  <si>
    <t>64. Государственная комиссия по делам религий Кыргызской Республики</t>
  </si>
  <si>
    <t>Отношение  расходов на заработную плату по Программе 1 к сумме  расходов на заработную плату по всем программам</t>
  </si>
  <si>
    <t>Обеспечение общего руководства и финансового менеджмента</t>
  </si>
  <si>
    <t>Государственная политика в сфере религии, обзор нормативно-правовой базы</t>
  </si>
  <si>
    <t>7/7</t>
  </si>
  <si>
    <t>17/15</t>
  </si>
  <si>
    <t>12/10</t>
  </si>
  <si>
    <t>Учетная регистрация (перерегистрация) религиозных организаций и объектов религиозного назначения</t>
  </si>
  <si>
    <t>Количество религиозных организаций</t>
  </si>
  <si>
    <t xml:space="preserve">Мониторинг и анализ религиозной ситуации в республике и других странах  мира </t>
  </si>
  <si>
    <t>Количество выработанных и принятых рекомендаций по вопросам религии (письма с рекомендации )</t>
  </si>
  <si>
    <t>Разработка государственных программ и взаимодействие с государственными органами по профилактике и борьбе с распространением религиозного экстремизма</t>
  </si>
  <si>
    <t>Сокращение конфликтов на религиозной почве</t>
  </si>
  <si>
    <t>Координация и контроль за деятельностью религиозных организаций и объектов религиозного назначения</t>
  </si>
  <si>
    <t>Доля  религиозных организаций, нарушивших законодательство КР в религиозной деятельности (к общему кол-ву религиозных организаций)</t>
  </si>
  <si>
    <t>Формирование и развитие национальной системы исследования, мониторинга и анализа религиозной ситуации; Проведение исследований по приоритетным направлениям религиозной сферы;Полевые исследования  в регионах страны,где религиозная ситуация требует глубинного изучения</t>
  </si>
  <si>
    <t>Выработка предложений, рекомендаций по предупреждению, профилактике и реагированию на проблемные вопросы и конфликты,имеющие религиозную основу</t>
  </si>
  <si>
    <t>Итого: всего по Госкомиссии по делам религии Кыргызской Республики</t>
  </si>
  <si>
    <t xml:space="preserve">66. Центр судебных представительств при Правительстве Кыргызской Республики </t>
  </si>
  <si>
    <t>Защита и представление прав и интересов Правительства Кыргызской Республики, а также интересов Кыргызской Республики   в международных и местных судебных органах</t>
  </si>
  <si>
    <t>Принятие участия в международных и местных судах для наиболее благоприятного разрешения споров</t>
  </si>
  <si>
    <t>Количество выигранных судебных дел</t>
  </si>
  <si>
    <t xml:space="preserve">Итого: всего по Центру судебных представительств при Правительстве Кыргызской Республики </t>
  </si>
  <si>
    <t xml:space="preserve">68. Секретариат Национальной  комиссии Кыргызской Республики по делам ЮНЕСКО  </t>
  </si>
  <si>
    <t>Организация общего руководства</t>
  </si>
  <si>
    <t>Итого: всего по Секретариату Национальной комиссии Кыргызской Республики по делам ЮНЕСКО</t>
  </si>
  <si>
    <t>70. Национальный институт стратегических исследований Кыргызской Республики</t>
  </si>
  <si>
    <r>
      <t xml:space="preserve">Планирование, управление и администрирование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</si>
  <si>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Процент исполнения индикаторов результативности программ НИСИ Кыргызской Республики</t>
  </si>
  <si>
    <r>
      <t xml:space="preserve">Аналитическая, научная и информационная поддержка деятельности высших органов власти
</t>
    </r>
    <r>
      <rPr>
        <i/>
        <sz val="11"/>
        <rFont val="Times New Roman"/>
        <family val="1"/>
        <charset val="204"/>
      </rPr>
      <t xml:space="preserve">Цель программ: удовлетворение потребностей и запросов высших органов страны в области выработки, анализа, оптимизации и последующей реализации программ развития по актуальным проблемам развития </t>
    </r>
  </si>
  <si>
    <t>Количество исследовательских продуктов (стратегии, концепции, программы, отчеты, аналитические записки, справки, публикации,  выпуск журналов  и т.д.)</t>
  </si>
  <si>
    <t>Проведение исследований в области экономики и социальной сферы</t>
  </si>
  <si>
    <t>Количество исследовательских продуктов (стратегии, концепции, программы, отчеты, аналитические записки, справки  и т.д. в области экономики и социальной сферы</t>
  </si>
  <si>
    <t>Проведение исследований в области  внутренней и внешней политики</t>
  </si>
  <si>
    <t>Количество исследовательских продуктов (стратегии, концепции, программы, отчеты, аналитические записки, справки  и т.д. в области внутренней и внешней политики)</t>
  </si>
  <si>
    <t>Итого: всего по Национальному институту стратегических исследований Кыргызской Республики</t>
  </si>
  <si>
    <t>71. Государственная служба финансовой разведки при Правительстве Кыргызской Республики</t>
  </si>
  <si>
    <t>Обеспечение надлежащей деятельности Государственной службы финансовой разведки</t>
  </si>
  <si>
    <t>Количество опубликованных материалов в СМИ, проведенных заседаний с Общественным советом</t>
  </si>
  <si>
    <t>29//4</t>
  </si>
  <si>
    <t>по мере необ-ти</t>
  </si>
  <si>
    <t xml:space="preserve">Количество подготовленных документов (аналитических документов и планов действий ведомства) </t>
  </si>
  <si>
    <r>
      <t xml:space="preserve">Модернизация деятельности Государственной службы финансовой разведки.
</t>
    </r>
    <r>
      <rPr>
        <i/>
        <sz val="11"/>
        <rFont val="Times New Roman"/>
        <family val="1"/>
        <charset val="204"/>
      </rPr>
      <t>Цель программы: Обеспечение устойчивого функционирования и развития национальной системы противодействия легализации (отмыванию) преступных доходов и финансированию террористической или экстремистской деятельности</t>
    </r>
  </si>
  <si>
    <t>Повышение результативности мер по противодействию легализации (отмыванию) преступных доходов и финансированию террористической или экстремистской деятельности за счет улучшения качества материалов, направляемых в правоохранительные органы</t>
  </si>
  <si>
    <t>Количество подготовленных и направленных обобщенных материалов в правоохранительные органы</t>
  </si>
  <si>
    <t xml:space="preserve">Совершенствование нормативно-правовой базы в сфере противодействия легализации (отмыванию) преступных доходов и финансированию террористической или экстремистской деятельности </t>
  </si>
  <si>
    <t>Количество нормативно-правовых актов, в которые необходимо внести соответствующие изменения и дополнения</t>
  </si>
  <si>
    <t>НПА</t>
  </si>
  <si>
    <t xml:space="preserve">Совершенствование правовой и институциональной основ по надлежащему выполнению международных обязательств в сфере противодействия легализации (отмыванию) преступных доходов и финансированию террористической или экстремистской деятельности </t>
  </si>
  <si>
    <t xml:space="preserve">Усиление взаимодействия с государствами и международными организациями (ОБСЕ, УНП ООН, ЕАГ и др.) в сфере противодействия легализации (отмыванию) преступных доходов и финансированию террористической или экстремистской деятельности </t>
  </si>
  <si>
    <t>Введение новых систем автоматизированных рабочих мест, электронного документооборота и аналитических инструментов для проведения оперативного и стратегического анализа</t>
  </si>
  <si>
    <t>Количество обработанных сообщений об операциях (сделках), подлежащие контролю</t>
  </si>
  <si>
    <t>Развитие подсистемы сбора и хранения информации Единой информационной системы Государственной службы финансовой разведки</t>
  </si>
  <si>
    <t>Количество сообщений об операциях (сделках), принятых от лиц, представляющих сведения</t>
  </si>
  <si>
    <t>Итого: всего по Государственной службе финансовой разведки при Правительстве Кыргызской Республики</t>
  </si>
  <si>
    <t>72. Государственное агентство антимонопольного регулирования при Правительстве Кыргызской Республики</t>
  </si>
  <si>
    <t>не опубликован</t>
  </si>
  <si>
    <t>Количество сотрудников, прошедших курсы повышения квалификации от общего количества сотрудников</t>
  </si>
  <si>
    <t>Предупреждение коррупции</t>
  </si>
  <si>
    <t>Количество мероприятий, реализованных по итогам исполнения  детализированного плана по демонтажу системной коррупции в сфере антимонопольного регулирования</t>
  </si>
  <si>
    <t>Количество реализованных мероприятий по итогам исполнения ведомственного плана мероприятий по противодействию коррупции</t>
  </si>
  <si>
    <t>Среднее количество сотрудников региональных представительств на область КР</t>
  </si>
  <si>
    <t>37/9</t>
  </si>
  <si>
    <t>41</t>
  </si>
  <si>
    <t>49</t>
  </si>
  <si>
    <t>Обеспечение  правовой поддержки и осуществление гос. закупок</t>
  </si>
  <si>
    <t xml:space="preserve">Количество судебных дел. Количество разработанных проектов нормативно-правовых актов. Количество проведенных конкурсных процедур и заключенных договоров. Экономия по итогам заключенных  договоров. </t>
  </si>
  <si>
    <t>Количество рассмотренных дел по уменьшению барьеров и монополистических действий с целью увеличения конкурентоспособности</t>
  </si>
  <si>
    <t>Обеспечение соблюдения законодательства в области антимонопольного и ценового регулирования</t>
  </si>
  <si>
    <t>Увеличение удельного веса проверенных субъектов от запланированного</t>
  </si>
  <si>
    <t xml:space="preserve">Сокращение количества апелляций по результатам проверок
</t>
  </si>
  <si>
    <t>Анализ состояния конкуренции среды и взаимодействие с ЕЭК</t>
  </si>
  <si>
    <t xml:space="preserve">Количество проведенных анализов состояния конкуренции 
</t>
  </si>
  <si>
    <t>согласно плану</t>
  </si>
  <si>
    <t xml:space="preserve">Количество субъектов доминантов, исключенных из Госреестра доминантов </t>
  </si>
  <si>
    <t>Доля положительно рассмотренных заявлений по недобросовестной конкуренции от общего количества поступивших заявлений</t>
  </si>
  <si>
    <t>Доля устраненных нарушений законодательства КР "О рекламе" от общего количества выявленных нарушений</t>
  </si>
  <si>
    <t>Недопущение ведения недобросовестной конкуренции и ограничение конкуренции: 1. Защита прав хозяйствующих субъектов и граждан от ведения недобросовестной конкуренции иными субъектами; 2. Пресечение действий государственных органов и органов МСУ, направленных на ограничение конкуренции</t>
  </si>
  <si>
    <t>Доля положительно рассмотренных заявлений от общего количества поступивших заявлений от гражданского общества</t>
  </si>
  <si>
    <t>Доля выявленных нарушений, ограничивающих конкуренцию среди хозяйствующих субъектов</t>
  </si>
  <si>
    <t xml:space="preserve">Государственная защита прав потребителей и рекламы: 1. обеспечение защиты прав потребителей;
2. уменьшение количества нарушений Закона Кыргызской Республики «О рекламе»; 2. международное сотрудничество в сфере антимонопольной политики, защиты прав потребителей и рекламы
</t>
  </si>
  <si>
    <t>Доля устраненых нарушений законодательства КР "О рекламе" от общего количества выявленных нарушений</t>
  </si>
  <si>
    <t>Доля устраненых нарушений Закона КР "О защите прав потребителей" от общего количества выявленных нарушений</t>
  </si>
  <si>
    <t>Взаимодействие с конкурентными ведомствами стран СНГ и дальнего зарубежья</t>
  </si>
  <si>
    <t>по мере необходимости состовления соответствующих документов</t>
  </si>
  <si>
    <t>Установление цен (тарифов) на товары (работы, услуги) субъектов естественных монополий.</t>
  </si>
  <si>
    <t>количество установленных цен (тарифов)</t>
  </si>
  <si>
    <t>Согласование форм контрактов на поставку (приобретение) товаров (работ и услуг) субъектов естественных монополий.</t>
  </si>
  <si>
    <t>количество согласованных форм контрактов</t>
  </si>
  <si>
    <t>Согласование тарифов (цены) на услуги (работы), кроме образовательных, оказываемые государственными органами, органами местного самоуправления и их структурными подразделениями, организациями, учреждениями</t>
  </si>
  <si>
    <t>количество согласованных услуг по обоснованным ценам (тарифам)</t>
  </si>
  <si>
    <t>Итого: всего по  Госагентству антимонопольного регулирования при Правительстве Кыргызской Республики</t>
  </si>
  <si>
    <t>73. Государственная служба миграции при Правительстве Кыргызской Республики</t>
  </si>
  <si>
    <t xml:space="preserve"> Отношение расходов по ЗП Программы 001 к сумме расходов по ЗП по всем  программам</t>
  </si>
  <si>
    <t xml:space="preserve">Доля сотрудников , прошедших оценку деятельности  с высоким баллом от общего количества сотрудников </t>
  </si>
  <si>
    <t xml:space="preserve">Доля сотрудников, повысивших квалификацию от общего количества  сотрудников </t>
  </si>
  <si>
    <t>Количество разработанных проектов нормативно-правовых актов и внутренних локальных документов</t>
  </si>
  <si>
    <t>157       944</t>
  </si>
  <si>
    <t>160         950</t>
  </si>
  <si>
    <t>160     950</t>
  </si>
  <si>
    <t>160      950</t>
  </si>
  <si>
    <t xml:space="preserve">Количество освещений деятельности ведомства в СМИ </t>
  </si>
  <si>
    <t xml:space="preserve">Выполнение плана по демонтажу системной политической коррупции </t>
  </si>
  <si>
    <t xml:space="preserve">Разработка стратегичеких документов в сфере миграции </t>
  </si>
  <si>
    <t xml:space="preserve">Количество стратегических документов (стратегия, концепция, гос.программы) </t>
  </si>
  <si>
    <t xml:space="preserve">Регулирование процессов привлечения и использования иностранной рабочей силы, рассмотрение  статуса иммигранта </t>
  </si>
  <si>
    <t xml:space="preserve">Количество выданных разрешительных документов иностранным гражданам и лицам без граждантства , количество предоставленных статуса иммигрантов </t>
  </si>
  <si>
    <t>14768    352</t>
  </si>
  <si>
    <t>16490       680</t>
  </si>
  <si>
    <t>16490      680</t>
  </si>
  <si>
    <t>16490        680</t>
  </si>
  <si>
    <t>16490               680</t>
  </si>
  <si>
    <t xml:space="preserve">Обеспечение защиты и прав иммигрантов (этнических  кыргызов, кайрылманов) </t>
  </si>
  <si>
    <t xml:space="preserve">Кол-во выданных документов (удостоверение кайрылманов) </t>
  </si>
  <si>
    <t xml:space="preserve">Обеспечение защиты и прав беженцев </t>
  </si>
  <si>
    <t xml:space="preserve">Кол-во выданных документов (удостоверение  беженца, свидетельства о предоставлении статуса беженца) беженцам и лицам, ищущим убежище </t>
  </si>
  <si>
    <t xml:space="preserve">Развитие системы организованного трудоустройства, выявления, пресечения торговли людьми  и взаимодействия с соотечественниками за рубежом </t>
  </si>
  <si>
    <t xml:space="preserve">Количество разработанных нормативно-правовых актов в сфере трудовой миграции </t>
  </si>
  <si>
    <t>Количество данных консультаций по вопросам ограничения на въезд на территорию РФ (черный список)</t>
  </si>
  <si>
    <t xml:space="preserve">Защита законных прав, интересов граждан КР и оказание содействия по вопросам миграции и трудовой деятельности в РФ </t>
  </si>
  <si>
    <t xml:space="preserve">Количество граждан Кыргызской Республики, обратившихся за получением поддержки </t>
  </si>
  <si>
    <t xml:space="preserve">Количество взысканных сумм при содействии Представительства </t>
  </si>
  <si>
    <t xml:space="preserve">мл.сом </t>
  </si>
  <si>
    <t xml:space="preserve">Оказание содействия в трудоустройстве гражданам КР на внешнем рынке труда, выплата компенсации расходов, связанных с доставкой на родину тел граждан КР </t>
  </si>
  <si>
    <t xml:space="preserve">Количество проконсультированных граждан по вопросам внешней трудовой миграции и организованного трудоустройства </t>
  </si>
  <si>
    <t xml:space="preserve">Доля выплаченных компенсаций </t>
  </si>
  <si>
    <t>Итого: всего по   Государственной службе миграции при Правительстве Кыргызской Республики</t>
  </si>
  <si>
    <t>74. Национальный статистический комитет Кыргызской Республики</t>
  </si>
  <si>
    <t>Количество полож-х упоминаний мин-ва/вед-ва в СМИ</t>
  </si>
  <si>
    <t>Индекс доверия пользователей к официальной статистической информации</t>
  </si>
  <si>
    <t>Общая координация на  региональном уровне</t>
  </si>
  <si>
    <t xml:space="preserve">Сбор первичной статистической информации </t>
  </si>
  <si>
    <t>Количество собираемой первичной информации (хозяйствующих субъектов )</t>
  </si>
  <si>
    <t>тыс. ед.</t>
  </si>
  <si>
    <t>Подготовка и проведение государственных статистических переписей</t>
  </si>
  <si>
    <t>Количество собираемой информации (субъектов переписи)</t>
  </si>
  <si>
    <t xml:space="preserve">Повышение качества и своевременности подготовки статистической информации за счет обеспечения высокого уровня информатизации ее представления и обработки </t>
  </si>
  <si>
    <t>Доля отчетности хозяйствующих субъектов, предоставляемой в электронном виде</t>
  </si>
  <si>
    <t>Период времени на подготовку годовых отчетов</t>
  </si>
  <si>
    <t>Распространение статистической информации</t>
  </si>
  <si>
    <t>публикаций</t>
  </si>
  <si>
    <t>Доля опубликованной статистической информации от потребности</t>
  </si>
  <si>
    <t>Качество статистической информации</t>
  </si>
  <si>
    <t xml:space="preserve"> Анализ информации по базовым статистическим показателям, статистика потребительского рынка,  домашних хозяйств,  сельского хозяйства, труда и занятости,  промышленности,  строительства и инвестиций,  внешней торговли , экономического развития, социального развития и статистика окружающей среды </t>
  </si>
  <si>
    <t>Формирование показателей системы национальных счетов по видам экономической деятельности и институциональным секторам экономики, количество респондентов по потребительскому рынку, домашних хозяйств, по сельскому хозяйству, лесному хозяйству  и рыболовству, по труду и занятости, по промышленности, по строительству и инвестициям, по экономическому развитию, реальному и финансовому сектору,  и социальному развитию, по окружающей среде, статистика туризма и чрезвычайных ситуаций, и количество обрабатываемой информации</t>
  </si>
  <si>
    <t>тыс.ед.</t>
  </si>
  <si>
    <t>Освоение международных стандартов (заполняемость гармонизированными показателями статистических опросников, составленных международными организациями)</t>
  </si>
  <si>
    <t>Сбор и техническая обработка статистических показателей</t>
  </si>
  <si>
    <t>Количество классификаторов технико-экономической и социальной информации. Введение, сопровождение и контроль базы данных в ЕГРСЕ (Единый государственный регистр статистических единиц).</t>
  </si>
  <si>
    <t>Внедрение новых современных методов статистического наблюдения для сбора статистической информации</t>
  </si>
  <si>
    <t>Совершенствование методики сбора, обработки и анализа статистической информации</t>
  </si>
  <si>
    <t>Доля новых методик, внедренных в повседневную работу стат.органов от общего количества разработанных методик и предложений</t>
  </si>
  <si>
    <t>Повышение квалификации работников стат.органов</t>
  </si>
  <si>
    <t>Доля работников стат.органов, повысивших квалификацию от потребности</t>
  </si>
  <si>
    <t>Количество  мероприятий</t>
  </si>
  <si>
    <t>Итого: всего по Национальному статистическому комитету Кыргызской Республики</t>
  </si>
  <si>
    <t>75. Фонд по управлению государственным имуществом при Правительстве Кыргызской Республики</t>
  </si>
  <si>
    <t>Обзор и оценка системы внутреннего контроля, разработка стратегических, долгосрочных и годовых планов развития</t>
  </si>
  <si>
    <r>
      <t xml:space="preserve">Управление государственным имуществом
</t>
    </r>
    <r>
      <rPr>
        <i/>
        <sz val="11"/>
        <rFont val="Times New Roman"/>
        <family val="1"/>
        <charset val="204"/>
      </rPr>
      <t>Цель программы: Повышение эффективности управления государственной собственностью</t>
    </r>
  </si>
  <si>
    <t>Управление государственными долями в государственных обществах</t>
  </si>
  <si>
    <t>Поступление дивидендов на государственный пакет акций акционерных обществ с государственным участием в республиканский бюджет</t>
  </si>
  <si>
    <t>млн.сомов</t>
  </si>
  <si>
    <t>Работа с государственными предприятиями</t>
  </si>
  <si>
    <t>Поступление чистой прибыли государственных предприятий в республиканский бюджет</t>
  </si>
  <si>
    <r>
      <t xml:space="preserve">Инвентаризация  и автоматизированный  учет государственного имущества
</t>
    </r>
    <r>
      <rPr>
        <i/>
        <sz val="11"/>
        <rFont val="Times New Roman"/>
        <family val="1"/>
        <charset val="204"/>
      </rPr>
      <t>Цель программы: Защита прав государственной собственности</t>
    </r>
  </si>
  <si>
    <t>Создание информационной системы учета государственного имущества</t>
  </si>
  <si>
    <t>Разра-ботка и внедре-ние информа-ционной системы</t>
  </si>
  <si>
    <t>Прове-дение инвента-ризации госиму-щества</t>
  </si>
  <si>
    <t>Функцио-нирова-ние информа-ционной системы</t>
  </si>
  <si>
    <t>Проведение инвентаризации и ввод данных в автоматизированную систему государственными органами</t>
  </si>
  <si>
    <t>Ведение перечня государственных административных зданий</t>
  </si>
  <si>
    <t>Ведение перечня государственных транспортных средств</t>
  </si>
  <si>
    <t>Автоматизиция процесса учета и инвентаризации  государственного имущества</t>
  </si>
  <si>
    <t>Охват государственных организаций и их имущества в системе единого учета</t>
  </si>
  <si>
    <t>Реализация проекттов госинвестиций</t>
  </si>
  <si>
    <r>
      <t xml:space="preserve">Распоряжение и использование государственного имущества
</t>
    </r>
    <r>
      <rPr>
        <i/>
        <sz val="11"/>
        <rFont val="Times New Roman"/>
        <family val="1"/>
        <charset val="204"/>
      </rPr>
      <t>Цель программы: Повышение эффективности распоряжения и использования государственной собственности</t>
    </r>
  </si>
  <si>
    <t>Поступление арендных платежей за пользование гоударственным имуществом  в республиканский бюджет</t>
  </si>
  <si>
    <t>Эффективное распоряжение и использование государственной собственности</t>
  </si>
  <si>
    <t>Количество согласованных договоров аренды государственного имущества</t>
  </si>
  <si>
    <t>Итого: всего по Фонду по управлению государственным имуществом Кыргызской Республики</t>
  </si>
  <si>
    <t>76. Фонд государственных материальных резервов при Правительстве Кыргызской Республики</t>
  </si>
  <si>
    <t>48/109</t>
  </si>
  <si>
    <t>Степень выполнения мероприятий Правительства и плана действий/обязательств председателя</t>
  </si>
  <si>
    <t xml:space="preserve">Доля сотрудников в регионе от общей численности сотрудников ЦА </t>
  </si>
  <si>
    <t>Управление государственными материальными резервами</t>
  </si>
  <si>
    <t>Обеспечение мобилизационных нужд Кыргызской Республики</t>
  </si>
  <si>
    <t>Управление материальными ценностями государственного резерва</t>
  </si>
  <si>
    <t>Накопление номенклатурных товароматериальных ценностей (гос.резерв)</t>
  </si>
  <si>
    <t>Управление материальными ценностями мобилизационного резерва</t>
  </si>
  <si>
    <t>Накопление номенклатурных товароматериальных ценностей (моб.резерв)</t>
  </si>
  <si>
    <t>Организация закладок, накопления, хранения и использования госматрезервов (ФГМР-"Продовольственная программа")</t>
  </si>
  <si>
    <t>Доведение до нормы закладки номенклатурных товаро-материальных ценностей</t>
  </si>
  <si>
    <t>Итого: всего по Фонду материальных резервов при Правительстве Кыргызской Республики</t>
  </si>
  <si>
    <t>77. Высшая аттестационная комиссия Кыргызской Республики</t>
  </si>
  <si>
    <t>1 --1</t>
  </si>
  <si>
    <r>
      <rPr>
        <b/>
        <sz val="11"/>
        <rFont val="Times New Roman"/>
        <family val="1"/>
        <charset val="204"/>
      </rPr>
      <t xml:space="preserve">Процент решений Президиума Высшей аттестационной комиссии на заключения экспертных советов и выданных дипломов на положительные решения  </t>
    </r>
    <r>
      <rPr>
        <i/>
        <sz val="9"/>
        <color indexed="8"/>
        <rFont val="Arial"/>
        <family val="2"/>
        <charset val="204"/>
      </rPr>
      <t/>
    </r>
  </si>
  <si>
    <t xml:space="preserve">Организация работы диссертационных и экспертных советов, присуждение ученых степеней, присвоение ученых званий </t>
  </si>
  <si>
    <t>Отношение количества рассмотренных в срок диссертационных работ и аттестационных дел к общему количеству поступивших дел</t>
  </si>
  <si>
    <t>Подготовка и заключение международных договоров по вопросам аттестации научных и научно-педагогических кадров.</t>
  </si>
  <si>
    <t>Количество заключенных международных договоров</t>
  </si>
  <si>
    <t xml:space="preserve">Внедрение и использование электронных программ, Баз данных, программы «Антиплагиат» </t>
  </si>
  <si>
    <t>Кол-во оцифрованного и введенного в Базу данных материалов и диссертационных работ, проверенных по программе "Антиплагиат"</t>
  </si>
  <si>
    <t>ЕИ</t>
  </si>
  <si>
    <t>Итого: всего по Высшей аттестационной комиссии Кыргызской Республики</t>
  </si>
  <si>
    <t>79 Секретариат Совета безопасности Кыргызской Республики</t>
  </si>
  <si>
    <t xml:space="preserve">Секретариат Совета безопасности </t>
  </si>
  <si>
    <t xml:space="preserve">Обеспечение деятельности Совета безопасности КР по проведению единой государственной политики в сфере обеспечения национальной безопасности </t>
  </si>
  <si>
    <t xml:space="preserve">Количество вопросов, рассмотренных на заседании Совета безопасности КР </t>
  </si>
  <si>
    <t xml:space="preserve">Итого: всего по Секретариату Совета безопасности КР </t>
  </si>
  <si>
    <t>80.Национальная академия наук Кыргызской Республики</t>
  </si>
  <si>
    <t xml:space="preserve">Планирование, управление и администрирование </t>
  </si>
  <si>
    <t>% исполнение индикаторов результативности по бюджетным программам НАН КР</t>
  </si>
  <si>
    <t>Привлечение молодых кадров</t>
  </si>
  <si>
    <t>Координация научно-организованной деятельности научных учреждений НАН КР</t>
  </si>
  <si>
    <t>Количество выпущенных постановлений</t>
  </si>
  <si>
    <t>Организация международного научного сотрудничества ученых НАН КР</t>
  </si>
  <si>
    <t>членство НАН КР в международных научных организациях</t>
  </si>
  <si>
    <t>Развитие физико-технических, математических и горно-геологических исследований</t>
  </si>
  <si>
    <t>Внедрение технологических разработок в производство</t>
  </si>
  <si>
    <t>Оценка сейсмической опасности и создание инженерно-сейсмометрической службы в районах расположения крупных ГЭС</t>
  </si>
  <si>
    <t xml:space="preserve">Количество проведенных землетрясений </t>
  </si>
  <si>
    <t>Изучение водных ресурсов и создание методов и средств контроля управления водными ресурсами. Научные основы рационального освоения гидроэнергетических ресурсов р.Сары-Джаз</t>
  </si>
  <si>
    <t>Количество проведенных экспертиз по расчету гидроэнергетического потенциала с учетом изменения климата для различных сценариев по отдельным рекам</t>
  </si>
  <si>
    <t>Разработка автоматизированной системы мониторинга оборудования высоковольтных энергетических объектов. Исследование и разработка структур и методов обработки и хранения аэрокосмической видеоинформации</t>
  </si>
  <si>
    <t>Количество положительных решений по выдаче патентов на разработку систем автоматизированного учета потребления электроэнергии с предоплатой и изготовление макета датчика измерения уровня горных водотоков. Обработка аэрокосмической информации для конкретных народнохозяйственных задач</t>
  </si>
  <si>
    <t>Разработка методов и средств прогноза и предотвращения природных и техногенных катастроф. Разработка техники для бурения шпуров и скважин. Региональная геология и полезные ископаемые Кыргызстана</t>
  </si>
  <si>
    <t>Количество внедрений, геологические карты</t>
  </si>
  <si>
    <t>Развитие химико-технологических, медико-биологических и сельскохозяйственных исследований</t>
  </si>
  <si>
    <t xml:space="preserve">Количество лабораторных исследований </t>
  </si>
  <si>
    <t>Интродукция и селекция и сохранение растений в Кыргызстане, изучение лесных растительных ресурсов  с целью их сохранения и устойчивого использования. Изучение природных запасов и разработка технологий получения биоактивных соединений из полезных и лекарственных растений Кыргызстана</t>
  </si>
  <si>
    <t>Количество реализованной продукции (посадочный материал, эфирные масла) / Пополнение коллекционного гербарного фонда</t>
  </si>
  <si>
    <t>тыс.сом/вид</t>
  </si>
  <si>
    <t>Биотестирование животных, номинированных в банк генетических ресурсов Кыргызстана. Разработка научных основ мониторинга, состояние биологических компонентов природы Кыргызстана</t>
  </si>
  <si>
    <t>Проведение биоаттестации коров. Пополнение коллекционных фондов.</t>
  </si>
  <si>
    <t>100           18</t>
  </si>
  <si>
    <t>90                    18</t>
  </si>
  <si>
    <t>80             18</t>
  </si>
  <si>
    <t>90             18</t>
  </si>
  <si>
    <t>100          18</t>
  </si>
  <si>
    <t xml:space="preserve">Разработка инновационных технологий комплексной переработки минерального и органического сырья; поиск средств оптимизации адаптационных возможностей и повышения качества жизни населения гор </t>
  </si>
  <si>
    <t>Количество проведенных госэкспертиз и международных региональных проектов по разработке нового способа активизации карбонизатов (угля-сырца) с получением активированного угля, получению топливных брикетов из рисовой шелухи</t>
  </si>
  <si>
    <t>5               50</t>
  </si>
  <si>
    <t>5                        60</t>
  </si>
  <si>
    <t>5                    60</t>
  </si>
  <si>
    <t>5           60</t>
  </si>
  <si>
    <t>Развитие гуманитарных исследований</t>
  </si>
  <si>
    <t>Публикации (статьи, монографии, учебные пособия)</t>
  </si>
  <si>
    <t>Изучение истории кыргызов и Кыргызстана с древности до современности; проблемы изучения, использования культурного наследия Кыргызстана. Особенности развития и проблемы совершенствования рыночных институтов Кыргызской Республики</t>
  </si>
  <si>
    <t>Проведение госэкспертиз законов, нормативных актов</t>
  </si>
  <si>
    <t>6           11</t>
  </si>
  <si>
    <t>2              5</t>
  </si>
  <si>
    <t>2                 2</t>
  </si>
  <si>
    <t>2                   2</t>
  </si>
  <si>
    <t>2                      2</t>
  </si>
  <si>
    <t>Исследование вопросов методологии наук и  проведение социологических исследований в горных районах. Развитие гуманитарных исследований</t>
  </si>
  <si>
    <t>Количество выпущенных работ по теме "Межэтнические конфликты в КР: социологический анализ", "Экономика Кыргызстана: проблемы рационального использования природных ресурсов"</t>
  </si>
  <si>
    <t>Исследование региональных историко-философских, этно-лингвистических и социально-экономических проблем</t>
  </si>
  <si>
    <t xml:space="preserve">Количество проведенных научных конференций и организаций </t>
  </si>
  <si>
    <t>Итого: всего по Национальной академии наук Кыргызской Республики</t>
  </si>
  <si>
    <t>81. Клиническая больница Управления делами Президента и Правительства Кыргызской Республики</t>
  </si>
  <si>
    <r>
      <rPr>
        <b/>
        <sz val="11"/>
        <rFont val="Times New Roman"/>
        <family val="1"/>
        <charset val="204"/>
      </rPr>
      <t>Предоставление медицинских услуг Клинической больницей Управления делами Президента и Правительства Кыргызской Республики</t>
    </r>
    <r>
      <rPr>
        <sz val="11"/>
        <rFont val="Times New Roman"/>
        <family val="1"/>
        <charset val="204"/>
      </rPr>
      <t xml:space="preserve"> 
</t>
    </r>
    <r>
      <rPr>
        <i/>
        <sz val="11"/>
        <rFont val="Times New Roman"/>
        <family val="1"/>
        <charset val="204"/>
      </rPr>
      <t>Цель программы: Улучшение качества предоставляемых медицинских услуг.</t>
    </r>
  </si>
  <si>
    <t>Оптимизация системы предоставления медицинских услуг и повышение качества медицинских услуг, оказываемых Клинической больницей.</t>
  </si>
  <si>
    <t>Число пролеченных больных</t>
  </si>
  <si>
    <t>Итого: всего по Клинической больнице Управления делами Президента и Правительства Кыргызской Республики</t>
  </si>
  <si>
    <t>82. Национальный центр Кыргызской Республики по предупреждению пыток и других жестоких, бесчеловечных или унижающих достоинство видов обращения и наказания</t>
  </si>
  <si>
    <t>Процентное соотношение количества превентивных посещений в регионах к посещениям в ЦА Национального центра</t>
  </si>
  <si>
    <r>
      <t xml:space="preserve">Предупреждение пыток и жестокого обращения в местах лишения и ограничения свободы
</t>
    </r>
    <r>
      <rPr>
        <i/>
        <sz val="11"/>
        <rFont val="Times New Roman"/>
        <family val="1"/>
        <charset val="204"/>
      </rPr>
      <t>Цель программы: Искоренение пыток и жестокого обращения, угрозы их применения  в местах лишения и ограничения свободы, детских учреждениях и психоневрологических диспансерах и т. д.</t>
    </r>
  </si>
  <si>
    <t>Динамика снижения (увеличения) фактов пыток в местах лишения и ограничения свободы, детских учреждениях и психоневрологических диспансерах</t>
  </si>
  <si>
    <t xml:space="preserve">Формирование в обществе нетерпимости к пыткам и жестокому обращению </t>
  </si>
  <si>
    <t>Количество проведенных мероприятий (круглых столов, семинаров, тренингов)</t>
  </si>
  <si>
    <t>Обеспечение законных прав в местах лишения и ограничения свободы</t>
  </si>
  <si>
    <t>Количество выработанных Нац. центром рекомендаций по искоренению пыток и улучшению условий содержания, принятых к реализации другими гос. органами</t>
  </si>
  <si>
    <r>
      <rPr>
        <sz val="11"/>
        <rFont val="Times New Roman"/>
        <family val="1"/>
        <charset val="204"/>
      </rPr>
      <t>Содействие улучшению условий содержания в местах лишения и ограничения свободы, детских учреждениях и психоневрологических диспансерах</t>
    </r>
    <r>
      <rPr>
        <b/>
        <sz val="11"/>
        <rFont val="Times New Roman"/>
        <family val="1"/>
        <charset val="204"/>
      </rPr>
      <t xml:space="preserve">
</t>
    </r>
  </si>
  <si>
    <t>Удовлетворенность положительными изменениями условий содержания в местах лишения и ограничения свободы, детских учреждениях и психоневрологических диспансерах (результаты опросов)</t>
  </si>
  <si>
    <t>Обеспечение проведения регулярных превентивных посещений мест лишения и ограничения свободы, детских учреждений и психоневрологических диспансеров</t>
  </si>
  <si>
    <t>Общее количество превентивных посещений по республике по сообщениям, заявлениям</t>
  </si>
  <si>
    <t>Из них количество превентивных посещений согласно ежегодному плану Национального центра</t>
  </si>
  <si>
    <t>Мониторинг и анализ исполнения КР требований международных конвенций в области искоренения пыток и жестокого обращения</t>
  </si>
  <si>
    <t>Процент исполнения требований международных договоров в области предупреждения пыток</t>
  </si>
  <si>
    <t>Итого: всего по Национальному центру Кыргызской Республики по предупреждению пыток и др. жестоких, бесчеловечных или унижающих достоинство видов обращения и наказания</t>
  </si>
  <si>
    <t>83. Государственное агентство по регулированию ТЭК при Правительстве Кыргызской Республики</t>
  </si>
  <si>
    <r>
      <rPr>
        <b/>
        <sz val="11"/>
        <rFont val="Times New Roman"/>
        <family val="1"/>
        <charset val="204"/>
      </rPr>
      <t>Планирование, управление и администрирование</t>
    </r>
    <r>
      <rPr>
        <i/>
        <sz val="11"/>
        <rFont val="Times New Roman"/>
        <family val="1"/>
        <charset val="204"/>
      </rPr>
      <t xml:space="preserve">
Цель программы - координация, организация и обеспечение деятельности Госагентства</t>
    </r>
  </si>
  <si>
    <t>Исполнение плана Госагентства</t>
  </si>
  <si>
    <t>Количество проведенных конкурсных процедур госзакупок посредством веб-портала и заключенных договоров</t>
  </si>
  <si>
    <t xml:space="preserve">Количество сотрудников, прошедших курсы повышения квалификации </t>
  </si>
  <si>
    <t>Количество разработанных нормативно-правовых актов</t>
  </si>
  <si>
    <t>Доля сотрудников служб обеспечения от штатной численности сотрудников центрального аппарата</t>
  </si>
  <si>
    <t>Мониторинг и анализ исполнения ТЭП крупных энергетических компаний</t>
  </si>
  <si>
    <t>Отчет по оценке деятельности гос. органов</t>
  </si>
  <si>
    <r>
      <rPr>
        <b/>
        <sz val="11"/>
        <rFont val="Times New Roman"/>
        <family val="1"/>
        <charset val="204"/>
      </rPr>
      <t>Создание экономических стимулов для развития сектора энергетики</t>
    </r>
    <r>
      <rPr>
        <i/>
        <sz val="11"/>
        <rFont val="Times New Roman"/>
        <family val="1"/>
        <charset val="204"/>
      </rPr>
      <t xml:space="preserve">
Цель программы: Создание условий повышения экономической эффективности и надежности функционирования действующих в области ТЭК хозяйствующих субъектов</t>
    </r>
  </si>
  <si>
    <t>Тарифное регулирование сектора энергетики</t>
  </si>
  <si>
    <t>1.Тариф на электрическую энергию</t>
  </si>
  <si>
    <t>2. Тариф на тепловую энергию</t>
  </si>
  <si>
    <t>3.Тариф на газ</t>
  </si>
  <si>
    <t>Лицензирование в секторе энергетики</t>
  </si>
  <si>
    <t xml:space="preserve">Количество выданных лицензий </t>
  </si>
  <si>
    <t xml:space="preserve"> Осуществление контроля соблюдения законодательства в секторе энергетики</t>
  </si>
  <si>
    <t xml:space="preserve">Количество проведенных проверок лицензиатов  </t>
  </si>
  <si>
    <t>Итого: всего по Государственному агентству по регулированию ТЭК при Правительстве Кыргызской Республики</t>
  </si>
  <si>
    <t>84. Редакция газеты "Эркин Тоо"</t>
  </si>
  <si>
    <t>Издание газеты "Эркин - Тоо"</t>
  </si>
  <si>
    <t>Опубликование нормативных правовых актов Правительства, Президента, Жогорку Кенеша Кыргызской Республики в газете "Эркин - Тоо"</t>
  </si>
  <si>
    <t xml:space="preserve">доля своевременно опубликованных нормативно-правовых актов </t>
  </si>
  <si>
    <t>Итого: всего по редакции газеты "Эркин Тоо"</t>
  </si>
  <si>
    <t>85. Телерадиовещательные компании Кыргызской Республики</t>
  </si>
  <si>
    <t>Общественная телерадиовещательная корпорация Кыргызской Республики</t>
  </si>
  <si>
    <t>50</t>
  </si>
  <si>
    <t>4/4</t>
  </si>
  <si>
    <t>4/7</t>
  </si>
  <si>
    <t>3/5</t>
  </si>
  <si>
    <t>3/4</t>
  </si>
  <si>
    <t>2/3</t>
  </si>
  <si>
    <t>Обеспечение технического контроля</t>
  </si>
  <si>
    <t>Контроль качества объектов вещания</t>
  </si>
  <si>
    <t>Кол-во технических нарушений по ТВ</t>
  </si>
  <si>
    <t>Информационно-аналитическая, соц. эконом. программа</t>
  </si>
  <si>
    <t>Рейтинг по всем показателям исследования</t>
  </si>
  <si>
    <t>2\10</t>
  </si>
  <si>
    <t>Детская, культурно-развлекательная программа</t>
  </si>
  <si>
    <t>3\10</t>
  </si>
  <si>
    <t>4\10</t>
  </si>
  <si>
    <t>Дирекция программ ТВ</t>
  </si>
  <si>
    <t xml:space="preserve">Объем вещания                                                                 </t>
  </si>
  <si>
    <t>час</t>
  </si>
  <si>
    <t>Распространение телепрограмм на всю республику</t>
  </si>
  <si>
    <t>Охват населения</t>
  </si>
  <si>
    <t>Техническое обеспечение телепрограмм</t>
  </si>
  <si>
    <t xml:space="preserve">Качество оказываемых тех. услуг               </t>
  </si>
  <si>
    <t xml:space="preserve">%                                                                                                                                                                           </t>
  </si>
  <si>
    <r>
      <t xml:space="preserve">Программирование, создание и распространение радиопрограмм
</t>
    </r>
    <r>
      <rPr>
        <i/>
        <sz val="11"/>
        <rFont val="Times New Roman"/>
        <family val="1"/>
        <charset val="204"/>
      </rPr>
      <t>Цель программы: Качественное и доступное получение информации по РВ</t>
    </r>
  </si>
  <si>
    <t>Информационно-аналитическая программа</t>
  </si>
  <si>
    <t>1\20</t>
  </si>
  <si>
    <t>1\15</t>
  </si>
  <si>
    <t>1\10</t>
  </si>
  <si>
    <t>2\20</t>
  </si>
  <si>
    <t>2\15</t>
  </si>
  <si>
    <t>Обеспечение технического контроля выпуска радиопрограмм</t>
  </si>
  <si>
    <t>Программирование выпуска радиопрограмм</t>
  </si>
  <si>
    <t>Объем вещания</t>
  </si>
  <si>
    <t>Распространение радиопрограмм на всю республику</t>
  </si>
  <si>
    <t>Техническое обеспечение радиопрограмм</t>
  </si>
  <si>
    <t>Качество оказываемых тех. услуг</t>
  </si>
  <si>
    <t>Прокат кино, видео продукции</t>
  </si>
  <si>
    <t>Модернизация тех. обеспечения, связанное с переходом на цифру</t>
  </si>
  <si>
    <t>Производство художественных, хроникально-документальных телефильмов</t>
  </si>
  <si>
    <t>Итого: всего по Общественной телерадиовещательной корпорации Кыргызской Республики</t>
  </si>
  <si>
    <t>Национальный филиал межгосударственной телерадиовещательной компании «Мир» в Кыргызской Республике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</si>
  <si>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Координация творческого процесса</t>
    </r>
  </si>
  <si>
    <t>Общее количество созданных филиалом ТВ и РВ программ в консолидированном эфире МТРК "Мир"</t>
  </si>
  <si>
    <t>Создание и распространение ТВ программ</t>
  </si>
  <si>
    <t>Хронометраж созданных филиалом ТВ программ для МТРК "Мир"</t>
  </si>
  <si>
    <t>541ч06м20</t>
  </si>
  <si>
    <t>Создание и распространение РВ программ</t>
  </si>
  <si>
    <t>Хронометраж созданных филиалом РВ программ для МТРК "Мир"</t>
  </si>
  <si>
    <t>41ч46м20с</t>
  </si>
  <si>
    <t>Техническое обеспечение и распространение теле и радио программ</t>
  </si>
  <si>
    <t>Обеспечение качественного и бесперебойного ТВ и РВ вещания</t>
  </si>
  <si>
    <t>501ч</t>
  </si>
  <si>
    <t>98</t>
  </si>
  <si>
    <t>Итого: всего по Национальному филиалу межгосударственной телерадиовещательной компании «Мир» в Кыргызской Республике</t>
  </si>
  <si>
    <t>Общественное телевидение-ЭлТР</t>
  </si>
  <si>
    <t>Доля сотрудников служб обеспечения от общей численности сотрудников</t>
  </si>
  <si>
    <t>Охват телевещанием в % от общего числа населения</t>
  </si>
  <si>
    <t>Производство и выпуск в эфир телепрограмм</t>
  </si>
  <si>
    <t>Рейтинг телепрограмм</t>
  </si>
  <si>
    <t>Техническое обеспечение телевещания</t>
  </si>
  <si>
    <t>Уд.вес территории Кыргызской Республики, охваченной ТВвещанием</t>
  </si>
  <si>
    <r>
      <t xml:space="preserve">Создание и распространение радиовещания на территории Кыргызской Республики и за ее пределами
</t>
    </r>
    <r>
      <rPr>
        <i/>
        <sz val="11"/>
        <rFont val="Times New Roman"/>
        <family val="1"/>
        <charset val="204"/>
      </rPr>
      <t>Цель программы: Оказание информационно-просветительских услуг путем выпуска радиопередач в радиоэфире</t>
    </r>
  </si>
  <si>
    <t>Охват радиовещанием в % от общего числа населения</t>
  </si>
  <si>
    <t>Производство и выпуск в эфир радиопрограмм</t>
  </si>
  <si>
    <t>Рейтинг радиопрограмм</t>
  </si>
  <si>
    <t>Техническое обеспечение радиовещания</t>
  </si>
  <si>
    <t>Уд.вес территории Кыргызской Республики, охваченной радио вещанием</t>
  </si>
  <si>
    <t>Итого: всего по Общественному телевидению-ЭлТР</t>
  </si>
  <si>
    <t>86. Государственная судебно-экспертная служба при Правительстве Кыргызской Республики</t>
  </si>
  <si>
    <r>
      <t xml:space="preserve">Осуществление судебно-экспертной деятельности
</t>
    </r>
    <r>
      <rPr>
        <i/>
        <sz val="11"/>
        <color indexed="8"/>
        <rFont val="Times New Roman"/>
        <family val="1"/>
        <charset val="204"/>
      </rPr>
      <t>Цель программы: Проведение судебных экспертиз</t>
    </r>
  </si>
  <si>
    <t>Повышение качества проведенных судебных экспертиз</t>
  </si>
  <si>
    <t>Осуществление судебных экспертиз</t>
  </si>
  <si>
    <t>Кол-во проведенных судебных экспертиз</t>
  </si>
  <si>
    <t>Итого: всего по  Государственной судебно-экспертной службе при Правительстве Кыргызской Республики</t>
  </si>
  <si>
    <t>87. Государственное учреждение «Кыргызтест» при Правительстве Кыргызкой Республики</t>
  </si>
  <si>
    <t>Процент своевременного обеспечения</t>
  </si>
  <si>
    <t>Название программы Создание и введение в Кыргызской Республике системы Кыргызтест - как единого измерительного инструмента по определению уровня владения государственным, официальным и международным языками</t>
  </si>
  <si>
    <t>Проведение тестирования по республике</t>
  </si>
  <si>
    <t>Количество протестированных</t>
  </si>
  <si>
    <t>Разработка и издание нормативно- методических документов по оценке уровня владения официальным языком (А1 - В2)</t>
  </si>
  <si>
    <t>Количество экз.</t>
  </si>
  <si>
    <t>Разработка тестовых заданий и экспертиза по государственному и официальным языкам</t>
  </si>
  <si>
    <t>Кол-во тестовых заданий</t>
  </si>
  <si>
    <t>Разработка электронного учебника по государственному языку  (А1- В1)</t>
  </si>
  <si>
    <t>Количество наименований учебников</t>
  </si>
  <si>
    <t>Разработка программного обеспечения системы "Кыргызтест" по новой методике оценки  владения государственным, официальным языками</t>
  </si>
  <si>
    <t>Разработка первой части учебника (процент завершенности)</t>
  </si>
  <si>
    <t>Применение Интернет-ресурсов для пробного тестирования  владения государственным, официальным языками</t>
  </si>
  <si>
    <t>Создание мобильного приложения системы "Кыргызтест" для тестирования</t>
  </si>
  <si>
    <t>1 веб - портал (% завершенности)</t>
  </si>
  <si>
    <t xml:space="preserve">Итого: всего по Государственному учреждению «Кыргызтест» при Правительстве Кыргызкой Республики </t>
  </si>
  <si>
    <t>88. Национальная академия "Манас" и Чингиза Айтматова</t>
  </si>
  <si>
    <t>Название программы Организация и планирования мероприятий деятельности Учреждения</t>
  </si>
  <si>
    <t xml:space="preserve">Организация и проведение культурных мероприятий </t>
  </si>
  <si>
    <t>Итого: всего по Национальной академии "Манас" и Чингиза Айтматова</t>
  </si>
  <si>
    <t>Оказание адресной поддержки детям, находящимся  в трудной жизненной ситуации</t>
  </si>
  <si>
    <r>
      <t xml:space="preserve">Государственная поддержка конкурентных рынков и конкурентной среды в основных отраслях экономики
</t>
    </r>
    <r>
      <rPr>
        <i/>
        <sz val="11"/>
        <rFont val="Times New Roman"/>
        <family val="1"/>
        <charset val="204"/>
      </rPr>
      <t>Цель программы: Эффективное функционирование рынков товаров, работ и услуг в условиях здоровой конкуренции</t>
    </r>
  </si>
  <si>
    <r>
      <t xml:space="preserve">Производство телевизионных и радиопрограмм, их распространение          
</t>
    </r>
    <r>
      <rPr>
        <i/>
        <sz val="11"/>
        <rFont val="Times New Roman"/>
        <family val="1"/>
        <charset val="204"/>
      </rPr>
      <t>Цель программы: Создание и распространение ТВ и РВ программ</t>
    </r>
  </si>
  <si>
    <r>
      <t xml:space="preserve">Создание и распространение телевещания на территории Кыргызской Республики и за ее пределами
</t>
    </r>
    <r>
      <rPr>
        <i/>
        <sz val="11"/>
        <rFont val="Times New Roman"/>
        <family val="1"/>
        <charset val="204"/>
      </rPr>
      <t>Цель программы: Оказание информационно-просветительских услуг путем выпуска телепередач в телеэфире</t>
    </r>
  </si>
  <si>
    <r>
      <t xml:space="preserve">Планирование, управление и администрирование                                                  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</si>
  <si>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Выражение интересов и воли народа через представительную функцию Жогорку Кенеша Кыргызской Республики
</t>
    </r>
    <r>
      <rPr>
        <i/>
        <sz val="11"/>
        <rFont val="Times New Roman"/>
        <family val="1"/>
        <charset val="204"/>
      </rPr>
      <t xml:space="preserve">Цель программы: Учет волеизъявления народа при принятии решений, определяющих приоритеты развития страны, высокий уровень защиты прав и интересов всех категорий граждан, прозрачность работы и подотчетность Жогорку Кенеша перед обществом </t>
    </r>
  </si>
  <si>
    <r>
      <t xml:space="preserve">Формирование правовой системы государства через законодательную функцию Жогорку Кенеша 
</t>
    </r>
    <r>
      <rPr>
        <i/>
        <sz val="11"/>
        <rFont val="Times New Roman"/>
        <family val="1"/>
        <charset val="204"/>
      </rPr>
      <t>Цель программы: Высокое качество и действенность принимаемых законов и решений</t>
    </r>
  </si>
  <si>
    <r>
      <t xml:space="preserve">Обеспечение исполнения законов через контрольную функцию Жогорку Кенеша
</t>
    </r>
    <r>
      <rPr>
        <i/>
        <sz val="11"/>
        <rFont val="Times New Roman"/>
        <family val="1"/>
        <charset val="204"/>
      </rPr>
      <t>Цель программы: Эффективное исполнение Конституции и законов Кыргызской Республики, высокий уровень подотчетности и прозрачности деятельности Правительства и других госорганов</t>
    </r>
  </si>
  <si>
    <r>
      <t xml:space="preserve">Постоянное хранение и использование документов архивного фонда Президента Кыргызской Республики
</t>
    </r>
    <r>
      <rPr>
        <i/>
        <sz val="11"/>
        <rFont val="Times New Roman"/>
        <family val="1"/>
        <charset val="204"/>
      </rPr>
      <t>Цель программы: Высокий уровень сохранности документов архивного фонда Президента Кыргызской Республики</t>
    </r>
  </si>
  <si>
    <t xml:space="preserve">Итого: всего по Аппарату Правительства КР </t>
  </si>
  <si>
    <t xml:space="preserve">Обеспечение деятельности  Президента КР,  Премьер-Министра КР, Аппарата Президента КР и Аппарата  Правительства КР </t>
  </si>
  <si>
    <t xml:space="preserve">Количество автомашин, обслуживаемых за счет республиканского бюджета, в т.ч. обслуживаемых </t>
  </si>
  <si>
    <t xml:space="preserve">Количество автомашин, обслуживаемых  за счет специальных средств в т.ч. </t>
  </si>
  <si>
    <t>Оказание поддержки в обучении талантливых и одаренных детей и молодежи, в том числе за рубежом</t>
  </si>
  <si>
    <t xml:space="preserve">Поддержка инициатив в области образования, науки и других проектов, направленных на развитие  личностных качеств молодежи. </t>
  </si>
  <si>
    <r>
      <t xml:space="preserve">Развитие профессионального искусства Президентского камерного оркестра "Манас"
</t>
    </r>
    <r>
      <rPr>
        <i/>
        <sz val="11"/>
        <rFont val="Times New Roman"/>
        <family val="1"/>
        <charset val="204"/>
      </rPr>
      <t>Цель программы: Стимулирование профессионального и любительского искусства</t>
    </r>
  </si>
  <si>
    <r>
      <t xml:space="preserve">Планирование, управление и администрирование
</t>
    </r>
    <r>
      <rPr>
        <i/>
        <sz val="11"/>
        <rFont val="Times New Roman"/>
        <family val="1"/>
        <charset val="204"/>
      </rPr>
      <t>Цель программы: Обеспечение  деятельности системы Верховного суда, координация реализации других программ ведомства</t>
    </r>
  </si>
  <si>
    <r>
      <rPr>
        <b/>
        <sz val="11"/>
        <rFont val="Times New Roman"/>
        <family val="1"/>
        <charset val="204"/>
      </rPr>
      <t>Обеспечение доступа населения к качественному правосудию</t>
    </r>
    <r>
      <rPr>
        <sz val="11"/>
        <rFont val="Times New Roman"/>
        <family val="1"/>
        <charset val="204"/>
      </rPr>
      <t xml:space="preserve"> 
</t>
    </r>
    <r>
      <rPr>
        <i/>
        <sz val="11"/>
        <rFont val="Times New Roman"/>
        <family val="1"/>
        <charset val="204"/>
      </rPr>
      <t>Цель программы: Обеспечение справедливости, неотвратимости и исполнения судебных решений</t>
    </r>
  </si>
  <si>
    <t>Соответствие здания ВС КР, установленным стандартам по площади: да / нет</t>
  </si>
  <si>
    <r>
      <t xml:space="preserve">Планирование, управление и администрирование.
</t>
    </r>
    <r>
      <rPr>
        <i/>
        <sz val="11"/>
        <rFont val="Times New Roman"/>
        <family val="1"/>
        <charset val="204"/>
      </rPr>
      <t>Цель программы: Обеспечение  деятельности системы Конституционной палаты, координация реализации других программ ведомства</t>
    </r>
  </si>
  <si>
    <r>
      <t xml:space="preserve">Обеспечение высокого качества отправления конституционного правосудия
</t>
    </r>
    <r>
      <rPr>
        <i/>
        <sz val="11"/>
        <rFont val="Times New Roman"/>
        <family val="1"/>
        <charset val="204"/>
      </rPr>
      <t>Цель программы: Обеспечение справедливости, неотвратимости</t>
    </r>
  </si>
  <si>
    <r>
      <t xml:space="preserve">Планирование, управление и администрирование 
</t>
    </r>
    <r>
      <rPr>
        <i/>
        <sz val="11"/>
        <rFont val="Times New Roman"/>
        <family val="1"/>
        <charset val="204"/>
      </rPr>
      <t>Цель программы: Обеспечение  деятельности системы Конституционной палаты, координация реализации других программ ведомства</t>
    </r>
  </si>
  <si>
    <r>
      <t xml:space="preserve">Повышение эффективности, прозрачности и независимости судебной системы Кыргызской Республики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Обеспечение качественного правосудия в КР</t>
    </r>
  </si>
  <si>
    <r>
      <t xml:space="preserve">Планирование, управление и администрирование 
</t>
    </r>
    <r>
      <rPr>
        <i/>
        <sz val="11"/>
        <rFont val="Times New Roman"/>
        <family val="1"/>
        <charset val="204"/>
      </rPr>
      <t>Цель программы: Обеспечение  деятельности системы судебного департамента, координация реализации других программ ведомства</t>
    </r>
  </si>
  <si>
    <r>
      <t xml:space="preserve">Повышение эффективности, прозрачности и независимости местных судов Кыргызской Республики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Повышение доверия к судебной системе Кыргызской Республики</t>
    </r>
  </si>
  <si>
    <t>Место Кыргызстана в рейтинге Глобального индекса конкурентоспособности Всемирного экономического форума (в т.ч. по показателю "независимость судов")</t>
  </si>
  <si>
    <t>Координация деятельности нижестоящих избирательных комиссий и оказание им правовой, технической помощи</t>
  </si>
  <si>
    <t>Надзор за точным и единообразным исполнением законов органами исполнительной власти, органами местного самоуправления, их должностными лицами, а также другими государственными органами, перечень которых определяется конституционным законом</t>
  </si>
  <si>
    <r>
      <rPr>
        <b/>
        <sz val="11"/>
        <rFont val="Times New Roman"/>
        <family val="1"/>
        <charset val="204"/>
      </rPr>
      <t xml:space="preserve">Увеличение колич. удовлетворенных заявителей услугами Аппарата Омбудсмена (Акыйкатчы) КР (к общему количеству заявителей </t>
    </r>
    <r>
      <rPr>
        <sz val="11"/>
        <rFont val="Times New Roman"/>
        <family val="1"/>
        <charset val="204"/>
      </rPr>
      <t>(целевой индикатор по Программе))</t>
    </r>
  </si>
  <si>
    <t>Замещение вакантных административных, государственных, гражданских должностей</t>
  </si>
  <si>
    <t>Обеспечение усовершенствования и актуализация базы данных юридических лиц, филиалов (представительств)</t>
  </si>
  <si>
    <r>
      <t xml:space="preserve">Планирование, управление и администрирование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программ, включенных в данную стратегию</t>
    </r>
  </si>
  <si>
    <r>
      <t xml:space="preserve">Формирование бюджета и обеспечение  сбалансированности и устойчивости бюджета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Повышение бюджетной прозрачности и подготовка реалистичного бюджета, включая улучшение прогноза доходной части и определение стоимости бюджетных мероприятий.</t>
    </r>
  </si>
  <si>
    <t xml:space="preserve">Доля организаций здравоохранения, внедривших электронные медицинские карты пациента </t>
  </si>
  <si>
    <t>Оказание немедицинских и иных услуг организациями здравоохранения, работающим в системе Единого плательщика</t>
  </si>
  <si>
    <r>
      <rPr>
        <b/>
        <sz val="11"/>
        <rFont val="Times New Roman"/>
        <family val="1"/>
        <charset val="204"/>
      </rPr>
      <t xml:space="preserve">Предоставление услуг медицинскими учреждениями на стационарном уровне   </t>
    </r>
    <r>
      <rPr>
        <sz val="11"/>
        <rFont val="Times New Roman"/>
        <family val="1"/>
        <charset val="204"/>
      </rPr>
      <t xml:space="preserve">              </t>
    </r>
    <r>
      <rPr>
        <i/>
        <sz val="11"/>
        <rFont val="Times New Roman"/>
        <family val="1"/>
        <charset val="204"/>
      </rPr>
      <t>Цель программы: Повышение качества и эффективности предоставления гарантированной медицинской помощи на стационарном уровне</t>
    </r>
  </si>
  <si>
    <r>
      <t xml:space="preserve">Обеспечение доступности  медицинских и иных услуг, оказываемых сверх объема ПГГ населению                                                                                            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</t>
    </r>
    <r>
      <rPr>
        <i/>
        <sz val="11"/>
        <rFont val="Times New Roman"/>
        <family val="1"/>
        <charset val="204"/>
      </rPr>
      <t>Цель программы: Повышение удовлетворенности граждан посредством предоставления расширенного спектра услуг организациями здравоохранения не зависимо от формы собственности.</t>
    </r>
  </si>
  <si>
    <r>
      <t xml:space="preserve">Организация краткосрочных курсов повышения квалификации в области ИКТ согласно лицензии LE 150001548 МОН КР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Цель программы: Усиление человеческого потенциала государственных ведомств, организаций, компаний и населения посредством организации курсов повышения квалификации, востребованных рынком труда в области ИКТ и цифровой трансформации</t>
    </r>
  </si>
  <si>
    <r>
      <t xml:space="preserve">Оказание услуг по сертификации в области ИКТ и организация экзаменов от авторизованных международных тестовых центров
</t>
    </r>
    <r>
      <rPr>
        <i/>
        <sz val="11"/>
        <color indexed="8"/>
        <rFont val="Times New Roman"/>
        <family val="1"/>
        <charset val="204"/>
      </rPr>
      <t>Цель программы: Усиление человеческого потенциала государственных ведомств, организаций, компаний и населения посредством организации профессиональной сертификации без необходимости выезда за пределы страны</t>
    </r>
  </si>
  <si>
    <r>
      <rPr>
        <b/>
        <sz val="11"/>
        <color indexed="8"/>
        <rFont val="Times New Roman"/>
        <family val="1"/>
        <charset val="204"/>
      </rPr>
      <t>Оказание услуг по обслуживанию сетевой и компьютерной инфраструктуры</t>
    </r>
    <r>
      <rPr>
        <sz val="11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               </t>
    </r>
    <r>
      <rPr>
        <i/>
        <sz val="11"/>
        <color indexed="8"/>
        <rFont val="Times New Roman"/>
        <family val="1"/>
        <charset val="204"/>
      </rPr>
      <t xml:space="preserve">  Цель программы: Развитие аутсорсинга ИТ-услуг</t>
    </r>
  </si>
  <si>
    <t>Экспертиза законопроектов, разрабатываемых структурными подразделениями</t>
  </si>
  <si>
    <t>Благоприятная нормативная правовая среда  для активизации приоритетных сфер экономики</t>
  </si>
  <si>
    <t>Цель программы: Создание благоприятной нормативной правовой среды и проведение разумных реформ для активизации приоритетных сфер экономики и деятельности  субъектов бизнеса, а также роста налогооблагаемой  базы</t>
  </si>
  <si>
    <t>Организация встреч двух сторонних комиссий</t>
  </si>
  <si>
    <t xml:space="preserve">Уровень гармонизации, применяемых в КР стандартов </t>
  </si>
  <si>
    <t>29. Государственное агенство по земельным ресурсам при Правительстве Кыргызской Республики</t>
  </si>
  <si>
    <t xml:space="preserve">Количество встреч, проведенных с представителями бизнес- сообщества </t>
  </si>
  <si>
    <r>
      <t xml:space="preserve">Планирование, управление и администрирование                                 
</t>
    </r>
    <r>
      <rPr>
        <i/>
        <sz val="11"/>
        <rFont val="Times New Roman"/>
        <family val="1"/>
        <charset val="204"/>
      </rPr>
      <t>Цель программы: Исправление и содержание осужденных и подследственных</t>
    </r>
  </si>
  <si>
    <r>
      <t xml:space="preserve">Обеспечение здоровья спец контингента                                                   
</t>
    </r>
    <r>
      <rPr>
        <i/>
        <sz val="11"/>
        <rFont val="Times New Roman"/>
        <family val="1"/>
        <charset val="204"/>
      </rPr>
      <t>Цель программы:</t>
    </r>
    <r>
      <rPr>
        <b/>
        <i/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 xml:space="preserve">Предоставление необходимых медицинских услуг осужденным и подследственным </t>
    </r>
  </si>
  <si>
    <t>Организация исполнения наказаний, осужденных в лечебных учреждениях</t>
  </si>
  <si>
    <r>
      <t xml:space="preserve">Поддержка дошкольного образования в системе Государственной службы исполнения наказаний                                                              
</t>
    </r>
    <r>
      <rPr>
        <i/>
        <sz val="11"/>
        <rFont val="Times New Roman"/>
        <family val="1"/>
        <charset val="204"/>
      </rPr>
      <t>Цель программы: Подготовка детей к школе</t>
    </r>
  </si>
  <si>
    <t>Улучшение процента финансирование дошкольных учреждений</t>
  </si>
  <si>
    <t xml:space="preserve">Количество побегов - 2, количество предотвращенных  побегов осужденных - 1, количество  проникновения  во внутреннюю зону - 0, количество нападения на часового -0, количество проникновения во внешнюю запретную зону - 0 </t>
  </si>
  <si>
    <t>Количество обеспечение процессов - 12564;  количество проведение КШУ - 2</t>
  </si>
  <si>
    <r>
      <t xml:space="preserve">Поддержка и развитие дошкольного, школьного и внешкольного  образования и подготовка детей к школе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Обеспечение доступа к качественным услугам дошкольного, школьного и внешкольного образования для всех групп населения</t>
    </r>
  </si>
  <si>
    <t>Суммарная доля 60% -20% отремонтированных УЗНПО,  (в т.ч.условия для ЛОВЗ); 20%оснащенности УЗНПО, современным производственным учебным оборудованием; 20% УЗНПО, внедривших мультимедийные и инновационные технологии в образовательный процесс к общему количеству УЗНПО</t>
  </si>
  <si>
    <t xml:space="preserve">Количество ИПР, прошедших повышение квалификации, в т.ч. мастеров, обученных  на производственной базе учебных заведений и работодателей </t>
  </si>
  <si>
    <t>Информирование населения о системе среднего профессионального образования республики, направленное на повышение имиджа среднего профессионального образования. Привлечение работодателей к формированию квалификационной характеристики и процессу оценки квалификации выпускников и оптимизации системы среднего профессионального образования (спец. средства)</t>
  </si>
  <si>
    <r>
      <t xml:space="preserve">Предоставление образования для взрослых                                                                                                                                          </t>
    </r>
    <r>
      <rPr>
        <b/>
        <i/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 xml:space="preserve">Цель программы: Удовлетворение потребностей населения в повышении уровня образования путем </t>
    </r>
  </si>
  <si>
    <t xml:space="preserve">35. Государственная служба интеллектуальной собственности и инноваций при Правительстве Кыргызской Республики </t>
  </si>
  <si>
    <t xml:space="preserve">Количество разработанных проектов НПА в сфере развития интеллектуальной собственнности и инноваций </t>
  </si>
  <si>
    <r>
      <t xml:space="preserve">Реализация Государственной программы развития системы интеллектуальной собственности в КР                                                    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Создание условий для функционирования рынка ИС к 2021 году</t>
    </r>
  </si>
  <si>
    <t>Итого: всего по Государственной службе интеллектуальной собственности и инноваций при Правительстве Кыргызской Республики</t>
  </si>
  <si>
    <t>Социальная поддержка матерей, осуществляющих уход за детьми с ограниченными возможностями здоровья</t>
  </si>
  <si>
    <r>
      <t xml:space="preserve">Предоставление среднего профессионального образования Академией государственного управления при Президенте Кыргызской Республики
</t>
    </r>
    <r>
      <rPr>
        <sz val="11"/>
        <rFont val="Times New Roman"/>
        <family val="1"/>
        <charset val="204"/>
      </rPr>
      <t xml:space="preserve">Цель программы: </t>
    </r>
    <r>
      <rPr>
        <i/>
        <sz val="11"/>
        <rFont val="Times New Roman"/>
        <family val="1"/>
        <charset val="204"/>
      </rPr>
      <t>Подготовка кадров с средне-профессиональным образованием в соответствии с потребностями рынка труда</t>
    </r>
  </si>
  <si>
    <t>Внесение предложений в государственные органы по повышению жизненного уровня ветеранов, а также совершенствованию законодательства в области социальной защиты ветеранов и ветеранских организаций</t>
  </si>
  <si>
    <t>Количество сотрудников регниональных предств. в аграрном секторе</t>
  </si>
  <si>
    <t>Развитие механизации сельского хозяйства</t>
  </si>
  <si>
    <t>Обследование выборочно образцов зерна фермерских  и крестьянских хозяйств на комбинатах хлебных продуктов</t>
  </si>
  <si>
    <t>Проведение полевых инспекций семенных посевов, тестирование проб семян</t>
  </si>
  <si>
    <t>Проект развитие животноводства и рынка - 1,2 донор МФСР</t>
  </si>
  <si>
    <t xml:space="preserve">Реализация проекта «Улучшение сельскохозяйственной производительности и питания (Глобальный фонд по с/х и продовольственной безопасности)
</t>
  </si>
  <si>
    <t xml:space="preserve">Реализация Проекта «Управление национальными водными ресурсами, фаза 1» (Швейцарское бюро по развитию и сотрудничеству)
</t>
  </si>
  <si>
    <t xml:space="preserve">Доля сброса нормативно - очищенных вод к сброшенным сточным водам всего
</t>
  </si>
  <si>
    <t xml:space="preserve">Процент забора на производственные, хозяйственно - питьевые, нужды, орошение и сельскохозяйственное водоснабжение и др.
</t>
  </si>
  <si>
    <t>42. Государственное агенство водных ресурсов при Правительстве Кыргызской Республики</t>
  </si>
  <si>
    <t>Итого: всего по Государственному агенству водных ресурсов при Правительстве Кыргызской Республики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</si>
  <si>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</si>
  <si>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Сохранение историко-культурного наследия        </t>
    </r>
    <r>
      <rPr>
        <i/>
        <sz val="11"/>
        <color theme="1"/>
        <rFont val="Times New Roman"/>
        <family val="1"/>
        <charset val="204"/>
      </rPr>
      <t>Цель программы: Выстраивать систему надежного сохранения, гарантированной охраны, рационального использования и общественной популяризации, а также международного продвижения культурного наследия</t>
    </r>
  </si>
  <si>
    <r>
      <t xml:space="preserve">Образование в сфере культуры и искусства               </t>
    </r>
    <r>
      <rPr>
        <i/>
        <sz val="11"/>
        <color theme="1"/>
        <rFont val="Times New Roman"/>
        <family val="1"/>
        <charset val="204"/>
      </rPr>
      <t>Цель программы: Ориентировать политику образования  и занятости кадров в сфере культуры в  сторону реальных потребнотсей учреждений искусства</t>
    </r>
  </si>
  <si>
    <r>
      <t xml:space="preserve">Профессиональное искусство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Создание  благоприятных условий для активного развития отечественного профессионального искусства и заинтересованного приобщения населения страны к ее произведениям</t>
    </r>
  </si>
  <si>
    <r>
      <t xml:space="preserve">Сохранение, развитие и популяризация национальной кинематографии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 Обеспечение прогрессивной динамики роста потенциала и вожможностей, а также зрительской популярности кыргызского кинематографа</t>
    </r>
  </si>
  <si>
    <r>
      <rPr>
        <b/>
        <sz val="11"/>
        <color theme="1"/>
        <rFont val="Times New Roman"/>
        <family val="1"/>
        <charset val="204"/>
      </rPr>
      <t>Развитие туристической отрасли</t>
    </r>
    <r>
      <rPr>
        <sz val="11"/>
        <color theme="1"/>
        <rFont val="Times New Roman"/>
        <family val="1"/>
        <charset val="204"/>
      </rPr>
      <t xml:space="preserve">                                     </t>
    </r>
    <r>
      <rPr>
        <i/>
        <sz val="11"/>
        <color theme="1"/>
        <rFont val="Times New Roman"/>
        <family val="1"/>
        <charset val="204"/>
      </rPr>
      <t xml:space="preserve">Цель программы: Кыргызстан должен стать одним из региональных центров </t>
    </r>
    <r>
      <rPr>
        <sz val="11"/>
        <color theme="1"/>
        <rFont val="Times New Roman"/>
        <family val="1"/>
        <charset val="204"/>
      </rPr>
      <t xml:space="preserve">туризма в </t>
    </r>
    <r>
      <rPr>
        <i/>
        <sz val="11"/>
        <color theme="1"/>
        <rFont val="Times New Roman"/>
        <family val="1"/>
        <charset val="204"/>
      </rPr>
      <t>Центральной Азии</t>
    </r>
  </si>
  <si>
    <t>Проведение поисково - спасательных, аварийно-восстановительных и других неотложных работ, ликвидация последствий ЧС,  организация тушения пожаров и связанных с ними спасательных работ</t>
  </si>
  <si>
    <r>
      <rPr>
        <b/>
        <sz val="11"/>
        <rFont val="Times New Roman"/>
        <family val="1"/>
        <charset val="204"/>
      </rPr>
      <t xml:space="preserve">Планирование, управление и администрирование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 xml:space="preserve">Цель программы:Организация и обеспечение деятельности </t>
    </r>
  </si>
  <si>
    <t xml:space="preserve">Проведение научно-исследовательских работ в ООПТ </t>
  </si>
  <si>
    <r>
      <rPr>
        <b/>
        <sz val="11"/>
        <rFont val="Times New Roman"/>
        <family val="1"/>
        <charset val="204"/>
      </rPr>
      <t xml:space="preserve">Планирование, управление и администрирование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</si>
  <si>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>Реализация молодежной  политики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Формирование и развитие новой генерации активной молодежи Кыргызстана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</si>
  <si>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 программы: Координирующее и организационное воздействие на реализацию других программ</t>
    </r>
  </si>
  <si>
    <r>
      <t xml:space="preserve">Разработка и реализация государственной политики в области религии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 xml:space="preserve">Цель программы: Обеспечение прав граждан на свободу вероисповедания и предотвращение конфликтов на религиозной почве </t>
    </r>
  </si>
  <si>
    <r>
      <rPr>
        <b/>
        <sz val="11"/>
        <rFont val="Times New Roman"/>
        <family val="1"/>
        <charset val="204"/>
      </rPr>
      <t xml:space="preserve">Планирование, управление и администрирование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</si>
  <si>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Реализация политики в сфере миграции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Реализация государственной политики в сфере миграции     </t>
    </r>
    <r>
      <rPr>
        <sz val="11"/>
        <rFont val="Times New Roman"/>
        <family val="1"/>
        <charset val="204"/>
      </rPr>
      <t xml:space="preserve">                          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</si>
  <si>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</si>
  <si>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Координирование, создание и распространение телепрограмм
</t>
    </r>
    <r>
      <rPr>
        <i/>
        <sz val="11"/>
        <rFont val="Times New Roman"/>
        <family val="1"/>
        <charset val="204"/>
      </rPr>
      <t>Цель программы: Качественное и доступное получение информации по ТВ</t>
    </r>
  </si>
  <si>
    <r>
      <t xml:space="preserve">Производство телевизионных фильмов                                        
</t>
    </r>
    <r>
      <rPr>
        <i/>
        <sz val="11"/>
        <rFont val="Times New Roman"/>
        <family val="1"/>
        <charset val="204"/>
      </rPr>
      <t>Цель программы: Просвещение, пропаганда зрителей</t>
    </r>
  </si>
  <si>
    <r>
      <rPr>
        <b/>
        <sz val="11"/>
        <color indexed="8"/>
        <rFont val="Times New Roman"/>
        <family val="1"/>
        <charset val="204"/>
      </rPr>
      <t xml:space="preserve">Планирование, управление и администрирование   </t>
    </r>
    <r>
      <rPr>
        <sz val="11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Цель программы: Координиция судебно-экспертной деятельности</t>
    </r>
  </si>
  <si>
    <r>
      <t xml:space="preserve">Планирование, управление и администрирование                                                  </t>
    </r>
    <r>
      <rPr>
        <i/>
        <sz val="11"/>
        <color indexed="8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</si>
  <si>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Цель программы: Осуществление единой системы оценки уровня владения государственным, официальным и международными языками</t>
  </si>
  <si>
    <r>
      <t xml:space="preserve">Планирование, управление и администрирование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</si>
  <si>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Содействие улучшению качественного состава научных и научно-педагогических кадров, повышению эффективности их подготовки
</t>
    </r>
    <r>
      <rPr>
        <i/>
        <sz val="11"/>
        <rFont val="Times New Roman"/>
        <family val="1"/>
        <charset val="204"/>
      </rPr>
      <t>Цель программы: Обеспечение контроля за научным уровнем диссертаций, их научной и практической ценностью, единством требований при аттестации научных и научно-педагогических кадров высшей квалификации</t>
    </r>
  </si>
  <si>
    <r>
      <rPr>
        <b/>
        <sz val="11"/>
        <color indexed="8"/>
        <rFont val="Times New Roman"/>
        <family val="1"/>
        <charset val="204"/>
      </rPr>
      <t>Разработка, совершенствование и внедрение научно - обоснованной методологии в области статистики</t>
    </r>
    <r>
      <rPr>
        <sz val="11"/>
        <color indexed="8"/>
        <rFont val="Times New Roman"/>
        <family val="1"/>
        <charset val="204"/>
      </rPr>
      <t xml:space="preserve">
</t>
    </r>
    <r>
      <rPr>
        <i/>
        <sz val="11"/>
        <color indexed="8"/>
        <rFont val="Times New Roman"/>
        <family val="1"/>
        <charset val="204"/>
      </rPr>
      <t>Цель программы: Высокий уровень качества статистической информации</t>
    </r>
  </si>
  <si>
    <r>
      <t xml:space="preserve">Статистический учет и анализ развития отраслей экономики
</t>
    </r>
    <r>
      <rPr>
        <i/>
        <sz val="11"/>
        <color indexed="8"/>
        <rFont val="Times New Roman"/>
        <family val="1"/>
        <charset val="204"/>
      </rPr>
      <t>Цель программы: Высокий уровень информированности субъектов управления для принятия обоснованных управленческих решений</t>
    </r>
  </si>
  <si>
    <r>
      <t xml:space="preserve">Обеспечение качественного и достоверного статистического учета
</t>
    </r>
    <r>
      <rPr>
        <i/>
        <sz val="11"/>
        <color indexed="8"/>
        <rFont val="Times New Roman"/>
        <family val="1"/>
        <charset val="204"/>
      </rPr>
      <t>Цель программы: Высокий уровень доступности и  достоверности предоставляемой статистической и аналитической информации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</si>
  <si>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 xml:space="preserve">Цель программы: Обеспечение прав граждан на свободу вероисповедания и предотвращение конфликтов на религиозной почве </t>
    </r>
  </si>
  <si>
    <r>
      <t xml:space="preserve">Защита животных от инфекционных заболеваний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Высокий уровень защищенности животных и растений при обеспечении мер по предупреждению и профилактике заболеваний</t>
    </r>
  </si>
  <si>
    <r>
      <rPr>
        <b/>
        <sz val="11"/>
        <rFont val="Times New Roman"/>
        <family val="1"/>
        <charset val="204"/>
      </rPr>
      <t xml:space="preserve">Обеспечение ветеринарной, фитосанитарной безопасности         </t>
    </r>
    <r>
      <rPr>
        <sz val="11"/>
        <rFont val="Times New Roman"/>
        <family val="1"/>
        <charset val="204"/>
      </rPr>
      <t xml:space="preserve">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Высокий уровень ветеринарной и фитосанитарной безопасности при обеспечении соблюдения норм законодательства и предупреждении заноса заразных болезней, общих для человека, животных и растений.</t>
    </r>
  </si>
  <si>
    <r>
      <rPr>
        <b/>
        <sz val="11"/>
        <rFont val="Times New Roman"/>
        <family val="1"/>
        <charset val="204"/>
      </rPr>
      <t xml:space="preserve">Планирование, управление и администрирование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</si>
  <si>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 xml:space="preserve">Цель программы: Обеспечение  деятельности системы Агентства и координация реализации других программ </t>
  </si>
  <si>
    <r>
      <t xml:space="preserve">Развитие спорта высших достижений                             </t>
    </r>
    <r>
      <rPr>
        <i/>
        <sz val="11"/>
        <rFont val="Times New Roman"/>
        <family val="1"/>
        <charset val="204"/>
      </rPr>
      <t>Цель программы: Повышение имиджа Кыргызской Республики на международной спортивной арене</t>
    </r>
  </si>
  <si>
    <r>
      <t xml:space="preserve">Развитие физической культуры и массового спорта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Доведение массовости занятий физической культурой до 20%</t>
    </r>
  </si>
  <si>
    <r>
      <t xml:space="preserve">Захоронение  радиоактивных отходов и дезактивация белья.                                                                </t>
    </r>
    <r>
      <rPr>
        <i/>
        <sz val="11"/>
        <rFont val="Times New Roman"/>
        <family val="1"/>
        <charset val="204"/>
      </rPr>
      <t>Цель: Обеспечение экологической безопасности</t>
    </r>
  </si>
  <si>
    <r>
      <t xml:space="preserve">Развитие научно-технического потенциала 
</t>
    </r>
    <r>
      <rPr>
        <i/>
        <sz val="11"/>
        <rFont val="Times New Roman"/>
        <family val="1"/>
        <charset val="204"/>
      </rPr>
      <t>Цель программы: Поддержание высокого уровня научно-технологического потенциала, направленного на эффективное использование энергетических ресурсов страны</t>
    </r>
  </si>
  <si>
    <r>
      <rPr>
        <b/>
        <sz val="11"/>
        <rFont val="Times New Roman"/>
        <family val="1"/>
        <charset val="204"/>
      </rPr>
      <t xml:space="preserve">Планирование, управление и администрирование                                                 </t>
    </r>
    <r>
      <rPr>
        <i/>
        <sz val="11"/>
        <rFont val="Times New Roman"/>
        <family val="1"/>
        <charset val="204"/>
      </rPr>
      <t xml:space="preserve">Цель программы: Координирование и формирование условий для эффективной работы ГИЭТБ. </t>
    </r>
  </si>
  <si>
    <r>
      <t xml:space="preserve">Учет лесных, охотничьих ресурсов, планирование ведения лесного хозяйства и охотхозяйственной деятельности  
</t>
    </r>
    <r>
      <rPr>
        <i/>
        <sz val="11"/>
        <rFont val="Times New Roman"/>
        <family val="1"/>
        <charset val="204"/>
      </rPr>
      <t>Цель программы: Обеспечение актуальной информацией, о качественной и количественной характеристике лесных ресурсов, охотничьих угодий,  оценка, прогнозирование, планирование и учет</t>
    </r>
  </si>
  <si>
    <r>
      <t xml:space="preserve">Развитие лесных экосистем                                       </t>
    </r>
    <r>
      <rPr>
        <i/>
        <sz val="11"/>
        <rFont val="Times New Roman"/>
        <family val="1"/>
        <charset val="204"/>
      </rPr>
      <t>Цель программы: Сохранение лесных экосистем, увеличение лесов и рациональное лесопользование</t>
    </r>
    <r>
      <rPr>
        <sz val="11"/>
        <rFont val="Times New Roman"/>
        <family val="1"/>
        <charset val="204"/>
      </rPr>
      <t>.</t>
    </r>
  </si>
  <si>
    <r>
      <t xml:space="preserve">Обеспечение экологической безопасности
</t>
    </r>
    <r>
      <rPr>
        <i/>
        <sz val="11"/>
        <rFont val="Times New Roman"/>
        <family val="1"/>
        <charset val="204"/>
      </rPr>
      <t xml:space="preserve">Цель программы: Предотвращение воздействия возможных негативных последствий от хозяйственной и иной деятельности на здоровье населения и окружающую среду, в том числе с учетом изменения климата. 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</si>
  <si>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Координирование и формирование условий для эффективной работы ГАООСЛХ</t>
    </r>
  </si>
  <si>
    <t xml:space="preserve">к Закону Кыргызской Республики </t>
  </si>
  <si>
    <t>«О внесении изменений в Закон Кыргызской Республики</t>
  </si>
  <si>
    <t>«О республиканском бюджете Кыргызской Республики</t>
  </si>
  <si>
    <t>на 2019 год и прогнозе на 2020-2021 годы»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</si>
</sst>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\ _₽_-;\-* #,##0.00\ _₽_-;_-* &quot;-&quot;??\ _₽_-;_-@_-"/>
    <numFmt numFmtId="165" formatCode="_(* #,##0.00_);_(* \(#,##0.00\);_(* &quot;-&quot;??_);_(@_)"/>
    <numFmt numFmtId="166" formatCode="0.0"/>
    <numFmt numFmtId="167" formatCode="#,##0.0"/>
    <numFmt numFmtId="168" formatCode="###,000__;\-###,000__"/>
    <numFmt numFmtId="169" formatCode="##,#00__;\-##,#00__"/>
    <numFmt numFmtId="170" formatCode="0.0%"/>
    <numFmt numFmtId="171" formatCode="_-* #,##0.0_р_._-;\-* #,##0.0_р_._-;_-* &quot;-&quot;??_р_._-;_-@_-"/>
    <numFmt numFmtId="172" formatCode="_-* #,##0.0_р_._-;\-* #,##0.0_р_._-;_-* &quot;-&quot;?_р_._-;_-@_-"/>
    <numFmt numFmtId="173" formatCode="_-* #,##0.00\ _р_._-;\-* #,##0.00\ _р_._-;_-* &quot;-&quot;??\ _р_._-;_-@_-"/>
    <numFmt numFmtId="174" formatCode="#,##0.0_ ;\-#,##0.0\ "/>
    <numFmt numFmtId="175" formatCode="000000"/>
    <numFmt numFmtId="176" formatCode="0.00;[Red]0.00"/>
    <numFmt numFmtId="177" formatCode="##,#00.0__;\-##,#00.0__"/>
    <numFmt numFmtId="178" formatCode="#,##0.0;[Red]#,##0.0"/>
    <numFmt numFmtId="179" formatCode="###,000.0__;\-###,000.0__"/>
    <numFmt numFmtId="180" formatCode="###,000;[Red]\-###,000"/>
    <numFmt numFmtId="181" formatCode="_-* #,##0.0\ _с_о_м_-;\-* #,##0.0\ _с_о_м_-;_-* &quot;-&quot;?\ _с_о_м_-;_-@_-"/>
    <numFmt numFmtId="182" formatCode="_-* #,##0.0\ _₽_-;\-* #,##0.0\ _₽_-;_-* &quot;-&quot;??\ _₽_-;_-@_-"/>
    <numFmt numFmtId="183" formatCode="###,000.0;[Red]\-###,000.0"/>
    <numFmt numFmtId="184" formatCode="#,##0_ ;[Red]\-#,##0\ "/>
  </numFmts>
  <fonts count="5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 Cyr"/>
      <charset val="204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1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sz val="8"/>
      <name val="Arial"/>
      <family val="2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i/>
      <sz val="9"/>
      <color indexed="8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167" fontId="8" fillId="0" borderId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7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11">
      <alignment vertical="center" wrapText="1"/>
    </xf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11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11" borderId="0" applyNumberFormat="0" applyBorder="0" applyAlignment="0" applyProtection="0"/>
    <xf numFmtId="0" fontId="11" fillId="27" borderId="0" applyNumberFormat="0" applyBorder="0" applyAlignment="0" applyProtection="0"/>
    <xf numFmtId="0" fontId="18" fillId="13" borderId="0" applyNumberFormat="0" applyBorder="0" applyAlignment="0" applyProtection="0"/>
    <xf numFmtId="0" fontId="14" fillId="9" borderId="16" applyNumberFormat="0" applyAlignment="0" applyProtection="0"/>
    <xf numFmtId="0" fontId="16" fillId="28" borderId="17" applyNumberFormat="0" applyAlignment="0" applyProtection="0"/>
    <xf numFmtId="0" fontId="19" fillId="0" borderId="0" applyNumberFormat="0" applyFill="0" applyBorder="0" applyAlignment="0" applyProtection="0"/>
    <xf numFmtId="0" fontId="22" fillId="14" borderId="0" applyNumberFormat="0" applyBorder="0" applyAlignment="0" applyProtection="0"/>
    <xf numFmtId="0" fontId="23" fillId="0" borderId="18" applyNumberFormat="0" applyFill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12" fillId="7" borderId="16" applyNumberFormat="0" applyAlignment="0" applyProtection="0"/>
    <xf numFmtId="0" fontId="20" fillId="0" borderId="21" applyNumberFormat="0" applyFill="0" applyAlignment="0" applyProtection="0"/>
    <xf numFmtId="0" fontId="17" fillId="10" borderId="0" applyNumberFormat="0" applyBorder="0" applyAlignment="0" applyProtection="0"/>
    <xf numFmtId="0" fontId="3" fillId="8" borderId="22" applyNumberFormat="0" applyFont="0" applyAlignment="0" applyProtection="0"/>
    <xf numFmtId="0" fontId="13" fillId="9" borderId="23" applyNumberFormat="0" applyAlignment="0" applyProtection="0"/>
    <xf numFmtId="0" fontId="26" fillId="0" borderId="0" applyNumberFormat="0" applyFill="0" applyBorder="0" applyAlignment="0" applyProtection="0"/>
    <xf numFmtId="0" fontId="15" fillId="0" borderId="24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8" fillId="0" borderId="0"/>
    <xf numFmtId="0" fontId="2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173" fontId="10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2660">
    <xf numFmtId="0" fontId="0" fillId="0" borderId="0" xfId="0"/>
    <xf numFmtId="0" fontId="29" fillId="2" borderId="1" xfId="0" applyFont="1" applyFill="1" applyBorder="1"/>
    <xf numFmtId="0" fontId="29" fillId="4" borderId="1" xfId="0" applyFont="1" applyFill="1" applyBorder="1" applyAlignment="1">
      <alignment horizontal="right" vertical="center"/>
    </xf>
    <xf numFmtId="0" fontId="29" fillId="4" borderId="7" xfId="0" applyFont="1" applyFill="1" applyBorder="1" applyAlignment="1">
      <alignment horizontal="right" vertical="center"/>
    </xf>
    <xf numFmtId="49" fontId="30" fillId="0" borderId="1" xfId="0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horizontal="right" vertical="center"/>
    </xf>
    <xf numFmtId="0" fontId="29" fillId="0" borderId="8" xfId="0" applyFont="1" applyBorder="1" applyAlignment="1">
      <alignment vertical="center" wrapText="1"/>
    </xf>
    <xf numFmtId="168" fontId="30" fillId="0" borderId="0" xfId="0" applyNumberFormat="1" applyFont="1" applyAlignment="1">
      <alignment horizontal="center" vertical="center" wrapText="1"/>
    </xf>
    <xf numFmtId="168" fontId="30" fillId="2" borderId="1" xfId="0" applyNumberFormat="1" applyFont="1" applyFill="1" applyBorder="1" applyAlignment="1">
      <alignment vertical="center"/>
    </xf>
    <xf numFmtId="0" fontId="30" fillId="0" borderId="0" xfId="0" applyFont="1" applyAlignment="1">
      <alignment wrapText="1"/>
    </xf>
    <xf numFmtId="0" fontId="30" fillId="0" borderId="0" xfId="0" applyFont="1" applyAlignment="1">
      <alignment horizontal="left" vertical="center" wrapText="1"/>
    </xf>
    <xf numFmtId="0" fontId="29" fillId="0" borderId="1" xfId="0" applyFont="1" applyFill="1" applyBorder="1"/>
    <xf numFmtId="0" fontId="30" fillId="0" borderId="1" xfId="0" applyFont="1" applyFill="1" applyBorder="1" applyAlignment="1">
      <alignment horizontal="right" vertical="center"/>
    </xf>
    <xf numFmtId="0" fontId="29" fillId="0" borderId="1" xfId="0" applyFont="1" applyFill="1" applyBorder="1" applyAlignment="1">
      <alignment horizontal="right" vertical="center"/>
    </xf>
    <xf numFmtId="0" fontId="30" fillId="0" borderId="4" xfId="3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29" fillId="3" borderId="1" xfId="0" applyFont="1" applyFill="1" applyBorder="1" applyAlignment="1">
      <alignment horizontal="left" vertical="center"/>
    </xf>
    <xf numFmtId="167" fontId="30" fillId="3" borderId="1" xfId="0" applyNumberFormat="1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29" fillId="4" borderId="4" xfId="3" applyFont="1" applyFill="1" applyBorder="1" applyAlignment="1">
      <alignment horizontal="left" vertical="center" wrapText="1"/>
    </xf>
    <xf numFmtId="0" fontId="30" fillId="2" borderId="1" xfId="3" applyFont="1" applyFill="1" applyBorder="1" applyAlignment="1">
      <alignment horizontal="left" vertical="center" wrapText="1"/>
    </xf>
    <xf numFmtId="0" fontId="29" fillId="4" borderId="0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9" fontId="29" fillId="0" borderId="1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167" fontId="30" fillId="0" borderId="8" xfId="0" applyNumberFormat="1" applyFont="1" applyBorder="1" applyAlignment="1">
      <alignment horizontal="center" vertical="center" wrapText="1"/>
    </xf>
    <xf numFmtId="9" fontId="29" fillId="0" borderId="1" xfId="17" applyFont="1" applyFill="1" applyBorder="1" applyAlignment="1">
      <alignment horizontal="center" vertical="center" wrapText="1"/>
    </xf>
    <xf numFmtId="1" fontId="29" fillId="0" borderId="1" xfId="0" applyNumberFormat="1" applyFont="1" applyFill="1" applyBorder="1" applyAlignment="1">
      <alignment horizontal="center" vertical="center" wrapText="1"/>
    </xf>
    <xf numFmtId="167" fontId="29" fillId="4" borderId="1" xfId="0" applyNumberFormat="1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left" vertical="center" wrapText="1"/>
    </xf>
    <xf numFmtId="3" fontId="29" fillId="2" borderId="1" xfId="0" applyNumberFormat="1" applyFont="1" applyFill="1" applyBorder="1" applyAlignment="1">
      <alignment vertical="center" wrapText="1"/>
    </xf>
    <xf numFmtId="167" fontId="29" fillId="2" borderId="1" xfId="0" applyNumberFormat="1" applyFont="1" applyFill="1" applyBorder="1" applyAlignment="1">
      <alignment vertical="center" wrapText="1"/>
    </xf>
    <xf numFmtId="168" fontId="29" fillId="2" borderId="1" xfId="0" applyNumberFormat="1" applyFont="1" applyFill="1" applyBorder="1" applyAlignment="1">
      <alignment horizontal="left" vertical="center"/>
    </xf>
    <xf numFmtId="168" fontId="30" fillId="2" borderId="1" xfId="0" applyNumberFormat="1" applyFont="1" applyFill="1" applyBorder="1" applyAlignment="1">
      <alignment horizontal="left" vertical="center"/>
    </xf>
    <xf numFmtId="168" fontId="29" fillId="0" borderId="10" xfId="0" applyNumberFormat="1" applyFont="1" applyBorder="1" applyAlignment="1">
      <alignment horizontal="center" vertical="center"/>
    </xf>
    <xf numFmtId="168" fontId="29" fillId="2" borderId="1" xfId="0" applyNumberFormat="1" applyFont="1" applyFill="1" applyBorder="1" applyAlignment="1">
      <alignment vertical="center" wrapText="1"/>
    </xf>
    <xf numFmtId="167" fontId="29" fillId="0" borderId="1" xfId="0" applyNumberFormat="1" applyFont="1" applyFill="1" applyBorder="1" applyAlignment="1">
      <alignment vertical="center" wrapText="1"/>
    </xf>
    <xf numFmtId="3" fontId="29" fillId="0" borderId="1" xfId="0" applyNumberFormat="1" applyFont="1" applyFill="1" applyBorder="1" applyAlignment="1">
      <alignment vertical="center" wrapText="1"/>
    </xf>
    <xf numFmtId="9" fontId="29" fillId="0" borderId="1" xfId="0" applyNumberFormat="1" applyFont="1" applyFill="1" applyBorder="1" applyAlignment="1">
      <alignment horizontal="center" vertical="center"/>
    </xf>
    <xf numFmtId="167" fontId="30" fillId="3" borderId="1" xfId="1" applyNumberFormat="1" applyFont="1" applyFill="1" applyBorder="1" applyAlignment="1">
      <alignment horizontal="center" vertical="center"/>
    </xf>
    <xf numFmtId="49" fontId="29" fillId="0" borderId="8" xfId="0" applyNumberFormat="1" applyFont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 wrapText="1"/>
    </xf>
    <xf numFmtId="168" fontId="30" fillId="2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/>
    <xf numFmtId="167" fontId="29" fillId="0" borderId="7" xfId="1" applyNumberFormat="1" applyFont="1" applyFill="1" applyBorder="1" applyAlignment="1">
      <alignment horizontal="right" vertical="center" wrapText="1" indent="1"/>
    </xf>
    <xf numFmtId="0" fontId="30" fillId="4" borderId="4" xfId="0" applyFont="1" applyFill="1" applyBorder="1" applyAlignment="1">
      <alignment horizontal="left" vertical="center" wrapText="1"/>
    </xf>
    <xf numFmtId="0" fontId="30" fillId="0" borderId="7" xfId="0" applyFont="1" applyFill="1" applyBorder="1" applyAlignment="1">
      <alignment horizontal="right" vertical="center"/>
    </xf>
    <xf numFmtId="1" fontId="30" fillId="0" borderId="7" xfId="0" applyNumberFormat="1" applyFont="1" applyFill="1" applyBorder="1" applyAlignment="1">
      <alignment horizontal="center" vertical="center" wrapText="1"/>
    </xf>
    <xf numFmtId="0" fontId="29" fillId="0" borderId="8" xfId="3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1" xfId="6" applyFont="1" applyFill="1" applyBorder="1" applyAlignment="1">
      <alignment horizontal="center" vertical="center"/>
    </xf>
    <xf numFmtId="0" fontId="29" fillId="0" borderId="8" xfId="6" applyFont="1" applyFill="1" applyBorder="1" applyAlignment="1">
      <alignment horizontal="center" vertical="center"/>
    </xf>
    <xf numFmtId="166" fontId="30" fillId="0" borderId="1" xfId="0" applyNumberFormat="1" applyFont="1" applyFill="1" applyBorder="1" applyAlignment="1">
      <alignment horizontal="center" vertical="center" wrapText="1"/>
    </xf>
    <xf numFmtId="49" fontId="29" fillId="0" borderId="1" xfId="6" applyNumberFormat="1" applyFont="1" applyFill="1" applyBorder="1" applyAlignment="1">
      <alignment horizontal="center" vertical="center"/>
    </xf>
    <xf numFmtId="49" fontId="29" fillId="0" borderId="8" xfId="6" applyNumberFormat="1" applyFont="1" applyFill="1" applyBorder="1" applyAlignment="1">
      <alignment horizontal="center" vertical="center"/>
    </xf>
    <xf numFmtId="0" fontId="29" fillId="0" borderId="1" xfId="6" applyFont="1" applyFill="1" applyBorder="1" applyAlignment="1">
      <alignment vertical="center" wrapText="1"/>
    </xf>
    <xf numFmtId="0" fontId="30" fillId="0" borderId="1" xfId="6" applyFont="1" applyFill="1" applyBorder="1" applyAlignment="1">
      <alignment vertical="center" wrapText="1"/>
    </xf>
    <xf numFmtId="168" fontId="30" fillId="0" borderId="1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1" fontId="29" fillId="0" borderId="1" xfId="17" applyNumberFormat="1" applyFont="1" applyFill="1" applyBorder="1" applyAlignment="1">
      <alignment horizontal="center" vertical="center" wrapText="1"/>
    </xf>
    <xf numFmtId="2" fontId="29" fillId="0" borderId="1" xfId="17" applyNumberFormat="1" applyFont="1" applyFill="1" applyBorder="1" applyAlignment="1">
      <alignment horizontal="center" vertical="center" wrapText="1"/>
    </xf>
    <xf numFmtId="167" fontId="30" fillId="0" borderId="6" xfId="1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167" fontId="29" fillId="0" borderId="1" xfId="1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3" fontId="29" fillId="0" borderId="8" xfId="0" applyNumberFormat="1" applyFont="1" applyFill="1" applyBorder="1" applyAlignment="1">
      <alignment horizontal="center" vertical="center" wrapText="1"/>
    </xf>
    <xf numFmtId="0" fontId="29" fillId="0" borderId="31" xfId="3" applyFont="1" applyFill="1" applyBorder="1" applyAlignment="1">
      <alignment vertical="center" wrapText="1"/>
    </xf>
    <xf numFmtId="0" fontId="29" fillId="0" borderId="0" xfId="0" applyFont="1" applyFill="1" applyAlignment="1">
      <alignment horizontal="center" vertical="center"/>
    </xf>
    <xf numFmtId="0" fontId="30" fillId="0" borderId="1" xfId="0" applyFont="1" applyFill="1" applyBorder="1" applyAlignment="1">
      <alignment horizontal="center"/>
    </xf>
    <xf numFmtId="0" fontId="29" fillId="0" borderId="0" xfId="0" applyFont="1" applyFill="1" applyAlignment="1">
      <alignment vertical="center"/>
    </xf>
    <xf numFmtId="167" fontId="30" fillId="3" borderId="1" xfId="1" applyNumberFormat="1" applyFont="1" applyFill="1" applyBorder="1" applyAlignment="1">
      <alignment horizontal="center" vertical="center" wrapText="1"/>
    </xf>
    <xf numFmtId="0" fontId="30" fillId="2" borderId="1" xfId="3" applyFont="1" applyFill="1" applyBorder="1" applyAlignment="1">
      <alignment horizontal="center" vertical="center" wrapText="1"/>
    </xf>
    <xf numFmtId="0" fontId="29" fillId="0" borderId="1" xfId="3" applyFont="1" applyFill="1" applyBorder="1" applyAlignment="1">
      <alignment wrapText="1"/>
    </xf>
    <xf numFmtId="0" fontId="29" fillId="2" borderId="1" xfId="3" applyFont="1" applyFill="1" applyBorder="1" applyAlignment="1">
      <alignment horizontal="center" vertical="center" wrapText="1"/>
    </xf>
    <xf numFmtId="0" fontId="29" fillId="0" borderId="1" xfId="17" applyNumberFormat="1" applyFont="1" applyFill="1" applyBorder="1" applyAlignment="1">
      <alignment horizontal="center" vertical="center" wrapText="1"/>
    </xf>
    <xf numFmtId="168" fontId="30" fillId="0" borderId="31" xfId="0" applyNumberFormat="1" applyFont="1" applyBorder="1" applyAlignment="1">
      <alignment horizontal="center" vertical="center"/>
    </xf>
    <xf numFmtId="49" fontId="29" fillId="2" borderId="31" xfId="0" applyNumberFormat="1" applyFont="1" applyFill="1" applyBorder="1" applyAlignment="1">
      <alignment vertical="center"/>
    </xf>
    <xf numFmtId="171" fontId="29" fillId="0" borderId="1" xfId="8" applyNumberFormat="1" applyFont="1" applyFill="1" applyBorder="1" applyAlignment="1">
      <alignment horizontal="center" vertical="center" wrapText="1"/>
    </xf>
    <xf numFmtId="167" fontId="29" fillId="0" borderId="8" xfId="0" applyNumberFormat="1" applyFont="1" applyFill="1" applyBorder="1" applyAlignment="1">
      <alignment vertical="center" wrapText="1"/>
    </xf>
    <xf numFmtId="172" fontId="29" fillId="0" borderId="1" xfId="0" applyNumberFormat="1" applyFont="1" applyFill="1" applyBorder="1" applyAlignment="1">
      <alignment horizontal="center" vertical="center" wrapText="1"/>
    </xf>
    <xf numFmtId="49" fontId="29" fillId="0" borderId="3" xfId="0" applyNumberFormat="1" applyFont="1" applyFill="1" applyBorder="1" applyAlignment="1">
      <alignment vertical="center"/>
    </xf>
    <xf numFmtId="49" fontId="29" fillId="0" borderId="1" xfId="0" applyNumberFormat="1" applyFont="1" applyFill="1" applyBorder="1" applyAlignment="1">
      <alignment horizontal="right" vertical="center"/>
    </xf>
    <xf numFmtId="0" fontId="29" fillId="0" borderId="4" xfId="0" applyFont="1" applyFill="1" applyBorder="1" applyAlignment="1">
      <alignment horizontal="left" vertical="top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top" wrapText="1"/>
    </xf>
    <xf numFmtId="166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167" fontId="29" fillId="0" borderId="1" xfId="0" applyNumberFormat="1" applyFont="1" applyFill="1" applyBorder="1" applyAlignment="1">
      <alignment vertical="top" wrapText="1"/>
    </xf>
    <xf numFmtId="167" fontId="29" fillId="0" borderId="8" xfId="0" applyNumberFormat="1" applyFont="1" applyFill="1" applyBorder="1" applyAlignment="1">
      <alignment horizontal="center" vertical="top" wrapText="1"/>
    </xf>
    <xf numFmtId="3" fontId="29" fillId="0" borderId="8" xfId="0" applyNumberFormat="1" applyFont="1" applyFill="1" applyBorder="1" applyAlignment="1">
      <alignment horizontal="center" vertical="top" wrapText="1"/>
    </xf>
    <xf numFmtId="0" fontId="29" fillId="0" borderId="30" xfId="0" applyFont="1" applyFill="1" applyBorder="1" applyAlignment="1">
      <alignment vertical="top" wrapText="1"/>
    </xf>
    <xf numFmtId="0" fontId="29" fillId="0" borderId="30" xfId="0" applyFont="1" applyFill="1" applyBorder="1" applyAlignment="1">
      <alignment horizontal="center" vertical="center" wrapText="1"/>
    </xf>
    <xf numFmtId="3" fontId="29" fillId="0" borderId="30" xfId="0" applyNumberFormat="1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vertical="top"/>
    </xf>
    <xf numFmtId="0" fontId="29" fillId="0" borderId="1" xfId="0" applyFont="1" applyFill="1" applyBorder="1" applyAlignment="1">
      <alignment vertical="top"/>
    </xf>
    <xf numFmtId="0" fontId="29" fillId="0" borderId="1" xfId="4" applyFont="1" applyFill="1" applyBorder="1" applyAlignment="1">
      <alignment horizontal="center" vertical="center" wrapText="1"/>
    </xf>
    <xf numFmtId="0" fontId="29" fillId="0" borderId="1" xfId="4" applyFont="1" applyFill="1" applyBorder="1" applyAlignment="1">
      <alignment horizontal="center" vertical="center"/>
    </xf>
    <xf numFmtId="0" fontId="29" fillId="0" borderId="4" xfId="4" applyFont="1" applyFill="1" applyBorder="1" applyAlignment="1">
      <alignment horizontal="center" vertical="center"/>
    </xf>
    <xf numFmtId="0" fontId="29" fillId="0" borderId="1" xfId="4" applyFont="1" applyFill="1" applyBorder="1" applyAlignment="1">
      <alignment horizontal="left" vertical="top" wrapText="1"/>
    </xf>
    <xf numFmtId="0" fontId="29" fillId="0" borderId="1" xfId="4" applyFont="1" applyFill="1" applyBorder="1" applyAlignment="1">
      <alignment horizontal="center" vertical="top" wrapText="1"/>
    </xf>
    <xf numFmtId="0" fontId="30" fillId="0" borderId="4" xfId="4" applyFont="1" applyFill="1" applyBorder="1" applyAlignment="1">
      <alignment horizontal="left" vertical="top" wrapText="1"/>
    </xf>
    <xf numFmtId="0" fontId="29" fillId="0" borderId="1" xfId="4" applyFont="1" applyFill="1" applyBorder="1" applyAlignment="1">
      <alignment horizontal="left" vertical="center" wrapText="1"/>
    </xf>
    <xf numFmtId="0" fontId="30" fillId="0" borderId="1" xfId="4" applyFont="1" applyFill="1" applyBorder="1" applyAlignment="1">
      <alignment horizontal="center" vertical="center" wrapText="1"/>
    </xf>
    <xf numFmtId="167" fontId="29" fillId="0" borderId="1" xfId="4" applyNumberFormat="1" applyFont="1" applyFill="1" applyBorder="1" applyAlignment="1">
      <alignment horizontal="center" vertical="center" wrapText="1"/>
    </xf>
    <xf numFmtId="0" fontId="29" fillId="0" borderId="4" xfId="4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/>
    </xf>
    <xf numFmtId="169" fontId="29" fillId="0" borderId="1" xfId="0" applyNumberFormat="1" applyFont="1" applyFill="1" applyBorder="1" applyAlignment="1">
      <alignment vertical="center"/>
    </xf>
    <xf numFmtId="0" fontId="29" fillId="0" borderId="4" xfId="4" applyFont="1" applyFill="1" applyBorder="1" applyAlignment="1">
      <alignment horizontal="left" vertical="top" wrapText="1"/>
    </xf>
    <xf numFmtId="3" fontId="29" fillId="0" borderId="1" xfId="4" applyNumberFormat="1" applyFont="1" applyFill="1" applyBorder="1" applyAlignment="1">
      <alignment horizontal="center" vertical="center" wrapText="1"/>
    </xf>
    <xf numFmtId="3" fontId="29" fillId="0" borderId="4" xfId="4" applyNumberFormat="1" applyFont="1" applyFill="1" applyBorder="1" applyAlignment="1">
      <alignment horizontal="center" vertical="center" wrapText="1"/>
    </xf>
    <xf numFmtId="1" fontId="29" fillId="0" borderId="1" xfId="2" applyNumberFormat="1" applyFont="1" applyFill="1" applyBorder="1" applyAlignment="1">
      <alignment horizontal="center" vertical="center" wrapText="1"/>
    </xf>
    <xf numFmtId="1" fontId="29" fillId="0" borderId="4" xfId="2" applyNumberFormat="1" applyFont="1" applyFill="1" applyBorder="1" applyAlignment="1">
      <alignment horizontal="center" vertical="center" wrapText="1"/>
    </xf>
    <xf numFmtId="9" fontId="29" fillId="0" borderId="1" xfId="4" applyNumberFormat="1" applyFont="1" applyFill="1" applyBorder="1" applyAlignment="1">
      <alignment horizontal="center" vertical="center" wrapText="1"/>
    </xf>
    <xf numFmtId="9" fontId="29" fillId="0" borderId="4" xfId="4" applyNumberFormat="1" applyFont="1" applyFill="1" applyBorder="1" applyAlignment="1">
      <alignment horizontal="center" vertical="center" wrapText="1"/>
    </xf>
    <xf numFmtId="0" fontId="29" fillId="0" borderId="1" xfId="4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Fill="1"/>
    <xf numFmtId="0" fontId="29" fillId="0" borderId="8" xfId="0" applyNumberFormat="1" applyFont="1" applyFill="1" applyBorder="1" applyAlignment="1">
      <alignment horizontal="right" vertical="center"/>
    </xf>
    <xf numFmtId="43" fontId="29" fillId="0" borderId="8" xfId="8" applyFont="1" applyFill="1" applyBorder="1" applyAlignment="1">
      <alignment horizontal="center" vertical="center" wrapText="1"/>
    </xf>
    <xf numFmtId="44" fontId="29" fillId="0" borderId="1" xfId="0" applyNumberFormat="1" applyFont="1" applyFill="1" applyBorder="1" applyAlignment="1">
      <alignment horizontal="center" vertical="center" wrapText="1"/>
    </xf>
    <xf numFmtId="1" fontId="29" fillId="0" borderId="1" xfId="0" applyNumberFormat="1" applyFont="1" applyFill="1" applyBorder="1" applyAlignment="1">
      <alignment vertical="center" wrapText="1"/>
    </xf>
    <xf numFmtId="0" fontId="29" fillId="0" borderId="6" xfId="0" applyFont="1" applyBorder="1" applyAlignment="1">
      <alignment horizontal="center" vertical="center"/>
    </xf>
    <xf numFmtId="0" fontId="30" fillId="0" borderId="8" xfId="6" applyFont="1" applyFill="1" applyBorder="1" applyAlignment="1">
      <alignment vertical="center" wrapText="1"/>
    </xf>
    <xf numFmtId="0" fontId="29" fillId="0" borderId="8" xfId="6" applyFont="1" applyFill="1" applyBorder="1" applyAlignment="1">
      <alignment vertical="center" wrapText="1"/>
    </xf>
    <xf numFmtId="0" fontId="29" fillId="0" borderId="1" xfId="0" applyFont="1" applyFill="1" applyBorder="1" applyAlignment="1">
      <alignment wrapText="1"/>
    </xf>
    <xf numFmtId="166" fontId="29" fillId="0" borderId="1" xfId="0" applyNumberFormat="1" applyFont="1" applyFill="1" applyBorder="1" applyAlignment="1">
      <alignment horizontal="left" vertical="center" wrapText="1"/>
    </xf>
    <xf numFmtId="0" fontId="30" fillId="0" borderId="31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vertical="center" wrapText="1"/>
    </xf>
    <xf numFmtId="0" fontId="29" fillId="0" borderId="4" xfId="0" applyFont="1" applyFill="1" applyBorder="1" applyAlignment="1">
      <alignment vertical="center" wrapText="1"/>
    </xf>
    <xf numFmtId="0" fontId="29" fillId="2" borderId="0" xfId="0" applyFont="1" applyFill="1"/>
    <xf numFmtId="0" fontId="29" fillId="2" borderId="8" xfId="3" applyFont="1" applyFill="1" applyBorder="1" applyAlignment="1">
      <alignment vertical="center" wrapText="1"/>
    </xf>
    <xf numFmtId="169" fontId="29" fillId="0" borderId="31" xfId="0" applyNumberFormat="1" applyFont="1" applyFill="1" applyBorder="1" applyAlignment="1">
      <alignment horizontal="right" vertical="center"/>
    </xf>
    <xf numFmtId="167" fontId="30" fillId="0" borderId="1" xfId="0" applyNumberFormat="1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vertical="center" wrapText="1"/>
    </xf>
    <xf numFmtId="175" fontId="29" fillId="0" borderId="1" xfId="152" applyNumberFormat="1" applyFont="1" applyFill="1" applyBorder="1"/>
    <xf numFmtId="0" fontId="29" fillId="0" borderId="1" xfId="152" applyFont="1" applyFill="1" applyBorder="1" applyAlignment="1">
      <alignment horizontal="center" vertical="center" wrapText="1"/>
    </xf>
    <xf numFmtId="49" fontId="36" fillId="0" borderId="1" xfId="0" applyNumberFormat="1" applyFont="1" applyFill="1" applyBorder="1"/>
    <xf numFmtId="0" fontId="29" fillId="0" borderId="1" xfId="152" applyFont="1" applyFill="1" applyBorder="1" applyAlignment="1">
      <alignment horizontal="left" vertical="center" wrapText="1"/>
    </xf>
    <xf numFmtId="0" fontId="29" fillId="0" borderId="1" xfId="4" applyFont="1" applyFill="1" applyBorder="1" applyAlignment="1">
      <alignment horizontal="right" vertical="center" wrapText="1"/>
    </xf>
    <xf numFmtId="0" fontId="29" fillId="0" borderId="1" xfId="4" applyFont="1" applyFill="1" applyBorder="1" applyAlignment="1">
      <alignment horizontal="right" vertical="center"/>
    </xf>
    <xf numFmtId="49" fontId="36" fillId="0" borderId="31" xfId="0" applyNumberFormat="1" applyFont="1" applyFill="1" applyBorder="1" applyAlignment="1"/>
    <xf numFmtId="0" fontId="36" fillId="0" borderId="1" xfId="0" applyFont="1" applyFill="1" applyBorder="1" applyAlignment="1">
      <alignment horizontal="center" vertical="center"/>
    </xf>
    <xf numFmtId="49" fontId="37" fillId="0" borderId="1" xfId="0" applyNumberFormat="1" applyFont="1" applyFill="1" applyBorder="1"/>
    <xf numFmtId="49" fontId="37" fillId="0" borderId="31" xfId="0" applyNumberFormat="1" applyFont="1" applyFill="1" applyBorder="1"/>
    <xf numFmtId="0" fontId="38" fillId="0" borderId="1" xfId="0" applyFont="1" applyFill="1" applyBorder="1" applyAlignment="1">
      <alignment vertical="center" wrapText="1"/>
    </xf>
    <xf numFmtId="0" fontId="36" fillId="0" borderId="1" xfId="0" applyFont="1" applyFill="1" applyBorder="1"/>
    <xf numFmtId="0" fontId="36" fillId="0" borderId="1" xfId="0" applyFont="1" applyFill="1" applyBorder="1" applyAlignment="1">
      <alignment wrapText="1"/>
    </xf>
    <xf numFmtId="0" fontId="36" fillId="0" borderId="1" xfId="0" applyFont="1" applyFill="1" applyBorder="1" applyAlignment="1">
      <alignment horizontal="center" vertical="top" wrapText="1"/>
    </xf>
    <xf numFmtId="49" fontId="36" fillId="0" borderId="1" xfId="0" applyNumberFormat="1" applyFont="1" applyFill="1" applyBorder="1" applyAlignment="1">
      <alignment horizontal="center" vertical="top" wrapText="1"/>
    </xf>
    <xf numFmtId="49" fontId="36" fillId="0" borderId="1" xfId="0" applyNumberFormat="1" applyFont="1" applyFill="1" applyBorder="1" applyAlignment="1">
      <alignment vertical="top"/>
    </xf>
    <xf numFmtId="49" fontId="36" fillId="0" borderId="1" xfId="0" applyNumberFormat="1" applyFont="1" applyFill="1" applyBorder="1" applyAlignment="1">
      <alignment horizontal="left" vertical="top" wrapText="1"/>
    </xf>
    <xf numFmtId="176" fontId="36" fillId="0" borderId="1" xfId="0" applyNumberFormat="1" applyFont="1" applyFill="1" applyBorder="1" applyAlignment="1">
      <alignment horizontal="center" vertical="top"/>
    </xf>
    <xf numFmtId="176" fontId="36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wrapText="1"/>
    </xf>
    <xf numFmtId="167" fontId="39" fillId="4" borderId="1" xfId="0" applyNumberFormat="1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 wrapText="1"/>
    </xf>
    <xf numFmtId="0" fontId="36" fillId="0" borderId="0" xfId="0" applyFont="1"/>
    <xf numFmtId="0" fontId="30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left" vertical="top" wrapText="1"/>
    </xf>
    <xf numFmtId="168" fontId="29" fillId="0" borderId="1" xfId="152" applyNumberFormat="1" applyFont="1" applyFill="1" applyBorder="1" applyAlignment="1">
      <alignment horizontal="left" vertical="top" wrapText="1"/>
    </xf>
    <xf numFmtId="176" fontId="29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top" wrapText="1"/>
    </xf>
    <xf numFmtId="176" fontId="29" fillId="0" borderId="1" xfId="0" applyNumberFormat="1" applyFont="1" applyFill="1" applyBorder="1" applyAlignment="1">
      <alignment horizontal="center" vertical="center" wrapText="1"/>
    </xf>
    <xf numFmtId="176" fontId="36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top" wrapText="1"/>
    </xf>
    <xf numFmtId="168" fontId="30" fillId="0" borderId="1" xfId="152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right" vertical="center"/>
    </xf>
    <xf numFmtId="168" fontId="30" fillId="0" borderId="31" xfId="152" applyNumberFormat="1" applyFont="1" applyBorder="1" applyAlignment="1">
      <alignment horizontal="center" vertical="top"/>
    </xf>
    <xf numFmtId="0" fontId="36" fillId="0" borderId="0" xfId="0" applyFont="1" applyFill="1"/>
    <xf numFmtId="49" fontId="36" fillId="0" borderId="3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right" vertical="center"/>
    </xf>
    <xf numFmtId="0" fontId="29" fillId="0" borderId="1" xfId="152" applyFont="1" applyFill="1" applyBorder="1" applyAlignment="1">
      <alignment horizontal="left" vertical="top" wrapText="1"/>
    </xf>
    <xf numFmtId="0" fontId="37" fillId="0" borderId="0" xfId="0" applyFont="1" applyFill="1"/>
    <xf numFmtId="0" fontId="36" fillId="0" borderId="1" xfId="0" applyFont="1" applyFill="1" applyBorder="1" applyAlignment="1">
      <alignment horizontal="center"/>
    </xf>
    <xf numFmtId="0" fontId="36" fillId="0" borderId="7" xfId="0" applyFont="1" applyFill="1" applyBorder="1" applyAlignment="1">
      <alignment vertical="top" wrapText="1"/>
    </xf>
    <xf numFmtId="0" fontId="36" fillId="0" borderId="7" xfId="0" applyFont="1" applyFill="1" applyBorder="1" applyAlignment="1">
      <alignment horizontal="center" vertical="top" wrapText="1"/>
    </xf>
    <xf numFmtId="0" fontId="30" fillId="2" borderId="1" xfId="0" applyFont="1" applyFill="1" applyBorder="1" applyAlignment="1">
      <alignment horizontal="center" vertical="center" wrapText="1"/>
    </xf>
    <xf numFmtId="166" fontId="30" fillId="0" borderId="8" xfId="0" applyNumberFormat="1" applyFont="1" applyFill="1" applyBorder="1" applyAlignment="1">
      <alignment horizontal="center" vertical="center" wrapText="1"/>
    </xf>
    <xf numFmtId="166" fontId="30" fillId="0" borderId="7" xfId="0" applyNumberFormat="1" applyFont="1" applyFill="1" applyBorder="1" applyAlignment="1">
      <alignment horizontal="center" vertical="center" wrapText="1"/>
    </xf>
    <xf numFmtId="167" fontId="30" fillId="2" borderId="7" xfId="0" applyNumberFormat="1" applyFont="1" applyFill="1" applyBorder="1" applyAlignment="1">
      <alignment horizontal="center" vertical="center" wrapText="1"/>
    </xf>
    <xf numFmtId="49" fontId="29" fillId="4" borderId="1" xfId="0" applyNumberFormat="1" applyFont="1" applyFill="1" applyBorder="1" applyAlignment="1">
      <alignment vertical="center"/>
    </xf>
    <xf numFmtId="167" fontId="29" fillId="0" borderId="0" xfId="1" applyNumberFormat="1" applyFont="1" applyAlignment="1">
      <alignment horizontal="center" vertical="center"/>
    </xf>
    <xf numFmtId="167" fontId="30" fillId="0" borderId="7" xfId="8" applyNumberFormat="1" applyFont="1" applyFill="1" applyBorder="1" applyAlignment="1">
      <alignment horizontal="center" vertical="center" wrapText="1"/>
    </xf>
    <xf numFmtId="167" fontId="30" fillId="0" borderId="1" xfId="8" applyNumberFormat="1" applyFont="1" applyFill="1" applyBorder="1" applyAlignment="1">
      <alignment horizontal="center" vertical="center" wrapText="1"/>
    </xf>
    <xf numFmtId="174" fontId="30" fillId="2" borderId="1" xfId="0" applyNumberFormat="1" applyFont="1" applyFill="1" applyBorder="1" applyAlignment="1">
      <alignment horizontal="center" vertical="center"/>
    </xf>
    <xf numFmtId="167" fontId="30" fillId="0" borderId="1" xfId="1" applyNumberFormat="1" applyFont="1" applyFill="1" applyBorder="1" applyAlignment="1">
      <alignment horizontal="center" vertical="center"/>
    </xf>
    <xf numFmtId="2" fontId="29" fillId="0" borderId="8" xfId="0" applyNumberFormat="1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 wrapText="1"/>
    </xf>
    <xf numFmtId="167" fontId="30" fillId="0" borderId="14" xfId="1" applyNumberFormat="1" applyFont="1" applyBorder="1" applyAlignment="1">
      <alignment horizontal="center" vertical="center" wrapText="1"/>
    </xf>
    <xf numFmtId="167" fontId="30" fillId="0" borderId="8" xfId="1" applyNumberFormat="1" applyFont="1" applyBorder="1" applyAlignment="1">
      <alignment horizontal="center" vertical="center" wrapText="1"/>
    </xf>
    <xf numFmtId="176" fontId="30" fillId="2" borderId="1" xfId="4" applyNumberFormat="1" applyFont="1" applyFill="1" applyBorder="1" applyAlignment="1">
      <alignment horizontal="center" vertical="center" wrapText="1"/>
    </xf>
    <xf numFmtId="176" fontId="38" fillId="0" borderId="1" xfId="0" applyNumberFormat="1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167" fontId="30" fillId="0" borderId="1" xfId="4" applyNumberFormat="1" applyFont="1" applyFill="1" applyBorder="1" applyAlignment="1">
      <alignment horizontal="center" vertical="center" wrapText="1"/>
    </xf>
    <xf numFmtId="167" fontId="30" fillId="2" borderId="1" xfId="4" applyNumberFormat="1" applyFont="1" applyFill="1" applyBorder="1" applyAlignment="1">
      <alignment horizontal="center" vertical="center" wrapText="1"/>
    </xf>
    <xf numFmtId="172" fontId="30" fillId="2" borderId="1" xfId="4" applyNumberFormat="1" applyFont="1" applyFill="1" applyBorder="1" applyAlignment="1">
      <alignment horizontal="center" vertical="center" wrapText="1"/>
    </xf>
    <xf numFmtId="171" fontId="39" fillId="2" borderId="1" xfId="8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vertical="center" wrapText="1"/>
    </xf>
    <xf numFmtId="167" fontId="36" fillId="2" borderId="1" xfId="0" applyNumberFormat="1" applyFont="1" applyFill="1" applyBorder="1" applyAlignment="1">
      <alignment vertical="center" wrapText="1"/>
    </xf>
    <xf numFmtId="166" fontId="36" fillId="2" borderId="1" xfId="0" applyNumberFormat="1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167" fontId="30" fillId="2" borderId="1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right" vertical="center"/>
    </xf>
    <xf numFmtId="0" fontId="40" fillId="4" borderId="7" xfId="0" applyFont="1" applyFill="1" applyBorder="1" applyAlignment="1">
      <alignment horizontal="right" vertical="center"/>
    </xf>
    <xf numFmtId="0" fontId="40" fillId="4" borderId="7" xfId="0" applyFont="1" applyFill="1" applyBorder="1" applyAlignment="1">
      <alignment vertical="center" wrapText="1"/>
    </xf>
    <xf numFmtId="0" fontId="40" fillId="4" borderId="7" xfId="0" applyFont="1" applyFill="1" applyBorder="1" applyAlignment="1">
      <alignment horizontal="left" vertical="center" wrapText="1"/>
    </xf>
    <xf numFmtId="0" fontId="40" fillId="4" borderId="7" xfId="0" applyFont="1" applyFill="1" applyBorder="1" applyAlignment="1">
      <alignment horizontal="center" vertical="center" wrapText="1"/>
    </xf>
    <xf numFmtId="0" fontId="39" fillId="0" borderId="0" xfId="0" applyFont="1"/>
    <xf numFmtId="0" fontId="39" fillId="4" borderId="7" xfId="0" applyFont="1" applyFill="1" applyBorder="1" applyAlignment="1">
      <alignment vertical="center" wrapText="1"/>
    </xf>
    <xf numFmtId="0" fontId="39" fillId="4" borderId="1" xfId="0" applyFont="1" applyFill="1" applyBorder="1" applyAlignment="1">
      <alignment vertical="center" wrapText="1"/>
    </xf>
    <xf numFmtId="0" fontId="39" fillId="4" borderId="1" xfId="0" applyFont="1" applyFill="1" applyBorder="1" applyAlignment="1">
      <alignment horizontal="left" vertical="center" wrapText="1"/>
    </xf>
    <xf numFmtId="0" fontId="40" fillId="4" borderId="1" xfId="0" applyFont="1" applyFill="1" applyBorder="1" applyAlignment="1">
      <alignment horizontal="center" vertical="center" wrapText="1"/>
    </xf>
    <xf numFmtId="166" fontId="39" fillId="4" borderId="1" xfId="0" applyNumberFormat="1" applyFont="1" applyFill="1" applyBorder="1" applyAlignment="1">
      <alignment horizontal="center" vertical="center" wrapText="1"/>
    </xf>
    <xf numFmtId="0" fontId="39" fillId="4" borderId="0" xfId="0" applyFont="1" applyFill="1" applyBorder="1" applyAlignment="1">
      <alignment horizontal="left" vertical="center" wrapText="1"/>
    </xf>
    <xf numFmtId="49" fontId="39" fillId="4" borderId="31" xfId="0" applyNumberFormat="1" applyFont="1" applyFill="1" applyBorder="1" applyAlignment="1">
      <alignment vertical="center"/>
    </xf>
    <xf numFmtId="0" fontId="39" fillId="4" borderId="31" xfId="0" applyFont="1" applyFill="1" applyBorder="1" applyAlignment="1">
      <alignment horizontal="center" vertical="center" wrapText="1"/>
    </xf>
    <xf numFmtId="166" fontId="39" fillId="4" borderId="31" xfId="0" applyNumberFormat="1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left" vertical="center" wrapText="1"/>
    </xf>
    <xf numFmtId="167" fontId="40" fillId="4" borderId="1" xfId="0" applyNumberFormat="1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vertical="center" wrapText="1"/>
    </xf>
    <xf numFmtId="0" fontId="39" fillId="4" borderId="1" xfId="0" applyFont="1" applyFill="1" applyBorder="1" applyAlignment="1">
      <alignment horizontal="right" vertical="center"/>
    </xf>
    <xf numFmtId="0" fontId="40" fillId="4" borderId="31" xfId="0" applyFont="1" applyFill="1" applyBorder="1" applyAlignment="1">
      <alignment horizontal="center" vertical="center" wrapText="1"/>
    </xf>
    <xf numFmtId="167" fontId="39" fillId="4" borderId="1" xfId="0" applyNumberFormat="1" applyFont="1" applyFill="1" applyBorder="1" applyAlignment="1">
      <alignment vertical="center" wrapText="1"/>
    </xf>
    <xf numFmtId="166" fontId="40" fillId="4" borderId="31" xfId="0" applyNumberFormat="1" applyFont="1" applyFill="1" applyBorder="1" applyAlignment="1">
      <alignment horizontal="center" vertical="center" wrapText="1"/>
    </xf>
    <xf numFmtId="0" fontId="39" fillId="4" borderId="1" xfId="0" applyFont="1" applyFill="1" applyBorder="1"/>
    <xf numFmtId="0" fontId="36" fillId="0" borderId="1" xfId="0" applyFont="1" applyFill="1" applyBorder="1" applyAlignment="1">
      <alignment vertical="center" wrapText="1"/>
    </xf>
    <xf numFmtId="167" fontId="40" fillId="4" borderId="7" xfId="0" applyNumberFormat="1" applyFont="1" applyFill="1" applyBorder="1" applyAlignment="1">
      <alignment horizontal="center" vertical="center" wrapText="1"/>
    </xf>
    <xf numFmtId="171" fontId="39" fillId="0" borderId="1" xfId="8" applyNumberFormat="1" applyFont="1" applyFill="1" applyBorder="1" applyAlignment="1">
      <alignment horizontal="center" vertical="center" wrapText="1"/>
    </xf>
    <xf numFmtId="171" fontId="39" fillId="2" borderId="1" xfId="13" applyNumberFormat="1" applyFont="1" applyFill="1" applyBorder="1" applyAlignment="1">
      <alignment horizontal="center" vertical="center"/>
    </xf>
    <xf numFmtId="171" fontId="39" fillId="2" borderId="4" xfId="13" applyNumberFormat="1" applyFont="1" applyFill="1" applyBorder="1" applyAlignment="1">
      <alignment horizontal="center" vertical="center"/>
    </xf>
    <xf numFmtId="171" fontId="39" fillId="0" borderId="1" xfId="8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right" vertical="center"/>
    </xf>
    <xf numFmtId="0" fontId="30" fillId="0" borderId="0" xfId="0" applyFont="1" applyFill="1"/>
    <xf numFmtId="0" fontId="29" fillId="0" borderId="31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left" vertical="center" wrapText="1"/>
    </xf>
    <xf numFmtId="0" fontId="29" fillId="0" borderId="7" xfId="0" applyFont="1" applyFill="1" applyBorder="1" applyAlignment="1">
      <alignment horizontal="left" vertical="center" wrapText="1"/>
    </xf>
    <xf numFmtId="0" fontId="29" fillId="0" borderId="7" xfId="0" applyFont="1" applyFill="1" applyBorder="1" applyAlignment="1">
      <alignment horizontal="right" vertical="center"/>
    </xf>
    <xf numFmtId="49" fontId="29" fillId="0" borderId="2" xfId="0" applyNumberFormat="1" applyFont="1" applyFill="1" applyBorder="1" applyAlignment="1">
      <alignment horizontal="center" vertical="center"/>
    </xf>
    <xf numFmtId="0" fontId="36" fillId="0" borderId="31" xfId="0" applyFont="1" applyFill="1" applyBorder="1" applyAlignment="1">
      <alignment horizontal="left" vertical="top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176" fontId="29" fillId="0" borderId="31" xfId="0" applyNumberFormat="1" applyFont="1" applyFill="1" applyBorder="1" applyAlignment="1">
      <alignment horizontal="center" vertical="center"/>
    </xf>
    <xf numFmtId="0" fontId="36" fillId="0" borderId="31" xfId="0" applyFont="1" applyFill="1" applyBorder="1" applyAlignment="1">
      <alignment vertical="top" wrapText="1"/>
    </xf>
    <xf numFmtId="0" fontId="29" fillId="2" borderId="3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36" fillId="2" borderId="31" xfId="0" applyFont="1" applyFill="1" applyBorder="1" applyAlignment="1">
      <alignment horizontal="center" vertical="center" wrapText="1"/>
    </xf>
    <xf numFmtId="167" fontId="29" fillId="2" borderId="14" xfId="1" applyNumberFormat="1" applyFont="1" applyFill="1" applyBorder="1" applyAlignment="1">
      <alignment horizontal="center" vertical="center" wrapText="1"/>
    </xf>
    <xf numFmtId="167" fontId="29" fillId="2" borderId="9" xfId="1" applyNumberFormat="1" applyFont="1" applyFill="1" applyBorder="1" applyAlignment="1">
      <alignment horizontal="center" vertical="center" wrapText="1"/>
    </xf>
    <xf numFmtId="167" fontId="29" fillId="2" borderId="7" xfId="1" applyNumberFormat="1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right" vertical="center"/>
    </xf>
    <xf numFmtId="167" fontId="29" fillId="0" borderId="31" xfId="1" applyNumberFormat="1" applyFont="1" applyFill="1" applyBorder="1" applyAlignment="1">
      <alignment horizontal="center" vertical="center" wrapText="1"/>
    </xf>
    <xf numFmtId="167" fontId="29" fillId="0" borderId="2" xfId="1" applyNumberFormat="1" applyFont="1" applyFill="1" applyBorder="1" applyAlignment="1">
      <alignment horizontal="center" vertical="center" wrapText="1"/>
    </xf>
    <xf numFmtId="167" fontId="29" fillId="0" borderId="7" xfId="1" applyNumberFormat="1" applyFont="1" applyFill="1" applyBorder="1" applyAlignment="1">
      <alignment horizontal="center" vertical="center" wrapText="1"/>
    </xf>
    <xf numFmtId="49" fontId="29" fillId="0" borderId="31" xfId="0" applyNumberFormat="1" applyFont="1" applyFill="1" applyBorder="1" applyAlignment="1">
      <alignment vertical="center"/>
    </xf>
    <xf numFmtId="49" fontId="29" fillId="0" borderId="7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29" fillId="0" borderId="31" xfId="3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29" fillId="0" borderId="8" xfId="0" applyFont="1" applyBorder="1" applyAlignment="1">
      <alignment horizontal="center" vertical="center"/>
    </xf>
    <xf numFmtId="0" fontId="29" fillId="0" borderId="1" xfId="3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vertical="top" wrapText="1"/>
    </xf>
    <xf numFmtId="3" fontId="29" fillId="0" borderId="31" xfId="0" applyNumberFormat="1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/>
    </xf>
    <xf numFmtId="166" fontId="29" fillId="2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top"/>
    </xf>
    <xf numFmtId="0" fontId="29" fillId="0" borderId="1" xfId="0" applyFont="1" applyFill="1" applyBorder="1" applyAlignment="1">
      <alignment horizontal="left" vertical="top" wrapText="1"/>
    </xf>
    <xf numFmtId="0" fontId="29" fillId="2" borderId="8" xfId="0" applyFont="1" applyFill="1" applyBorder="1" applyAlignment="1">
      <alignment horizontal="left" vertical="center" wrapText="1"/>
    </xf>
    <xf numFmtId="167" fontId="30" fillId="0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29" fillId="0" borderId="1" xfId="3" applyFont="1" applyFill="1" applyBorder="1" applyAlignment="1">
      <alignment horizontal="left" vertical="center" wrapText="1"/>
    </xf>
    <xf numFmtId="0" fontId="29" fillId="2" borderId="11" xfId="0" applyFont="1" applyFill="1" applyBorder="1" applyAlignment="1">
      <alignment horizontal="left" vertical="center" wrapText="1"/>
    </xf>
    <xf numFmtId="168" fontId="29" fillId="2" borderId="1" xfId="0" applyNumberFormat="1" applyFont="1" applyFill="1" applyBorder="1" applyAlignment="1">
      <alignment horizontal="center" vertical="center" wrapText="1"/>
    </xf>
    <xf numFmtId="167" fontId="30" fillId="2" borderId="6" xfId="1" applyNumberFormat="1" applyFont="1" applyFill="1" applyBorder="1" applyAlignment="1">
      <alignment horizontal="center" vertical="center" wrapText="1"/>
    </xf>
    <xf numFmtId="167" fontId="30" fillId="2" borderId="1" xfId="1" applyNumberFormat="1" applyFont="1" applyFill="1" applyBorder="1" applyAlignment="1">
      <alignment horizontal="center" vertical="center" wrapText="1"/>
    </xf>
    <xf numFmtId="166" fontId="36" fillId="2" borderId="31" xfId="0" applyNumberFormat="1" applyFont="1" applyFill="1" applyBorder="1" applyAlignment="1">
      <alignment horizontal="center" vertical="center" wrapText="1"/>
    </xf>
    <xf numFmtId="166" fontId="36" fillId="2" borderId="7" xfId="0" applyNumberFormat="1" applyFont="1" applyFill="1" applyBorder="1" applyAlignment="1">
      <alignment horizontal="center" vertical="center" wrapText="1"/>
    </xf>
    <xf numFmtId="169" fontId="29" fillId="0" borderId="31" xfId="0" applyNumberFormat="1" applyFont="1" applyFill="1" applyBorder="1" applyAlignment="1">
      <alignment horizontal="center" vertical="center"/>
    </xf>
    <xf numFmtId="49" fontId="29" fillId="0" borderId="2" xfId="0" applyNumberFormat="1" applyFont="1" applyFill="1" applyBorder="1" applyAlignment="1">
      <alignment vertical="center"/>
    </xf>
    <xf numFmtId="0" fontId="30" fillId="0" borderId="31" xfId="0" applyFont="1" applyFill="1" applyBorder="1" applyAlignment="1">
      <alignment horizontal="left" vertical="center" wrapText="1"/>
    </xf>
    <xf numFmtId="0" fontId="30" fillId="0" borderId="7" xfId="0" applyFont="1" applyFill="1" applyBorder="1" applyAlignment="1">
      <alignment horizontal="left" vertical="center" wrapText="1"/>
    </xf>
    <xf numFmtId="1" fontId="29" fillId="0" borderId="31" xfId="0" applyNumberFormat="1" applyFont="1" applyFill="1" applyBorder="1" applyAlignment="1">
      <alignment horizontal="center" vertical="center" wrapText="1"/>
    </xf>
    <xf numFmtId="0" fontId="29" fillId="0" borderId="11" xfId="3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0" xfId="0" applyFont="1" applyFill="1" applyBorder="1" applyAlignment="1">
      <alignment horizontal="left" vertical="center" wrapText="1"/>
    </xf>
    <xf numFmtId="2" fontId="29" fillId="0" borderId="31" xfId="17" applyNumberFormat="1" applyFont="1" applyFill="1" applyBorder="1" applyAlignment="1">
      <alignment horizontal="center" vertical="center" wrapText="1"/>
    </xf>
    <xf numFmtId="167" fontId="30" fillId="0" borderId="8" xfId="1" applyNumberFormat="1" applyFont="1" applyFill="1" applyBorder="1" applyAlignment="1">
      <alignment horizontal="center" vertical="center" wrapText="1"/>
    </xf>
    <xf numFmtId="167" fontId="29" fillId="0" borderId="1" xfId="1" applyNumberFormat="1" applyFont="1" applyFill="1" applyBorder="1" applyAlignment="1">
      <alignment horizontal="center" vertical="center" wrapText="1"/>
    </xf>
    <xf numFmtId="167" fontId="30" fillId="0" borderId="31" xfId="1" applyNumberFormat="1" applyFont="1" applyFill="1" applyBorder="1" applyAlignment="1">
      <alignment horizontal="center" vertical="center" wrapText="1"/>
    </xf>
    <xf numFmtId="167" fontId="29" fillId="0" borderId="8" xfId="1" applyNumberFormat="1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left" vertical="center" wrapText="1"/>
    </xf>
    <xf numFmtId="49" fontId="29" fillId="0" borderId="8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left" vertical="center" wrapText="1"/>
    </xf>
    <xf numFmtId="0" fontId="29" fillId="0" borderId="8" xfId="0" applyFont="1" applyFill="1" applyBorder="1" applyAlignment="1">
      <alignment horizontal="center" vertical="center" wrapText="1"/>
    </xf>
    <xf numFmtId="167" fontId="29" fillId="0" borderId="8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left" vertical="center" wrapText="1"/>
    </xf>
    <xf numFmtId="167" fontId="30" fillId="0" borderId="1" xfId="1" applyNumberFormat="1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/>
    </xf>
    <xf numFmtId="167" fontId="29" fillId="0" borderId="6" xfId="1" applyNumberFormat="1" applyFont="1" applyFill="1" applyBorder="1" applyAlignment="1">
      <alignment horizontal="center" vertical="center" wrapText="1"/>
    </xf>
    <xf numFmtId="167" fontId="29" fillId="2" borderId="8" xfId="1" applyNumberFormat="1" applyFont="1" applyFill="1" applyBorder="1" applyAlignment="1">
      <alignment horizontal="center" vertical="center" wrapText="1"/>
    </xf>
    <xf numFmtId="168" fontId="29" fillId="2" borderId="1" xfId="0" applyNumberFormat="1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vertical="center"/>
    </xf>
    <xf numFmtId="167" fontId="29" fillId="2" borderId="1" xfId="1" applyNumberFormat="1" applyFont="1" applyFill="1" applyBorder="1" applyAlignment="1">
      <alignment horizontal="center" vertical="center" wrapText="1"/>
    </xf>
    <xf numFmtId="167" fontId="29" fillId="2" borderId="6" xfId="1" applyNumberFormat="1" applyFont="1" applyFill="1" applyBorder="1" applyAlignment="1">
      <alignment horizontal="center" vertical="center" wrapText="1"/>
    </xf>
    <xf numFmtId="49" fontId="29" fillId="0" borderId="8" xfId="0" applyNumberFormat="1" applyFont="1" applyFill="1" applyBorder="1" applyAlignment="1">
      <alignment vertical="center"/>
    </xf>
    <xf numFmtId="49" fontId="29" fillId="0" borderId="1" xfId="0" applyNumberFormat="1" applyFont="1" applyFill="1" applyBorder="1" applyAlignment="1">
      <alignment vertical="center"/>
    </xf>
    <xf numFmtId="171" fontId="39" fillId="2" borderId="31" xfId="8" applyNumberFormat="1" applyFont="1" applyFill="1" applyBorder="1" applyAlignment="1">
      <alignment horizontal="center" vertical="center"/>
    </xf>
    <xf numFmtId="171" fontId="39" fillId="0" borderId="31" xfId="8" applyNumberFormat="1" applyFont="1" applyFill="1" applyBorder="1" applyAlignment="1">
      <alignment horizontal="center" vertical="center"/>
    </xf>
    <xf numFmtId="171" fontId="39" fillId="2" borderId="1" xfId="8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vertical="top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left" vertical="center" wrapText="1"/>
    </xf>
    <xf numFmtId="49" fontId="29" fillId="4" borderId="8" xfId="0" applyNumberFormat="1" applyFont="1" applyFill="1" applyBorder="1" applyAlignment="1">
      <alignment vertical="center"/>
    </xf>
    <xf numFmtId="49" fontId="29" fillId="4" borderId="7" xfId="0" applyNumberFormat="1" applyFont="1" applyFill="1" applyBorder="1" applyAlignment="1">
      <alignment vertical="center"/>
    </xf>
    <xf numFmtId="167" fontId="29" fillId="4" borderId="8" xfId="1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/>
    <xf numFmtId="168" fontId="30" fillId="2" borderId="1" xfId="0" applyNumberFormat="1" applyFont="1" applyFill="1" applyBorder="1" applyAlignment="1">
      <alignment horizontal="center" vertical="center"/>
    </xf>
    <xf numFmtId="167" fontId="29" fillId="2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top"/>
    </xf>
    <xf numFmtId="0" fontId="29" fillId="0" borderId="8" xfId="0" applyFont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0" fontId="30" fillId="0" borderId="4" xfId="4" applyFont="1" applyFill="1" applyBorder="1" applyAlignment="1">
      <alignment horizontal="left" vertical="center" wrapText="1"/>
    </xf>
    <xf numFmtId="0" fontId="29" fillId="0" borderId="4" xfId="4" applyFont="1" applyFill="1" applyBorder="1" applyAlignment="1">
      <alignment horizontal="left" vertical="center" wrapText="1"/>
    </xf>
    <xf numFmtId="167" fontId="29" fillId="0" borderId="14" xfId="1" applyNumberFormat="1" applyFont="1" applyFill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left" vertical="center" wrapText="1"/>
    </xf>
    <xf numFmtId="0" fontId="29" fillId="4" borderId="11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67" fontId="30" fillId="4" borderId="7" xfId="1" applyNumberFormat="1" applyFont="1" applyFill="1" applyBorder="1" applyAlignment="1">
      <alignment horizontal="center" vertical="center" wrapText="1"/>
    </xf>
    <xf numFmtId="0" fontId="29" fillId="0" borderId="7" xfId="0" applyFont="1" applyFill="1" applyBorder="1"/>
    <xf numFmtId="0" fontId="29" fillId="2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168" fontId="29" fillId="4" borderId="7" xfId="0" applyNumberFormat="1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left" vertical="center" wrapText="1"/>
    </xf>
    <xf numFmtId="0" fontId="29" fillId="0" borderId="8" xfId="0" applyFont="1" applyFill="1" applyBorder="1" applyAlignment="1">
      <alignment horizontal="center" vertical="top"/>
    </xf>
    <xf numFmtId="0" fontId="29" fillId="0" borderId="7" xfId="4" applyFont="1" applyFill="1" applyBorder="1" applyAlignment="1">
      <alignment horizontal="left" vertical="top" wrapText="1"/>
    </xf>
    <xf numFmtId="166" fontId="29" fillId="0" borderId="1" xfId="0" applyNumberFormat="1" applyFont="1" applyFill="1" applyBorder="1" applyAlignment="1">
      <alignment horizontal="center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167" fontId="29" fillId="0" borderId="8" xfId="0" applyNumberFormat="1" applyFont="1" applyBorder="1" applyAlignment="1">
      <alignment horizontal="left" vertical="center" wrapText="1"/>
    </xf>
    <xf numFmtId="166" fontId="29" fillId="0" borderId="31" xfId="0" applyNumberFormat="1" applyFont="1" applyFill="1" applyBorder="1" applyAlignment="1">
      <alignment horizontal="center" vertical="center" wrapText="1"/>
    </xf>
    <xf numFmtId="166" fontId="29" fillId="0" borderId="7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29" fillId="4" borderId="8" xfId="0" applyFont="1" applyFill="1" applyBorder="1" applyAlignment="1">
      <alignment horizontal="center" vertical="center" wrapText="1"/>
    </xf>
    <xf numFmtId="167" fontId="30" fillId="0" borderId="6" xfId="1" applyNumberFormat="1" applyFont="1" applyFill="1" applyBorder="1" applyAlignment="1">
      <alignment horizontal="center" vertical="center" wrapText="1"/>
    </xf>
    <xf numFmtId="167" fontId="30" fillId="4" borderId="9" xfId="1" applyNumberFormat="1" applyFont="1" applyFill="1" applyBorder="1" applyAlignment="1">
      <alignment horizontal="center" vertical="center" wrapText="1"/>
    </xf>
    <xf numFmtId="3" fontId="29" fillId="4" borderId="1" xfId="0" applyNumberFormat="1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left" vertical="center" wrapText="1"/>
    </xf>
    <xf numFmtId="0" fontId="29" fillId="2" borderId="2" xfId="0" applyFont="1" applyFill="1" applyBorder="1" applyAlignment="1">
      <alignment horizontal="center" vertical="center"/>
    </xf>
    <xf numFmtId="0" fontId="29" fillId="2" borderId="4" xfId="3" applyFont="1" applyFill="1" applyBorder="1" applyAlignment="1">
      <alignment horizontal="left" vertical="center" wrapText="1"/>
    </xf>
    <xf numFmtId="167" fontId="30" fillId="0" borderId="14" xfId="1" applyNumberFormat="1" applyFont="1" applyFill="1" applyBorder="1" applyAlignment="1">
      <alignment horizontal="center" vertical="center" wrapText="1"/>
    </xf>
    <xf numFmtId="166" fontId="36" fillId="2" borderId="2" xfId="0" applyNumberFormat="1" applyFont="1" applyFill="1" applyBorder="1" applyAlignment="1">
      <alignment horizontal="center" vertical="center" wrapText="1"/>
    </xf>
    <xf numFmtId="166" fontId="29" fillId="0" borderId="8" xfId="0" applyNumberFormat="1" applyFont="1" applyFill="1" applyBorder="1" applyAlignment="1">
      <alignment horizontal="center" vertical="center"/>
    </xf>
    <xf numFmtId="166" fontId="29" fillId="0" borderId="8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left" vertical="center" wrapText="1"/>
    </xf>
    <xf numFmtId="49" fontId="29" fillId="2" borderId="1" xfId="0" applyNumberFormat="1" applyFont="1" applyFill="1" applyBorder="1" applyAlignment="1">
      <alignment horizontal="center" vertical="center"/>
    </xf>
    <xf numFmtId="166" fontId="36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167" fontId="29" fillId="2" borderId="6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29" fillId="0" borderId="4" xfId="3" applyFont="1" applyFill="1" applyBorder="1" applyAlignment="1">
      <alignment horizontal="left" vertical="center" wrapText="1"/>
    </xf>
    <xf numFmtId="0" fontId="30" fillId="0" borderId="4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left" vertical="center" wrapText="1"/>
    </xf>
    <xf numFmtId="3" fontId="29" fillId="4" borderId="8" xfId="0" applyNumberFormat="1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/>
    </xf>
    <xf numFmtId="0" fontId="36" fillId="2" borderId="31" xfId="0" applyFont="1" applyFill="1" applyBorder="1" applyAlignment="1">
      <alignment vertical="center" wrapText="1"/>
    </xf>
    <xf numFmtId="167" fontId="36" fillId="2" borderId="1" xfId="0" applyNumberFormat="1" applyFont="1" applyFill="1" applyBorder="1" applyAlignment="1">
      <alignment horizontal="center" vertical="center" wrapText="1"/>
    </xf>
    <xf numFmtId="171" fontId="36" fillId="2" borderId="31" xfId="136" applyNumberFormat="1" applyFont="1" applyFill="1" applyBorder="1" applyAlignment="1">
      <alignment vertical="center" wrapText="1"/>
    </xf>
    <xf numFmtId="167" fontId="36" fillId="2" borderId="1" xfId="0" applyNumberFormat="1" applyFont="1" applyFill="1" applyBorder="1" applyAlignment="1">
      <alignment horizontal="right" vertical="center" wrapText="1"/>
    </xf>
    <xf numFmtId="166" fontId="36" fillId="0" borderId="1" xfId="0" applyNumberFormat="1" applyFont="1" applyBorder="1" applyAlignment="1">
      <alignment horizontal="center" vertical="center" wrapText="1"/>
    </xf>
    <xf numFmtId="166" fontId="39" fillId="4" borderId="1" xfId="0" applyNumberFormat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36" fillId="2" borderId="1" xfId="3" applyFont="1" applyFill="1" applyBorder="1" applyAlignment="1">
      <alignment horizontal="center" vertical="center" wrapText="1"/>
    </xf>
    <xf numFmtId="170" fontId="36" fillId="2" borderId="1" xfId="17" applyNumberFormat="1" applyFont="1" applyFill="1" applyBorder="1" applyAlignment="1">
      <alignment horizontal="center" vertical="center" wrapText="1"/>
    </xf>
    <xf numFmtId="167" fontId="30" fillId="0" borderId="6" xfId="1" applyNumberFormat="1" applyFont="1" applyFill="1" applyBorder="1" applyAlignment="1">
      <alignment horizontal="right" vertical="center" wrapText="1" indent="1"/>
    </xf>
    <xf numFmtId="0" fontId="29" fillId="0" borderId="32" xfId="3" applyFont="1" applyFill="1" applyBorder="1" applyAlignment="1">
      <alignment horizontal="left" vertical="center" wrapText="1"/>
    </xf>
    <xf numFmtId="0" fontId="29" fillId="0" borderId="32" xfId="0" applyFont="1" applyFill="1" applyBorder="1" applyAlignment="1">
      <alignment horizontal="left" vertical="center" wrapText="1"/>
    </xf>
    <xf numFmtId="166" fontId="29" fillId="2" borderId="31" xfId="0" applyNumberFormat="1" applyFont="1" applyFill="1" applyBorder="1" applyAlignment="1">
      <alignment horizontal="center" vertical="center" wrapText="1"/>
    </xf>
    <xf numFmtId="0" fontId="29" fillId="0" borderId="31" xfId="4" applyFont="1" applyFill="1" applyBorder="1" applyAlignment="1">
      <alignment horizontal="left" vertical="center" wrapText="1"/>
    </xf>
    <xf numFmtId="0" fontId="29" fillId="0" borderId="31" xfId="4" applyFont="1" applyFill="1" applyBorder="1" applyAlignment="1">
      <alignment horizontal="left" vertical="top" wrapText="1"/>
    </xf>
    <xf numFmtId="0" fontId="29" fillId="2" borderId="32" xfId="3" applyFont="1" applyFill="1" applyBorder="1" applyAlignment="1">
      <alignment horizontal="left" vertical="center" wrapText="1"/>
    </xf>
    <xf numFmtId="49" fontId="29" fillId="2" borderId="1" xfId="0" applyNumberFormat="1" applyFont="1" applyFill="1" applyBorder="1" applyAlignment="1">
      <alignment horizontal="center" vertical="center"/>
    </xf>
    <xf numFmtId="168" fontId="30" fillId="2" borderId="1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169" fontId="29" fillId="0" borderId="31" xfId="0" applyNumberFormat="1" applyFont="1" applyFill="1" applyBorder="1" applyAlignment="1">
      <alignment horizontal="center" vertical="center"/>
    </xf>
    <xf numFmtId="49" fontId="39" fillId="4" borderId="31" xfId="0" applyNumberFormat="1" applyFont="1" applyFill="1" applyBorder="1" applyAlignment="1">
      <alignment horizontal="center" vertical="center"/>
    </xf>
    <xf numFmtId="49" fontId="29" fillId="0" borderId="31" xfId="0" applyNumberFormat="1" applyFont="1" applyFill="1" applyBorder="1" applyAlignment="1">
      <alignment horizontal="center" vertical="center"/>
    </xf>
    <xf numFmtId="49" fontId="29" fillId="0" borderId="2" xfId="0" applyNumberFormat="1" applyFont="1" applyFill="1" applyBorder="1" applyAlignment="1">
      <alignment horizontal="center" vertical="center"/>
    </xf>
    <xf numFmtId="49" fontId="29" fillId="0" borderId="7" xfId="0" applyNumberFormat="1" applyFont="1" applyFill="1" applyBorder="1" applyAlignment="1">
      <alignment horizontal="center" vertical="center"/>
    </xf>
    <xf numFmtId="167" fontId="29" fillId="0" borderId="7" xfId="1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 vertical="center"/>
    </xf>
    <xf numFmtId="169" fontId="29" fillId="0" borderId="8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49" fontId="29" fillId="4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 vertical="center"/>
    </xf>
    <xf numFmtId="49" fontId="29" fillId="0" borderId="1" xfId="149" applyNumberFormat="1" applyFont="1" applyFill="1" applyBorder="1" applyAlignment="1">
      <alignment horizontal="center" vertical="center"/>
    </xf>
    <xf numFmtId="49" fontId="36" fillId="0" borderId="1" xfId="0" applyNumberFormat="1" applyFont="1" applyFill="1" applyBorder="1" applyAlignment="1">
      <alignment horizontal="center" vertical="center"/>
    </xf>
    <xf numFmtId="49" fontId="30" fillId="0" borderId="0" xfId="0" applyNumberFormat="1" applyFont="1" applyAlignment="1">
      <alignment horizontal="center" vertical="center" wrapText="1"/>
    </xf>
    <xf numFmtId="169" fontId="29" fillId="0" borderId="4" xfId="0" applyNumberFormat="1" applyFont="1" applyFill="1" applyBorder="1" applyAlignment="1">
      <alignment horizontal="center" vertical="center"/>
    </xf>
    <xf numFmtId="0" fontId="29" fillId="0" borderId="8" xfId="0" applyNumberFormat="1" applyFont="1" applyFill="1" applyBorder="1" applyAlignment="1">
      <alignment horizontal="center" vertical="center"/>
    </xf>
    <xf numFmtId="49" fontId="29" fillId="4" borderId="8" xfId="0" applyNumberFormat="1" applyFont="1" applyFill="1" applyBorder="1" applyAlignment="1">
      <alignment horizontal="center" vertical="center"/>
    </xf>
    <xf numFmtId="49" fontId="29" fillId="4" borderId="7" xfId="0" applyNumberFormat="1" applyFont="1" applyFill="1" applyBorder="1" applyAlignment="1">
      <alignment horizontal="center" vertical="center"/>
    </xf>
    <xf numFmtId="49" fontId="29" fillId="0" borderId="4" xfId="0" applyNumberFormat="1" applyFont="1" applyFill="1" applyBorder="1" applyAlignment="1">
      <alignment horizontal="center" vertical="center"/>
    </xf>
    <xf numFmtId="169" fontId="29" fillId="0" borderId="4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>
      <alignment horizontal="center" vertical="center"/>
    </xf>
    <xf numFmtId="49" fontId="29" fillId="2" borderId="4" xfId="0" applyNumberFormat="1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169" fontId="39" fillId="0" borderId="4" xfId="0" applyNumberFormat="1" applyFont="1" applyBorder="1" applyAlignment="1">
      <alignment horizontal="center" vertical="center"/>
    </xf>
    <xf numFmtId="169" fontId="29" fillId="0" borderId="8" xfId="0" applyNumberFormat="1" applyFont="1" applyBorder="1" applyAlignment="1">
      <alignment horizontal="center" vertical="center"/>
    </xf>
    <xf numFmtId="169" fontId="30" fillId="0" borderId="1" xfId="0" applyNumberFormat="1" applyFont="1" applyFill="1" applyBorder="1" applyAlignment="1">
      <alignment horizontal="center" vertical="center"/>
    </xf>
    <xf numFmtId="169" fontId="29" fillId="2" borderId="4" xfId="0" applyNumberFormat="1" applyFont="1" applyFill="1" applyBorder="1" applyAlignment="1">
      <alignment horizontal="center" vertical="center"/>
    </xf>
    <xf numFmtId="168" fontId="30" fillId="0" borderId="10" xfId="0" applyNumberFormat="1" applyFont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wrapText="1"/>
    </xf>
    <xf numFmtId="0" fontId="30" fillId="2" borderId="8" xfId="6" applyFont="1" applyFill="1" applyBorder="1" applyAlignment="1">
      <alignment vertical="center" wrapText="1"/>
    </xf>
    <xf numFmtId="0" fontId="29" fillId="2" borderId="8" xfId="6" applyFont="1" applyFill="1" applyBorder="1" applyAlignment="1">
      <alignment vertical="center" wrapText="1"/>
    </xf>
    <xf numFmtId="167" fontId="39" fillId="2" borderId="1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top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left" vertical="center" wrapText="1"/>
    </xf>
    <xf numFmtId="167" fontId="29" fillId="2" borderId="7" xfId="1" applyNumberFormat="1" applyFont="1" applyFill="1" applyBorder="1" applyAlignment="1">
      <alignment horizontal="center" vertical="center" wrapText="1"/>
    </xf>
    <xf numFmtId="167" fontId="30" fillId="2" borderId="1" xfId="1" applyNumberFormat="1" applyFont="1" applyFill="1" applyBorder="1" applyAlignment="1">
      <alignment horizontal="center" vertical="center" wrapText="1"/>
    </xf>
    <xf numFmtId="166" fontId="29" fillId="2" borderId="1" xfId="0" applyNumberFormat="1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left" vertical="center" wrapText="1"/>
    </xf>
    <xf numFmtId="0" fontId="29" fillId="2" borderId="11" xfId="3" applyFont="1" applyFill="1" applyBorder="1" applyAlignment="1">
      <alignment horizontal="left" vertical="center" wrapText="1"/>
    </xf>
    <xf numFmtId="0" fontId="29" fillId="2" borderId="4" xfId="3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center" wrapText="1"/>
    </xf>
    <xf numFmtId="0" fontId="29" fillId="2" borderId="13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167" fontId="29" fillId="2" borderId="7" xfId="1" applyNumberFormat="1" applyFont="1" applyFill="1" applyBorder="1" applyAlignment="1">
      <alignment horizontal="right" vertical="center" wrapText="1" indent="1"/>
    </xf>
    <xf numFmtId="0" fontId="29" fillId="2" borderId="1" xfId="6" applyFont="1" applyFill="1" applyBorder="1" applyAlignment="1">
      <alignment vertical="center" wrapText="1"/>
    </xf>
    <xf numFmtId="0" fontId="39" fillId="2" borderId="7" xfId="0" applyFont="1" applyFill="1" applyBorder="1" applyAlignment="1">
      <alignment vertical="center" wrapText="1"/>
    </xf>
    <xf numFmtId="0" fontId="40" fillId="2" borderId="1" xfId="0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vertical="center" wrapText="1"/>
    </xf>
    <xf numFmtId="0" fontId="29" fillId="2" borderId="11" xfId="0" applyFont="1" applyFill="1" applyBorder="1" applyAlignment="1">
      <alignment horizontal="left" vertical="top" wrapText="1"/>
    </xf>
    <xf numFmtId="169" fontId="30" fillId="2" borderId="31" xfId="0" applyNumberFormat="1" applyFont="1" applyFill="1" applyBorder="1" applyAlignment="1">
      <alignment horizontal="center" vertical="center"/>
    </xf>
    <xf numFmtId="166" fontId="39" fillId="2" borderId="1" xfId="0" applyNumberFormat="1" applyFont="1" applyFill="1" applyBorder="1" applyAlignment="1">
      <alignment horizontal="center" vertical="center" wrapText="1"/>
    </xf>
    <xf numFmtId="167" fontId="36" fillId="2" borderId="1" xfId="0" applyNumberFormat="1" applyFont="1" applyFill="1" applyBorder="1" applyAlignment="1">
      <alignment horizontal="center" vertical="center" wrapText="1"/>
    </xf>
    <xf numFmtId="168" fontId="29" fillId="0" borderId="34" xfId="0" applyNumberFormat="1" applyFont="1" applyFill="1" applyBorder="1" applyAlignment="1">
      <alignment horizontal="center" vertical="center"/>
    </xf>
    <xf numFmtId="169" fontId="29" fillId="0" borderId="31" xfId="0" applyNumberFormat="1" applyFont="1" applyFill="1" applyBorder="1" applyAlignment="1">
      <alignment horizontal="center" vertical="center"/>
    </xf>
    <xf numFmtId="169" fontId="29" fillId="0" borderId="2" xfId="0" applyNumberFormat="1" applyFont="1" applyFill="1" applyBorder="1" applyAlignment="1">
      <alignment horizontal="center" vertical="center"/>
    </xf>
    <xf numFmtId="169" fontId="29" fillId="0" borderId="7" xfId="0" applyNumberFormat="1" applyFont="1" applyFill="1" applyBorder="1" applyAlignment="1">
      <alignment horizontal="center" vertical="center"/>
    </xf>
    <xf numFmtId="168" fontId="29" fillId="0" borderId="33" xfId="0" applyNumberFormat="1" applyFont="1" applyFill="1" applyBorder="1" applyAlignment="1">
      <alignment horizontal="center" vertical="center"/>
    </xf>
    <xf numFmtId="168" fontId="30" fillId="0" borderId="31" xfId="0" applyNumberFormat="1" applyFont="1" applyFill="1" applyBorder="1" applyAlignment="1">
      <alignment horizontal="center" vertical="center"/>
    </xf>
    <xf numFmtId="168" fontId="30" fillId="0" borderId="7" xfId="0" applyNumberFormat="1" applyFont="1" applyFill="1" applyBorder="1" applyAlignment="1">
      <alignment horizontal="center" vertical="center"/>
    </xf>
    <xf numFmtId="168" fontId="30" fillId="2" borderId="31" xfId="0" applyNumberFormat="1" applyFont="1" applyFill="1" applyBorder="1" applyAlignment="1">
      <alignment horizontal="center" vertical="center"/>
    </xf>
    <xf numFmtId="168" fontId="30" fillId="2" borderId="7" xfId="0" applyNumberFormat="1" applyFont="1" applyFill="1" applyBorder="1" applyAlignment="1">
      <alignment horizontal="center" vertical="center"/>
    </xf>
    <xf numFmtId="168" fontId="30" fillId="2" borderId="1" xfId="0" applyNumberFormat="1" applyFont="1" applyFill="1" applyBorder="1" applyAlignment="1">
      <alignment horizontal="center" vertical="center"/>
    </xf>
    <xf numFmtId="168" fontId="29" fillId="0" borderId="31" xfId="0" applyNumberFormat="1" applyFont="1" applyFill="1" applyBorder="1" applyAlignment="1">
      <alignment horizontal="center" vertical="center"/>
    </xf>
    <xf numFmtId="168" fontId="29" fillId="0" borderId="2" xfId="0" applyNumberFormat="1" applyFont="1" applyFill="1" applyBorder="1" applyAlignment="1">
      <alignment horizontal="center" vertical="center"/>
    </xf>
    <xf numFmtId="168" fontId="29" fillId="0" borderId="7" xfId="0" applyNumberFormat="1" applyFont="1" applyFill="1" applyBorder="1" applyAlignment="1">
      <alignment horizontal="center" vertical="center"/>
    </xf>
    <xf numFmtId="168" fontId="29" fillId="0" borderId="31" xfId="0" applyNumberFormat="1" applyFont="1" applyBorder="1" applyAlignment="1">
      <alignment horizontal="center" vertical="center"/>
    </xf>
    <xf numFmtId="168" fontId="29" fillId="0" borderId="2" xfId="0" applyNumberFormat="1" applyFont="1" applyBorder="1" applyAlignment="1">
      <alignment horizontal="center" vertical="center"/>
    </xf>
    <xf numFmtId="168" fontId="30" fillId="0" borderId="34" xfId="0" applyNumberFormat="1" applyFont="1" applyFill="1" applyBorder="1" applyAlignment="1">
      <alignment horizontal="center" vertical="center"/>
    </xf>
    <xf numFmtId="167" fontId="30" fillId="0" borderId="1" xfId="1" applyNumberFormat="1" applyFont="1" applyFill="1" applyBorder="1" applyAlignment="1">
      <alignment horizontal="center" vertical="center" wrapText="1"/>
    </xf>
    <xf numFmtId="168" fontId="30" fillId="0" borderId="2" xfId="0" applyNumberFormat="1" applyFont="1" applyFill="1" applyBorder="1" applyAlignment="1">
      <alignment horizontal="center" vertical="center"/>
    </xf>
    <xf numFmtId="168" fontId="29" fillId="2" borderId="1" xfId="0" applyNumberFormat="1" applyFont="1" applyFill="1" applyBorder="1" applyAlignment="1">
      <alignment horizontal="center" vertical="center" wrapText="1"/>
    </xf>
    <xf numFmtId="168" fontId="29" fillId="0" borderId="1" xfId="0" applyNumberFormat="1" applyFont="1" applyFill="1" applyBorder="1" applyAlignment="1">
      <alignment horizontal="center" vertical="center" wrapText="1"/>
    </xf>
    <xf numFmtId="168" fontId="29" fillId="2" borderId="7" xfId="0" applyNumberFormat="1" applyFont="1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center" vertical="center"/>
    </xf>
    <xf numFmtId="168" fontId="29" fillId="0" borderId="7" xfId="0" applyNumberFormat="1" applyFont="1" applyFill="1" applyBorder="1" applyAlignment="1">
      <alignment horizontal="center" vertical="center" wrapText="1"/>
    </xf>
    <xf numFmtId="168" fontId="30" fillId="0" borderId="1" xfId="0" applyNumberFormat="1" applyFont="1" applyFill="1" applyBorder="1" applyAlignment="1">
      <alignment horizontal="center" vertical="top"/>
    </xf>
    <xf numFmtId="169" fontId="29" fillId="0" borderId="8" xfId="0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168" fontId="29" fillId="0" borderId="7" xfId="0" applyNumberFormat="1" applyFont="1" applyBorder="1" applyAlignment="1">
      <alignment horizontal="center" vertical="center"/>
    </xf>
    <xf numFmtId="168" fontId="29" fillId="4" borderId="1" xfId="0" applyNumberFormat="1" applyFont="1" applyFill="1" applyBorder="1" applyAlignment="1">
      <alignment horizontal="center" vertical="center"/>
    </xf>
    <xf numFmtId="168" fontId="29" fillId="0" borderId="1" xfId="0" applyNumberFormat="1" applyFont="1" applyBorder="1" applyAlignment="1">
      <alignment horizontal="center" vertical="center"/>
    </xf>
    <xf numFmtId="168" fontId="29" fillId="2" borderId="2" xfId="0" applyNumberFormat="1" applyFont="1" applyFill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168" fontId="30" fillId="0" borderId="1" xfId="0" applyNumberFormat="1" applyFont="1" applyBorder="1" applyAlignment="1">
      <alignment horizontal="center" vertical="center"/>
    </xf>
    <xf numFmtId="0" fontId="30" fillId="0" borderId="4" xfId="0" applyFont="1" applyFill="1" applyBorder="1" applyAlignment="1">
      <alignment horizontal="left" vertical="center" wrapText="1"/>
    </xf>
    <xf numFmtId="0" fontId="29" fillId="0" borderId="8" xfId="0" applyFont="1" applyFill="1" applyBorder="1" applyAlignment="1">
      <alignment horizontal="center" vertical="center" wrapText="1"/>
    </xf>
    <xf numFmtId="167" fontId="29" fillId="0" borderId="1" xfId="1" applyNumberFormat="1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/>
    </xf>
    <xf numFmtId="167" fontId="29" fillId="0" borderId="8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vertical="center" wrapText="1"/>
    </xf>
    <xf numFmtId="0" fontId="29" fillId="0" borderId="8" xfId="0" applyFont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left" vertical="center" wrapText="1"/>
    </xf>
    <xf numFmtId="168" fontId="30" fillId="0" borderId="31" xfId="0" applyNumberFormat="1" applyFont="1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left" vertical="center" wrapText="1"/>
    </xf>
    <xf numFmtId="0" fontId="29" fillId="0" borderId="31" xfId="0" applyFont="1" applyFill="1" applyBorder="1" applyAlignment="1">
      <alignment horizontal="center" vertical="center"/>
    </xf>
    <xf numFmtId="49" fontId="29" fillId="0" borderId="3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left" vertical="center" wrapText="1"/>
    </xf>
    <xf numFmtId="167" fontId="29" fillId="4" borderId="1" xfId="1" applyNumberFormat="1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 wrapText="1"/>
    </xf>
    <xf numFmtId="167" fontId="29" fillId="4" borderId="6" xfId="1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top"/>
    </xf>
    <xf numFmtId="0" fontId="29" fillId="0" borderId="31" xfId="4" applyFont="1" applyFill="1" applyBorder="1" applyAlignment="1">
      <alignment horizontal="left" vertical="top" wrapText="1"/>
    </xf>
    <xf numFmtId="0" fontId="29" fillId="0" borderId="4" xfId="4" applyFont="1" applyFill="1" applyBorder="1" applyAlignment="1">
      <alignment horizontal="left" vertical="center" wrapText="1"/>
    </xf>
    <xf numFmtId="0" fontId="29" fillId="0" borderId="31" xfId="4" applyFont="1" applyFill="1" applyBorder="1" applyAlignment="1">
      <alignment horizontal="left" vertical="center" wrapText="1"/>
    </xf>
    <xf numFmtId="171" fontId="39" fillId="2" borderId="31" xfId="8" applyNumberFormat="1" applyFont="1" applyFill="1" applyBorder="1" applyAlignment="1">
      <alignment horizontal="center" vertical="center"/>
    </xf>
    <xf numFmtId="171" fontId="39" fillId="0" borderId="31" xfId="8" applyNumberFormat="1" applyFont="1" applyFill="1" applyBorder="1" applyAlignment="1">
      <alignment horizontal="center" vertical="center"/>
    </xf>
    <xf numFmtId="0" fontId="29" fillId="0" borderId="32" xfId="4" applyFont="1" applyFill="1" applyBorder="1" applyAlignment="1">
      <alignment horizontal="left" vertical="center" wrapText="1"/>
    </xf>
    <xf numFmtId="0" fontId="29" fillId="0" borderId="31" xfId="4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vertical="center" wrapText="1"/>
    </xf>
    <xf numFmtId="0" fontId="29" fillId="0" borderId="31" xfId="0" applyFont="1" applyFill="1" applyBorder="1" applyAlignment="1">
      <alignment vertical="top" wrapText="1"/>
    </xf>
    <xf numFmtId="0" fontId="29" fillId="0" borderId="31" xfId="4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left" vertical="top" wrapText="1"/>
    </xf>
    <xf numFmtId="168" fontId="30" fillId="0" borderId="32" xfId="0" applyNumberFormat="1" applyFont="1" applyFill="1" applyBorder="1" applyAlignment="1">
      <alignment horizontal="center" vertical="center"/>
    </xf>
    <xf numFmtId="168" fontId="30" fillId="4" borderId="31" xfId="0" applyNumberFormat="1" applyFont="1" applyFill="1" applyBorder="1" applyAlignment="1">
      <alignment horizontal="center" vertical="center"/>
    </xf>
    <xf numFmtId="168" fontId="29" fillId="4" borderId="31" xfId="0" applyNumberFormat="1" applyFont="1" applyFill="1" applyBorder="1" applyAlignment="1">
      <alignment horizontal="center" vertical="center"/>
    </xf>
    <xf numFmtId="168" fontId="29" fillId="0" borderId="31" xfId="0" applyNumberFormat="1" applyFont="1" applyFill="1" applyBorder="1" applyAlignment="1">
      <alignment horizontal="center" vertical="center" wrapText="1"/>
    </xf>
    <xf numFmtId="168" fontId="29" fillId="0" borderId="32" xfId="0" applyNumberFormat="1" applyFont="1" applyFill="1" applyBorder="1" applyAlignment="1">
      <alignment horizontal="center" vertical="center"/>
    </xf>
    <xf numFmtId="168" fontId="29" fillId="2" borderId="31" xfId="0" applyNumberFormat="1" applyFont="1" applyFill="1" applyBorder="1" applyAlignment="1">
      <alignment horizontal="center" vertical="center"/>
    </xf>
    <xf numFmtId="168" fontId="40" fillId="0" borderId="7" xfId="0" applyNumberFormat="1" applyFont="1" applyBorder="1" applyAlignment="1">
      <alignment horizontal="center" vertical="center"/>
    </xf>
    <xf numFmtId="168" fontId="40" fillId="0" borderId="32" xfId="0" applyNumberFormat="1" applyFont="1" applyBorder="1" applyAlignment="1">
      <alignment horizontal="center" vertical="center"/>
    </xf>
    <xf numFmtId="168" fontId="30" fillId="0" borderId="31" xfId="0" applyNumberFormat="1" applyFont="1" applyFill="1" applyBorder="1" applyAlignment="1">
      <alignment horizontal="center" vertical="top"/>
    </xf>
    <xf numFmtId="168" fontId="30" fillId="0" borderId="31" xfId="0" applyNumberFormat="1" applyFont="1" applyBorder="1" applyAlignment="1">
      <alignment horizontal="center" vertical="center" wrapText="1"/>
    </xf>
    <xf numFmtId="168" fontId="29" fillId="0" borderId="31" xfId="0" applyNumberFormat="1" applyFont="1" applyBorder="1" applyAlignment="1">
      <alignment horizontal="center" vertical="center" wrapText="1"/>
    </xf>
    <xf numFmtId="168" fontId="30" fillId="2" borderId="32" xfId="0" applyNumberFormat="1" applyFont="1" applyFill="1" applyBorder="1" applyAlignment="1">
      <alignment horizontal="center" vertical="center"/>
    </xf>
    <xf numFmtId="169" fontId="30" fillId="0" borderId="29" xfId="0" applyNumberFormat="1" applyFont="1" applyFill="1" applyBorder="1" applyAlignment="1">
      <alignment horizontal="center" vertical="center"/>
    </xf>
    <xf numFmtId="169" fontId="30" fillId="0" borderId="8" xfId="0" applyNumberFormat="1" applyFont="1" applyFill="1" applyBorder="1" applyAlignment="1">
      <alignment horizontal="center" vertical="center"/>
    </xf>
    <xf numFmtId="169" fontId="30" fillId="2" borderId="1" xfId="0" applyNumberFormat="1" applyFont="1" applyFill="1" applyBorder="1" applyAlignment="1">
      <alignment horizontal="center" vertical="center"/>
    </xf>
    <xf numFmtId="169" fontId="29" fillId="0" borderId="0" xfId="0" applyNumberFormat="1" applyFont="1" applyAlignment="1">
      <alignment horizontal="center"/>
    </xf>
    <xf numFmtId="169" fontId="30" fillId="0" borderId="0" xfId="0" applyNumberFormat="1" applyFont="1" applyAlignment="1">
      <alignment horizontal="center" vertical="center" wrapText="1"/>
    </xf>
    <xf numFmtId="169" fontId="30" fillId="0" borderId="10" xfId="0" applyNumberFormat="1" applyFont="1" applyBorder="1" applyAlignment="1">
      <alignment horizontal="center" vertical="center"/>
    </xf>
    <xf numFmtId="169" fontId="29" fillId="0" borderId="10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>
      <alignment horizontal="center"/>
    </xf>
    <xf numFmtId="169" fontId="30" fillId="4" borderId="8" xfId="0" applyNumberFormat="1" applyFont="1" applyFill="1" applyBorder="1" applyAlignment="1">
      <alignment horizontal="center" vertical="center"/>
    </xf>
    <xf numFmtId="169" fontId="29" fillId="4" borderId="7" xfId="0" applyNumberFormat="1" applyFont="1" applyFill="1" applyBorder="1" applyAlignment="1">
      <alignment horizontal="center" vertical="center"/>
    </xf>
    <xf numFmtId="169" fontId="29" fillId="4" borderId="8" xfId="0" applyNumberFormat="1" applyFont="1" applyFill="1" applyBorder="1" applyAlignment="1">
      <alignment horizontal="center" vertical="center"/>
    </xf>
    <xf numFmtId="169" fontId="29" fillId="4" borderId="1" xfId="0" applyNumberFormat="1" applyFont="1" applyFill="1" applyBorder="1" applyAlignment="1">
      <alignment horizontal="center" vertical="center"/>
    </xf>
    <xf numFmtId="169" fontId="30" fillId="0" borderId="31" xfId="0" applyNumberFormat="1" applyFont="1" applyFill="1" applyBorder="1" applyAlignment="1">
      <alignment horizontal="center" vertical="center"/>
    </xf>
    <xf numFmtId="169" fontId="30" fillId="0" borderId="31" xfId="0" applyNumberFormat="1" applyFont="1" applyFill="1" applyBorder="1" applyAlignment="1">
      <alignment horizontal="center" vertical="center"/>
    </xf>
    <xf numFmtId="169" fontId="30" fillId="0" borderId="7" xfId="0" applyNumberFormat="1" applyFont="1" applyFill="1" applyBorder="1" applyAlignment="1">
      <alignment horizontal="center" vertical="center"/>
    </xf>
    <xf numFmtId="169" fontId="30" fillId="0" borderId="1" xfId="0" applyNumberFormat="1" applyFont="1" applyFill="1" applyBorder="1" applyAlignment="1">
      <alignment horizontal="center" vertical="center" wrapText="1"/>
    </xf>
    <xf numFmtId="169" fontId="29" fillId="0" borderId="1" xfId="0" applyNumberFormat="1" applyFont="1" applyFill="1" applyBorder="1" applyAlignment="1">
      <alignment horizontal="center" vertical="center" wrapText="1"/>
    </xf>
    <xf numFmtId="169" fontId="30" fillId="2" borderId="7" xfId="1" applyNumberFormat="1" applyFont="1" applyFill="1" applyBorder="1" applyAlignment="1">
      <alignment horizontal="center" vertical="center" wrapText="1"/>
    </xf>
    <xf numFmtId="169" fontId="29" fillId="0" borderId="7" xfId="1" applyNumberFormat="1" applyFont="1" applyFill="1" applyBorder="1" applyAlignment="1">
      <alignment horizontal="center" vertical="center" wrapText="1"/>
    </xf>
    <xf numFmtId="169" fontId="30" fillId="0" borderId="1" xfId="0" applyNumberFormat="1" applyFont="1" applyBorder="1" applyAlignment="1">
      <alignment horizontal="center" vertical="center"/>
    </xf>
    <xf numFmtId="169" fontId="30" fillId="0" borderId="8" xfId="0" applyNumberFormat="1" applyFont="1" applyBorder="1" applyAlignment="1">
      <alignment horizontal="center" vertical="center"/>
    </xf>
    <xf numFmtId="169" fontId="29" fillId="2" borderId="1" xfId="0" applyNumberFormat="1" applyFont="1" applyFill="1" applyBorder="1" applyAlignment="1">
      <alignment horizontal="center" vertical="center"/>
    </xf>
    <xf numFmtId="169" fontId="30" fillId="0" borderId="1" xfId="6" applyNumberFormat="1" applyFont="1" applyFill="1" applyBorder="1" applyAlignment="1">
      <alignment horizontal="center" vertical="center"/>
    </xf>
    <xf numFmtId="169" fontId="29" fillId="0" borderId="1" xfId="6" applyNumberFormat="1" applyFont="1" applyFill="1" applyBorder="1" applyAlignment="1">
      <alignment horizontal="center" vertical="center"/>
    </xf>
    <xf numFmtId="169" fontId="30" fillId="0" borderId="8" xfId="6" applyNumberFormat="1" applyFont="1" applyFill="1" applyBorder="1" applyAlignment="1">
      <alignment horizontal="center" vertical="center"/>
    </xf>
    <xf numFmtId="169" fontId="29" fillId="4" borderId="1" xfId="0" applyNumberFormat="1" applyFont="1" applyFill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/>
    </xf>
    <xf numFmtId="169" fontId="40" fillId="0" borderId="31" xfId="0" applyNumberFormat="1" applyFont="1" applyBorder="1" applyAlignment="1">
      <alignment horizontal="center" vertical="center"/>
    </xf>
    <xf numFmtId="169" fontId="40" fillId="4" borderId="31" xfId="0" applyNumberFormat="1" applyFont="1" applyFill="1" applyBorder="1" applyAlignment="1">
      <alignment horizontal="center" vertical="center"/>
    </xf>
    <xf numFmtId="169" fontId="30" fillId="0" borderId="1" xfId="0" applyNumberFormat="1" applyFont="1" applyFill="1" applyBorder="1" applyAlignment="1">
      <alignment horizontal="center" vertical="top"/>
    </xf>
    <xf numFmtId="169" fontId="29" fillId="0" borderId="8" xfId="0" applyNumberFormat="1" applyFont="1" applyFill="1" applyBorder="1" applyAlignment="1">
      <alignment horizontal="center" vertical="top"/>
    </xf>
    <xf numFmtId="169" fontId="30" fillId="0" borderId="7" xfId="0" applyNumberFormat="1" applyFont="1" applyFill="1" applyBorder="1" applyAlignment="1">
      <alignment horizontal="center" vertical="top"/>
    </xf>
    <xf numFmtId="169" fontId="30" fillId="0" borderId="8" xfId="0" applyNumberFormat="1" applyFont="1" applyFill="1" applyBorder="1" applyAlignment="1">
      <alignment horizontal="center" vertical="top"/>
    </xf>
    <xf numFmtId="169" fontId="30" fillId="0" borderId="8" xfId="0" applyNumberFormat="1" applyFont="1" applyBorder="1" applyAlignment="1">
      <alignment horizontal="center" vertical="center" wrapText="1"/>
    </xf>
    <xf numFmtId="169" fontId="29" fillId="0" borderId="8" xfId="0" applyNumberFormat="1" applyFont="1" applyBorder="1" applyAlignment="1">
      <alignment horizontal="center" vertical="center" wrapText="1"/>
    </xf>
    <xf numFmtId="169" fontId="29" fillId="0" borderId="33" xfId="0" applyNumberFormat="1" applyFont="1" applyFill="1" applyBorder="1" applyAlignment="1">
      <alignment horizontal="center" vertical="center"/>
    </xf>
    <xf numFmtId="169" fontId="30" fillId="0" borderId="34" xfId="0" applyNumberFormat="1" applyFont="1" applyFill="1" applyBorder="1" applyAlignment="1">
      <alignment horizontal="center" vertical="center"/>
    </xf>
    <xf numFmtId="169" fontId="29" fillId="0" borderId="34" xfId="0" applyNumberFormat="1" applyFont="1" applyFill="1" applyBorder="1" applyAlignment="1">
      <alignment horizontal="center" vertical="center"/>
    </xf>
    <xf numFmtId="169" fontId="30" fillId="0" borderId="1" xfId="152" applyNumberFormat="1" applyFont="1" applyBorder="1" applyAlignment="1">
      <alignment horizontal="center" vertical="top"/>
    </xf>
    <xf numFmtId="169" fontId="30" fillId="0" borderId="31" xfId="152" applyNumberFormat="1" applyFont="1" applyBorder="1" applyAlignment="1">
      <alignment horizontal="center" vertical="top"/>
    </xf>
    <xf numFmtId="169" fontId="36" fillId="0" borderId="2" xfId="0" applyNumberFormat="1" applyFont="1" applyFill="1" applyBorder="1" applyAlignment="1">
      <alignment horizontal="center" vertical="top"/>
    </xf>
    <xf numFmtId="169" fontId="36" fillId="0" borderId="7" xfId="0" applyNumberFormat="1" applyFont="1" applyFill="1" applyBorder="1" applyAlignment="1">
      <alignment horizontal="center"/>
    </xf>
    <xf numFmtId="169" fontId="36" fillId="0" borderId="2" xfId="0" applyNumberFormat="1" applyFont="1" applyFill="1" applyBorder="1" applyAlignment="1">
      <alignment horizontal="center"/>
    </xf>
    <xf numFmtId="169" fontId="36" fillId="0" borderId="10" xfId="0" applyNumberFormat="1" applyFont="1" applyFill="1" applyBorder="1" applyAlignment="1">
      <alignment horizontal="center"/>
    </xf>
    <xf numFmtId="169" fontId="40" fillId="2" borderId="1" xfId="0" applyNumberFormat="1" applyFont="1" applyFill="1" applyBorder="1" applyAlignment="1">
      <alignment horizontal="center" vertical="center"/>
    </xf>
    <xf numFmtId="168" fontId="29" fillId="0" borderId="0" xfId="0" applyNumberFormat="1" applyFont="1" applyAlignment="1">
      <alignment horizontal="center"/>
    </xf>
    <xf numFmtId="168" fontId="29" fillId="0" borderId="1" xfId="0" applyNumberFormat="1" applyFont="1" applyBorder="1" applyAlignment="1">
      <alignment horizontal="center"/>
    </xf>
    <xf numFmtId="168" fontId="30" fillId="2" borderId="7" xfId="1" applyNumberFormat="1" applyFont="1" applyFill="1" applyBorder="1" applyAlignment="1">
      <alignment horizontal="center" vertical="center" wrapText="1"/>
    </xf>
    <xf numFmtId="168" fontId="29" fillId="0" borderId="7" xfId="1" applyNumberFormat="1" applyFont="1" applyFill="1" applyBorder="1" applyAlignment="1">
      <alignment horizontal="center" vertical="center" wrapText="1"/>
    </xf>
    <xf numFmtId="168" fontId="30" fillId="0" borderId="31" xfId="6" applyNumberFormat="1" applyFont="1" applyFill="1" applyBorder="1" applyAlignment="1">
      <alignment horizontal="center" vertical="center"/>
    </xf>
    <xf numFmtId="168" fontId="29" fillId="0" borderId="1" xfId="6" applyNumberFormat="1" applyFont="1" applyFill="1" applyBorder="1" applyAlignment="1">
      <alignment horizontal="center" vertical="center"/>
    </xf>
    <xf numFmtId="168" fontId="30" fillId="0" borderId="1" xfId="6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/>
    </xf>
    <xf numFmtId="168" fontId="40" fillId="4" borderId="31" xfId="0" applyNumberFormat="1" applyFont="1" applyFill="1" applyBorder="1" applyAlignment="1">
      <alignment horizontal="center" vertical="center"/>
    </xf>
    <xf numFmtId="168" fontId="30" fillId="0" borderId="4" xfId="0" applyNumberFormat="1" applyFont="1" applyFill="1" applyBorder="1" applyAlignment="1">
      <alignment horizontal="center" vertical="top"/>
    </xf>
    <xf numFmtId="168" fontId="29" fillId="0" borderId="32" xfId="0" applyNumberFormat="1" applyFont="1" applyFill="1" applyBorder="1" applyAlignment="1">
      <alignment horizontal="center" vertical="top"/>
    </xf>
    <xf numFmtId="168" fontId="30" fillId="0" borderId="10" xfId="0" applyNumberFormat="1" applyFont="1" applyFill="1" applyBorder="1" applyAlignment="1">
      <alignment horizontal="center" vertical="top"/>
    </xf>
    <xf numFmtId="168" fontId="30" fillId="0" borderId="32" xfId="0" applyNumberFormat="1" applyFont="1" applyFill="1" applyBorder="1" applyAlignment="1">
      <alignment horizontal="center" vertical="top"/>
    </xf>
    <xf numFmtId="168" fontId="40" fillId="2" borderId="1" xfId="0" applyNumberFormat="1" applyFont="1" applyFill="1" applyBorder="1" applyAlignment="1">
      <alignment horizontal="center" vertical="center"/>
    </xf>
    <xf numFmtId="168" fontId="29" fillId="4" borderId="31" xfId="0" applyNumberFormat="1" applyFont="1" applyFill="1" applyBorder="1" applyAlignment="1">
      <alignment horizontal="center" vertical="center"/>
    </xf>
    <xf numFmtId="169" fontId="40" fillId="0" borderId="7" xfId="0" applyNumberFormat="1" applyFont="1" applyBorder="1" applyAlignment="1">
      <alignment horizontal="center" vertical="center"/>
    </xf>
    <xf numFmtId="49" fontId="39" fillId="2" borderId="1" xfId="0" applyNumberFormat="1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right" vertical="center"/>
    </xf>
    <xf numFmtId="168" fontId="30" fillId="0" borderId="31" xfId="0" applyNumberFormat="1" applyFont="1" applyFill="1" applyBorder="1" applyAlignment="1">
      <alignment horizontal="center" vertical="top"/>
    </xf>
    <xf numFmtId="169" fontId="30" fillId="0" borderId="31" xfId="0" applyNumberFormat="1" applyFont="1" applyFill="1" applyBorder="1" applyAlignment="1">
      <alignment horizontal="center" vertical="top"/>
    </xf>
    <xf numFmtId="169" fontId="30" fillId="0" borderId="1" xfId="152" applyNumberFormat="1" applyFont="1" applyBorder="1" applyAlignment="1">
      <alignment horizontal="center" vertical="center"/>
    </xf>
    <xf numFmtId="168" fontId="30" fillId="0" borderId="1" xfId="152" applyNumberFormat="1" applyFont="1" applyBorder="1" applyAlignment="1">
      <alignment horizontal="center" vertical="center"/>
    </xf>
    <xf numFmtId="169" fontId="30" fillId="0" borderId="31" xfId="152" applyNumberFormat="1" applyFont="1" applyBorder="1" applyAlignment="1">
      <alignment horizontal="center" vertical="center"/>
    </xf>
    <xf numFmtId="168" fontId="30" fillId="0" borderId="31" xfId="152" applyNumberFormat="1" applyFont="1" applyBorder="1" applyAlignment="1">
      <alignment horizontal="center" vertical="center"/>
    </xf>
    <xf numFmtId="0" fontId="29" fillId="0" borderId="3" xfId="0" applyFont="1" applyFill="1" applyBorder="1" applyAlignment="1">
      <alignment horizontal="left" vertical="top" wrapText="1"/>
    </xf>
    <xf numFmtId="0" fontId="30" fillId="0" borderId="31" xfId="0" applyFont="1" applyFill="1" applyBorder="1" applyAlignment="1">
      <alignment horizontal="left" vertical="top" wrapText="1"/>
    </xf>
    <xf numFmtId="0" fontId="29" fillId="0" borderId="32" xfId="0" applyFont="1" applyFill="1" applyBorder="1" applyAlignment="1">
      <alignment horizontal="left" vertical="top" wrapText="1"/>
    </xf>
    <xf numFmtId="169" fontId="30" fillId="0" borderId="2" xfId="0" applyNumberFormat="1" applyFont="1" applyFill="1" applyBorder="1" applyAlignment="1">
      <alignment vertical="top"/>
    </xf>
    <xf numFmtId="169" fontId="30" fillId="0" borderId="7" xfId="0" applyNumberFormat="1" applyFont="1" applyFill="1" applyBorder="1" applyAlignment="1">
      <alignment vertical="top"/>
    </xf>
    <xf numFmtId="169" fontId="30" fillId="0" borderId="7" xfId="0" applyNumberFormat="1" applyFont="1" applyFill="1" applyBorder="1" applyAlignment="1">
      <alignment vertical="center"/>
    </xf>
    <xf numFmtId="169" fontId="30" fillId="0" borderId="1" xfId="0" applyNumberFormat="1" applyFont="1" applyFill="1" applyBorder="1" applyAlignment="1">
      <alignment vertical="center"/>
    </xf>
    <xf numFmtId="0" fontId="38" fillId="0" borderId="4" xfId="0" applyFont="1" applyFill="1" applyBorder="1" applyAlignment="1">
      <alignment horizontal="left" wrapText="1"/>
    </xf>
    <xf numFmtId="0" fontId="30" fillId="2" borderId="4" xfId="4" applyFont="1" applyFill="1" applyBorder="1" applyAlignment="1">
      <alignment horizontal="left" vertical="top" wrapText="1"/>
    </xf>
    <xf numFmtId="168" fontId="29" fillId="0" borderId="31" xfId="152" applyNumberFormat="1" applyFont="1" applyFill="1" applyBorder="1" applyAlignment="1">
      <alignment vertical="center" wrapText="1"/>
    </xf>
    <xf numFmtId="0" fontId="38" fillId="0" borderId="1" xfId="0" applyFont="1" applyFill="1" applyBorder="1" applyAlignment="1">
      <alignment horizontal="left" vertical="center" wrapText="1"/>
    </xf>
    <xf numFmtId="49" fontId="29" fillId="0" borderId="31" xfId="0" applyNumberFormat="1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 wrapText="1"/>
    </xf>
    <xf numFmtId="169" fontId="30" fillId="0" borderId="31" xfId="0" applyNumberFormat="1" applyFont="1" applyFill="1" applyBorder="1" applyAlignment="1">
      <alignment horizontal="center" vertical="top"/>
    </xf>
    <xf numFmtId="0" fontId="29" fillId="0" borderId="31" xfId="0" applyFont="1" applyFill="1" applyBorder="1" applyAlignment="1">
      <alignment horizontal="left" vertical="top" wrapText="1"/>
    </xf>
    <xf numFmtId="0" fontId="30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167" fontId="29" fillId="0" borderId="1" xfId="1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 wrapText="1"/>
    </xf>
    <xf numFmtId="167" fontId="30" fillId="0" borderId="1" xfId="1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29" fillId="0" borderId="31" xfId="0" applyFont="1" applyFill="1" applyBorder="1" applyAlignment="1">
      <alignment horizontal="center" vertical="center"/>
    </xf>
    <xf numFmtId="167" fontId="29" fillId="0" borderId="31" xfId="1" applyNumberFormat="1" applyFont="1" applyFill="1" applyBorder="1" applyAlignment="1">
      <alignment horizontal="center" vertical="center" wrapText="1"/>
    </xf>
    <xf numFmtId="169" fontId="30" fillId="0" borderId="1" xfId="0" applyNumberFormat="1" applyFont="1" applyFill="1" applyBorder="1" applyAlignment="1">
      <alignment horizontal="center" vertical="top"/>
    </xf>
    <xf numFmtId="0" fontId="30" fillId="2" borderId="1" xfId="0" applyFont="1" applyFill="1" applyBorder="1" applyAlignment="1">
      <alignment horizontal="left" vertical="center" wrapText="1"/>
    </xf>
    <xf numFmtId="0" fontId="29" fillId="0" borderId="3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top"/>
    </xf>
    <xf numFmtId="0" fontId="29" fillId="2" borderId="1" xfId="3" applyFont="1" applyFill="1" applyBorder="1" applyAlignment="1">
      <alignment horizontal="left" vertical="center" wrapText="1"/>
    </xf>
    <xf numFmtId="0" fontId="34" fillId="0" borderId="7" xfId="0" applyFont="1" applyFill="1" applyBorder="1" applyAlignment="1">
      <alignment horizontal="left" vertical="top" wrapText="1"/>
    </xf>
    <xf numFmtId="0" fontId="30" fillId="2" borderId="1" xfId="0" applyFont="1" applyFill="1" applyBorder="1" applyAlignment="1">
      <alignment horizontal="left" vertical="top" wrapText="1"/>
    </xf>
    <xf numFmtId="0" fontId="29" fillId="0" borderId="1" xfId="3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top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/>
    </xf>
    <xf numFmtId="168" fontId="30" fillId="0" borderId="1" xfId="0" applyNumberFormat="1" applyFont="1" applyFill="1" applyBorder="1" applyAlignment="1">
      <alignment horizontal="center" vertical="center"/>
    </xf>
    <xf numFmtId="167" fontId="29" fillId="0" borderId="7" xfId="1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167" fontId="29" fillId="0" borderId="6" xfId="1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left" vertical="center"/>
    </xf>
    <xf numFmtId="0" fontId="29" fillId="0" borderId="4" xfId="3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left" vertical="center" wrapText="1"/>
    </xf>
    <xf numFmtId="166" fontId="40" fillId="2" borderId="1" xfId="0" applyNumberFormat="1" applyFont="1" applyFill="1" applyBorder="1" applyAlignment="1">
      <alignment horizontal="center" vertical="center" wrapText="1"/>
    </xf>
    <xf numFmtId="167" fontId="29" fillId="0" borderId="31" xfId="1" applyNumberFormat="1" applyFont="1" applyFill="1" applyBorder="1" applyAlignment="1">
      <alignment horizontal="center" vertical="center" wrapText="1"/>
    </xf>
    <xf numFmtId="49" fontId="29" fillId="0" borderId="31" xfId="0" applyNumberFormat="1" applyFont="1" applyFill="1" applyBorder="1" applyAlignment="1">
      <alignment horizontal="center" vertical="center"/>
    </xf>
    <xf numFmtId="169" fontId="30" fillId="0" borderId="31" xfId="0" applyNumberFormat="1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left" vertical="center" wrapText="1"/>
    </xf>
    <xf numFmtId="167" fontId="29" fillId="0" borderId="6" xfId="1" applyNumberFormat="1" applyFont="1" applyFill="1" applyBorder="1" applyAlignment="1">
      <alignment horizontal="center" vertical="center" wrapText="1"/>
    </xf>
    <xf numFmtId="169" fontId="40" fillId="2" borderId="1" xfId="0" applyNumberFormat="1" applyFont="1" applyFill="1" applyBorder="1" applyAlignment="1">
      <alignment horizontal="center" vertical="center"/>
    </xf>
    <xf numFmtId="169" fontId="29" fillId="0" borderId="2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center" vertical="top" wrapText="1"/>
    </xf>
    <xf numFmtId="169" fontId="30" fillId="0" borderId="4" xfId="152" applyNumberFormat="1" applyFont="1" applyBorder="1" applyAlignment="1">
      <alignment horizontal="center" vertical="top"/>
    </xf>
    <xf numFmtId="176" fontId="36" fillId="0" borderId="4" xfId="0" applyNumberFormat="1" applyFont="1" applyFill="1" applyBorder="1" applyAlignment="1">
      <alignment horizontal="center" vertical="top"/>
    </xf>
    <xf numFmtId="176" fontId="30" fillId="0" borderId="1" xfId="0" applyNumberFormat="1" applyFont="1" applyFill="1" applyBorder="1" applyAlignment="1">
      <alignment horizontal="center" vertical="center"/>
    </xf>
    <xf numFmtId="167" fontId="38" fillId="0" borderId="1" xfId="0" applyNumberFormat="1" applyFont="1" applyFill="1" applyBorder="1" applyAlignment="1">
      <alignment horizontal="center" vertical="center"/>
    </xf>
    <xf numFmtId="167" fontId="36" fillId="0" borderId="1" xfId="0" applyNumberFormat="1" applyFont="1" applyFill="1" applyBorder="1" applyAlignment="1">
      <alignment horizontal="center" vertical="center"/>
    </xf>
    <xf numFmtId="178" fontId="30" fillId="0" borderId="1" xfId="0" applyNumberFormat="1" applyFont="1" applyFill="1" applyBorder="1" applyAlignment="1">
      <alignment horizontal="center" vertical="center"/>
    </xf>
    <xf numFmtId="178" fontId="29" fillId="0" borderId="1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top" wrapText="1"/>
    </xf>
    <xf numFmtId="0" fontId="34" fillId="0" borderId="0" xfId="0" applyFont="1" applyFill="1" applyBorder="1" applyAlignment="1">
      <alignment horizontal="left" vertical="top" wrapText="1"/>
    </xf>
    <xf numFmtId="49" fontId="29" fillId="0" borderId="1" xfId="0" applyNumberFormat="1" applyFont="1" applyFill="1" applyBorder="1" applyAlignment="1">
      <alignment horizontal="center" vertical="center"/>
    </xf>
    <xf numFmtId="0" fontId="29" fillId="0" borderId="1" xfId="3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vertical="center" wrapText="1"/>
    </xf>
    <xf numFmtId="168" fontId="30" fillId="0" borderId="5" xfId="152" applyNumberFormat="1" applyFont="1" applyFill="1" applyBorder="1" applyAlignment="1">
      <alignment horizontal="center" vertical="top"/>
    </xf>
    <xf numFmtId="167" fontId="30" fillId="0" borderId="1" xfId="1" applyNumberFormat="1" applyFont="1" applyBorder="1" applyAlignment="1">
      <alignment horizontal="center" vertical="center" wrapText="1"/>
    </xf>
    <xf numFmtId="167" fontId="29" fillId="0" borderId="31" xfId="0" applyNumberFormat="1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left" vertical="top" wrapText="1"/>
    </xf>
    <xf numFmtId="0" fontId="29" fillId="2" borderId="7" xfId="0" applyFont="1" applyFill="1" applyBorder="1" applyAlignment="1">
      <alignment horizontal="center" vertical="top" wrapText="1"/>
    </xf>
    <xf numFmtId="167" fontId="36" fillId="2" borderId="2" xfId="0" applyNumberFormat="1" applyFont="1" applyFill="1" applyBorder="1" applyAlignment="1">
      <alignment horizontal="center" vertical="center" wrapText="1"/>
    </xf>
    <xf numFmtId="167" fontId="36" fillId="2" borderId="7" xfId="0" applyNumberFormat="1" applyFont="1" applyFill="1" applyBorder="1" applyAlignment="1">
      <alignment horizontal="center" vertical="center" wrapText="1"/>
    </xf>
    <xf numFmtId="167" fontId="36" fillId="2" borderId="1" xfId="0" applyNumberFormat="1" applyFont="1" applyFill="1" applyBorder="1" applyAlignment="1">
      <alignment horizontal="center" vertical="center" wrapText="1"/>
    </xf>
    <xf numFmtId="0" fontId="36" fillId="2" borderId="31" xfId="0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171" fontId="39" fillId="0" borderId="7" xfId="8" applyNumberFormat="1" applyFont="1" applyFill="1" applyBorder="1" applyAlignment="1">
      <alignment horizontal="center" vertical="center"/>
    </xf>
    <xf numFmtId="171" fontId="39" fillId="2" borderId="7" xfId="8" applyNumberFormat="1" applyFont="1" applyFill="1" applyBorder="1" applyAlignment="1">
      <alignment horizontal="center" vertical="center"/>
    </xf>
    <xf numFmtId="167" fontId="30" fillId="0" borderId="6" xfId="1" applyNumberFormat="1" applyFont="1" applyFill="1" applyBorder="1" applyAlignment="1">
      <alignment horizontal="center" vertical="center" wrapText="1"/>
    </xf>
    <xf numFmtId="167" fontId="30" fillId="0" borderId="1" xfId="0" applyNumberFormat="1" applyFont="1" applyFill="1" applyBorder="1" applyAlignment="1">
      <alignment horizontal="center" vertical="center" wrapText="1"/>
    </xf>
    <xf numFmtId="0" fontId="29" fillId="0" borderId="1" xfId="3" applyFont="1" applyFill="1" applyBorder="1" applyAlignment="1">
      <alignment horizontal="left" vertical="center" wrapText="1"/>
    </xf>
    <xf numFmtId="167" fontId="29" fillId="2" borderId="31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/>
    </xf>
    <xf numFmtId="167" fontId="29" fillId="0" borderId="6" xfId="1" applyNumberFormat="1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center" vertical="center"/>
    </xf>
    <xf numFmtId="167" fontId="29" fillId="2" borderId="1" xfId="1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167" fontId="30" fillId="2" borderId="1" xfId="1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left" vertical="center" wrapText="1"/>
    </xf>
    <xf numFmtId="0" fontId="29" fillId="2" borderId="1" xfId="3" applyFont="1" applyFill="1" applyBorder="1" applyAlignment="1">
      <alignment horizontal="left" vertical="center" wrapText="1"/>
    </xf>
    <xf numFmtId="167" fontId="30" fillId="0" borderId="7" xfId="0" applyNumberFormat="1" applyFont="1" applyFill="1" applyBorder="1" applyAlignment="1">
      <alignment horizontal="center" vertical="center" wrapText="1"/>
    </xf>
    <xf numFmtId="167" fontId="30" fillId="0" borderId="8" xfId="0" applyNumberFormat="1" applyFont="1" applyFill="1" applyBorder="1" applyAlignment="1">
      <alignment horizontal="center" vertical="center" wrapText="1"/>
    </xf>
    <xf numFmtId="169" fontId="29" fillId="0" borderId="3" xfId="0" applyNumberFormat="1" applyFont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top" wrapText="1"/>
    </xf>
    <xf numFmtId="171" fontId="40" fillId="2" borderId="7" xfId="8" applyNumberFormat="1" applyFont="1" applyFill="1" applyBorder="1" applyAlignment="1">
      <alignment horizontal="center" vertical="center"/>
    </xf>
    <xf numFmtId="179" fontId="30" fillId="2" borderId="1" xfId="0" applyNumberFormat="1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3" fontId="30" fillId="2" borderId="1" xfId="0" applyNumberFormat="1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vertical="center" wrapText="1"/>
    </xf>
    <xf numFmtId="167" fontId="30" fillId="0" borderId="31" xfId="1" applyNumberFormat="1" applyFont="1" applyFill="1" applyBorder="1" applyAlignment="1">
      <alignment horizontal="center" vertical="center" wrapText="1"/>
    </xf>
    <xf numFmtId="171" fontId="39" fillId="2" borderId="31" xfId="8" applyNumberFormat="1" applyFont="1" applyFill="1" applyBorder="1" applyAlignment="1">
      <alignment horizontal="center" vertical="center"/>
    </xf>
    <xf numFmtId="171" fontId="39" fillId="2" borderId="7" xfId="8" applyNumberFormat="1" applyFont="1" applyFill="1" applyBorder="1" applyAlignment="1">
      <alignment horizontal="center" vertical="center"/>
    </xf>
    <xf numFmtId="167" fontId="30" fillId="0" borderId="33" xfId="1" applyNumberFormat="1" applyFont="1" applyFill="1" applyBorder="1" applyAlignment="1">
      <alignment horizontal="center" vertical="center" wrapText="1"/>
    </xf>
    <xf numFmtId="167" fontId="30" fillId="0" borderId="6" xfId="1" applyNumberFormat="1" applyFont="1" applyFill="1" applyBorder="1" applyAlignment="1">
      <alignment horizontal="center" vertical="center" wrapText="1"/>
    </xf>
    <xf numFmtId="167" fontId="30" fillId="0" borderId="1" xfId="1" applyNumberFormat="1" applyFont="1" applyFill="1" applyBorder="1" applyAlignment="1">
      <alignment horizontal="center" vertical="center" wrapText="1"/>
    </xf>
    <xf numFmtId="171" fontId="39" fillId="2" borderId="1" xfId="8" applyNumberFormat="1" applyFont="1" applyFill="1" applyBorder="1" applyAlignment="1">
      <alignment horizontal="center" vertical="center"/>
    </xf>
    <xf numFmtId="1" fontId="29" fillId="2" borderId="1" xfId="0" applyNumberFormat="1" applyFont="1" applyFill="1" applyBorder="1" applyAlignment="1">
      <alignment horizontal="center" vertical="center"/>
    </xf>
    <xf numFmtId="1" fontId="29" fillId="2" borderId="7" xfId="0" applyNumberFormat="1" applyFont="1" applyFill="1" applyBorder="1" applyAlignment="1">
      <alignment horizontal="center" vertical="center"/>
    </xf>
    <xf numFmtId="0" fontId="29" fillId="0" borderId="1" xfId="3" applyFont="1" applyFill="1" applyBorder="1" applyAlignment="1">
      <alignment horizontal="left" vertical="center" wrapText="1"/>
    </xf>
    <xf numFmtId="167" fontId="29" fillId="0" borderId="1" xfId="3" applyNumberFormat="1" applyFont="1" applyFill="1" applyBorder="1" applyAlignment="1">
      <alignment horizontal="center" vertical="center" wrapText="1"/>
    </xf>
    <xf numFmtId="0" fontId="29" fillId="2" borderId="1" xfId="3" applyFont="1" applyFill="1" applyBorder="1" applyAlignment="1">
      <alignment horizontal="left" vertical="center" wrapText="1"/>
    </xf>
    <xf numFmtId="49" fontId="29" fillId="0" borderId="31" xfId="0" applyNumberFormat="1" applyFont="1" applyFill="1" applyBorder="1" applyAlignment="1">
      <alignment horizontal="center" vertical="center"/>
    </xf>
    <xf numFmtId="169" fontId="29" fillId="0" borderId="31" xfId="0" applyNumberFormat="1" applyFont="1" applyFill="1" applyBorder="1" applyAlignment="1">
      <alignment horizontal="center" vertical="center"/>
    </xf>
    <xf numFmtId="168" fontId="29" fillId="0" borderId="31" xfId="0" applyNumberFormat="1" applyFont="1" applyFill="1" applyBorder="1" applyAlignment="1">
      <alignment horizontal="center" vertical="center"/>
    </xf>
    <xf numFmtId="168" fontId="29" fillId="0" borderId="2" xfId="0" applyNumberFormat="1" applyFont="1" applyFill="1" applyBorder="1" applyAlignment="1">
      <alignment horizontal="center" vertical="center"/>
    </xf>
    <xf numFmtId="168" fontId="29" fillId="0" borderId="7" xfId="0" applyNumberFormat="1" applyFont="1" applyFill="1" applyBorder="1" applyAlignment="1">
      <alignment horizontal="center" vertical="center"/>
    </xf>
    <xf numFmtId="167" fontId="29" fillId="2" borderId="1" xfId="1" applyNumberFormat="1" applyFont="1" applyFill="1" applyBorder="1" applyAlignment="1">
      <alignment horizontal="center" vertical="center" wrapText="1"/>
    </xf>
    <xf numFmtId="169" fontId="29" fillId="2" borderId="1" xfId="0" applyNumberFormat="1" applyFont="1" applyFill="1" applyBorder="1" applyAlignment="1">
      <alignment horizontal="center" vertical="center" wrapText="1"/>
    </xf>
    <xf numFmtId="168" fontId="30" fillId="2" borderId="31" xfId="0" applyNumberFormat="1" applyFont="1" applyFill="1" applyBorder="1" applyAlignment="1">
      <alignment horizontal="center" vertical="center"/>
    </xf>
    <xf numFmtId="168" fontId="30" fillId="2" borderId="7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left" vertical="center" wrapText="1"/>
    </xf>
    <xf numFmtId="0" fontId="29" fillId="2" borderId="31" xfId="0" applyFont="1" applyFill="1" applyBorder="1" applyAlignment="1">
      <alignment horizontal="left" vertical="center" wrapText="1"/>
    </xf>
    <xf numFmtId="0" fontId="29" fillId="2" borderId="7" xfId="0" applyFont="1" applyFill="1" applyBorder="1" applyAlignment="1">
      <alignment horizontal="left" vertical="center" wrapText="1"/>
    </xf>
    <xf numFmtId="0" fontId="29" fillId="0" borderId="31" xfId="3" applyFont="1" applyFill="1" applyBorder="1" applyAlignment="1">
      <alignment horizontal="left" vertical="center" wrapText="1"/>
    </xf>
    <xf numFmtId="0" fontId="29" fillId="0" borderId="2" xfId="3" applyFont="1" applyFill="1" applyBorder="1" applyAlignment="1">
      <alignment horizontal="left" vertical="center" wrapText="1"/>
    </xf>
    <xf numFmtId="0" fontId="29" fillId="0" borderId="7" xfId="0" applyFont="1" applyBorder="1" applyAlignment="1">
      <alignment horizontal="center" vertical="center"/>
    </xf>
    <xf numFmtId="0" fontId="29" fillId="2" borderId="31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29" fillId="2" borderId="4" xfId="3" applyFont="1" applyFill="1" applyBorder="1" applyAlignment="1">
      <alignment horizontal="left" vertical="center" wrapText="1"/>
    </xf>
    <xf numFmtId="169" fontId="30" fillId="2" borderId="31" xfId="0" applyNumberFormat="1" applyFont="1" applyFill="1" applyBorder="1" applyAlignment="1">
      <alignment horizontal="center" vertical="center"/>
    </xf>
    <xf numFmtId="49" fontId="29" fillId="2" borderId="31" xfId="0" applyNumberFormat="1" applyFont="1" applyFill="1" applyBorder="1" applyAlignment="1">
      <alignment horizontal="center" vertical="center"/>
    </xf>
    <xf numFmtId="49" fontId="29" fillId="2" borderId="7" xfId="0" applyNumberFormat="1" applyFont="1" applyFill="1" applyBorder="1" applyAlignment="1">
      <alignment horizontal="center" vertical="center"/>
    </xf>
    <xf numFmtId="0" fontId="29" fillId="2" borderId="31" xfId="3" applyFont="1" applyFill="1" applyBorder="1" applyAlignment="1">
      <alignment horizontal="left" vertical="center" wrapText="1"/>
    </xf>
    <xf numFmtId="167" fontId="29" fillId="0" borderId="7" xfId="3" applyNumberFormat="1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left" vertical="center" wrapText="1"/>
    </xf>
    <xf numFmtId="167" fontId="29" fillId="2" borderId="6" xfId="1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29" fillId="2" borderId="31" xfId="1" applyNumberFormat="1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left" vertical="center" wrapText="1"/>
    </xf>
    <xf numFmtId="167" fontId="29" fillId="2" borderId="7" xfId="0" applyNumberFormat="1" applyFont="1" applyFill="1" applyBorder="1" applyAlignment="1">
      <alignment horizontal="center" vertical="center" wrapText="1"/>
    </xf>
    <xf numFmtId="168" fontId="29" fillId="2" borderId="7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69" fontId="29" fillId="2" borderId="7" xfId="0" applyNumberFormat="1" applyFont="1" applyFill="1" applyBorder="1" applyAlignment="1">
      <alignment horizontal="center" vertical="center" wrapText="1"/>
    </xf>
    <xf numFmtId="168" fontId="29" fillId="0" borderId="7" xfId="0" applyNumberFormat="1" applyFont="1" applyBorder="1" applyAlignment="1">
      <alignment horizontal="center" vertical="center"/>
    </xf>
    <xf numFmtId="169" fontId="29" fillId="2" borderId="7" xfId="0" applyNumberFormat="1" applyFont="1" applyFill="1" applyBorder="1" applyAlignment="1">
      <alignment horizontal="center" vertical="center"/>
    </xf>
    <xf numFmtId="168" fontId="30" fillId="2" borderId="31" xfId="0" applyNumberFormat="1" applyFont="1" applyFill="1" applyBorder="1" applyAlignment="1">
      <alignment horizontal="center" vertical="center" wrapText="1"/>
    </xf>
    <xf numFmtId="168" fontId="30" fillId="2" borderId="7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30" fillId="2" borderId="31" xfId="0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168" fontId="29" fillId="2" borderId="31" xfId="0" applyNumberFormat="1" applyFont="1" applyFill="1" applyBorder="1" applyAlignment="1">
      <alignment horizontal="center" vertical="center" wrapText="1"/>
    </xf>
    <xf numFmtId="168" fontId="29" fillId="2" borderId="2" xfId="0" applyNumberFormat="1" applyFont="1" applyFill="1" applyBorder="1" applyAlignment="1">
      <alignment horizontal="center" vertical="center" wrapText="1"/>
    </xf>
    <xf numFmtId="0" fontId="29" fillId="0" borderId="31" xfId="3" applyFont="1" applyFill="1" applyBorder="1" applyAlignment="1">
      <alignment horizontal="center" vertical="center" wrapText="1"/>
    </xf>
    <xf numFmtId="167" fontId="29" fillId="0" borderId="0" xfId="0" applyNumberFormat="1" applyFont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169" fontId="30" fillId="0" borderId="1" xfId="0" applyNumberFormat="1" applyFont="1" applyBorder="1" applyAlignment="1">
      <alignment horizontal="center" vertical="center"/>
    </xf>
    <xf numFmtId="167" fontId="29" fillId="0" borderId="1" xfId="0" applyNumberFormat="1" applyFont="1" applyFill="1" applyBorder="1" applyAlignment="1">
      <alignment horizontal="center" vertical="center" wrapText="1"/>
    </xf>
    <xf numFmtId="167" fontId="30" fillId="0" borderId="1" xfId="0" applyNumberFormat="1" applyFont="1" applyFill="1" applyBorder="1" applyAlignment="1">
      <alignment horizontal="center" vertical="center" wrapText="1"/>
    </xf>
    <xf numFmtId="167" fontId="30" fillId="3" borderId="1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center" vertical="center" wrapText="1"/>
    </xf>
    <xf numFmtId="49" fontId="29" fillId="2" borderId="31" xfId="0" applyNumberFormat="1" applyFont="1" applyFill="1" applyBorder="1" applyAlignment="1">
      <alignment horizontal="center" vertical="center" wrapText="1"/>
    </xf>
    <xf numFmtId="49" fontId="29" fillId="2" borderId="7" xfId="0" applyNumberFormat="1" applyFont="1" applyFill="1" applyBorder="1" applyAlignment="1">
      <alignment horizontal="center" vertical="center" wrapText="1"/>
    </xf>
    <xf numFmtId="169" fontId="29" fillId="2" borderId="31" xfId="0" applyNumberFormat="1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167" fontId="30" fillId="2" borderId="1" xfId="0" applyNumberFormat="1" applyFont="1" applyFill="1" applyBorder="1" applyAlignment="1">
      <alignment horizontal="center" vertical="center" wrapText="1"/>
    </xf>
    <xf numFmtId="169" fontId="30" fillId="2" borderId="1" xfId="0" applyNumberFormat="1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center" vertical="center"/>
    </xf>
    <xf numFmtId="0" fontId="30" fillId="2" borderId="32" xfId="0" applyFont="1" applyFill="1" applyBorder="1" applyAlignment="1">
      <alignment horizontal="left" vertical="center" wrapText="1"/>
    </xf>
    <xf numFmtId="1" fontId="29" fillId="2" borderId="31" xfId="0" applyNumberFormat="1" applyFont="1" applyFill="1" applyBorder="1" applyAlignment="1">
      <alignment horizontal="center" vertical="center"/>
    </xf>
    <xf numFmtId="169" fontId="30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vertical="center"/>
    </xf>
    <xf numFmtId="167" fontId="29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 wrapText="1"/>
    </xf>
    <xf numFmtId="0" fontId="29" fillId="2" borderId="32" xfId="3" applyFont="1" applyFill="1" applyBorder="1" applyAlignment="1">
      <alignment horizontal="left" vertical="center" wrapText="1"/>
    </xf>
    <xf numFmtId="169" fontId="29" fillId="2" borderId="31" xfId="0" applyNumberFormat="1" applyFont="1" applyFill="1" applyBorder="1" applyAlignment="1">
      <alignment horizontal="center" vertical="center"/>
    </xf>
    <xf numFmtId="168" fontId="30" fillId="2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vertical="center"/>
    </xf>
    <xf numFmtId="0" fontId="36" fillId="2" borderId="0" xfId="0" applyFont="1" applyFill="1"/>
    <xf numFmtId="0" fontId="30" fillId="3" borderId="1" xfId="0" applyFont="1" applyFill="1" applyBorder="1" applyAlignment="1">
      <alignment horizontal="left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181" fontId="29" fillId="2" borderId="31" xfId="0" applyNumberFormat="1" applyFont="1" applyFill="1" applyBorder="1" applyAlignment="1">
      <alignment horizontal="center" vertical="center" wrapText="1"/>
    </xf>
    <xf numFmtId="1" fontId="29" fillId="2" borderId="31" xfId="0" applyNumberFormat="1" applyFont="1" applyFill="1" applyBorder="1" applyAlignment="1">
      <alignment vertical="center" wrapText="1"/>
    </xf>
    <xf numFmtId="1" fontId="29" fillId="2" borderId="1" xfId="0" applyNumberFormat="1" applyFont="1" applyFill="1" applyBorder="1" applyAlignment="1">
      <alignment horizontal="right" vertical="center"/>
    </xf>
    <xf numFmtId="1" fontId="29" fillId="2" borderId="1" xfId="0" applyNumberFormat="1" applyFont="1" applyFill="1" applyBorder="1" applyAlignment="1">
      <alignment vertical="center"/>
    </xf>
    <xf numFmtId="1" fontId="29" fillId="2" borderId="7" xfId="0" applyNumberFormat="1" applyFont="1" applyFill="1" applyBorder="1" applyAlignment="1">
      <alignment horizontal="right" vertical="center"/>
    </xf>
    <xf numFmtId="167" fontId="29" fillId="2" borderId="1" xfId="1" applyNumberFormat="1" applyFont="1" applyFill="1" applyBorder="1" applyAlignment="1">
      <alignment vertical="center" wrapText="1"/>
    </xf>
    <xf numFmtId="167" fontId="29" fillId="2" borderId="2" xfId="1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right" vertical="center" wrapText="1"/>
    </xf>
    <xf numFmtId="1" fontId="29" fillId="2" borderId="1" xfId="0" applyNumberFormat="1" applyFont="1" applyFill="1" applyBorder="1" applyAlignment="1">
      <alignment vertical="center" wrapText="1"/>
    </xf>
    <xf numFmtId="1" fontId="29" fillId="2" borderId="7" xfId="0" applyNumberFormat="1" applyFont="1" applyFill="1" applyBorder="1" applyAlignment="1">
      <alignment vertical="center" wrapText="1"/>
    </xf>
    <xf numFmtId="181" fontId="29" fillId="2" borderId="1" xfId="0" applyNumberFormat="1" applyFont="1" applyFill="1" applyBorder="1" applyAlignment="1">
      <alignment horizontal="center" vertical="center" wrapText="1"/>
    </xf>
    <xf numFmtId="168" fontId="29" fillId="2" borderId="32" xfId="0" applyNumberFormat="1" applyFont="1" applyFill="1" applyBorder="1" applyAlignment="1">
      <alignment horizontal="center" vertical="center"/>
    </xf>
    <xf numFmtId="9" fontId="29" fillId="2" borderId="7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justify" vertical="center" wrapText="1"/>
    </xf>
    <xf numFmtId="170" fontId="30" fillId="2" borderId="1" xfId="17" applyNumberFormat="1" applyFont="1" applyFill="1" applyBorder="1" applyAlignment="1">
      <alignment horizontal="center" vertical="center" wrapText="1"/>
    </xf>
    <xf numFmtId="0" fontId="30" fillId="2" borderId="1" xfId="3" applyNumberFormat="1" applyFont="1" applyFill="1" applyBorder="1" applyAlignment="1">
      <alignment horizontal="center" wrapText="1"/>
    </xf>
    <xf numFmtId="167" fontId="29" fillId="0" borderId="1" xfId="8" applyNumberFormat="1" applyFont="1" applyFill="1" applyBorder="1" applyAlignment="1">
      <alignment horizontal="center" vertical="center"/>
    </xf>
    <xf numFmtId="170" fontId="29" fillId="2" borderId="1" xfId="17" applyNumberFormat="1" applyFont="1" applyFill="1" applyBorder="1" applyAlignment="1">
      <alignment horizontal="center" vertical="center" wrapText="1"/>
    </xf>
    <xf numFmtId="9" fontId="29" fillId="0" borderId="1" xfId="3" applyNumberFormat="1" applyFont="1" applyFill="1" applyBorder="1" applyAlignment="1">
      <alignment horizontal="center" vertical="center" wrapText="1"/>
    </xf>
    <xf numFmtId="170" fontId="29" fillId="0" borderId="1" xfId="17" applyNumberFormat="1" applyFont="1" applyFill="1" applyBorder="1" applyAlignment="1">
      <alignment horizontal="center" vertical="center" wrapText="1"/>
    </xf>
    <xf numFmtId="0" fontId="29" fillId="0" borderId="1" xfId="3" applyNumberFormat="1" applyFont="1" applyFill="1" applyBorder="1" applyAlignment="1">
      <alignment horizontal="center" vertical="center" wrapText="1"/>
    </xf>
    <xf numFmtId="170" fontId="29" fillId="0" borderId="1" xfId="3" applyNumberFormat="1" applyFont="1" applyFill="1" applyBorder="1" applyAlignment="1">
      <alignment horizontal="center" vertical="center" wrapText="1"/>
    </xf>
    <xf numFmtId="0" fontId="29" fillId="2" borderId="1" xfId="18" applyFont="1" applyFill="1" applyBorder="1" applyAlignment="1">
      <alignment horizontal="left" vertical="center" wrapText="1"/>
    </xf>
    <xf numFmtId="0" fontId="29" fillId="0" borderId="1" xfId="3" applyFont="1" applyFill="1" applyBorder="1" applyAlignment="1">
      <alignment horizontal="left" vertical="top" wrapText="1"/>
    </xf>
    <xf numFmtId="0" fontId="29" fillId="0" borderId="1" xfId="3" applyFont="1" applyFill="1" applyBorder="1" applyAlignment="1">
      <alignment horizontal="center" wrapText="1"/>
    </xf>
    <xf numFmtId="170" fontId="29" fillId="0" borderId="1" xfId="0" applyNumberFormat="1" applyFont="1" applyFill="1" applyBorder="1" applyAlignment="1">
      <alignment horizontal="center" wrapText="1"/>
    </xf>
    <xf numFmtId="170" fontId="29" fillId="0" borderId="1" xfId="0" applyNumberFormat="1" applyFont="1" applyFill="1" applyBorder="1" applyAlignment="1">
      <alignment horizontal="center" vertical="center" wrapText="1"/>
    </xf>
    <xf numFmtId="1" fontId="29" fillId="0" borderId="1" xfId="3" applyNumberFormat="1" applyFont="1" applyFill="1" applyBorder="1" applyAlignment="1">
      <alignment horizontal="center" wrapText="1"/>
    </xf>
    <xf numFmtId="49" fontId="29" fillId="0" borderId="1" xfId="3" applyNumberFormat="1" applyFont="1" applyFill="1" applyBorder="1" applyAlignment="1">
      <alignment vertical="center" wrapText="1"/>
    </xf>
    <xf numFmtId="1" fontId="29" fillId="0" borderId="1" xfId="3" applyNumberFormat="1" applyFont="1" applyFill="1" applyBorder="1" applyAlignment="1">
      <alignment horizontal="center" vertical="center" wrapText="1"/>
    </xf>
    <xf numFmtId="0" fontId="29" fillId="2" borderId="1" xfId="3" applyFont="1" applyFill="1" applyBorder="1" applyAlignment="1">
      <alignment horizontal="left" vertical="top" wrapText="1"/>
    </xf>
    <xf numFmtId="9" fontId="29" fillId="2" borderId="1" xfId="17" applyFont="1" applyFill="1" applyBorder="1" applyAlignment="1">
      <alignment horizontal="center" vertical="center" wrapText="1"/>
    </xf>
    <xf numFmtId="170" fontId="29" fillId="0" borderId="31" xfId="17" applyNumberFormat="1" applyFont="1" applyFill="1" applyBorder="1" applyAlignment="1">
      <alignment horizontal="center" vertical="center" wrapText="1"/>
    </xf>
    <xf numFmtId="170" fontId="30" fillId="2" borderId="1" xfId="17" applyNumberFormat="1" applyFont="1" applyFill="1" applyBorder="1" applyAlignment="1">
      <alignment vertical="center" wrapText="1"/>
    </xf>
    <xf numFmtId="0" fontId="43" fillId="2" borderId="1" xfId="3" applyFont="1" applyFill="1" applyBorder="1" applyAlignment="1">
      <alignment vertical="center" wrapText="1"/>
    </xf>
    <xf numFmtId="0" fontId="43" fillId="0" borderId="1" xfId="3" applyFont="1" applyFill="1" applyBorder="1" applyAlignment="1">
      <alignment horizontal="center" vertical="center" wrapText="1"/>
    </xf>
    <xf numFmtId="170" fontId="43" fillId="0" borderId="1" xfId="17" applyNumberFormat="1" applyFont="1" applyFill="1" applyBorder="1" applyAlignment="1">
      <alignment horizontal="center" vertical="center" wrapText="1"/>
    </xf>
    <xf numFmtId="0" fontId="43" fillId="2" borderId="1" xfId="3" applyFont="1" applyFill="1" applyBorder="1" applyAlignment="1">
      <alignment horizontal="left" vertical="center" wrapText="1"/>
    </xf>
    <xf numFmtId="0" fontId="44" fillId="0" borderId="1" xfId="3" applyFont="1" applyFill="1" applyBorder="1" applyAlignment="1">
      <alignment horizontal="center" vertical="center" wrapText="1"/>
    </xf>
    <xf numFmtId="0" fontId="44" fillId="2" borderId="7" xfId="3" applyFont="1" applyFill="1" applyBorder="1" applyAlignment="1">
      <alignment horizontal="center" vertical="center" wrapText="1"/>
    </xf>
    <xf numFmtId="170" fontId="43" fillId="2" borderId="7" xfId="17" applyNumberFormat="1" applyFont="1" applyFill="1" applyBorder="1" applyAlignment="1">
      <alignment horizontal="center" vertical="center" wrapText="1"/>
    </xf>
    <xf numFmtId="0" fontId="43" fillId="2" borderId="1" xfId="3" applyFont="1" applyFill="1" applyBorder="1" applyAlignment="1">
      <alignment horizontal="center" vertical="center" wrapText="1"/>
    </xf>
    <xf numFmtId="170" fontId="43" fillId="2" borderId="1" xfId="17" applyNumberFormat="1" applyFont="1" applyFill="1" applyBorder="1" applyAlignment="1">
      <alignment horizontal="center" vertical="center" wrapText="1"/>
    </xf>
    <xf numFmtId="168" fontId="29" fillId="2" borderId="4" xfId="0" applyNumberFormat="1" applyFont="1" applyFill="1" applyBorder="1" applyAlignment="1">
      <alignment horizontal="center" vertical="center"/>
    </xf>
    <xf numFmtId="169" fontId="30" fillId="2" borderId="4" xfId="0" applyNumberFormat="1" applyFont="1" applyFill="1" applyBorder="1" applyAlignment="1">
      <alignment vertical="center"/>
    </xf>
    <xf numFmtId="169" fontId="30" fillId="3" borderId="5" xfId="0" applyNumberFormat="1" applyFont="1" applyFill="1" applyBorder="1" applyAlignment="1">
      <alignment vertical="center"/>
    </xf>
    <xf numFmtId="169" fontId="30" fillId="3" borderId="6" xfId="0" applyNumberFormat="1" applyFont="1" applyFill="1" applyBorder="1" applyAlignment="1">
      <alignment vertical="center"/>
    </xf>
    <xf numFmtId="0" fontId="30" fillId="3" borderId="1" xfId="0" applyFont="1" applyFill="1" applyBorder="1" applyAlignment="1">
      <alignment horizontal="center" vertical="center"/>
    </xf>
    <xf numFmtId="167" fontId="29" fillId="3" borderId="25" xfId="0" applyNumberFormat="1" applyFont="1" applyFill="1" applyBorder="1" applyAlignment="1">
      <alignment horizontal="left" vertical="center"/>
    </xf>
    <xf numFmtId="167" fontId="30" fillId="3" borderId="1" xfId="0" applyNumberFormat="1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center" vertical="center" wrapText="1"/>
    </xf>
    <xf numFmtId="167" fontId="30" fillId="3" borderId="5" xfId="1" applyNumberFormat="1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left" vertical="top" wrapText="1"/>
    </xf>
    <xf numFmtId="167" fontId="30" fillId="3" borderId="5" xfId="0" applyNumberFormat="1" applyFont="1" applyFill="1" applyBorder="1" applyAlignment="1">
      <alignment horizontal="center" vertical="center" wrapText="1"/>
    </xf>
    <xf numFmtId="3" fontId="30" fillId="3" borderId="5" xfId="0" applyNumberFormat="1" applyFont="1" applyFill="1" applyBorder="1" applyAlignment="1">
      <alignment horizontal="center" vertical="center" wrapText="1"/>
    </xf>
    <xf numFmtId="3" fontId="30" fillId="3" borderId="6" xfId="0" applyNumberFormat="1" applyFont="1" applyFill="1" applyBorder="1" applyAlignment="1">
      <alignment horizontal="center" vertical="center" wrapText="1"/>
    </xf>
    <xf numFmtId="167" fontId="30" fillId="3" borderId="9" xfId="1" applyNumberFormat="1" applyFont="1" applyFill="1" applyBorder="1" applyAlignment="1">
      <alignment horizontal="center" vertical="center"/>
    </xf>
    <xf numFmtId="0" fontId="30" fillId="3" borderId="1" xfId="4" applyFont="1" applyFill="1" applyBorder="1" applyAlignment="1">
      <alignment horizontal="left" vertical="center" wrapText="1"/>
    </xf>
    <xf numFmtId="167" fontId="30" fillId="3" borderId="1" xfId="4" applyNumberFormat="1" applyFont="1" applyFill="1" applyBorder="1" applyAlignment="1">
      <alignment horizontal="center" vertical="center" wrapText="1"/>
    </xf>
    <xf numFmtId="0" fontId="30" fillId="3" borderId="1" xfId="4" applyFont="1" applyFill="1" applyBorder="1" applyAlignment="1">
      <alignment horizontal="center" vertical="center" wrapText="1"/>
    </xf>
    <xf numFmtId="0" fontId="29" fillId="3" borderId="1" xfId="4" applyFont="1" applyFill="1" applyBorder="1" applyAlignment="1">
      <alignment horizontal="center" vertical="center" wrapText="1"/>
    </xf>
    <xf numFmtId="0" fontId="29" fillId="3" borderId="1" xfId="4" applyFont="1" applyFill="1" applyBorder="1" applyAlignment="1">
      <alignment horizontal="center" vertical="center"/>
    </xf>
    <xf numFmtId="0" fontId="29" fillId="3" borderId="4" xfId="4" applyFont="1" applyFill="1" applyBorder="1" applyAlignment="1">
      <alignment horizontal="center" vertical="center"/>
    </xf>
    <xf numFmtId="167" fontId="30" fillId="3" borderId="7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top" wrapText="1"/>
    </xf>
    <xf numFmtId="3" fontId="30" fillId="3" borderId="1" xfId="0" applyNumberFormat="1" applyFont="1" applyFill="1" applyBorder="1" applyAlignment="1">
      <alignment horizontal="center" vertical="center" wrapText="1"/>
    </xf>
    <xf numFmtId="168" fontId="30" fillId="2" borderId="31" xfId="0" applyNumberFormat="1" applyFont="1" applyFill="1" applyBorder="1" applyAlignment="1">
      <alignment horizontal="center" vertical="center"/>
    </xf>
    <xf numFmtId="168" fontId="30" fillId="2" borderId="2" xfId="0" applyNumberFormat="1" applyFont="1" applyFill="1" applyBorder="1" applyAlignment="1">
      <alignment horizontal="center" vertical="center"/>
    </xf>
    <xf numFmtId="168" fontId="30" fillId="2" borderId="7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 wrapText="1"/>
    </xf>
    <xf numFmtId="49" fontId="29" fillId="2" borderId="8" xfId="0" applyNumberFormat="1" applyFont="1" applyFill="1" applyBorder="1" applyAlignment="1">
      <alignment horizontal="center" vertical="center"/>
    </xf>
    <xf numFmtId="167" fontId="30" fillId="2" borderId="1" xfId="8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167" fontId="29" fillId="0" borderId="1" xfId="1" applyNumberFormat="1" applyFont="1" applyFill="1" applyBorder="1" applyAlignment="1">
      <alignment horizontal="center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169" fontId="30" fillId="0" borderId="8" xfId="0" applyNumberFormat="1" applyFont="1" applyFill="1" applyBorder="1" applyAlignment="1">
      <alignment horizontal="center" vertical="center"/>
    </xf>
    <xf numFmtId="169" fontId="30" fillId="0" borderId="7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 vertical="center"/>
    </xf>
    <xf numFmtId="49" fontId="29" fillId="0" borderId="7" xfId="0" applyNumberFormat="1" applyFont="1" applyFill="1" applyBorder="1" applyAlignment="1">
      <alignment horizontal="center" vertical="center"/>
    </xf>
    <xf numFmtId="169" fontId="30" fillId="0" borderId="1" xfId="0" applyNumberFormat="1" applyFont="1" applyFill="1" applyBorder="1" applyAlignment="1">
      <alignment horizontal="center" vertical="center"/>
    </xf>
    <xf numFmtId="49" fontId="29" fillId="0" borderId="31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vertical="center" wrapText="1"/>
    </xf>
    <xf numFmtId="49" fontId="29" fillId="0" borderId="2" xfId="0" applyNumberFormat="1" applyFont="1" applyFill="1" applyBorder="1" applyAlignment="1">
      <alignment horizontal="center" vertical="center"/>
    </xf>
    <xf numFmtId="167" fontId="29" fillId="0" borderId="8" xfId="1" applyNumberFormat="1" applyFont="1" applyFill="1" applyBorder="1" applyAlignment="1">
      <alignment horizontal="center" vertical="center" wrapText="1"/>
    </xf>
    <xf numFmtId="167" fontId="29" fillId="0" borderId="2" xfId="1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top"/>
    </xf>
    <xf numFmtId="0" fontId="29" fillId="0" borderId="1" xfId="0" applyFont="1" applyFill="1" applyBorder="1" applyAlignment="1">
      <alignment horizontal="left" vertical="center" wrapText="1"/>
    </xf>
    <xf numFmtId="167" fontId="30" fillId="0" borderId="1" xfId="1" applyNumberFormat="1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left" vertical="center" wrapText="1"/>
    </xf>
    <xf numFmtId="0" fontId="29" fillId="0" borderId="7" xfId="0" applyFont="1" applyFill="1" applyBorder="1" applyAlignment="1">
      <alignment horizontal="left" vertical="center" wrapText="1"/>
    </xf>
    <xf numFmtId="168" fontId="30" fillId="0" borderId="7" xfId="0" applyNumberFormat="1" applyFont="1" applyFill="1" applyBorder="1" applyAlignment="1">
      <alignment horizontal="center" vertical="center"/>
    </xf>
    <xf numFmtId="169" fontId="29" fillId="0" borderId="31" xfId="0" applyNumberFormat="1" applyFont="1" applyFill="1" applyBorder="1" applyAlignment="1">
      <alignment horizontal="center" vertical="center"/>
    </xf>
    <xf numFmtId="169" fontId="29" fillId="0" borderId="7" xfId="0" applyNumberFormat="1" applyFont="1" applyFill="1" applyBorder="1" applyAlignment="1">
      <alignment horizontal="center" vertical="center"/>
    </xf>
    <xf numFmtId="0" fontId="29" fillId="0" borderId="4" xfId="4" applyFont="1" applyFill="1" applyBorder="1" applyAlignment="1">
      <alignment horizontal="left" vertical="center" wrapText="1"/>
    </xf>
    <xf numFmtId="0" fontId="36" fillId="0" borderId="1" xfId="0" applyFont="1" applyBorder="1" applyAlignment="1">
      <alignment horizontal="center" vertical="center"/>
    </xf>
    <xf numFmtId="167" fontId="29" fillId="2" borderId="2" xfId="1" applyNumberFormat="1" applyFont="1" applyFill="1" applyBorder="1" applyAlignment="1">
      <alignment horizontal="center" vertical="center" wrapText="1"/>
    </xf>
    <xf numFmtId="167" fontId="29" fillId="2" borderId="7" xfId="1" applyNumberFormat="1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top" wrapText="1"/>
    </xf>
    <xf numFmtId="0" fontId="29" fillId="0" borderId="7" xfId="0" applyFont="1" applyFill="1" applyBorder="1" applyAlignment="1">
      <alignment horizontal="left" vertical="top" wrapText="1"/>
    </xf>
    <xf numFmtId="167" fontId="30" fillId="0" borderId="9" xfId="1" applyNumberFormat="1" applyFont="1" applyFill="1" applyBorder="1" applyAlignment="1">
      <alignment horizontal="center" vertical="center" wrapText="1"/>
    </xf>
    <xf numFmtId="167" fontId="29" fillId="0" borderId="1" xfId="1" applyNumberFormat="1" applyFont="1" applyFill="1" applyBorder="1" applyAlignment="1">
      <alignment horizontal="center" vertical="center" wrapText="1"/>
    </xf>
    <xf numFmtId="167" fontId="30" fillId="0" borderId="6" xfId="1" applyNumberFormat="1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left" vertical="center" wrapText="1"/>
    </xf>
    <xf numFmtId="0" fontId="30" fillId="4" borderId="8" xfId="0" applyFont="1" applyFill="1" applyBorder="1" applyAlignment="1">
      <alignment horizontal="center" vertical="center" wrapText="1"/>
    </xf>
    <xf numFmtId="0" fontId="30" fillId="4" borderId="7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9" fillId="0" borderId="8" xfId="3" applyFont="1" applyFill="1" applyBorder="1" applyAlignment="1">
      <alignment horizontal="left" vertical="center" wrapText="1"/>
    </xf>
    <xf numFmtId="168" fontId="29" fillId="0" borderId="31" xfId="0" applyNumberFormat="1" applyFont="1" applyFill="1" applyBorder="1" applyAlignment="1">
      <alignment horizontal="center" vertical="center"/>
    </xf>
    <xf numFmtId="168" fontId="29" fillId="0" borderId="2" xfId="0" applyNumberFormat="1" applyFont="1" applyFill="1" applyBorder="1" applyAlignment="1">
      <alignment horizontal="center" vertical="center"/>
    </xf>
    <xf numFmtId="168" fontId="29" fillId="0" borderId="7" xfId="0" applyNumberFormat="1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7" fontId="29" fillId="3" borderId="5" xfId="0" applyNumberFormat="1" applyFont="1" applyFill="1" applyBorder="1" applyAlignment="1">
      <alignment horizontal="center"/>
    </xf>
    <xf numFmtId="167" fontId="29" fillId="3" borderId="6" xfId="0" applyNumberFormat="1" applyFont="1" applyFill="1" applyBorder="1" applyAlignment="1">
      <alignment horizontal="center"/>
    </xf>
    <xf numFmtId="3" fontId="29" fillId="0" borderId="7" xfId="0" applyNumberFormat="1" applyFont="1" applyFill="1" applyBorder="1" applyAlignment="1">
      <alignment horizontal="center" vertical="center" wrapText="1"/>
    </xf>
    <xf numFmtId="167" fontId="29" fillId="0" borderId="2" xfId="0" applyNumberFormat="1" applyFont="1" applyFill="1" applyBorder="1" applyAlignment="1">
      <alignment horizontal="center" vertical="center" wrapText="1"/>
    </xf>
    <xf numFmtId="167" fontId="29" fillId="0" borderId="7" xfId="0" applyNumberFormat="1" applyFont="1" applyFill="1" applyBorder="1" applyAlignment="1">
      <alignment horizontal="center" vertical="center" wrapText="1"/>
    </xf>
    <xf numFmtId="0" fontId="29" fillId="0" borderId="7" xfId="3" applyFont="1" applyFill="1" applyBorder="1" applyAlignment="1">
      <alignment horizontal="left" vertical="center" wrapText="1"/>
    </xf>
    <xf numFmtId="167" fontId="29" fillId="4" borderId="1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 wrapText="1"/>
    </xf>
    <xf numFmtId="169" fontId="29" fillId="0" borderId="1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wrapText="1"/>
    </xf>
    <xf numFmtId="167" fontId="30" fillId="0" borderId="8" xfId="0" applyNumberFormat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167" fontId="29" fillId="2" borderId="8" xfId="1" applyNumberFormat="1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left" vertical="center" wrapText="1"/>
    </xf>
    <xf numFmtId="0" fontId="30" fillId="0" borderId="7" xfId="0" applyFont="1" applyFill="1" applyBorder="1" applyAlignment="1">
      <alignment horizontal="left" vertical="center" wrapText="1"/>
    </xf>
    <xf numFmtId="167" fontId="36" fillId="2" borderId="2" xfId="0" applyNumberFormat="1" applyFont="1" applyFill="1" applyBorder="1" applyAlignment="1">
      <alignment horizontal="center" vertical="center" wrapText="1"/>
    </xf>
    <xf numFmtId="167" fontId="36" fillId="2" borderId="7" xfId="0" applyNumberFormat="1" applyFont="1" applyFill="1" applyBorder="1" applyAlignment="1">
      <alignment horizontal="center" vertical="center" wrapText="1"/>
    </xf>
    <xf numFmtId="49" fontId="29" fillId="0" borderId="8" xfId="0" applyNumberFormat="1" applyFont="1" applyBorder="1" applyAlignment="1">
      <alignment horizontal="center" vertical="center"/>
    </xf>
    <xf numFmtId="167" fontId="30" fillId="3" borderId="1" xfId="0" applyNumberFormat="1" applyFont="1" applyFill="1" applyBorder="1" applyAlignment="1">
      <alignment horizontal="center"/>
    </xf>
    <xf numFmtId="167" fontId="30" fillId="3" borderId="7" xfId="0" applyNumberFormat="1" applyFont="1" applyFill="1" applyBorder="1" applyAlignment="1">
      <alignment horizontal="center"/>
    </xf>
    <xf numFmtId="169" fontId="29" fillId="0" borderId="8" xfId="0" applyNumberFormat="1" applyFont="1" applyFill="1" applyBorder="1" applyAlignment="1">
      <alignment horizontal="center" vertical="center"/>
    </xf>
    <xf numFmtId="167" fontId="29" fillId="0" borderId="6" xfId="1" applyNumberFormat="1" applyFont="1" applyFill="1" applyBorder="1" applyAlignment="1">
      <alignment horizontal="center" vertical="center" wrapText="1"/>
    </xf>
    <xf numFmtId="49" fontId="29" fillId="0" borderId="8" xfId="0" applyNumberFormat="1" applyFont="1" applyFill="1" applyBorder="1" applyAlignment="1">
      <alignment vertical="center"/>
    </xf>
    <xf numFmtId="0" fontId="29" fillId="0" borderId="8" xfId="0" applyFont="1" applyFill="1" applyBorder="1" applyAlignment="1">
      <alignment horizontal="center" vertical="center"/>
    </xf>
    <xf numFmtId="168" fontId="29" fillId="2" borderId="8" xfId="0" applyNumberFormat="1" applyFont="1" applyFill="1" applyBorder="1" applyAlignment="1">
      <alignment horizontal="center" vertical="center" wrapText="1"/>
    </xf>
    <xf numFmtId="168" fontId="29" fillId="2" borderId="7" xfId="0" applyNumberFormat="1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wrapText="1"/>
    </xf>
    <xf numFmtId="0" fontId="29" fillId="3" borderId="5" xfId="0" applyFont="1" applyFill="1" applyBorder="1" applyAlignment="1">
      <alignment horizontal="center" wrapText="1"/>
    </xf>
    <xf numFmtId="0" fontId="29" fillId="3" borderId="6" xfId="0" applyFont="1" applyFill="1" applyBorder="1" applyAlignment="1">
      <alignment horizontal="center" wrapText="1"/>
    </xf>
    <xf numFmtId="0" fontId="29" fillId="2" borderId="11" xfId="0" applyFont="1" applyFill="1" applyBorder="1" applyAlignment="1">
      <alignment horizontal="left" vertical="center" wrapText="1"/>
    </xf>
    <xf numFmtId="0" fontId="29" fillId="2" borderId="10" xfId="0" applyFont="1" applyFill="1" applyBorder="1" applyAlignment="1">
      <alignment horizontal="left" vertical="center" wrapText="1"/>
    </xf>
    <xf numFmtId="169" fontId="30" fillId="2" borderId="8" xfId="0" applyNumberFormat="1" applyFont="1" applyFill="1" applyBorder="1" applyAlignment="1">
      <alignment horizontal="center" vertical="center"/>
    </xf>
    <xf numFmtId="169" fontId="30" fillId="2" borderId="7" xfId="0" applyNumberFormat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/>
    </xf>
    <xf numFmtId="49" fontId="29" fillId="2" borderId="7" xfId="0" applyNumberFormat="1" applyFont="1" applyFill="1" applyBorder="1" applyAlignment="1">
      <alignment horizontal="center" vertical="center"/>
    </xf>
    <xf numFmtId="169" fontId="29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Fill="1" applyBorder="1" applyAlignment="1">
      <alignment vertical="center"/>
    </xf>
    <xf numFmtId="167" fontId="29" fillId="0" borderId="8" xfId="0" applyNumberFormat="1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left" vertical="center" wrapText="1"/>
    </xf>
    <xf numFmtId="168" fontId="30" fillId="0" borderId="2" xfId="0" applyNumberFormat="1" applyFont="1" applyFill="1" applyBorder="1" applyAlignment="1">
      <alignment horizontal="center" vertical="center"/>
    </xf>
    <xf numFmtId="168" fontId="29" fillId="0" borderId="7" xfId="0" applyNumberFormat="1" applyFont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left" vertical="center" wrapText="1"/>
    </xf>
    <xf numFmtId="0" fontId="29" fillId="2" borderId="7" xfId="0" applyFont="1" applyFill="1" applyBorder="1" applyAlignment="1">
      <alignment horizontal="left" vertical="center" wrapText="1"/>
    </xf>
    <xf numFmtId="169" fontId="30" fillId="0" borderId="2" xfId="0" applyNumberFormat="1" applyFont="1" applyFill="1" applyBorder="1" applyAlignment="1">
      <alignment horizontal="center" vertical="center"/>
    </xf>
    <xf numFmtId="169" fontId="29" fillId="2" borderId="8" xfId="0" applyNumberFormat="1" applyFont="1" applyFill="1" applyBorder="1" applyAlignment="1">
      <alignment horizontal="center" vertical="center"/>
    </xf>
    <xf numFmtId="167" fontId="30" fillId="4" borderId="8" xfId="1" applyNumberFormat="1" applyFont="1" applyFill="1" applyBorder="1" applyAlignment="1">
      <alignment horizontal="center" vertical="center" wrapText="1"/>
    </xf>
    <xf numFmtId="167" fontId="30" fillId="4" borderId="7" xfId="1" applyNumberFormat="1" applyFont="1" applyFill="1" applyBorder="1" applyAlignment="1">
      <alignment horizontal="center" vertical="center" wrapText="1"/>
    </xf>
    <xf numFmtId="167" fontId="29" fillId="2" borderId="14" xfId="1" applyNumberFormat="1" applyFont="1" applyFill="1" applyBorder="1" applyAlignment="1">
      <alignment horizontal="center" vertical="center" wrapText="1"/>
    </xf>
    <xf numFmtId="167" fontId="29" fillId="2" borderId="9" xfId="1" applyNumberFormat="1" applyFont="1" applyFill="1" applyBorder="1" applyAlignment="1">
      <alignment horizontal="center" vertical="center" wrapText="1"/>
    </xf>
    <xf numFmtId="168" fontId="30" fillId="2" borderId="8" xfId="0" applyNumberFormat="1" applyFont="1" applyFill="1" applyBorder="1" applyAlignment="1">
      <alignment horizontal="center" vertical="center"/>
    </xf>
    <xf numFmtId="168" fontId="30" fillId="2" borderId="7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11" xfId="3" applyFont="1" applyFill="1" applyBorder="1" applyAlignment="1">
      <alignment horizontal="left" vertical="center" wrapText="1"/>
    </xf>
    <xf numFmtId="0" fontId="29" fillId="0" borderId="8" xfId="0" applyFont="1" applyFill="1" applyBorder="1" applyAlignment="1">
      <alignment horizontal="center"/>
    </xf>
    <xf numFmtId="167" fontId="30" fillId="3" borderId="4" xfId="0" applyNumberFormat="1" applyFont="1" applyFill="1" applyBorder="1" applyAlignment="1">
      <alignment horizontal="center"/>
    </xf>
    <xf numFmtId="167" fontId="30" fillId="3" borderId="5" xfId="0" applyNumberFormat="1" applyFont="1" applyFill="1" applyBorder="1" applyAlignment="1">
      <alignment horizontal="center"/>
    </xf>
    <xf numFmtId="167" fontId="30" fillId="3" borderId="6" xfId="0" applyNumberFormat="1" applyFont="1" applyFill="1" applyBorder="1" applyAlignment="1">
      <alignment horizontal="center"/>
    </xf>
    <xf numFmtId="0" fontId="29" fillId="2" borderId="4" xfId="0" applyFont="1" applyFill="1" applyBorder="1" applyAlignment="1">
      <alignment horizontal="left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4" xfId="3" applyFont="1" applyFill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167" fontId="29" fillId="2" borderId="12" xfId="1" applyNumberFormat="1" applyFont="1" applyFill="1" applyBorder="1" applyAlignment="1">
      <alignment horizontal="center" vertical="center" wrapText="1"/>
    </xf>
    <xf numFmtId="169" fontId="29" fillId="0" borderId="8" xfId="0" applyNumberFormat="1" applyFont="1" applyBorder="1" applyAlignment="1">
      <alignment horizontal="center" vertical="center"/>
    </xf>
    <xf numFmtId="0" fontId="30" fillId="0" borderId="11" xfId="0" applyFont="1" applyFill="1" applyBorder="1" applyAlignment="1">
      <alignment horizontal="left" vertical="center" wrapText="1"/>
    </xf>
    <xf numFmtId="0" fontId="30" fillId="0" borderId="10" xfId="0" applyFont="1" applyFill="1" applyBorder="1" applyAlignment="1">
      <alignment horizontal="left" vertical="center" wrapText="1"/>
    </xf>
    <xf numFmtId="0" fontId="29" fillId="2" borderId="8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left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/>
    </xf>
    <xf numFmtId="167" fontId="29" fillId="2" borderId="8" xfId="0" applyNumberFormat="1" applyFont="1" applyFill="1" applyBorder="1" applyAlignment="1">
      <alignment horizontal="center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167" fontId="29" fillId="2" borderId="7" xfId="0" applyNumberFormat="1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left" vertical="center" wrapText="1"/>
    </xf>
    <xf numFmtId="0" fontId="30" fillId="2" borderId="7" xfId="0" applyFont="1" applyFill="1" applyBorder="1" applyAlignment="1">
      <alignment horizontal="left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167" fontId="29" fillId="2" borderId="6" xfId="1" applyNumberFormat="1" applyFont="1" applyFill="1" applyBorder="1" applyAlignment="1">
      <alignment horizontal="center" vertical="center" wrapText="1"/>
    </xf>
    <xf numFmtId="167" fontId="30" fillId="2" borderId="6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30" fillId="2" borderId="11" xfId="0" applyFont="1" applyFill="1" applyBorder="1" applyAlignment="1">
      <alignment horizontal="left" vertical="center" wrapText="1"/>
    </xf>
    <xf numFmtId="0" fontId="30" fillId="2" borderId="10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167" fontId="30" fillId="0" borderId="8" xfId="0" applyNumberFormat="1" applyFont="1" applyBorder="1" applyAlignment="1">
      <alignment horizontal="center" vertical="center"/>
    </xf>
    <xf numFmtId="168" fontId="30" fillId="4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horizontal="left" wrapText="1"/>
    </xf>
    <xf numFmtId="0" fontId="30" fillId="4" borderId="1" xfId="0" applyFont="1" applyFill="1" applyBorder="1" applyAlignment="1">
      <alignment horizontal="left" vertical="center" wrapText="1"/>
    </xf>
    <xf numFmtId="49" fontId="29" fillId="4" borderId="8" xfId="0" applyNumberFormat="1" applyFont="1" applyFill="1" applyBorder="1" applyAlignment="1">
      <alignment horizontal="center" vertical="center"/>
    </xf>
    <xf numFmtId="49" fontId="29" fillId="4" borderId="7" xfId="0" applyNumberFormat="1" applyFont="1" applyFill="1" applyBorder="1" applyAlignment="1">
      <alignment horizontal="center" vertical="center"/>
    </xf>
    <xf numFmtId="169" fontId="30" fillId="4" borderId="8" xfId="0" applyNumberFormat="1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 wrapText="1"/>
    </xf>
    <xf numFmtId="49" fontId="29" fillId="4" borderId="8" xfId="0" applyNumberFormat="1" applyFont="1" applyFill="1" applyBorder="1" applyAlignment="1">
      <alignment vertical="center"/>
    </xf>
    <xf numFmtId="0" fontId="30" fillId="4" borderId="7" xfId="0" applyFont="1" applyFill="1" applyBorder="1" applyAlignment="1">
      <alignment horizontal="left" vertical="center" wrapText="1"/>
    </xf>
    <xf numFmtId="0" fontId="29" fillId="2" borderId="7" xfId="0" applyFont="1" applyFill="1" applyBorder="1" applyAlignment="1">
      <alignment horizontal="center" vertical="center" wrapText="1"/>
    </xf>
    <xf numFmtId="168" fontId="30" fillId="0" borderId="7" xfId="0" applyNumberFormat="1" applyFont="1" applyBorder="1" applyAlignment="1">
      <alignment horizontal="center" vertical="center"/>
    </xf>
    <xf numFmtId="1" fontId="29" fillId="2" borderId="7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left" vertical="top" wrapText="1"/>
    </xf>
    <xf numFmtId="168" fontId="30" fillId="0" borderId="1" xfId="0" applyNumberFormat="1" applyFont="1" applyFill="1" applyBorder="1" applyAlignment="1">
      <alignment horizontal="center" vertical="center"/>
    </xf>
    <xf numFmtId="168" fontId="29" fillId="2" borderId="2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49" fontId="29" fillId="0" borderId="8" xfId="0" applyNumberFormat="1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left" vertical="center" wrapText="1"/>
    </xf>
    <xf numFmtId="1" fontId="29" fillId="2" borderId="1" xfId="0" applyNumberFormat="1" applyFont="1" applyFill="1" applyBorder="1" applyAlignment="1">
      <alignment horizontal="center" vertical="center"/>
    </xf>
    <xf numFmtId="0" fontId="29" fillId="0" borderId="7" xfId="3" applyFont="1" applyFill="1" applyBorder="1" applyAlignment="1">
      <alignment horizontal="center" vertical="center" wrapText="1"/>
    </xf>
    <xf numFmtId="168" fontId="30" fillId="2" borderId="7" xfId="0" applyNumberFormat="1" applyFont="1" applyFill="1" applyBorder="1" applyAlignment="1">
      <alignment horizontal="center" vertical="center" wrapText="1"/>
    </xf>
    <xf numFmtId="0" fontId="30" fillId="3" borderId="7" xfId="0" applyFont="1" applyFill="1" applyBorder="1" applyAlignment="1">
      <alignment horizontal="center" vertical="center" wrapText="1"/>
    </xf>
    <xf numFmtId="0" fontId="29" fillId="2" borderId="1" xfId="3" applyFont="1" applyFill="1" applyBorder="1" applyAlignment="1">
      <alignment horizontal="left" vertical="center" wrapText="1"/>
    </xf>
    <xf numFmtId="167" fontId="30" fillId="2" borderId="7" xfId="3" applyNumberFormat="1" applyFont="1" applyFill="1" applyBorder="1" applyAlignment="1">
      <alignment horizontal="center" vertical="center" wrapText="1"/>
    </xf>
    <xf numFmtId="0" fontId="29" fillId="0" borderId="1" xfId="3" applyFont="1" applyFill="1" applyBorder="1" applyAlignment="1">
      <alignment horizontal="left" vertical="center" wrapText="1"/>
    </xf>
    <xf numFmtId="167" fontId="29" fillId="0" borderId="1" xfId="3" applyNumberFormat="1" applyFont="1" applyFill="1" applyBorder="1" applyAlignment="1">
      <alignment horizontal="center" vertical="center" wrapText="1"/>
    </xf>
    <xf numFmtId="167" fontId="29" fillId="0" borderId="7" xfId="3" applyNumberFormat="1" applyFont="1" applyFill="1" applyBorder="1" applyAlignment="1">
      <alignment horizontal="center" vertical="center" wrapText="1"/>
    </xf>
    <xf numFmtId="167" fontId="29" fillId="2" borderId="1" xfId="1" applyNumberFormat="1" applyFont="1" applyFill="1" applyBorder="1" applyAlignment="1">
      <alignment horizontal="center" vertical="center" wrapText="1"/>
    </xf>
    <xf numFmtId="169" fontId="29" fillId="2" borderId="1" xfId="0" applyNumberFormat="1" applyFont="1" applyFill="1" applyBorder="1" applyAlignment="1">
      <alignment horizontal="center" vertical="center" wrapText="1"/>
    </xf>
    <xf numFmtId="168" fontId="30" fillId="2" borderId="2" xfId="0" applyNumberFormat="1" applyFont="1" applyFill="1" applyBorder="1" applyAlignment="1">
      <alignment horizontal="center" vertical="center"/>
    </xf>
    <xf numFmtId="166" fontId="29" fillId="0" borderId="7" xfId="0" applyNumberFormat="1" applyFont="1" applyFill="1" applyBorder="1" applyAlignment="1">
      <alignment horizontal="center" vertical="center" wrapText="1"/>
    </xf>
    <xf numFmtId="167" fontId="29" fillId="2" borderId="7" xfId="1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167" fontId="29" fillId="2" borderId="31" xfId="0" applyNumberFormat="1" applyFont="1" applyFill="1" applyBorder="1" applyAlignment="1">
      <alignment horizontal="center" vertical="center" wrapText="1"/>
    </xf>
    <xf numFmtId="167" fontId="29" fillId="2" borderId="1" xfId="1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vertical="center"/>
    </xf>
    <xf numFmtId="167" fontId="29" fillId="2" borderId="9" xfId="1" applyNumberFormat="1" applyFont="1" applyFill="1" applyBorder="1" applyAlignment="1">
      <alignment horizontal="center" vertical="center" wrapText="1"/>
    </xf>
    <xf numFmtId="174" fontId="30" fillId="0" borderId="1" xfId="37" applyNumberFormat="1" applyFont="1" applyFill="1" applyBorder="1" applyAlignment="1">
      <alignment horizontal="center" vertical="center"/>
    </xf>
    <xf numFmtId="174" fontId="29" fillId="0" borderId="1" xfId="37" applyNumberFormat="1" applyFont="1" applyFill="1" applyBorder="1" applyAlignment="1">
      <alignment horizontal="center" vertical="center"/>
    </xf>
    <xf numFmtId="174" fontId="29" fillId="0" borderId="1" xfId="37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left" vertical="center" wrapText="1"/>
    </xf>
    <xf numFmtId="169" fontId="30" fillId="0" borderId="1" xfId="37" applyNumberFormat="1" applyFont="1" applyFill="1" applyBorder="1" applyAlignment="1">
      <alignment horizontal="center" vertical="center"/>
    </xf>
    <xf numFmtId="168" fontId="30" fillId="0" borderId="1" xfId="37" applyNumberFormat="1" applyFont="1" applyFill="1" applyBorder="1" applyAlignment="1">
      <alignment horizontal="center" vertical="center"/>
    </xf>
    <xf numFmtId="49" fontId="30" fillId="0" borderId="1" xfId="37" applyNumberFormat="1" applyFont="1" applyFill="1" applyBorder="1" applyAlignment="1">
      <alignment horizontal="center" vertical="center"/>
    </xf>
    <xf numFmtId="171" fontId="30" fillId="0" borderId="1" xfId="37" applyNumberFormat="1" applyFont="1" applyFill="1" applyBorder="1" applyAlignment="1">
      <alignment horizontal="center" vertical="center" wrapText="1"/>
    </xf>
    <xf numFmtId="174" fontId="30" fillId="0" borderId="1" xfId="37" applyNumberFormat="1" applyFont="1" applyFill="1" applyBorder="1" applyAlignment="1">
      <alignment horizontal="center" vertical="center" wrapText="1"/>
    </xf>
    <xf numFmtId="174" fontId="29" fillId="0" borderId="7" xfId="0" applyNumberFormat="1" applyFont="1" applyFill="1" applyBorder="1" applyAlignment="1">
      <alignment horizontal="center" vertical="center"/>
    </xf>
    <xf numFmtId="3" fontId="29" fillId="0" borderId="1" xfId="0" applyNumberFormat="1" applyFont="1" applyFill="1" applyBorder="1" applyAlignment="1">
      <alignment horizontal="right" vertical="center"/>
    </xf>
    <xf numFmtId="171" fontId="29" fillId="0" borderId="1" xfId="37" applyNumberFormat="1" applyFont="1" applyFill="1" applyBorder="1" applyAlignment="1">
      <alignment vertical="center"/>
    </xf>
    <xf numFmtId="166" fontId="29" fillId="0" borderId="1" xfId="0" applyNumberFormat="1" applyFont="1" applyFill="1" applyBorder="1" applyAlignment="1">
      <alignment horizontal="right" vertical="center"/>
    </xf>
    <xf numFmtId="0" fontId="29" fillId="0" borderId="1" xfId="0" applyFont="1" applyFill="1" applyBorder="1" applyAlignment="1">
      <alignment horizontal="right" vertical="center" wrapText="1"/>
    </xf>
    <xf numFmtId="166" fontId="29" fillId="0" borderId="1" xfId="0" applyNumberFormat="1" applyFont="1" applyFill="1" applyBorder="1" applyAlignment="1">
      <alignment horizontal="right" vertical="center" wrapText="1"/>
    </xf>
    <xf numFmtId="174" fontId="29" fillId="0" borderId="7" xfId="37" applyNumberFormat="1" applyFont="1" applyFill="1" applyBorder="1" applyAlignment="1">
      <alignment horizontal="center" vertical="center"/>
    </xf>
    <xf numFmtId="2" fontId="29" fillId="0" borderId="7" xfId="0" applyNumberFormat="1" applyFont="1" applyFill="1" applyBorder="1" applyAlignment="1">
      <alignment horizontal="right" vertical="center"/>
    </xf>
    <xf numFmtId="166" fontId="29" fillId="0" borderId="7" xfId="0" applyNumberFormat="1" applyFont="1" applyFill="1" applyBorder="1" applyAlignment="1">
      <alignment horizontal="right" vertical="center"/>
    </xf>
    <xf numFmtId="0" fontId="29" fillId="0" borderId="31" xfId="0" applyNumberFormat="1" applyFont="1" applyFill="1" applyBorder="1" applyAlignment="1">
      <alignment horizontal="left" vertical="center" wrapText="1"/>
    </xf>
    <xf numFmtId="171" fontId="29" fillId="0" borderId="31" xfId="0" applyNumberFormat="1" applyFont="1" applyFill="1" applyBorder="1" applyAlignment="1">
      <alignment horizontal="center" vertical="center"/>
    </xf>
    <xf numFmtId="0" fontId="29" fillId="0" borderId="31" xfId="0" applyNumberFormat="1" applyFont="1" applyFill="1" applyBorder="1" applyAlignment="1">
      <alignment vertical="center" wrapText="1"/>
    </xf>
    <xf numFmtId="171" fontId="29" fillId="0" borderId="1" xfId="0" applyNumberFormat="1" applyFont="1" applyFill="1" applyBorder="1" applyAlignment="1">
      <alignment horizontal="center" vertical="center"/>
    </xf>
    <xf numFmtId="169" fontId="30" fillId="0" borderId="35" xfId="0" applyNumberFormat="1" applyFont="1" applyBorder="1" applyAlignment="1">
      <alignment horizontal="center" vertical="center"/>
    </xf>
    <xf numFmtId="168" fontId="30" fillId="0" borderId="12" xfId="0" applyNumberFormat="1" applyFont="1" applyBorder="1" applyAlignment="1">
      <alignment horizontal="center" vertical="center"/>
    </xf>
    <xf numFmtId="0" fontId="30" fillId="2" borderId="7" xfId="0" applyFont="1" applyFill="1" applyBorder="1" applyAlignment="1">
      <alignment horizontal="right" vertical="center"/>
    </xf>
    <xf numFmtId="0" fontId="30" fillId="2" borderId="7" xfId="0" applyFont="1" applyFill="1" applyBorder="1" applyAlignment="1">
      <alignment vertical="center" wrapText="1"/>
    </xf>
    <xf numFmtId="166" fontId="30" fillId="2" borderId="7" xfId="0" applyNumberFormat="1" applyFont="1" applyFill="1" applyBorder="1" applyAlignment="1">
      <alignment horizontal="center" vertical="center" wrapText="1"/>
    </xf>
    <xf numFmtId="10" fontId="30" fillId="2" borderId="10" xfId="0" applyNumberFormat="1" applyFont="1" applyFill="1" applyBorder="1" applyAlignment="1">
      <alignment horizontal="center" vertical="center" wrapText="1"/>
    </xf>
    <xf numFmtId="10" fontId="30" fillId="2" borderId="1" xfId="2" applyNumberFormat="1" applyFont="1" applyFill="1" applyBorder="1" applyAlignment="1">
      <alignment horizontal="center" vertical="center" wrapText="1"/>
    </xf>
    <xf numFmtId="169" fontId="29" fillId="0" borderId="36" xfId="0" applyNumberFormat="1" applyFont="1" applyBorder="1" applyAlignment="1">
      <alignment horizontal="center" vertical="center"/>
    </xf>
    <xf numFmtId="168" fontId="29" fillId="0" borderId="14" xfId="0" applyNumberFormat="1" applyFont="1" applyBorder="1" applyAlignment="1">
      <alignment horizontal="center" vertical="center"/>
    </xf>
    <xf numFmtId="0" fontId="29" fillId="2" borderId="7" xfId="0" applyFont="1" applyFill="1" applyBorder="1" applyAlignment="1">
      <alignment horizontal="right" vertical="center"/>
    </xf>
    <xf numFmtId="0" fontId="29" fillId="2" borderId="4" xfId="0" applyFont="1" applyFill="1" applyBorder="1" applyAlignment="1">
      <alignment horizontal="center" vertical="center" wrapText="1"/>
    </xf>
    <xf numFmtId="9" fontId="29" fillId="2" borderId="4" xfId="0" applyNumberFormat="1" applyFont="1" applyFill="1" applyBorder="1" applyAlignment="1">
      <alignment horizontal="center" vertical="center" wrapText="1"/>
    </xf>
    <xf numFmtId="9" fontId="29" fillId="2" borderId="1" xfId="0" applyNumberFormat="1" applyFont="1" applyFill="1" applyBorder="1" applyAlignment="1">
      <alignment horizontal="center" vertical="center" wrapText="1"/>
    </xf>
    <xf numFmtId="10" fontId="29" fillId="2" borderId="4" xfId="0" applyNumberFormat="1" applyFont="1" applyFill="1" applyBorder="1" applyAlignment="1">
      <alignment horizontal="center" vertical="center" wrapText="1"/>
    </xf>
    <xf numFmtId="170" fontId="29" fillId="2" borderId="1" xfId="0" applyNumberFormat="1" applyFont="1" applyFill="1" applyBorder="1" applyAlignment="1">
      <alignment horizontal="center" vertical="center" wrapText="1"/>
    </xf>
    <xf numFmtId="10" fontId="29" fillId="2" borderId="1" xfId="0" applyNumberFormat="1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169" fontId="30" fillId="0" borderId="37" xfId="0" applyNumberFormat="1" applyFont="1" applyBorder="1" applyAlignment="1">
      <alignment horizontal="center" vertical="center"/>
    </xf>
    <xf numFmtId="168" fontId="30" fillId="0" borderId="6" xfId="0" applyNumberFormat="1" applyFont="1" applyBorder="1" applyAlignment="1">
      <alignment horizontal="center" vertical="center"/>
    </xf>
    <xf numFmtId="169" fontId="30" fillId="0" borderId="36" xfId="0" applyNumberFormat="1" applyFont="1" applyBorder="1" applyAlignment="1">
      <alignment horizontal="center" vertical="center"/>
    </xf>
    <xf numFmtId="168" fontId="30" fillId="0" borderId="14" xfId="0" applyNumberFormat="1" applyFont="1" applyBorder="1" applyAlignment="1">
      <alignment horizontal="center" vertical="center"/>
    </xf>
    <xf numFmtId="49" fontId="29" fillId="2" borderId="8" xfId="0" applyNumberFormat="1" applyFont="1" applyFill="1" applyBorder="1" applyAlignment="1">
      <alignment vertical="center"/>
    </xf>
    <xf numFmtId="3" fontId="29" fillId="2" borderId="4" xfId="0" applyNumberFormat="1" applyFont="1" applyFill="1" applyBorder="1" applyAlignment="1">
      <alignment horizontal="center" vertical="center" wrapText="1"/>
    </xf>
    <xf numFmtId="3" fontId="29" fillId="2" borderId="1" xfId="0" applyNumberFormat="1" applyFont="1" applyFill="1" applyBorder="1" applyAlignment="1">
      <alignment horizontal="center" vertical="center" wrapText="1"/>
    </xf>
    <xf numFmtId="167" fontId="29" fillId="2" borderId="4" xfId="0" applyNumberFormat="1" applyFont="1" applyFill="1" applyBorder="1" applyAlignment="1">
      <alignment vertical="center" wrapText="1"/>
    </xf>
    <xf numFmtId="10" fontId="30" fillId="2" borderId="4" xfId="0" applyNumberFormat="1" applyFont="1" applyFill="1" applyBorder="1" applyAlignment="1">
      <alignment vertical="center"/>
    </xf>
    <xf numFmtId="10" fontId="30" fillId="2" borderId="1" xfId="2" applyNumberFormat="1" applyFont="1" applyFill="1" applyBorder="1" applyAlignment="1">
      <alignment vertical="center"/>
    </xf>
    <xf numFmtId="0" fontId="29" fillId="2" borderId="4" xfId="0" applyFont="1" applyFill="1" applyBorder="1"/>
    <xf numFmtId="49" fontId="29" fillId="0" borderId="1" xfId="0" applyNumberFormat="1" applyFont="1" applyBorder="1" applyAlignment="1">
      <alignment vertical="center" wrapText="1"/>
    </xf>
    <xf numFmtId="171" fontId="30" fillId="0" borderId="1" xfId="0" applyNumberFormat="1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vertical="center" wrapText="1"/>
    </xf>
    <xf numFmtId="0" fontId="29" fillId="2" borderId="2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2" borderId="7" xfId="0" applyFont="1" applyFill="1" applyBorder="1" applyAlignment="1">
      <alignment vertical="center" wrapText="1"/>
    </xf>
    <xf numFmtId="167" fontId="30" fillId="3" borderId="6" xfId="1" applyNumberFormat="1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168" fontId="30" fillId="0" borderId="8" xfId="0" applyNumberFormat="1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17" fontId="29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4" fontId="29" fillId="0" borderId="1" xfId="0" applyNumberFormat="1" applyFont="1" applyFill="1" applyBorder="1" applyAlignment="1">
      <alignment horizontal="center" vertical="center"/>
    </xf>
    <xf numFmtId="167" fontId="29" fillId="0" borderId="1" xfId="0" applyNumberFormat="1" applyFont="1" applyFill="1" applyBorder="1" applyAlignment="1">
      <alignment horizontal="center" vertical="center"/>
    </xf>
    <xf numFmtId="3" fontId="29" fillId="0" borderId="1" xfId="0" applyNumberFormat="1" applyFont="1" applyFill="1" applyBorder="1" applyAlignment="1">
      <alignment horizontal="center" vertical="center"/>
    </xf>
    <xf numFmtId="168" fontId="29" fillId="0" borderId="8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left" vertical="center" wrapText="1"/>
    </xf>
    <xf numFmtId="167" fontId="36" fillId="2" borderId="2" xfId="0" applyNumberFormat="1" applyFont="1" applyFill="1" applyBorder="1" applyAlignment="1">
      <alignment horizontal="center" vertical="center"/>
    </xf>
    <xf numFmtId="166" fontId="29" fillId="0" borderId="1" xfId="0" applyNumberFormat="1" applyFont="1" applyFill="1" applyBorder="1" applyAlignment="1">
      <alignment vertical="center" wrapText="1"/>
    </xf>
    <xf numFmtId="166" fontId="29" fillId="0" borderId="1" xfId="0" applyNumberFormat="1" applyFont="1" applyFill="1" applyBorder="1"/>
    <xf numFmtId="49" fontId="29" fillId="0" borderId="1" xfId="0" applyNumberFormat="1" applyFont="1" applyFill="1" applyBorder="1" applyAlignment="1">
      <alignment vertical="center" wrapText="1"/>
    </xf>
    <xf numFmtId="0" fontId="36" fillId="2" borderId="8" xfId="0" applyFont="1" applyFill="1" applyBorder="1" applyAlignment="1">
      <alignment horizontal="center" vertical="center" wrapText="1"/>
    </xf>
    <xf numFmtId="167" fontId="36" fillId="2" borderId="8" xfId="0" applyNumberFormat="1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 readingOrder="1"/>
    </xf>
    <xf numFmtId="182" fontId="29" fillId="0" borderId="1" xfId="1" applyNumberFormat="1" applyFont="1" applyFill="1" applyBorder="1" applyAlignment="1">
      <alignment horizontal="center" vertical="center" wrapText="1"/>
    </xf>
    <xf numFmtId="169" fontId="29" fillId="0" borderId="2" xfId="0" applyNumberFormat="1" applyFont="1" applyFill="1" applyBorder="1" applyAlignment="1">
      <alignment vertical="center"/>
    </xf>
    <xf numFmtId="168" fontId="29" fillId="0" borderId="2" xfId="0" applyNumberFormat="1" applyFont="1" applyFill="1" applyBorder="1" applyAlignment="1">
      <alignment vertical="center"/>
    </xf>
    <xf numFmtId="172" fontId="29" fillId="0" borderId="39" xfId="0" applyNumberFormat="1" applyFont="1" applyFill="1" applyBorder="1" applyAlignment="1">
      <alignment vertical="center" wrapText="1"/>
    </xf>
    <xf numFmtId="168" fontId="29" fillId="0" borderId="1" xfId="0" applyNumberFormat="1" applyFont="1" applyFill="1" applyBorder="1" applyAlignment="1">
      <alignment horizontal="center" vertical="center"/>
    </xf>
    <xf numFmtId="169" fontId="29" fillId="0" borderId="8" xfId="0" applyNumberFormat="1" applyFont="1" applyFill="1" applyBorder="1" applyAlignment="1">
      <alignment vertical="center"/>
    </xf>
    <xf numFmtId="169" fontId="29" fillId="0" borderId="7" xfId="0" applyNumberFormat="1" applyFont="1" applyFill="1" applyBorder="1" applyAlignment="1">
      <alignment vertical="center"/>
    </xf>
    <xf numFmtId="168" fontId="29" fillId="0" borderId="1" xfId="0" applyNumberFormat="1" applyFont="1" applyFill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167" fontId="29" fillId="0" borderId="8" xfId="0" applyNumberFormat="1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30" fillId="3" borderId="11" xfId="0" applyFont="1" applyFill="1" applyBorder="1" applyAlignment="1">
      <alignment vertical="center" wrapText="1"/>
    </xf>
    <xf numFmtId="168" fontId="38" fillId="0" borderId="1" xfId="0" applyNumberFormat="1" applyFont="1" applyBorder="1" applyAlignment="1">
      <alignment horizontal="center" vertical="center"/>
    </xf>
    <xf numFmtId="49" fontId="36" fillId="2" borderId="1" xfId="17" applyNumberFormat="1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right" vertical="center"/>
    </xf>
    <xf numFmtId="0" fontId="38" fillId="2" borderId="1" xfId="0" applyFont="1" applyFill="1" applyBorder="1" applyAlignment="1">
      <alignment vertical="center" wrapText="1"/>
    </xf>
    <xf numFmtId="167" fontId="30" fillId="2" borderId="1" xfId="1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left" vertical="center"/>
    </xf>
    <xf numFmtId="167" fontId="29" fillId="2" borderId="1" xfId="0" applyNumberFormat="1" applyFont="1" applyFill="1" applyBorder="1" applyAlignment="1">
      <alignment horizontal="center"/>
    </xf>
    <xf numFmtId="167" fontId="29" fillId="2" borderId="1" xfId="1" applyNumberFormat="1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167" fontId="30" fillId="3" borderId="5" xfId="1" applyNumberFormat="1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left" vertical="center"/>
    </xf>
    <xf numFmtId="169" fontId="38" fillId="0" borderId="29" xfId="0" applyNumberFormat="1" applyFont="1" applyBorder="1" applyAlignment="1">
      <alignment horizontal="center" vertical="center"/>
    </xf>
    <xf numFmtId="49" fontId="36" fillId="2" borderId="7" xfId="17" applyNumberFormat="1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right" vertical="center"/>
    </xf>
    <xf numFmtId="0" fontId="38" fillId="2" borderId="7" xfId="0" applyFont="1" applyFill="1" applyBorder="1" applyAlignment="1">
      <alignment vertical="center" wrapText="1"/>
    </xf>
    <xf numFmtId="167" fontId="38" fillId="2" borderId="7" xfId="0" applyNumberFormat="1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left" vertical="center" wrapText="1"/>
    </xf>
    <xf numFmtId="0" fontId="38" fillId="2" borderId="7" xfId="0" applyFont="1" applyFill="1" applyBorder="1" applyAlignment="1">
      <alignment horizontal="center" vertical="center" wrapText="1"/>
    </xf>
    <xf numFmtId="0" fontId="36" fillId="2" borderId="7" xfId="0" applyFont="1" applyFill="1" applyBorder="1" applyAlignment="1">
      <alignment horizontal="center" vertical="center" wrapText="1"/>
    </xf>
    <xf numFmtId="169" fontId="38" fillId="0" borderId="8" xfId="0" applyNumberFormat="1" applyFont="1" applyBorder="1" applyAlignment="1">
      <alignment horizontal="center" vertical="center"/>
    </xf>
    <xf numFmtId="168" fontId="38" fillId="0" borderId="8" xfId="0" applyNumberFormat="1" applyFont="1" applyBorder="1" applyAlignment="1">
      <alignment horizontal="center" vertical="center"/>
    </xf>
    <xf numFmtId="169" fontId="36" fillId="0" borderId="8" xfId="0" applyNumberFormat="1" applyFont="1" applyBorder="1" applyAlignment="1">
      <alignment horizontal="center" vertical="center"/>
    </xf>
    <xf numFmtId="169" fontId="36" fillId="0" borderId="8" xfId="0" applyNumberFormat="1" applyFont="1" applyBorder="1" applyAlignment="1">
      <alignment horizontal="right" vertical="center"/>
    </xf>
    <xf numFmtId="0" fontId="36" fillId="2" borderId="8" xfId="3" applyFont="1" applyFill="1" applyBorder="1" applyAlignment="1">
      <alignment vertical="center" wrapText="1"/>
    </xf>
    <xf numFmtId="168" fontId="38" fillId="0" borderId="11" xfId="0" applyNumberFormat="1" applyFont="1" applyBorder="1" applyAlignment="1">
      <alignment horizontal="center" vertical="center"/>
    </xf>
    <xf numFmtId="169" fontId="36" fillId="0" borderId="4" xfId="0" applyNumberFormat="1" applyFont="1" applyBorder="1" applyAlignment="1">
      <alignment horizontal="center" vertical="center"/>
    </xf>
    <xf numFmtId="169" fontId="36" fillId="0" borderId="4" xfId="0" applyNumberFormat="1" applyFont="1" applyBorder="1" applyAlignment="1">
      <alignment horizontal="right" vertical="center"/>
    </xf>
    <xf numFmtId="0" fontId="36" fillId="2" borderId="4" xfId="3" applyFont="1" applyFill="1" applyBorder="1" applyAlignment="1">
      <alignment horizontal="left" vertical="center" wrapText="1"/>
    </xf>
    <xf numFmtId="0" fontId="36" fillId="2" borderId="0" xfId="0" applyFont="1" applyFill="1" applyBorder="1" applyAlignment="1">
      <alignment horizontal="left" vertical="center" wrapText="1"/>
    </xf>
    <xf numFmtId="169" fontId="36" fillId="0" borderId="1" xfId="0" applyNumberFormat="1" applyFont="1" applyBorder="1" applyAlignment="1">
      <alignment horizontal="center" vertical="center"/>
    </xf>
    <xf numFmtId="169" fontId="36" fillId="0" borderId="1" xfId="0" applyNumberFormat="1" applyFont="1" applyBorder="1" applyAlignment="1">
      <alignment horizontal="right" vertical="center"/>
    </xf>
    <xf numFmtId="0" fontId="36" fillId="2" borderId="0" xfId="0" applyFont="1" applyFill="1" applyAlignment="1">
      <alignment vertical="center" wrapText="1"/>
    </xf>
    <xf numFmtId="168" fontId="38" fillId="2" borderId="8" xfId="0" applyNumberFormat="1" applyFont="1" applyFill="1" applyBorder="1" applyAlignment="1">
      <alignment horizontal="center" vertical="center"/>
    </xf>
    <xf numFmtId="169" fontId="38" fillId="2" borderId="2" xfId="0" applyNumberFormat="1" applyFont="1" applyFill="1" applyBorder="1" applyAlignment="1">
      <alignment horizontal="center" vertical="center"/>
    </xf>
    <xf numFmtId="1" fontId="36" fillId="2" borderId="1" xfId="0" applyNumberFormat="1" applyFont="1" applyFill="1" applyBorder="1" applyAlignment="1">
      <alignment vertical="center" wrapText="1"/>
    </xf>
    <xf numFmtId="3" fontId="36" fillId="2" borderId="1" xfId="0" applyNumberFormat="1" applyFont="1" applyFill="1" applyBorder="1" applyAlignment="1">
      <alignment vertical="center" wrapText="1"/>
    </xf>
    <xf numFmtId="169" fontId="38" fillId="2" borderId="1" xfId="0" applyNumberFormat="1" applyFont="1" applyFill="1" applyBorder="1" applyAlignment="1">
      <alignment horizontal="center" vertical="center"/>
    </xf>
    <xf numFmtId="168" fontId="38" fillId="2" borderId="1" xfId="0" applyNumberFormat="1" applyFont="1" applyFill="1" applyBorder="1" applyAlignment="1">
      <alignment horizontal="center" vertical="center"/>
    </xf>
    <xf numFmtId="49" fontId="36" fillId="2" borderId="1" xfId="0" applyNumberFormat="1" applyFont="1" applyFill="1" applyBorder="1" applyAlignment="1">
      <alignment horizontal="center" vertical="center"/>
    </xf>
    <xf numFmtId="49" fontId="36" fillId="2" borderId="1" xfId="0" applyNumberFormat="1" applyFont="1" applyFill="1" applyBorder="1" applyAlignment="1">
      <alignment vertical="center"/>
    </xf>
    <xf numFmtId="167" fontId="36" fillId="0" borderId="1" xfId="0" applyNumberFormat="1" applyFont="1" applyFill="1" applyBorder="1" applyAlignment="1">
      <alignment horizontal="center" vertical="center" wrapText="1"/>
    </xf>
    <xf numFmtId="168" fontId="38" fillId="2" borderId="7" xfId="0" applyNumberFormat="1" applyFont="1" applyFill="1" applyBorder="1" applyAlignment="1">
      <alignment horizontal="center" vertical="center"/>
    </xf>
    <xf numFmtId="167" fontId="36" fillId="2" borderId="1" xfId="0" applyNumberFormat="1" applyFont="1" applyFill="1" applyBorder="1" applyAlignment="1">
      <alignment horizontal="center" vertical="center" wrapText="1"/>
    </xf>
    <xf numFmtId="169" fontId="38" fillId="2" borderId="12" xfId="0" applyNumberFormat="1" applyFont="1" applyFill="1" applyBorder="1" applyAlignment="1">
      <alignment horizontal="center" vertical="center"/>
    </xf>
    <xf numFmtId="168" fontId="38" fillId="2" borderId="12" xfId="0" applyNumberFormat="1" applyFont="1" applyFill="1" applyBorder="1" applyAlignment="1">
      <alignment horizontal="center" vertical="center"/>
    </xf>
    <xf numFmtId="49" fontId="36" fillId="2" borderId="2" xfId="0" applyNumberFormat="1" applyFont="1" applyFill="1" applyBorder="1" applyAlignment="1">
      <alignment horizontal="center" vertical="center"/>
    </xf>
    <xf numFmtId="49" fontId="36" fillId="2" borderId="2" xfId="0" applyNumberFormat="1" applyFont="1" applyFill="1" applyBorder="1" applyAlignment="1">
      <alignment vertical="center"/>
    </xf>
    <xf numFmtId="0" fontId="36" fillId="2" borderId="2" xfId="0" applyFont="1" applyFill="1" applyBorder="1" applyAlignment="1">
      <alignment vertical="center" wrapText="1"/>
    </xf>
    <xf numFmtId="0" fontId="38" fillId="2" borderId="2" xfId="0" applyFont="1" applyFill="1" applyBorder="1" applyAlignment="1">
      <alignment vertical="center" wrapText="1"/>
    </xf>
    <xf numFmtId="167" fontId="38" fillId="0" borderId="2" xfId="0" applyNumberFormat="1" applyFont="1" applyFill="1" applyBorder="1" applyAlignment="1">
      <alignment horizontal="center" vertical="center" wrapText="1"/>
    </xf>
    <xf numFmtId="167" fontId="38" fillId="2" borderId="2" xfId="0" applyNumberFormat="1" applyFont="1" applyFill="1" applyBorder="1" applyAlignment="1">
      <alignment horizontal="center" vertical="center" wrapText="1"/>
    </xf>
    <xf numFmtId="169" fontId="38" fillId="2" borderId="8" xfId="0" applyNumberFormat="1" applyFont="1" applyFill="1" applyBorder="1" applyAlignment="1">
      <alignment horizontal="center" vertical="center"/>
    </xf>
    <xf numFmtId="167" fontId="38" fillId="2" borderId="1" xfId="0" applyNumberFormat="1" applyFont="1" applyFill="1" applyBorder="1" applyAlignment="1">
      <alignment horizontal="center" vertical="center" wrapText="1"/>
    </xf>
    <xf numFmtId="166" fontId="30" fillId="3" borderId="1" xfId="0" applyNumberFormat="1" applyFont="1" applyFill="1" applyBorder="1" applyAlignment="1">
      <alignment horizontal="left" vertical="center" wrapText="1"/>
    </xf>
    <xf numFmtId="166" fontId="30" fillId="3" borderId="1" xfId="0" applyNumberFormat="1" applyFont="1" applyFill="1" applyBorder="1" applyAlignment="1">
      <alignment horizontal="center" vertical="center" wrapText="1"/>
    </xf>
    <xf numFmtId="166" fontId="30" fillId="3" borderId="4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right" vertical="center"/>
    </xf>
    <xf numFmtId="167" fontId="30" fillId="2" borderId="7" xfId="1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right" vertical="center"/>
    </xf>
    <xf numFmtId="167" fontId="30" fillId="4" borderId="1" xfId="1" applyNumberFormat="1" applyFont="1" applyFill="1" applyBorder="1" applyAlignment="1">
      <alignment horizontal="center" vertical="center" wrapText="1"/>
    </xf>
    <xf numFmtId="167" fontId="29" fillId="0" borderId="1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vertical="center"/>
    </xf>
    <xf numFmtId="169" fontId="30" fillId="4" borderId="1" xfId="0" applyNumberFormat="1" applyFont="1" applyFill="1" applyBorder="1" applyAlignment="1">
      <alignment horizontal="center" vertical="center"/>
    </xf>
    <xf numFmtId="168" fontId="30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vertical="center" wrapText="1"/>
    </xf>
    <xf numFmtId="3" fontId="29" fillId="4" borderId="1" xfId="0" applyNumberFormat="1" applyFont="1" applyFill="1" applyBorder="1" applyAlignment="1">
      <alignment vertical="center" wrapText="1"/>
    </xf>
    <xf numFmtId="167" fontId="29" fillId="4" borderId="1" xfId="0" applyNumberFormat="1" applyFont="1" applyFill="1" applyBorder="1" applyAlignment="1">
      <alignment vertical="center" wrapText="1"/>
    </xf>
    <xf numFmtId="168" fontId="30" fillId="4" borderId="8" xfId="0" applyNumberFormat="1" applyFont="1" applyFill="1" applyBorder="1" applyAlignment="1">
      <alignment horizontal="center" vertical="center"/>
    </xf>
    <xf numFmtId="169" fontId="40" fillId="0" borderId="1" xfId="0" applyNumberFormat="1" applyFont="1" applyBorder="1" applyAlignment="1">
      <alignment horizontal="center" vertical="center"/>
    </xf>
    <xf numFmtId="168" fontId="40" fillId="0" borderId="1" xfId="0" applyNumberFormat="1" applyFont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167" fontId="40" fillId="0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vertical="center" wrapText="1"/>
    </xf>
    <xf numFmtId="169" fontId="39" fillId="0" borderId="1" xfId="0" applyNumberFormat="1" applyFont="1" applyBorder="1" applyAlignment="1">
      <alignment horizontal="center" vertical="center"/>
    </xf>
    <xf numFmtId="168" fontId="39" fillId="0" borderId="1" xfId="0" applyNumberFormat="1" applyFont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167" fontId="39" fillId="0" borderId="1" xfId="0" applyNumberFormat="1" applyFont="1" applyFill="1" applyBorder="1" applyAlignment="1">
      <alignment horizontal="center" vertical="center"/>
    </xf>
    <xf numFmtId="167" fontId="39" fillId="0" borderId="1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vertical="center" wrapText="1"/>
    </xf>
    <xf numFmtId="49" fontId="30" fillId="4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169" fontId="39" fillId="4" borderId="1" xfId="0" applyNumberFormat="1" applyFont="1" applyFill="1" applyBorder="1" applyAlignment="1">
      <alignment horizontal="center" vertical="center"/>
    </xf>
    <xf numFmtId="168" fontId="39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167" fontId="29" fillId="0" borderId="1" xfId="42" applyNumberFormat="1" applyFont="1" applyFill="1" applyBorder="1" applyAlignment="1">
      <alignment horizontal="center" vertical="center"/>
    </xf>
    <xf numFmtId="167" fontId="39" fillId="0" borderId="1" xfId="0" applyNumberFormat="1" applyFont="1" applyBorder="1" applyAlignment="1">
      <alignment vertical="center" wrapText="1"/>
    </xf>
    <xf numFmtId="2" fontId="40" fillId="4" borderId="1" xfId="0" applyNumberFormat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vertical="center" wrapText="1"/>
    </xf>
    <xf numFmtId="2" fontId="39" fillId="4" borderId="1" xfId="0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168" fontId="39" fillId="4" borderId="8" xfId="0" applyNumberFormat="1" applyFont="1" applyFill="1" applyBorder="1" applyAlignment="1">
      <alignment horizontal="center" vertical="center"/>
    </xf>
    <xf numFmtId="168" fontId="39" fillId="4" borderId="2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68" fontId="39" fillId="4" borderId="7" xfId="0" applyNumberFormat="1" applyFont="1" applyFill="1" applyBorder="1" applyAlignment="1">
      <alignment horizontal="center" vertical="center"/>
    </xf>
    <xf numFmtId="169" fontId="40" fillId="4" borderId="1" xfId="0" applyNumberFormat="1" applyFont="1" applyFill="1" applyBorder="1" applyAlignment="1">
      <alignment horizontal="center" vertical="center"/>
    </xf>
    <xf numFmtId="168" fontId="40" fillId="4" borderId="1" xfId="0" applyNumberFormat="1" applyFont="1" applyFill="1" applyBorder="1" applyAlignment="1">
      <alignment horizontal="center" vertical="center"/>
    </xf>
    <xf numFmtId="168" fontId="30" fillId="0" borderId="11" xfId="0" applyNumberFormat="1" applyFont="1" applyFill="1" applyBorder="1" applyAlignment="1">
      <alignment horizontal="center" vertical="center"/>
    </xf>
    <xf numFmtId="167" fontId="36" fillId="2" borderId="1" xfId="0" applyNumberFormat="1" applyFont="1" applyFill="1" applyBorder="1" applyAlignment="1">
      <alignment horizontal="center" vertical="center"/>
    </xf>
    <xf numFmtId="169" fontId="29" fillId="0" borderId="4" xfId="0" applyNumberFormat="1" applyFont="1" applyFill="1" applyBorder="1" applyAlignment="1">
      <alignment horizontal="right" vertical="center"/>
    </xf>
    <xf numFmtId="4" fontId="30" fillId="0" borderId="11" xfId="0" applyNumberFormat="1" applyFont="1" applyFill="1" applyBorder="1" applyAlignment="1">
      <alignment horizontal="left" vertical="center" wrapText="1"/>
    </xf>
    <xf numFmtId="4" fontId="30" fillId="0" borderId="8" xfId="0" applyNumberFormat="1" applyFont="1" applyFill="1" applyBorder="1" applyAlignment="1">
      <alignment horizontal="left" vertical="center" wrapText="1"/>
    </xf>
    <xf numFmtId="49" fontId="29" fillId="0" borderId="11" xfId="0" applyNumberFormat="1" applyFont="1" applyFill="1" applyBorder="1" applyAlignment="1">
      <alignment horizontal="center" vertical="center"/>
    </xf>
    <xf numFmtId="168" fontId="30" fillId="2" borderId="11" xfId="0" applyNumberFormat="1" applyFont="1" applyFill="1" applyBorder="1" applyAlignment="1">
      <alignment horizontal="center" vertical="center"/>
    </xf>
    <xf numFmtId="167" fontId="29" fillId="2" borderId="1" xfId="0" applyNumberFormat="1" applyFont="1" applyFill="1" applyBorder="1" applyAlignment="1">
      <alignment horizontal="center" vertical="center"/>
    </xf>
    <xf numFmtId="167" fontId="29" fillId="0" borderId="0" xfId="0" applyNumberFormat="1" applyFont="1"/>
    <xf numFmtId="167" fontId="29" fillId="0" borderId="8" xfId="0" applyNumberFormat="1" applyFont="1" applyFill="1" applyBorder="1" applyAlignment="1">
      <alignment horizontal="center" vertical="center"/>
    </xf>
    <xf numFmtId="169" fontId="30" fillId="2" borderId="11" xfId="0" applyNumberFormat="1" applyFont="1" applyFill="1" applyBorder="1" applyAlignment="1">
      <alignment horizontal="center" vertical="center"/>
    </xf>
    <xf numFmtId="1" fontId="30" fillId="0" borderId="1" xfId="0" applyNumberFormat="1" applyFont="1" applyFill="1" applyBorder="1" applyAlignment="1">
      <alignment horizontal="center" vertical="center" wrapText="1"/>
    </xf>
    <xf numFmtId="49" fontId="30" fillId="0" borderId="8" xfId="0" applyNumberFormat="1" applyFont="1" applyFill="1" applyBorder="1" applyAlignment="1">
      <alignment vertical="center"/>
    </xf>
    <xf numFmtId="1" fontId="29" fillId="0" borderId="1" xfId="0" applyNumberFormat="1" applyFont="1" applyBorder="1" applyAlignment="1">
      <alignment horizontal="center" vertical="center" wrapText="1"/>
    </xf>
    <xf numFmtId="3" fontId="29" fillId="2" borderId="7" xfId="0" applyNumberFormat="1" applyFont="1" applyFill="1" applyBorder="1" applyAlignment="1">
      <alignment horizontal="center" vertical="center" wrapText="1"/>
    </xf>
    <xf numFmtId="171" fontId="29" fillId="2" borderId="1" xfId="1" applyNumberFormat="1" applyFont="1" applyFill="1" applyBorder="1" applyAlignment="1">
      <alignment horizontal="left" vertical="center" wrapText="1"/>
    </xf>
    <xf numFmtId="171" fontId="29" fillId="2" borderId="1" xfId="1" applyNumberFormat="1" applyFont="1" applyFill="1" applyBorder="1" applyAlignment="1">
      <alignment horizontal="center" vertical="center" wrapText="1"/>
    </xf>
    <xf numFmtId="171" fontId="29" fillId="2" borderId="8" xfId="1" applyNumberFormat="1" applyFont="1" applyFill="1" applyBorder="1" applyAlignment="1">
      <alignment horizontal="center" vertical="center" wrapText="1"/>
    </xf>
    <xf numFmtId="171" fontId="29" fillId="2" borderId="7" xfId="1" applyNumberFormat="1" applyFont="1" applyFill="1" applyBorder="1" applyAlignment="1">
      <alignment horizontal="center" vertical="center" wrapText="1"/>
    </xf>
    <xf numFmtId="167" fontId="30" fillId="0" borderId="1" xfId="0" applyNumberFormat="1" applyFont="1" applyBorder="1" applyAlignment="1">
      <alignment horizontal="center" vertical="center"/>
    </xf>
    <xf numFmtId="9" fontId="30" fillId="2" borderId="7" xfId="0" applyNumberFormat="1" applyFont="1" applyFill="1" applyBorder="1" applyAlignment="1">
      <alignment horizontal="center" vertical="center" wrapText="1"/>
    </xf>
    <xf numFmtId="168" fontId="30" fillId="0" borderId="8" xfId="0" applyNumberFormat="1" applyFont="1" applyBorder="1" applyAlignment="1">
      <alignment horizontal="center" vertical="center"/>
    </xf>
    <xf numFmtId="168" fontId="30" fillId="0" borderId="11" xfId="0" applyNumberFormat="1" applyFont="1" applyBorder="1" applyAlignment="1">
      <alignment horizontal="center" vertical="center"/>
    </xf>
    <xf numFmtId="49" fontId="29" fillId="0" borderId="4" xfId="0" applyNumberFormat="1" applyFont="1" applyBorder="1" applyAlignment="1">
      <alignment horizontal="center" vertical="center"/>
    </xf>
    <xf numFmtId="9" fontId="30" fillId="2" borderId="1" xfId="0" applyNumberFormat="1" applyFont="1" applyFill="1" applyBorder="1" applyAlignment="1">
      <alignment horizontal="center" vertical="center" wrapText="1"/>
    </xf>
    <xf numFmtId="49" fontId="29" fillId="0" borderId="11" xfId="0" applyNumberFormat="1" applyFont="1" applyBorder="1" applyAlignment="1">
      <alignment horizontal="center" vertical="center"/>
    </xf>
    <xf numFmtId="167" fontId="29" fillId="0" borderId="8" xfId="0" applyNumberFormat="1" applyFont="1" applyBorder="1" applyAlignment="1">
      <alignment horizontal="center" vertical="center"/>
    </xf>
    <xf numFmtId="9" fontId="30" fillId="2" borderId="8" xfId="0" applyNumberFormat="1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right" vertical="center"/>
    </xf>
    <xf numFmtId="168" fontId="30" fillId="2" borderId="8" xfId="0" applyNumberFormat="1" applyFont="1" applyFill="1" applyBorder="1" applyAlignment="1">
      <alignment horizontal="center" vertical="center" wrapText="1"/>
    </xf>
    <xf numFmtId="9" fontId="29" fillId="2" borderId="8" xfId="0" applyNumberFormat="1" applyFont="1" applyFill="1" applyBorder="1" applyAlignment="1">
      <alignment horizontal="center" vertical="center" wrapText="1"/>
    </xf>
    <xf numFmtId="9" fontId="29" fillId="2" borderId="1" xfId="0" applyNumberFormat="1" applyFont="1" applyFill="1" applyBorder="1" applyAlignment="1">
      <alignment horizontal="center"/>
    </xf>
    <xf numFmtId="169" fontId="30" fillId="2" borderId="12" xfId="0" applyNumberFormat="1" applyFont="1" applyFill="1" applyBorder="1" applyAlignment="1">
      <alignment horizontal="center" vertical="center"/>
    </xf>
    <xf numFmtId="167" fontId="29" fillId="2" borderId="3" xfId="1" applyNumberFormat="1" applyFont="1" applyFill="1" applyBorder="1" applyAlignment="1">
      <alignment horizontal="center" vertical="center" wrapText="1"/>
    </xf>
    <xf numFmtId="0" fontId="29" fillId="0" borderId="1" xfId="3" applyFont="1" applyFill="1" applyBorder="1" applyAlignment="1">
      <alignment vertical="center" wrapText="1"/>
    </xf>
    <xf numFmtId="0" fontId="30" fillId="0" borderId="1" xfId="3" applyFont="1" applyFill="1" applyBorder="1" applyAlignment="1">
      <alignment horizontal="left" vertical="center" wrapText="1"/>
    </xf>
    <xf numFmtId="0" fontId="30" fillId="0" borderId="7" xfId="3" applyFont="1" applyFill="1" applyBorder="1" applyAlignment="1">
      <alignment horizontal="left" vertical="center" wrapText="1"/>
    </xf>
    <xf numFmtId="167" fontId="30" fillId="3" borderId="7" xfId="1" applyNumberFormat="1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left" vertical="center"/>
    </xf>
    <xf numFmtId="0" fontId="29" fillId="3" borderId="7" xfId="0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180" fontId="29" fillId="2" borderId="1" xfId="0" applyNumberFormat="1" applyFont="1" applyFill="1" applyBorder="1" applyAlignment="1">
      <alignment horizontal="center" vertical="center" wrapText="1"/>
    </xf>
    <xf numFmtId="0" fontId="31" fillId="2" borderId="1" xfId="3" applyFont="1" applyFill="1" applyBorder="1" applyAlignment="1">
      <alignment horizontal="left" vertical="center" wrapText="1"/>
    </xf>
    <xf numFmtId="166" fontId="30" fillId="2" borderId="1" xfId="0" applyNumberFormat="1" applyFont="1" applyFill="1" applyBorder="1" applyAlignment="1">
      <alignment horizontal="center" vertical="center" wrapText="1"/>
    </xf>
    <xf numFmtId="167" fontId="30" fillId="2" borderId="1" xfId="0" applyNumberFormat="1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29" fillId="0" borderId="4" xfId="0" applyNumberFormat="1" applyFont="1" applyFill="1" applyBorder="1" applyAlignment="1">
      <alignment horizontal="left" vertical="center" wrapText="1"/>
    </xf>
    <xf numFmtId="49" fontId="30" fillId="0" borderId="4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 wrapText="1"/>
    </xf>
    <xf numFmtId="167" fontId="36" fillId="0" borderId="8" xfId="0" applyNumberFormat="1" applyFont="1" applyFill="1" applyBorder="1" applyAlignment="1">
      <alignment horizontal="center" vertical="center" wrapText="1"/>
    </xf>
    <xf numFmtId="167" fontId="29" fillId="0" borderId="6" xfId="0" applyNumberFormat="1" applyFont="1" applyFill="1" applyBorder="1" applyAlignment="1">
      <alignment horizontal="center" vertical="center" wrapText="1"/>
    </xf>
    <xf numFmtId="1" fontId="29" fillId="0" borderId="1" xfId="8" applyNumberFormat="1" applyFont="1" applyFill="1" applyBorder="1" applyAlignment="1">
      <alignment vertical="center" wrapText="1"/>
    </xf>
    <xf numFmtId="169" fontId="30" fillId="0" borderId="6" xfId="0" applyNumberFormat="1" applyFont="1" applyFill="1" applyBorder="1" applyAlignment="1">
      <alignment horizontal="center" vertical="center"/>
    </xf>
    <xf numFmtId="168" fontId="30" fillId="0" borderId="6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vertical="center" wrapText="1"/>
    </xf>
    <xf numFmtId="167" fontId="29" fillId="3" borderId="1" xfId="0" applyNumberFormat="1" applyFont="1" applyFill="1" applyBorder="1" applyAlignment="1">
      <alignment horizontal="left" vertical="center"/>
    </xf>
    <xf numFmtId="0" fontId="30" fillId="0" borderId="5" xfId="0" applyFont="1" applyFill="1" applyBorder="1" applyAlignment="1">
      <alignment vertical="center" wrapText="1"/>
    </xf>
    <xf numFmtId="170" fontId="30" fillId="0" borderId="1" xfId="0" applyNumberFormat="1" applyFont="1" applyFill="1" applyBorder="1" applyAlignment="1">
      <alignment horizontal="center" vertical="center" wrapText="1"/>
    </xf>
    <xf numFmtId="9" fontId="30" fillId="0" borderId="1" xfId="0" applyNumberFormat="1" applyFont="1" applyFill="1" applyBorder="1" applyAlignment="1">
      <alignment horizontal="center" vertical="center" wrapText="1"/>
    </xf>
    <xf numFmtId="168" fontId="29" fillId="0" borderId="8" xfId="0" applyNumberFormat="1" applyFont="1" applyFill="1" applyBorder="1" applyAlignment="1">
      <alignment horizontal="center" vertical="center" wrapText="1"/>
    </xf>
    <xf numFmtId="168" fontId="29" fillId="0" borderId="2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wrapText="1"/>
    </xf>
    <xf numFmtId="166" fontId="29" fillId="0" borderId="1" xfId="0" applyNumberFormat="1" applyFont="1" applyFill="1" applyBorder="1" applyAlignment="1">
      <alignment horizontal="center" wrapText="1"/>
    </xf>
    <xf numFmtId="169" fontId="29" fillId="0" borderId="2" xfId="0" applyNumberFormat="1" applyFont="1" applyFill="1" applyBorder="1" applyAlignment="1">
      <alignment horizontal="center"/>
    </xf>
    <xf numFmtId="9" fontId="29" fillId="0" borderId="1" xfId="0" applyNumberFormat="1" applyFont="1" applyFill="1" applyBorder="1" applyAlignment="1">
      <alignment horizontal="center"/>
    </xf>
    <xf numFmtId="0" fontId="29" fillId="2" borderId="4" xfId="0" applyFont="1" applyFill="1" applyBorder="1" applyAlignment="1">
      <alignment vertical="center" wrapText="1"/>
    </xf>
    <xf numFmtId="0" fontId="29" fillId="2" borderId="4" xfId="3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center"/>
    </xf>
    <xf numFmtId="13" fontId="29" fillId="2" borderId="1" xfId="0" applyNumberFormat="1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166" fontId="29" fillId="2" borderId="1" xfId="0" applyNumberFormat="1" applyFont="1" applyFill="1" applyBorder="1" applyAlignment="1">
      <alignment horizontal="center" vertical="center"/>
    </xf>
    <xf numFmtId="167" fontId="29" fillId="2" borderId="8" xfId="1" applyNumberFormat="1" applyFont="1" applyFill="1" applyBorder="1" applyAlignment="1">
      <alignment horizontal="center" vertical="center"/>
    </xf>
    <xf numFmtId="167" fontId="29" fillId="2" borderId="14" xfId="1" applyNumberFormat="1" applyFont="1" applyFill="1" applyBorder="1" applyAlignment="1">
      <alignment horizontal="center" vertical="center"/>
    </xf>
    <xf numFmtId="4" fontId="29" fillId="2" borderId="1" xfId="0" applyNumberFormat="1" applyFont="1" applyFill="1" applyBorder="1" applyAlignment="1">
      <alignment horizontal="left" vertical="center" wrapText="1"/>
    </xf>
    <xf numFmtId="4" fontId="29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right" vertical="center"/>
    </xf>
    <xf numFmtId="0" fontId="29" fillId="2" borderId="8" xfId="0" applyFont="1" applyFill="1" applyBorder="1" applyAlignment="1">
      <alignment horizontal="left" vertical="top" wrapText="1"/>
    </xf>
    <xf numFmtId="3" fontId="29" fillId="2" borderId="8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left" vertical="center" wrapText="1"/>
    </xf>
    <xf numFmtId="167" fontId="36" fillId="0" borderId="1" xfId="13" applyNumberFormat="1" applyFont="1" applyFill="1" applyBorder="1" applyAlignment="1">
      <alignment horizontal="center" vertical="center" wrapText="1"/>
    </xf>
    <xf numFmtId="1" fontId="29" fillId="2" borderId="8" xfId="0" applyNumberFormat="1" applyFont="1" applyFill="1" applyBorder="1" applyAlignment="1">
      <alignment horizontal="center" vertical="center" wrapText="1"/>
    </xf>
    <xf numFmtId="167" fontId="30" fillId="2" borderId="14" xfId="1" applyNumberFormat="1" applyFont="1" applyFill="1" applyBorder="1" applyAlignment="1">
      <alignment horizontal="center" vertical="center"/>
    </xf>
    <xf numFmtId="167" fontId="30" fillId="2" borderId="8" xfId="1" applyNumberFormat="1" applyFont="1" applyFill="1" applyBorder="1" applyAlignment="1">
      <alignment horizontal="center" vertical="center"/>
    </xf>
    <xf numFmtId="167" fontId="30" fillId="2" borderId="11" xfId="1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left" vertical="top" wrapText="1"/>
    </xf>
    <xf numFmtId="0" fontId="29" fillId="2" borderId="14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vertical="center"/>
    </xf>
    <xf numFmtId="3" fontId="29" fillId="2" borderId="7" xfId="0" applyNumberFormat="1" applyFont="1" applyFill="1" applyBorder="1" applyAlignment="1">
      <alignment horizontal="center" vertical="center"/>
    </xf>
    <xf numFmtId="1" fontId="29" fillId="2" borderId="1" xfId="0" applyNumberFormat="1" applyFont="1" applyFill="1" applyBorder="1" applyAlignment="1">
      <alignment horizontal="center" vertical="center" wrapText="1"/>
    </xf>
    <xf numFmtId="1" fontId="29" fillId="2" borderId="8" xfId="0" applyNumberFormat="1" applyFont="1" applyFill="1" applyBorder="1" applyAlignment="1">
      <alignment horizontal="center" vertical="center"/>
    </xf>
    <xf numFmtId="168" fontId="29" fillId="0" borderId="7" xfId="0" applyNumberFormat="1" applyFont="1" applyBorder="1" applyAlignment="1">
      <alignment horizontal="center" vertical="center" wrapText="1"/>
    </xf>
    <xf numFmtId="0" fontId="29" fillId="2" borderId="1" xfId="0" applyFont="1" applyFill="1" applyBorder="1" applyAlignment="1">
      <alignment wrapText="1"/>
    </xf>
    <xf numFmtId="167" fontId="30" fillId="2" borderId="6" xfId="1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left" vertical="top" wrapText="1"/>
    </xf>
    <xf numFmtId="0" fontId="29" fillId="2" borderId="8" xfId="0" applyNumberFormat="1" applyFont="1" applyFill="1" applyBorder="1" applyAlignment="1">
      <alignment horizontal="center" vertical="center" wrapText="1"/>
    </xf>
    <xf numFmtId="169" fontId="38" fillId="2" borderId="1" xfId="0" applyNumberFormat="1" applyFont="1" applyFill="1" applyBorder="1" applyAlignment="1">
      <alignment horizontal="center" vertical="center" wrapText="1"/>
    </xf>
    <xf numFmtId="168" fontId="38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vertical="top" wrapText="1"/>
    </xf>
    <xf numFmtId="0" fontId="36" fillId="2" borderId="1" xfId="0" applyNumberFormat="1" applyFont="1" applyFill="1" applyBorder="1" applyAlignment="1">
      <alignment horizontal="center" vertical="center"/>
    </xf>
    <xf numFmtId="0" fontId="36" fillId="2" borderId="1" xfId="13" applyNumberFormat="1" applyFont="1" applyFill="1" applyBorder="1" applyAlignment="1">
      <alignment horizontal="center" vertical="center"/>
    </xf>
    <xf numFmtId="168" fontId="38" fillId="2" borderId="8" xfId="0" applyNumberFormat="1" applyFont="1" applyFill="1" applyBorder="1" applyAlignment="1">
      <alignment horizontal="center" vertical="center" wrapText="1"/>
    </xf>
    <xf numFmtId="167" fontId="36" fillId="2" borderId="0" xfId="0" applyNumberFormat="1" applyFont="1" applyFill="1" applyAlignment="1">
      <alignment horizontal="center" vertical="center"/>
    </xf>
    <xf numFmtId="168" fontId="38" fillId="2" borderId="7" xfId="0" applyNumberFormat="1" applyFont="1" applyFill="1" applyBorder="1" applyAlignment="1">
      <alignment horizontal="center" vertical="center" wrapText="1"/>
    </xf>
    <xf numFmtId="167" fontId="30" fillId="2" borderId="8" xfId="1" applyNumberFormat="1" applyFont="1" applyFill="1" applyBorder="1" applyAlignment="1">
      <alignment horizontal="center" vertical="center" wrapText="1"/>
    </xf>
    <xf numFmtId="171" fontId="29" fillId="2" borderId="8" xfId="42" applyNumberFormat="1" applyFont="1" applyFill="1" applyBorder="1" applyAlignment="1">
      <alignment horizontal="center" vertical="center" wrapText="1"/>
    </xf>
    <xf numFmtId="171" fontId="29" fillId="2" borderId="8" xfId="42" applyNumberFormat="1" applyFont="1" applyFill="1" applyBorder="1" applyAlignment="1">
      <alignment horizontal="center" vertical="center"/>
    </xf>
    <xf numFmtId="167" fontId="29" fillId="0" borderId="2" xfId="0" applyNumberFormat="1" applyFont="1" applyBorder="1" applyAlignment="1">
      <alignment horizontal="center" vertical="center"/>
    </xf>
    <xf numFmtId="171" fontId="29" fillId="2" borderId="7" xfId="42" applyNumberFormat="1" applyFont="1" applyFill="1" applyBorder="1" applyAlignment="1">
      <alignment horizontal="center" vertical="center" wrapText="1"/>
    </xf>
    <xf numFmtId="171" fontId="29" fillId="2" borderId="7" xfId="42" applyNumberFormat="1" applyFont="1" applyFill="1" applyBorder="1" applyAlignment="1">
      <alignment horizontal="center" vertical="center"/>
    </xf>
    <xf numFmtId="171" fontId="36" fillId="2" borderId="1" xfId="42" applyNumberFormat="1" applyFont="1" applyFill="1" applyBorder="1" applyAlignment="1">
      <alignment horizontal="center" vertical="center" wrapText="1"/>
    </xf>
    <xf numFmtId="171" fontId="36" fillId="2" borderId="1" xfId="42" applyNumberFormat="1" applyFont="1" applyFill="1" applyBorder="1" applyAlignment="1">
      <alignment horizontal="center" vertical="center"/>
    </xf>
    <xf numFmtId="0" fontId="36" fillId="2" borderId="1" xfId="42" applyNumberFormat="1" applyFont="1" applyFill="1" applyBorder="1" applyAlignment="1">
      <alignment horizontal="center" vertical="center"/>
    </xf>
    <xf numFmtId="171" fontId="29" fillId="2" borderId="1" xfId="42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/>
    <xf numFmtId="49" fontId="29" fillId="0" borderId="11" xfId="0" applyNumberFormat="1" applyFont="1" applyFill="1" applyBorder="1" applyAlignment="1">
      <alignment horizontal="left" vertical="center" wrapText="1"/>
    </xf>
    <xf numFmtId="0" fontId="29" fillId="2" borderId="8" xfId="0" applyFont="1" applyFill="1" applyBorder="1" applyAlignment="1">
      <alignment horizontal="center"/>
    </xf>
    <xf numFmtId="167" fontId="30" fillId="2" borderId="1" xfId="0" applyNumberFormat="1" applyFont="1" applyFill="1" applyBorder="1" applyAlignment="1">
      <alignment horizontal="center" vertical="center"/>
    </xf>
    <xf numFmtId="166" fontId="30" fillId="0" borderId="1" xfId="0" applyNumberFormat="1" applyFont="1" applyFill="1" applyBorder="1" applyAlignment="1">
      <alignment vertical="center" wrapText="1"/>
    </xf>
    <xf numFmtId="167" fontId="30" fillId="0" borderId="1" xfId="0" applyNumberFormat="1" applyFont="1" applyFill="1" applyBorder="1" applyAlignment="1">
      <alignment vertical="center" wrapText="1"/>
    </xf>
    <xf numFmtId="169" fontId="38" fillId="2" borderId="29" xfId="0" applyNumberFormat="1" applyFont="1" applyFill="1" applyBorder="1" applyAlignment="1">
      <alignment horizontal="center" vertical="center"/>
    </xf>
    <xf numFmtId="168" fontId="38" fillId="2" borderId="2" xfId="0" applyNumberFormat="1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vertical="center"/>
    </xf>
    <xf numFmtId="167" fontId="38" fillId="2" borderId="7" xfId="8" applyNumberFormat="1" applyFont="1" applyFill="1" applyBorder="1" applyAlignment="1">
      <alignment horizontal="center" vertical="center" wrapText="1"/>
    </xf>
    <xf numFmtId="166" fontId="38" fillId="2" borderId="7" xfId="0" applyNumberFormat="1" applyFont="1" applyFill="1" applyBorder="1" applyAlignment="1">
      <alignment vertical="center" wrapText="1"/>
    </xf>
    <xf numFmtId="169" fontId="36" fillId="2" borderId="8" xfId="0" applyNumberFormat="1" applyFont="1" applyFill="1" applyBorder="1" applyAlignment="1">
      <alignment horizontal="center" vertical="center"/>
    </xf>
    <xf numFmtId="168" fontId="36" fillId="2" borderId="8" xfId="0" applyNumberFormat="1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vertical="center"/>
    </xf>
    <xf numFmtId="167" fontId="36" fillId="2" borderId="1" xfId="8" applyNumberFormat="1" applyFont="1" applyFill="1" applyBorder="1" applyAlignment="1">
      <alignment horizontal="center" vertical="center" wrapText="1"/>
    </xf>
    <xf numFmtId="0" fontId="29" fillId="2" borderId="1" xfId="142" applyFont="1" applyFill="1" applyBorder="1" applyAlignment="1">
      <alignment vertical="center" wrapText="1"/>
    </xf>
    <xf numFmtId="9" fontId="36" fillId="2" borderId="1" xfId="17" applyFont="1" applyFill="1" applyBorder="1" applyAlignment="1">
      <alignment vertical="center" wrapText="1"/>
    </xf>
    <xf numFmtId="168" fontId="36" fillId="2" borderId="11" xfId="0" applyNumberFormat="1" applyFont="1" applyFill="1" applyBorder="1" applyAlignment="1">
      <alignment horizontal="center" vertical="center"/>
    </xf>
    <xf numFmtId="169" fontId="36" fillId="2" borderId="4" xfId="0" applyNumberFormat="1" applyFont="1" applyFill="1" applyBorder="1" applyAlignment="1">
      <alignment horizontal="center" vertical="center"/>
    </xf>
    <xf numFmtId="0" fontId="36" fillId="2" borderId="4" xfId="3" applyFont="1" applyFill="1" applyBorder="1" applyAlignment="1">
      <alignment vertical="center" wrapText="1"/>
    </xf>
    <xf numFmtId="170" fontId="36" fillId="2" borderId="1" xfId="17" applyNumberFormat="1" applyFont="1" applyFill="1" applyBorder="1" applyAlignment="1">
      <alignment vertical="center" wrapText="1"/>
    </xf>
    <xf numFmtId="0" fontId="36" fillId="2" borderId="1" xfId="142" applyFont="1" applyFill="1" applyBorder="1" applyAlignment="1">
      <alignment vertical="center" wrapText="1"/>
    </xf>
    <xf numFmtId="0" fontId="36" fillId="2" borderId="4" xfId="142" applyFont="1" applyFill="1" applyBorder="1" applyAlignment="1">
      <alignment vertical="center" wrapText="1"/>
    </xf>
    <xf numFmtId="168" fontId="36" fillId="2" borderId="7" xfId="0" applyNumberFormat="1" applyFont="1" applyFill="1" applyBorder="1" applyAlignment="1">
      <alignment horizontal="center" vertical="center"/>
    </xf>
    <xf numFmtId="169" fontId="36" fillId="2" borderId="2" xfId="0" applyNumberFormat="1" applyFont="1" applyFill="1" applyBorder="1" applyAlignment="1">
      <alignment horizontal="center" vertical="center"/>
    </xf>
    <xf numFmtId="168" fontId="36" fillId="2" borderId="2" xfId="0" applyNumberFormat="1" applyFont="1" applyFill="1" applyBorder="1" applyAlignment="1">
      <alignment horizontal="center" vertical="center"/>
    </xf>
    <xf numFmtId="0" fontId="36" fillId="2" borderId="7" xfId="3" applyFont="1" applyFill="1" applyBorder="1" applyAlignment="1">
      <alignment vertical="center" wrapText="1"/>
    </xf>
    <xf numFmtId="167" fontId="36" fillId="2" borderId="7" xfId="8" applyNumberFormat="1" applyFont="1" applyFill="1" applyBorder="1" applyAlignment="1">
      <alignment horizontal="center" vertical="center" wrapText="1"/>
    </xf>
    <xf numFmtId="49" fontId="38" fillId="2" borderId="8" xfId="0" applyNumberFormat="1" applyFont="1" applyFill="1" applyBorder="1" applyAlignment="1">
      <alignment horizontal="center" vertical="center"/>
    </xf>
    <xf numFmtId="167" fontId="38" fillId="2" borderId="1" xfId="8" applyNumberFormat="1" applyFont="1" applyFill="1" applyBorder="1" applyAlignment="1">
      <alignment horizontal="center" vertical="center" wrapText="1"/>
    </xf>
    <xf numFmtId="0" fontId="39" fillId="2" borderId="1" xfId="4" applyFont="1" applyFill="1" applyBorder="1" applyAlignment="1">
      <alignment vertical="center" wrapText="1"/>
    </xf>
    <xf numFmtId="9" fontId="36" fillId="2" borderId="1" xfId="0" applyNumberFormat="1" applyFont="1" applyFill="1" applyBorder="1" applyAlignment="1">
      <alignment vertical="center" wrapText="1"/>
    </xf>
    <xf numFmtId="169" fontId="36" fillId="2" borderId="11" xfId="0" applyNumberFormat="1" applyFont="1" applyFill="1" applyBorder="1" applyAlignment="1">
      <alignment horizontal="center" vertical="center"/>
    </xf>
    <xf numFmtId="0" fontId="36" fillId="0" borderId="8" xfId="0" applyFont="1" applyBorder="1" applyAlignment="1">
      <alignment vertical="center" wrapText="1"/>
    </xf>
    <xf numFmtId="167" fontId="36" fillId="2" borderId="8" xfId="8" applyNumberFormat="1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170" fontId="36" fillId="2" borderId="1" xfId="0" applyNumberFormat="1" applyFont="1" applyFill="1" applyBorder="1" applyAlignment="1">
      <alignment vertical="center" wrapText="1"/>
    </xf>
    <xf numFmtId="167" fontId="29" fillId="2" borderId="1" xfId="8" applyNumberFormat="1" applyFont="1" applyFill="1" applyBorder="1" applyAlignment="1">
      <alignment horizontal="center" vertical="center" wrapText="1"/>
    </xf>
    <xf numFmtId="167" fontId="36" fillId="2" borderId="4" xfId="0" applyNumberFormat="1" applyFont="1" applyFill="1" applyBorder="1" applyAlignment="1">
      <alignment vertical="center" wrapText="1"/>
    </xf>
    <xf numFmtId="0" fontId="36" fillId="2" borderId="1" xfId="0" applyNumberFormat="1" applyFont="1" applyFill="1" applyBorder="1" applyAlignment="1">
      <alignment vertical="center" wrapText="1"/>
    </xf>
    <xf numFmtId="0" fontId="36" fillId="2" borderId="4" xfId="0" applyNumberFormat="1" applyFont="1" applyFill="1" applyBorder="1" applyAlignment="1">
      <alignment vertical="center" wrapText="1"/>
    </xf>
    <xf numFmtId="0" fontId="36" fillId="2" borderId="1" xfId="0" applyFont="1" applyFill="1" applyBorder="1" applyAlignment="1">
      <alignment vertical="center"/>
    </xf>
    <xf numFmtId="0" fontId="30" fillId="2" borderId="7" xfId="0" applyFont="1" applyFill="1" applyBorder="1" applyAlignment="1">
      <alignment vertical="center"/>
    </xf>
    <xf numFmtId="167" fontId="30" fillId="2" borderId="8" xfId="8" applyNumberFormat="1" applyFont="1" applyFill="1" applyBorder="1" applyAlignment="1">
      <alignment horizontal="center" vertical="center" wrapText="1"/>
    </xf>
    <xf numFmtId="0" fontId="30" fillId="2" borderId="1" xfId="4" applyFont="1" applyFill="1" applyBorder="1" applyAlignment="1">
      <alignment vertical="center" wrapText="1"/>
    </xf>
    <xf numFmtId="169" fontId="36" fillId="2" borderId="1" xfId="0" applyNumberFormat="1" applyFont="1" applyFill="1" applyBorder="1" applyAlignment="1">
      <alignment horizontal="center" vertical="center"/>
    </xf>
    <xf numFmtId="168" fontId="36" fillId="2" borderId="1" xfId="0" applyNumberFormat="1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vertical="center" wrapText="1"/>
    </xf>
    <xf numFmtId="0" fontId="39" fillId="2" borderId="8" xfId="4" applyFont="1" applyFill="1" applyBorder="1" applyAlignment="1">
      <alignment vertical="center" wrapText="1"/>
    </xf>
    <xf numFmtId="0" fontId="36" fillId="2" borderId="8" xfId="0" applyNumberFormat="1" applyFont="1" applyFill="1" applyBorder="1" applyAlignment="1">
      <alignment vertical="center" wrapText="1"/>
    </xf>
    <xf numFmtId="167" fontId="29" fillId="2" borderId="8" xfId="8" applyNumberFormat="1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vertical="center"/>
    </xf>
    <xf numFmtId="167" fontId="38" fillId="2" borderId="8" xfId="8" applyNumberFormat="1" applyFont="1" applyFill="1" applyBorder="1" applyAlignment="1">
      <alignment horizontal="center" vertical="center" wrapText="1"/>
    </xf>
    <xf numFmtId="0" fontId="40" fillId="2" borderId="1" xfId="4" applyFont="1" applyFill="1" applyBorder="1" applyAlignment="1">
      <alignment vertical="center" wrapText="1"/>
    </xf>
    <xf numFmtId="1" fontId="40" fillId="2" borderId="1" xfId="4" applyNumberFormat="1" applyFont="1" applyFill="1" applyBorder="1" applyAlignment="1">
      <alignment vertical="center" wrapText="1"/>
    </xf>
    <xf numFmtId="0" fontId="39" fillId="2" borderId="6" xfId="4" applyFont="1" applyFill="1" applyBorder="1" applyAlignment="1">
      <alignment vertical="center" wrapText="1"/>
    </xf>
    <xf numFmtId="1" fontId="39" fillId="2" borderId="1" xfId="4" applyNumberFormat="1" applyFont="1" applyFill="1" applyBorder="1" applyAlignment="1">
      <alignment vertical="center" wrapText="1"/>
    </xf>
    <xf numFmtId="0" fontId="36" fillId="2" borderId="1" xfId="0" applyFont="1" applyFill="1" applyBorder="1" applyAlignment="1">
      <alignment wrapText="1"/>
    </xf>
    <xf numFmtId="0" fontId="36" fillId="0" borderId="0" xfId="0" applyFont="1" applyBorder="1" applyAlignment="1">
      <alignment vertical="center" wrapText="1"/>
    </xf>
    <xf numFmtId="0" fontId="39" fillId="2" borderId="30" xfId="4" applyFont="1" applyFill="1" applyBorder="1" applyAlignment="1">
      <alignment vertical="center" wrapText="1"/>
    </xf>
    <xf numFmtId="0" fontId="29" fillId="2" borderId="8" xfId="4" applyFont="1" applyFill="1" applyBorder="1" applyAlignment="1">
      <alignment vertical="center" wrapText="1"/>
    </xf>
    <xf numFmtId="1" fontId="29" fillId="2" borderId="8" xfId="4" applyNumberFormat="1" applyFont="1" applyFill="1" applyBorder="1" applyAlignment="1">
      <alignment vertical="center" wrapText="1"/>
    </xf>
    <xf numFmtId="0" fontId="29" fillId="3" borderId="7" xfId="0" applyFont="1" applyFill="1" applyBorder="1" applyAlignment="1">
      <alignment horizontal="center" vertical="center" wrapText="1"/>
    </xf>
    <xf numFmtId="167" fontId="29" fillId="3" borderId="4" xfId="0" applyNumberFormat="1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left" wrapText="1"/>
    </xf>
    <xf numFmtId="167" fontId="29" fillId="0" borderId="8" xfId="149" applyNumberFormat="1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justify" vertical="top"/>
    </xf>
    <xf numFmtId="169" fontId="29" fillId="0" borderId="1" xfId="0" applyNumberFormat="1" applyFont="1" applyFill="1" applyBorder="1" applyAlignment="1">
      <alignment horizontal="center" vertical="top"/>
    </xf>
    <xf numFmtId="168" fontId="29" fillId="0" borderId="1" xfId="0" applyNumberFormat="1" applyFont="1" applyFill="1" applyBorder="1" applyAlignment="1">
      <alignment horizontal="center" vertical="top"/>
    </xf>
    <xf numFmtId="167" fontId="29" fillId="0" borderId="1" xfId="149" applyNumberFormat="1" applyFont="1" applyFill="1" applyBorder="1" applyAlignment="1">
      <alignment horizontal="center" vertical="center" wrapText="1"/>
    </xf>
    <xf numFmtId="168" fontId="29" fillId="0" borderId="8" xfId="0" applyNumberFormat="1" applyFont="1" applyFill="1" applyBorder="1" applyAlignment="1">
      <alignment horizontal="center" vertical="top"/>
    </xf>
    <xf numFmtId="168" fontId="29" fillId="0" borderId="7" xfId="0" applyNumberFormat="1" applyFont="1" applyFill="1" applyBorder="1" applyAlignment="1">
      <alignment horizontal="center" vertical="top"/>
    </xf>
    <xf numFmtId="168" fontId="29" fillId="0" borderId="2" xfId="0" applyNumberFormat="1" applyFont="1" applyFill="1" applyBorder="1" applyAlignment="1">
      <alignment horizontal="center" vertical="top"/>
    </xf>
    <xf numFmtId="167" fontId="30" fillId="3" borderId="1" xfId="149" applyNumberFormat="1" applyFont="1" applyFill="1" applyBorder="1" applyAlignment="1">
      <alignment horizontal="center" vertical="center" wrapText="1"/>
    </xf>
    <xf numFmtId="0" fontId="30" fillId="3" borderId="7" xfId="0" applyFont="1" applyFill="1" applyBorder="1" applyAlignment="1">
      <alignment vertical="top" wrapText="1"/>
    </xf>
    <xf numFmtId="3" fontId="30" fillId="3" borderId="7" xfId="0" applyNumberFormat="1" applyFont="1" applyFill="1" applyBorder="1" applyAlignment="1">
      <alignment horizontal="center" vertical="center" wrapText="1"/>
    </xf>
    <xf numFmtId="169" fontId="30" fillId="0" borderId="29" xfId="0" applyNumberFormat="1" applyFont="1" applyBorder="1" applyAlignment="1">
      <alignment horizontal="center" vertical="center"/>
    </xf>
    <xf numFmtId="168" fontId="30" fillId="0" borderId="2" xfId="0" applyNumberFormat="1" applyFont="1" applyBorder="1" applyAlignment="1">
      <alignment horizontal="center" vertical="center"/>
    </xf>
    <xf numFmtId="0" fontId="30" fillId="2" borderId="7" xfId="0" applyFont="1" applyFill="1" applyBorder="1" applyAlignment="1">
      <alignment horizontal="left" vertical="center"/>
    </xf>
    <xf numFmtId="167" fontId="30" fillId="2" borderId="9" xfId="0" applyNumberFormat="1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left" vertical="center"/>
    </xf>
    <xf numFmtId="16" fontId="30" fillId="2" borderId="1" xfId="0" applyNumberFormat="1" applyFont="1" applyFill="1" applyBorder="1" applyAlignment="1">
      <alignment horizontal="left" vertical="center" wrapText="1"/>
    </xf>
    <xf numFmtId="167" fontId="30" fillId="2" borderId="6" xfId="0" applyNumberFormat="1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left" vertical="center"/>
    </xf>
    <xf numFmtId="167" fontId="30" fillId="2" borderId="8" xfId="0" applyNumberFormat="1" applyFont="1" applyFill="1" applyBorder="1" applyAlignment="1">
      <alignment horizontal="left" vertical="center"/>
    </xf>
    <xf numFmtId="168" fontId="29" fillId="2" borderId="8" xfId="0" applyNumberFormat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left" vertical="center"/>
    </xf>
    <xf numFmtId="167" fontId="29" fillId="2" borderId="6" xfId="0" applyNumberFormat="1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left" vertical="center"/>
    </xf>
    <xf numFmtId="167" fontId="29" fillId="2" borderId="8" xfId="0" applyNumberFormat="1" applyFont="1" applyFill="1" applyBorder="1" applyAlignment="1">
      <alignment horizontal="left" vertical="center"/>
    </xf>
    <xf numFmtId="49" fontId="29" fillId="2" borderId="1" xfId="0" applyNumberFormat="1" applyFont="1" applyFill="1" applyBorder="1" applyAlignment="1">
      <alignment horizontal="left" vertical="center"/>
    </xf>
    <xf numFmtId="167" fontId="30" fillId="2" borderId="1" xfId="0" applyNumberFormat="1" applyFont="1" applyFill="1" applyBorder="1" applyAlignment="1">
      <alignment horizontal="left" vertical="center" wrapText="1"/>
    </xf>
    <xf numFmtId="167" fontId="29" fillId="0" borderId="1" xfId="0" applyNumberFormat="1" applyFont="1" applyFill="1" applyBorder="1" applyAlignment="1">
      <alignment horizontal="left" vertical="center" wrapText="1"/>
    </xf>
    <xf numFmtId="167" fontId="29" fillId="2" borderId="2" xfId="0" applyNumberFormat="1" applyFont="1" applyFill="1" applyBorder="1" applyAlignment="1">
      <alignment horizontal="left" vertical="center" wrapText="1"/>
    </xf>
    <xf numFmtId="49" fontId="29" fillId="2" borderId="8" xfId="0" applyNumberFormat="1" applyFont="1" applyFill="1" applyBorder="1" applyAlignment="1">
      <alignment horizontal="left" vertical="center" wrapText="1"/>
    </xf>
    <xf numFmtId="167" fontId="29" fillId="2" borderId="14" xfId="0" applyNumberFormat="1" applyFont="1" applyFill="1" applyBorder="1" applyAlignment="1">
      <alignment horizontal="center" vertical="center" wrapText="1"/>
    </xf>
    <xf numFmtId="0" fontId="30" fillId="0" borderId="1" xfId="3" applyFont="1" applyFill="1" applyBorder="1" applyAlignment="1">
      <alignment vertical="center" wrapText="1"/>
    </xf>
    <xf numFmtId="166" fontId="29" fillId="0" borderId="1" xfId="3" applyNumberFormat="1" applyFont="1" applyFill="1" applyBorder="1" applyAlignment="1">
      <alignment horizontal="center" vertical="center" wrapText="1"/>
    </xf>
    <xf numFmtId="169" fontId="30" fillId="0" borderId="8" xfId="0" applyNumberFormat="1" applyFont="1" applyFill="1" applyBorder="1" applyAlignment="1">
      <alignment horizontal="center" vertical="center" wrapText="1"/>
    </xf>
    <xf numFmtId="168" fontId="30" fillId="0" borderId="8" xfId="0" applyNumberFormat="1" applyFont="1" applyFill="1" applyBorder="1" applyAlignment="1">
      <alignment horizontal="center" vertical="center" wrapText="1"/>
    </xf>
    <xf numFmtId="49" fontId="30" fillId="0" borderId="8" xfId="0" applyNumberFormat="1" applyFont="1" applyFill="1" applyBorder="1" applyAlignment="1">
      <alignment horizontal="center" vertical="center" wrapText="1"/>
    </xf>
    <xf numFmtId="167" fontId="30" fillId="0" borderId="8" xfId="3" applyNumberFormat="1" applyFont="1" applyFill="1" applyBorder="1" applyAlignment="1">
      <alignment horizontal="center" vertical="center" wrapText="1"/>
    </xf>
    <xf numFmtId="167" fontId="30" fillId="0" borderId="1" xfId="3" applyNumberFormat="1" applyFont="1" applyFill="1" applyBorder="1" applyAlignment="1">
      <alignment horizontal="center" vertical="center" wrapText="1"/>
    </xf>
    <xf numFmtId="0" fontId="29" fillId="0" borderId="1" xfId="3" applyFont="1" applyFill="1" applyBorder="1" applyAlignment="1">
      <alignment horizontal="center" vertical="center"/>
    </xf>
    <xf numFmtId="0" fontId="29" fillId="0" borderId="1" xfId="3" applyFont="1" applyFill="1" applyBorder="1" applyAlignment="1">
      <alignment vertical="top" wrapText="1"/>
    </xf>
    <xf numFmtId="16" fontId="29" fillId="0" borderId="1" xfId="3" applyNumberFormat="1" applyFont="1" applyFill="1" applyBorder="1" applyAlignment="1">
      <alignment horizontal="center" vertical="center"/>
    </xf>
    <xf numFmtId="3" fontId="29" fillId="0" borderId="1" xfId="3" applyNumberFormat="1" applyFont="1" applyFill="1" applyBorder="1" applyAlignment="1">
      <alignment horizontal="center" vertical="center" wrapText="1"/>
    </xf>
    <xf numFmtId="3" fontId="29" fillId="0" borderId="7" xfId="3" applyNumberFormat="1" applyFont="1" applyFill="1" applyBorder="1" applyAlignment="1">
      <alignment horizontal="center" vertical="center" wrapText="1"/>
    </xf>
    <xf numFmtId="167" fontId="29" fillId="0" borderId="8" xfId="3" applyNumberFormat="1" applyFont="1" applyFill="1" applyBorder="1" applyAlignment="1">
      <alignment horizontal="center" vertical="center" wrapText="1"/>
    </xf>
    <xf numFmtId="0" fontId="29" fillId="3" borderId="1" xfId="0" applyFont="1" applyFill="1" applyBorder="1"/>
    <xf numFmtId="169" fontId="30" fillId="0" borderId="1" xfId="153" applyNumberFormat="1" applyFont="1" applyBorder="1" applyAlignment="1">
      <alignment horizontal="center" vertical="center"/>
    </xf>
    <xf numFmtId="168" fontId="30" fillId="0" borderId="1" xfId="153" applyNumberFormat="1" applyFont="1" applyBorder="1" applyAlignment="1">
      <alignment horizontal="center" vertical="center"/>
    </xf>
    <xf numFmtId="49" fontId="29" fillId="2" borderId="1" xfId="153" applyNumberFormat="1" applyFont="1" applyFill="1" applyBorder="1" applyAlignment="1">
      <alignment horizontal="center" vertical="center"/>
    </xf>
    <xf numFmtId="0" fontId="30" fillId="2" borderId="1" xfId="153" applyFont="1" applyFill="1" applyBorder="1" applyAlignment="1">
      <alignment horizontal="right" vertical="center"/>
    </xf>
    <xf numFmtId="0" fontId="30" fillId="2" borderId="1" xfId="153" applyFont="1" applyFill="1" applyBorder="1" applyAlignment="1">
      <alignment horizontal="left" vertical="center" wrapText="1"/>
    </xf>
    <xf numFmtId="167" fontId="30" fillId="2" borderId="1" xfId="154" applyNumberFormat="1" applyFont="1" applyFill="1" applyBorder="1" applyAlignment="1">
      <alignment horizontal="center" vertical="center" wrapText="1"/>
    </xf>
    <xf numFmtId="0" fontId="30" fillId="2" borderId="7" xfId="153" applyFont="1" applyFill="1" applyBorder="1" applyAlignment="1">
      <alignment horizontal="left" vertical="center" wrapText="1"/>
    </xf>
    <xf numFmtId="0" fontId="30" fillId="2" borderId="7" xfId="153" applyFont="1" applyFill="1" applyBorder="1" applyAlignment="1">
      <alignment horizontal="center" vertical="center" wrapText="1"/>
    </xf>
    <xf numFmtId="172" fontId="30" fillId="2" borderId="7" xfId="153" applyNumberFormat="1" applyFont="1" applyFill="1" applyBorder="1" applyAlignment="1">
      <alignment horizontal="center" vertical="center" wrapText="1"/>
    </xf>
    <xf numFmtId="49" fontId="29" fillId="0" borderId="1" xfId="153" applyNumberFormat="1" applyFont="1" applyBorder="1" applyAlignment="1">
      <alignment horizontal="center" vertical="center"/>
    </xf>
    <xf numFmtId="0" fontId="29" fillId="2" borderId="1" xfId="153" applyFont="1" applyFill="1" applyBorder="1" applyAlignment="1">
      <alignment horizontal="right" vertical="center"/>
    </xf>
    <xf numFmtId="167" fontId="29" fillId="2" borderId="1" xfId="154" applyNumberFormat="1" applyFont="1" applyFill="1" applyBorder="1" applyAlignment="1">
      <alignment horizontal="center" vertical="center" wrapText="1"/>
    </xf>
    <xf numFmtId="0" fontId="29" fillId="2" borderId="1" xfId="153" applyFont="1" applyFill="1" applyBorder="1" applyAlignment="1">
      <alignment horizontal="left" vertical="center" wrapText="1"/>
    </xf>
    <xf numFmtId="0" fontId="29" fillId="2" borderId="1" xfId="153" applyFont="1" applyFill="1" applyBorder="1" applyAlignment="1">
      <alignment horizontal="center" vertical="center" wrapText="1"/>
    </xf>
    <xf numFmtId="0" fontId="29" fillId="2" borderId="0" xfId="153" applyFont="1" applyFill="1" applyBorder="1" applyAlignment="1">
      <alignment horizontal="left" vertical="center" wrapText="1"/>
    </xf>
    <xf numFmtId="167" fontId="36" fillId="2" borderId="1" xfId="154" applyNumberFormat="1" applyFont="1" applyFill="1" applyBorder="1" applyAlignment="1">
      <alignment horizontal="center" vertical="center" wrapText="1"/>
    </xf>
    <xf numFmtId="0" fontId="29" fillId="2" borderId="7" xfId="153" applyFont="1" applyFill="1" applyBorder="1" applyAlignment="1">
      <alignment horizontal="center" vertical="center" wrapText="1"/>
    </xf>
    <xf numFmtId="0" fontId="30" fillId="2" borderId="1" xfId="153" applyFont="1" applyFill="1" applyBorder="1" applyAlignment="1">
      <alignment horizontal="center" vertical="center"/>
    </xf>
    <xf numFmtId="167" fontId="30" fillId="2" borderId="1" xfId="153" applyNumberFormat="1" applyFont="1" applyFill="1" applyBorder="1" applyAlignment="1">
      <alignment horizontal="left" vertical="center" wrapText="1"/>
    </xf>
    <xf numFmtId="0" fontId="30" fillId="2" borderId="2" xfId="153" applyFont="1" applyFill="1" applyBorder="1" applyAlignment="1">
      <alignment horizontal="left" vertical="center" wrapText="1"/>
    </xf>
    <xf numFmtId="0" fontId="30" fillId="2" borderId="2" xfId="153" applyFont="1" applyFill="1" applyBorder="1" applyAlignment="1">
      <alignment horizontal="center" vertical="center" wrapText="1"/>
    </xf>
    <xf numFmtId="172" fontId="30" fillId="2" borderId="2" xfId="153" applyNumberFormat="1" applyFont="1" applyFill="1" applyBorder="1" applyAlignment="1">
      <alignment horizontal="center" vertical="center" wrapText="1"/>
    </xf>
    <xf numFmtId="0" fontId="30" fillId="2" borderId="3" xfId="153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left" vertical="center"/>
    </xf>
    <xf numFmtId="167" fontId="30" fillId="3" borderId="2" xfId="0" applyNumberFormat="1" applyFont="1" applyFill="1" applyBorder="1" applyAlignment="1">
      <alignment horizontal="center"/>
    </xf>
    <xf numFmtId="167" fontId="30" fillId="3" borderId="41" xfId="0" applyNumberFormat="1" applyFont="1" applyFill="1" applyBorder="1" applyAlignment="1">
      <alignment horizontal="center"/>
    </xf>
    <xf numFmtId="167" fontId="30" fillId="2" borderId="9" xfId="1" applyNumberFormat="1" applyFont="1" applyFill="1" applyBorder="1" applyAlignment="1">
      <alignment horizontal="center" vertical="center" wrapText="1"/>
    </xf>
    <xf numFmtId="168" fontId="29" fillId="0" borderId="8" xfId="0" applyNumberFormat="1" applyFont="1" applyBorder="1" applyAlignment="1">
      <alignment horizontal="center" vertical="center"/>
    </xf>
    <xf numFmtId="168" fontId="29" fillId="0" borderId="4" xfId="0" applyNumberFormat="1" applyFont="1" applyBorder="1" applyAlignment="1">
      <alignment horizontal="center" vertical="center"/>
    </xf>
    <xf numFmtId="0" fontId="29" fillId="0" borderId="1" xfId="0" applyFont="1" applyBorder="1"/>
    <xf numFmtId="0" fontId="29" fillId="0" borderId="1" xfId="0" applyFont="1" applyBorder="1" applyAlignment="1">
      <alignment horizontal="left"/>
    </xf>
    <xf numFmtId="0" fontId="29" fillId="0" borderId="8" xfId="0" applyFont="1" applyBorder="1"/>
    <xf numFmtId="0" fontId="29" fillId="0" borderId="1" xfId="18" applyFont="1" applyFill="1" applyBorder="1" applyAlignment="1">
      <alignment vertical="center" wrapText="1"/>
    </xf>
    <xf numFmtId="167" fontId="30" fillId="0" borderId="1" xfId="150" applyNumberFormat="1" applyFont="1" applyFill="1" applyBorder="1" applyAlignment="1">
      <alignment horizontal="center" vertical="center" wrapText="1"/>
    </xf>
    <xf numFmtId="167" fontId="29" fillId="0" borderId="1" xfId="150" applyNumberFormat="1" applyFont="1" applyFill="1" applyBorder="1" applyAlignment="1">
      <alignment horizontal="left" vertical="center" wrapText="1"/>
    </xf>
    <xf numFmtId="167" fontId="29" fillId="0" borderId="1" xfId="150" applyNumberFormat="1" applyFont="1" applyFill="1" applyBorder="1" applyAlignment="1">
      <alignment horizontal="center" vertical="center" wrapText="1"/>
    </xf>
    <xf numFmtId="167" fontId="29" fillId="0" borderId="1" xfId="150" applyNumberFormat="1" applyFont="1" applyFill="1" applyBorder="1" applyAlignment="1">
      <alignment vertical="center" wrapText="1"/>
    </xf>
    <xf numFmtId="0" fontId="29" fillId="0" borderId="1" xfId="18" applyFont="1" applyFill="1" applyBorder="1" applyAlignment="1">
      <alignment vertical="center"/>
    </xf>
    <xf numFmtId="167" fontId="29" fillId="0" borderId="1" xfId="0" applyNumberFormat="1" applyFont="1" applyBorder="1" applyAlignment="1">
      <alignment horizontal="center" vertical="center" wrapText="1"/>
    </xf>
    <xf numFmtId="167" fontId="36" fillId="0" borderId="1" xfId="18" applyNumberFormat="1" applyFont="1" applyBorder="1" applyAlignment="1">
      <alignment horizontal="center" vertical="center" wrapText="1"/>
    </xf>
    <xf numFmtId="0" fontId="29" fillId="0" borderId="1" xfId="18" applyFont="1" applyFill="1" applyBorder="1" applyAlignment="1">
      <alignment horizontal="center" vertical="center" wrapText="1"/>
    </xf>
    <xf numFmtId="0" fontId="29" fillId="0" borderId="1" xfId="18" applyFont="1" applyFill="1" applyBorder="1" applyAlignment="1">
      <alignment horizontal="center" vertical="center"/>
    </xf>
    <xf numFmtId="0" fontId="29" fillId="0" borderId="4" xfId="18" applyFont="1" applyFill="1" applyBorder="1" applyAlignment="1">
      <alignment vertical="center" wrapText="1"/>
    </xf>
    <xf numFmtId="167" fontId="29" fillId="0" borderId="4" xfId="0" applyNumberFormat="1" applyFont="1" applyBorder="1" applyAlignment="1">
      <alignment horizontal="center" vertical="center" wrapText="1"/>
    </xf>
    <xf numFmtId="0" fontId="29" fillId="0" borderId="6" xfId="18" applyFont="1" applyFill="1" applyBorder="1" applyAlignment="1">
      <alignment vertical="center" wrapText="1"/>
    </xf>
    <xf numFmtId="0" fontId="29" fillId="2" borderId="4" xfId="18" applyFont="1" applyFill="1" applyBorder="1" applyAlignment="1">
      <alignment horizontal="left" vertical="center" wrapText="1"/>
    </xf>
    <xf numFmtId="167" fontId="29" fillId="2" borderId="4" xfId="0" applyNumberFormat="1" applyFont="1" applyFill="1" applyBorder="1" applyAlignment="1">
      <alignment horizontal="center" vertical="center" wrapText="1"/>
    </xf>
    <xf numFmtId="167" fontId="36" fillId="2" borderId="1" xfId="18" applyNumberFormat="1" applyFont="1" applyFill="1" applyBorder="1" applyAlignment="1">
      <alignment horizontal="center" vertical="center" wrapText="1"/>
    </xf>
    <xf numFmtId="167" fontId="30" fillId="2" borderId="1" xfId="150" applyNumberFormat="1" applyFont="1" applyFill="1" applyBorder="1" applyAlignment="1">
      <alignment horizontal="center" vertical="center" wrapText="1"/>
    </xf>
    <xf numFmtId="167" fontId="30" fillId="2" borderId="1" xfId="18" applyNumberFormat="1" applyFont="1" applyFill="1" applyBorder="1" applyAlignment="1">
      <alignment horizontal="center" vertical="center" wrapText="1"/>
    </xf>
    <xf numFmtId="0" fontId="29" fillId="0" borderId="9" xfId="18" applyFont="1" applyFill="1" applyBorder="1" applyAlignment="1">
      <alignment vertical="center" wrapText="1"/>
    </xf>
    <xf numFmtId="0" fontId="29" fillId="0" borderId="7" xfId="18" applyFont="1" applyFill="1" applyBorder="1" applyAlignment="1">
      <alignment horizontal="center" vertical="center" wrapText="1"/>
    </xf>
    <xf numFmtId="0" fontId="29" fillId="0" borderId="4" xfId="18" applyFont="1" applyFill="1" applyBorder="1" applyAlignment="1">
      <alignment horizontal="left" vertical="center" wrapText="1"/>
    </xf>
    <xf numFmtId="167" fontId="36" fillId="0" borderId="1" xfId="150" applyNumberFormat="1" applyFont="1" applyBorder="1" applyAlignment="1">
      <alignment horizontal="center" vertical="center" wrapText="1"/>
    </xf>
    <xf numFmtId="167" fontId="36" fillId="0" borderId="1" xfId="0" applyNumberFormat="1" applyFont="1" applyBorder="1" applyAlignment="1">
      <alignment horizontal="center" vertical="center" wrapText="1"/>
    </xf>
    <xf numFmtId="0" fontId="30" fillId="0" borderId="4" xfId="18" applyFont="1" applyFill="1" applyBorder="1" applyAlignment="1">
      <alignment horizontal="left" vertical="center" wrapText="1"/>
    </xf>
    <xf numFmtId="167" fontId="30" fillId="0" borderId="1" xfId="18" applyNumberFormat="1" applyFont="1" applyFill="1" applyBorder="1" applyAlignment="1">
      <alignment horizontal="center" vertical="center" wrapText="1"/>
    </xf>
    <xf numFmtId="3" fontId="29" fillId="0" borderId="1" xfId="18" applyNumberFormat="1" applyFont="1" applyFill="1" applyBorder="1" applyAlignment="1">
      <alignment horizontal="center" vertical="center" wrapText="1"/>
    </xf>
    <xf numFmtId="0" fontId="29" fillId="3" borderId="7" xfId="0" applyFont="1" applyFill="1" applyBorder="1" applyAlignment="1">
      <alignment horizontal="left" vertical="center" wrapText="1"/>
    </xf>
    <xf numFmtId="49" fontId="29" fillId="0" borderId="8" xfId="0" applyNumberFormat="1" applyFont="1" applyFill="1" applyBorder="1" applyAlignment="1"/>
    <xf numFmtId="168" fontId="30" fillId="0" borderId="1" xfId="0" applyNumberFormat="1" applyFont="1" applyFill="1" applyBorder="1" applyAlignment="1">
      <alignment vertical="center"/>
    </xf>
    <xf numFmtId="167" fontId="46" fillId="0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/>
    <xf numFmtId="9" fontId="30" fillId="0" borderId="1" xfId="17" applyFont="1" applyFill="1" applyBorder="1" applyAlignment="1">
      <alignment horizontal="center" vertical="center" wrapText="1"/>
    </xf>
    <xf numFmtId="9" fontId="30" fillId="0" borderId="1" xfId="17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/>
    <xf numFmtId="0" fontId="29" fillId="0" borderId="1" xfId="0" applyFont="1" applyFill="1" applyBorder="1" applyAlignment="1"/>
    <xf numFmtId="0" fontId="29" fillId="0" borderId="7" xfId="0" applyFont="1" applyFill="1" applyBorder="1" applyAlignment="1"/>
    <xf numFmtId="9" fontId="29" fillId="0" borderId="1" xfId="17" applyNumberFormat="1" applyFont="1" applyFill="1" applyBorder="1" applyAlignment="1">
      <alignment horizontal="center" vertical="center" wrapText="1"/>
    </xf>
    <xf numFmtId="1" fontId="29" fillId="0" borderId="8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/>
    <xf numFmtId="0" fontId="29" fillId="2" borderId="1" xfId="3" applyFont="1" applyFill="1" applyBorder="1" applyAlignment="1">
      <alignment vertical="center" wrapText="1"/>
    </xf>
    <xf numFmtId="0" fontId="29" fillId="0" borderId="7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center" vertical="center" wrapText="1"/>
    </xf>
    <xf numFmtId="168" fontId="29" fillId="0" borderId="11" xfId="0" applyNumberFormat="1" applyFont="1" applyBorder="1" applyAlignment="1">
      <alignment horizontal="center" vertical="center"/>
    </xf>
    <xf numFmtId="49" fontId="29" fillId="2" borderId="7" xfId="0" applyNumberFormat="1" applyFont="1" applyFill="1" applyBorder="1" applyAlignment="1">
      <alignment horizontal="right" vertical="center"/>
    </xf>
    <xf numFmtId="49" fontId="29" fillId="2" borderId="8" xfId="0" applyNumberFormat="1" applyFont="1" applyFill="1" applyBorder="1" applyAlignment="1">
      <alignment horizontal="right" vertical="center"/>
    </xf>
    <xf numFmtId="0" fontId="29" fillId="0" borderId="1" xfId="0" applyFont="1" applyBorder="1" applyAlignment="1">
      <alignment horizontal="left" vertical="center" wrapText="1"/>
    </xf>
    <xf numFmtId="16" fontId="29" fillId="2" borderId="1" xfId="0" applyNumberFormat="1" applyFont="1" applyFill="1" applyBorder="1" applyAlignment="1">
      <alignment horizontal="center" vertical="center" wrapText="1"/>
    </xf>
    <xf numFmtId="0" fontId="29" fillId="0" borderId="8" xfId="0" applyFont="1" applyBorder="1" applyAlignment="1">
      <alignment horizontal="left" vertical="center" wrapText="1"/>
    </xf>
    <xf numFmtId="9" fontId="29" fillId="0" borderId="0" xfId="0" applyNumberFormat="1" applyFont="1" applyAlignment="1">
      <alignment horizontal="center" vertical="center"/>
    </xf>
    <xf numFmtId="16" fontId="29" fillId="2" borderId="4" xfId="0" applyNumberFormat="1" applyFont="1" applyFill="1" applyBorder="1" applyAlignment="1">
      <alignment horizontal="left" vertical="center" wrapText="1"/>
    </xf>
    <xf numFmtId="3" fontId="29" fillId="0" borderId="0" xfId="0" applyNumberFormat="1" applyFont="1" applyAlignment="1">
      <alignment horizontal="center" vertical="center"/>
    </xf>
    <xf numFmtId="0" fontId="29" fillId="2" borderId="42" xfId="0" applyFont="1" applyFill="1" applyBorder="1" applyAlignment="1">
      <alignment horizontal="center" vertical="center" wrapText="1"/>
    </xf>
    <xf numFmtId="167" fontId="29" fillId="2" borderId="42" xfId="0" applyNumberFormat="1" applyFont="1" applyFill="1" applyBorder="1" applyAlignment="1">
      <alignment horizontal="center" vertical="center" wrapText="1"/>
    </xf>
    <xf numFmtId="1" fontId="29" fillId="2" borderId="42" xfId="0" applyNumberFormat="1" applyFont="1" applyFill="1" applyBorder="1" applyAlignment="1">
      <alignment horizontal="center" vertical="center" wrapText="1"/>
    </xf>
    <xf numFmtId="167" fontId="29" fillId="2" borderId="44" xfId="0" applyNumberFormat="1" applyFont="1" applyFill="1" applyBorder="1" applyAlignment="1">
      <alignment horizontal="center" vertical="center" wrapText="1"/>
    </xf>
    <xf numFmtId="0" fontId="29" fillId="2" borderId="6" xfId="4" applyFont="1" applyFill="1" applyBorder="1" applyAlignment="1">
      <alignment vertical="center" wrapText="1"/>
    </xf>
    <xf numFmtId="0" fontId="30" fillId="2" borderId="4" xfId="4" applyFont="1" applyFill="1" applyBorder="1" applyAlignment="1">
      <alignment horizontal="left" vertical="center" wrapText="1"/>
    </xf>
    <xf numFmtId="0" fontId="29" fillId="2" borderId="1" xfId="4" applyFont="1" applyFill="1" applyBorder="1" applyAlignment="1">
      <alignment horizontal="left" vertical="center" wrapText="1"/>
    </xf>
    <xf numFmtId="0" fontId="30" fillId="2" borderId="1" xfId="4" applyFont="1" applyFill="1" applyBorder="1" applyAlignment="1">
      <alignment horizontal="center" vertical="center" wrapText="1"/>
    </xf>
    <xf numFmtId="0" fontId="29" fillId="2" borderId="1" xfId="4" applyFont="1" applyFill="1" applyBorder="1" applyAlignment="1">
      <alignment horizontal="center" vertical="center" wrapText="1"/>
    </xf>
    <xf numFmtId="4" fontId="29" fillId="2" borderId="1" xfId="155" applyNumberFormat="1" applyFont="1" applyFill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0" fontId="29" fillId="2" borderId="1" xfId="155" applyFont="1" applyFill="1" applyBorder="1"/>
    <xf numFmtId="0" fontId="29" fillId="2" borderId="8" xfId="155" applyFont="1" applyFill="1" applyBorder="1" applyAlignment="1">
      <alignment horizontal="center" vertical="center"/>
    </xf>
    <xf numFmtId="0" fontId="29" fillId="0" borderId="8" xfId="4" applyFont="1" applyFill="1" applyBorder="1" applyAlignment="1">
      <alignment horizontal="left" vertical="center" wrapText="1"/>
    </xf>
    <xf numFmtId="0" fontId="29" fillId="2" borderId="14" xfId="4" applyFont="1" applyFill="1" applyBorder="1" applyAlignment="1">
      <alignment vertical="center" wrapText="1"/>
    </xf>
    <xf numFmtId="0" fontId="29" fillId="2" borderId="4" xfId="4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2" borderId="1" xfId="4" applyFont="1" applyFill="1" applyBorder="1" applyAlignment="1">
      <alignment horizontal="left" vertical="top" wrapText="1"/>
    </xf>
    <xf numFmtId="167" fontId="29" fillId="0" borderId="7" xfId="0" applyNumberFormat="1" applyFont="1" applyBorder="1" applyAlignment="1">
      <alignment horizontal="center" vertical="center"/>
    </xf>
    <xf numFmtId="167" fontId="30" fillId="3" borderId="8" xfId="1" applyNumberFormat="1" applyFont="1" applyFill="1" applyBorder="1" applyAlignment="1">
      <alignment horizontal="center" vertical="center" wrapText="1"/>
    </xf>
    <xf numFmtId="0" fontId="30" fillId="3" borderId="8" xfId="4" applyFont="1" applyFill="1" applyBorder="1" applyAlignment="1">
      <alignment horizontal="left" vertical="center" wrapText="1"/>
    </xf>
    <xf numFmtId="0" fontId="30" fillId="3" borderId="8" xfId="4" applyFont="1" applyFill="1" applyBorder="1" applyAlignment="1">
      <alignment horizontal="center" vertical="center" wrapText="1"/>
    </xf>
    <xf numFmtId="0" fontId="29" fillId="3" borderId="8" xfId="4" applyFont="1" applyFill="1" applyBorder="1" applyAlignment="1">
      <alignment horizontal="center" vertical="center" wrapText="1"/>
    </xf>
    <xf numFmtId="0" fontId="29" fillId="3" borderId="8" xfId="4" applyFont="1" applyFill="1" applyBorder="1" applyAlignment="1">
      <alignment horizontal="center" vertical="center"/>
    </xf>
    <xf numFmtId="0" fontId="29" fillId="3" borderId="11" xfId="4" applyFont="1" applyFill="1" applyBorder="1" applyAlignment="1">
      <alignment horizontal="center" vertical="center"/>
    </xf>
    <xf numFmtId="169" fontId="40" fillId="2" borderId="29" xfId="0" applyNumberFormat="1" applyFont="1" applyFill="1" applyBorder="1" applyAlignment="1">
      <alignment horizontal="center" vertical="center"/>
    </xf>
    <xf numFmtId="169" fontId="39" fillId="2" borderId="1" xfId="0" applyNumberFormat="1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vertical="top" wrapText="1"/>
    </xf>
    <xf numFmtId="167" fontId="40" fillId="2" borderId="1" xfId="0" applyNumberFormat="1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left" vertical="top" wrapText="1"/>
    </xf>
    <xf numFmtId="169" fontId="40" fillId="2" borderId="8" xfId="0" applyNumberFormat="1" applyFont="1" applyFill="1" applyBorder="1" applyAlignment="1">
      <alignment horizontal="center" vertical="center"/>
    </xf>
    <xf numFmtId="168" fontId="40" fillId="2" borderId="8" xfId="0" applyNumberFormat="1" applyFont="1" applyFill="1" applyBorder="1" applyAlignment="1">
      <alignment horizontal="center" vertical="center"/>
    </xf>
    <xf numFmtId="169" fontId="39" fillId="2" borderId="8" xfId="0" applyNumberFormat="1" applyFont="1" applyFill="1" applyBorder="1" applyAlignment="1">
      <alignment horizontal="center" vertical="center"/>
    </xf>
    <xf numFmtId="0" fontId="39" fillId="2" borderId="7" xfId="0" applyFont="1" applyFill="1" applyBorder="1" applyAlignment="1">
      <alignment horizontal="center" vertical="center"/>
    </xf>
    <xf numFmtId="0" fontId="39" fillId="2" borderId="8" xfId="156" applyFont="1" applyFill="1" applyBorder="1" applyAlignment="1">
      <alignment vertical="top" wrapText="1"/>
    </xf>
    <xf numFmtId="1" fontId="40" fillId="2" borderId="1" xfId="0" applyNumberFormat="1" applyFont="1" applyFill="1" applyBorder="1" applyAlignment="1">
      <alignment horizontal="center" vertical="center" wrapText="1"/>
    </xf>
    <xf numFmtId="168" fontId="40" fillId="2" borderId="11" xfId="0" applyNumberFormat="1" applyFont="1" applyFill="1" applyBorder="1" applyAlignment="1">
      <alignment horizontal="center" vertical="center"/>
    </xf>
    <xf numFmtId="169" fontId="39" fillId="2" borderId="4" xfId="0" applyNumberFormat="1" applyFont="1" applyFill="1" applyBorder="1" applyAlignment="1">
      <alignment horizontal="center" vertical="center"/>
    </xf>
    <xf numFmtId="0" fontId="39" fillId="2" borderId="4" xfId="156" applyFont="1" applyFill="1" applyBorder="1" applyAlignment="1">
      <alignment horizontal="left" vertical="top" wrapText="1"/>
    </xf>
    <xf numFmtId="0" fontId="39" fillId="2" borderId="0" xfId="0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horizontal="left" vertical="top" wrapText="1"/>
    </xf>
    <xf numFmtId="0" fontId="39" fillId="2" borderId="1" xfId="0" applyFont="1" applyFill="1" applyBorder="1" applyAlignment="1">
      <alignment vertical="top" wrapText="1"/>
    </xf>
    <xf numFmtId="180" fontId="40" fillId="2" borderId="1" xfId="0" applyNumberFormat="1" applyFont="1" applyFill="1" applyBorder="1" applyAlignment="1">
      <alignment horizontal="center" vertical="center"/>
    </xf>
    <xf numFmtId="180" fontId="40" fillId="2" borderId="1" xfId="0" applyNumberFormat="1" applyFont="1" applyFill="1" applyBorder="1" applyAlignment="1">
      <alignment horizontal="left" vertical="center"/>
    </xf>
    <xf numFmtId="180" fontId="40" fillId="2" borderId="1" xfId="0" applyNumberFormat="1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horizontal="center" vertical="center"/>
    </xf>
    <xf numFmtId="1" fontId="40" fillId="2" borderId="1" xfId="0" applyNumberFormat="1" applyFont="1" applyFill="1" applyBorder="1" applyAlignment="1">
      <alignment horizontal="left" vertical="center"/>
    </xf>
    <xf numFmtId="0" fontId="39" fillId="2" borderId="2" xfId="0" applyFont="1" applyFill="1" applyBorder="1" applyAlignment="1">
      <alignment horizontal="center" vertical="center"/>
    </xf>
    <xf numFmtId="167" fontId="39" fillId="2" borderId="1" xfId="0" applyNumberFormat="1" applyFont="1" applyFill="1" applyBorder="1" applyAlignment="1">
      <alignment horizontal="center" vertical="center"/>
    </xf>
    <xf numFmtId="166" fontId="40" fillId="2" borderId="1" xfId="0" applyNumberFormat="1" applyFont="1" applyFill="1" applyBorder="1" applyAlignment="1">
      <alignment horizontal="left" vertical="center"/>
    </xf>
    <xf numFmtId="0" fontId="39" fillId="2" borderId="8" xfId="0" applyFont="1" applyFill="1" applyBorder="1" applyAlignment="1">
      <alignment horizontal="left" vertical="center" wrapText="1"/>
    </xf>
    <xf numFmtId="168" fontId="40" fillId="2" borderId="7" xfId="0" applyNumberFormat="1" applyFont="1" applyFill="1" applyBorder="1" applyAlignment="1">
      <alignment horizontal="center" vertical="center"/>
    </xf>
    <xf numFmtId="0" fontId="39" fillId="2" borderId="7" xfId="0" applyFont="1" applyFill="1" applyBorder="1" applyAlignment="1">
      <alignment horizontal="left" vertical="center" wrapText="1"/>
    </xf>
    <xf numFmtId="0" fontId="39" fillId="2" borderId="8" xfId="0" applyFont="1" applyFill="1" applyBorder="1" applyAlignment="1">
      <alignment horizontal="left" vertical="top" wrapText="1"/>
    </xf>
    <xf numFmtId="0" fontId="39" fillId="2" borderId="1" xfId="0" applyFont="1" applyFill="1" applyBorder="1" applyAlignment="1">
      <alignment vertical="justify"/>
    </xf>
    <xf numFmtId="167" fontId="30" fillId="2" borderId="8" xfId="0" applyNumberFormat="1" applyFont="1" applyFill="1" applyBorder="1" applyAlignment="1">
      <alignment horizontal="center" vertical="center"/>
    </xf>
    <xf numFmtId="168" fontId="36" fillId="2" borderId="0" xfId="0" applyNumberFormat="1" applyFont="1" applyFill="1" applyAlignment="1">
      <alignment horizontal="center"/>
    </xf>
    <xf numFmtId="167" fontId="36" fillId="2" borderId="1" xfId="0" applyNumberFormat="1" applyFont="1" applyFill="1" applyBorder="1" applyAlignment="1">
      <alignment vertical="center"/>
    </xf>
    <xf numFmtId="168" fontId="40" fillId="2" borderId="9" xfId="0" applyNumberFormat="1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/>
    </xf>
    <xf numFmtId="0" fontId="39" fillId="2" borderId="1" xfId="156" applyFont="1" applyFill="1" applyBorder="1" applyAlignment="1">
      <alignment horizontal="left" vertical="top" wrapText="1"/>
    </xf>
    <xf numFmtId="167" fontId="36" fillId="2" borderId="8" xfId="0" applyNumberFormat="1" applyFont="1" applyFill="1" applyBorder="1" applyAlignment="1">
      <alignment horizontal="center" vertical="center"/>
    </xf>
    <xf numFmtId="0" fontId="36" fillId="2" borderId="8" xfId="0" applyFont="1" applyFill="1" applyBorder="1"/>
    <xf numFmtId="0" fontId="40" fillId="2" borderId="1" xfId="156" applyFont="1" applyFill="1" applyBorder="1" applyAlignment="1">
      <alignment vertical="top" wrapText="1"/>
    </xf>
    <xf numFmtId="0" fontId="39" fillId="2" borderId="1" xfId="0" applyFont="1" applyFill="1" applyBorder="1" applyAlignment="1">
      <alignment vertical="center"/>
    </xf>
    <xf numFmtId="0" fontId="39" fillId="2" borderId="7" xfId="156" applyFont="1" applyFill="1" applyBorder="1" applyAlignment="1">
      <alignment vertical="center" wrapText="1"/>
    </xf>
    <xf numFmtId="0" fontId="39" fillId="2" borderId="1" xfId="156" applyFont="1" applyFill="1" applyBorder="1" applyAlignment="1">
      <alignment horizontal="left" vertical="center" wrapText="1"/>
    </xf>
    <xf numFmtId="0" fontId="39" fillId="2" borderId="1" xfId="156" applyFont="1" applyFill="1" applyBorder="1" applyAlignment="1">
      <alignment vertical="center" wrapText="1"/>
    </xf>
    <xf numFmtId="0" fontId="39" fillId="2" borderId="7" xfId="156" applyFont="1" applyFill="1" applyBorder="1" applyAlignment="1">
      <alignment vertical="top" wrapText="1"/>
    </xf>
    <xf numFmtId="0" fontId="39" fillId="2" borderId="10" xfId="156" applyFont="1" applyFill="1" applyBorder="1" applyAlignment="1">
      <alignment vertical="center" wrapText="1"/>
    </xf>
    <xf numFmtId="167" fontId="30" fillId="3" borderId="1" xfId="1" applyNumberFormat="1" applyFont="1" applyFill="1" applyBorder="1" applyAlignment="1">
      <alignment vertical="center"/>
    </xf>
    <xf numFmtId="0" fontId="30" fillId="0" borderId="9" xfId="0" applyFont="1" applyFill="1" applyBorder="1" applyAlignment="1">
      <alignment horizontal="left" vertical="center" wrapText="1"/>
    </xf>
    <xf numFmtId="0" fontId="29" fillId="0" borderId="45" xfId="0" applyFont="1" applyFill="1" applyBorder="1"/>
    <xf numFmtId="169" fontId="30" fillId="0" borderId="36" xfId="0" applyNumberFormat="1" applyFont="1" applyFill="1" applyBorder="1" applyAlignment="1">
      <alignment horizontal="center" vertical="center"/>
    </xf>
    <xf numFmtId="168" fontId="30" fillId="0" borderId="14" xfId="0" applyNumberFormat="1" applyFont="1" applyFill="1" applyBorder="1" applyAlignment="1">
      <alignment horizontal="center" vertical="center"/>
    </xf>
    <xf numFmtId="167" fontId="29" fillId="0" borderId="4" xfId="0" applyNumberFormat="1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left" vertical="center" wrapText="1"/>
    </xf>
    <xf numFmtId="2" fontId="29" fillId="0" borderId="4" xfId="0" applyNumberFormat="1" applyFont="1" applyFill="1" applyBorder="1" applyAlignment="1">
      <alignment horizontal="center" vertical="center"/>
    </xf>
    <xf numFmtId="168" fontId="30" fillId="0" borderId="15" xfId="0" applyNumberFormat="1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167" fontId="30" fillId="0" borderId="11" xfId="0" applyNumberFormat="1" applyFont="1" applyFill="1" applyBorder="1" applyAlignment="1">
      <alignment horizontal="center" vertical="center" wrapText="1"/>
    </xf>
    <xf numFmtId="167" fontId="30" fillId="0" borderId="4" xfId="0" applyNumberFormat="1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/>
    </xf>
    <xf numFmtId="167" fontId="29" fillId="0" borderId="11" xfId="0" applyNumberFormat="1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vertical="center" wrapText="1"/>
    </xf>
    <xf numFmtId="0" fontId="29" fillId="0" borderId="30" xfId="0" applyFont="1" applyFill="1" applyBorder="1" applyAlignment="1">
      <alignment vertical="center" wrapText="1"/>
    </xf>
    <xf numFmtId="174" fontId="29" fillId="0" borderId="30" xfId="0" applyNumberFormat="1" applyFont="1" applyFill="1" applyBorder="1" applyAlignment="1">
      <alignment horizontal="center" vertical="center" wrapText="1"/>
    </xf>
    <xf numFmtId="166" fontId="29" fillId="0" borderId="30" xfId="0" applyNumberFormat="1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top" wrapText="1"/>
    </xf>
    <xf numFmtId="166" fontId="29" fillId="0" borderId="4" xfId="0" applyNumberFormat="1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vertical="center" wrapText="1"/>
    </xf>
    <xf numFmtId="166" fontId="30" fillId="4" borderId="1" xfId="0" applyNumberFormat="1" applyFont="1" applyFill="1" applyBorder="1" applyAlignment="1">
      <alignment horizontal="center" vertical="center" wrapText="1"/>
    </xf>
    <xf numFmtId="0" fontId="29" fillId="4" borderId="4" xfId="105" applyFont="1" applyFill="1" applyBorder="1" applyAlignment="1">
      <alignment horizontal="left" vertical="center" wrapText="1"/>
    </xf>
    <xf numFmtId="0" fontId="29" fillId="2" borderId="4" xfId="105" applyFont="1" applyFill="1" applyBorder="1" applyAlignment="1">
      <alignment horizontal="left" vertical="center" wrapText="1"/>
    </xf>
    <xf numFmtId="180" fontId="29" fillId="4" borderId="1" xfId="0" applyNumberFormat="1" applyFont="1" applyFill="1" applyBorder="1" applyAlignment="1">
      <alignment horizontal="center" vertical="center"/>
    </xf>
    <xf numFmtId="167" fontId="30" fillId="4" borderId="1" xfId="0" applyNumberFormat="1" applyFont="1" applyFill="1" applyBorder="1" applyAlignment="1">
      <alignment horizontal="center" vertical="center"/>
    </xf>
    <xf numFmtId="180" fontId="30" fillId="4" borderId="1" xfId="0" applyNumberFormat="1" applyFont="1" applyFill="1" applyBorder="1" applyAlignment="1">
      <alignment horizontal="left" vertical="center"/>
    </xf>
    <xf numFmtId="183" fontId="29" fillId="4" borderId="1" xfId="0" applyNumberFormat="1" applyFont="1" applyFill="1" applyBorder="1" applyAlignment="1">
      <alignment horizontal="center" vertical="center"/>
    </xf>
    <xf numFmtId="0" fontId="30" fillId="4" borderId="7" xfId="0" applyFont="1" applyFill="1" applyBorder="1" applyAlignment="1">
      <alignment horizontal="right" vertical="center"/>
    </xf>
    <xf numFmtId="0" fontId="30" fillId="4" borderId="10" xfId="0" applyFont="1" applyFill="1" applyBorder="1" applyAlignment="1">
      <alignment horizontal="left" vertical="center" wrapText="1"/>
    </xf>
    <xf numFmtId="16" fontId="30" fillId="4" borderId="7" xfId="0" applyNumberFormat="1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left" vertical="center" wrapText="1"/>
    </xf>
    <xf numFmtId="0" fontId="30" fillId="4" borderId="8" xfId="0" applyFont="1" applyFill="1" applyBorder="1" applyAlignment="1">
      <alignment horizontal="center" vertical="center"/>
    </xf>
    <xf numFmtId="168" fontId="29" fillId="4" borderId="8" xfId="0" applyNumberFormat="1" applyFont="1" applyFill="1" applyBorder="1" applyAlignment="1">
      <alignment horizontal="center" vertical="center"/>
    </xf>
    <xf numFmtId="167" fontId="39" fillId="4" borderId="8" xfId="0" applyNumberFormat="1" applyFont="1" applyFill="1" applyBorder="1" applyAlignment="1">
      <alignment horizontal="center" vertical="center" wrapText="1"/>
    </xf>
    <xf numFmtId="167" fontId="36" fillId="4" borderId="8" xfId="0" applyNumberFormat="1" applyFont="1" applyFill="1" applyBorder="1" applyAlignment="1">
      <alignment horizontal="center" vertical="center" wrapText="1"/>
    </xf>
    <xf numFmtId="1" fontId="29" fillId="4" borderId="8" xfId="0" applyNumberFormat="1" applyFont="1" applyFill="1" applyBorder="1" applyAlignment="1">
      <alignment horizontal="center" vertical="center" wrapText="1"/>
    </xf>
    <xf numFmtId="1" fontId="30" fillId="4" borderId="1" xfId="0" applyNumberFormat="1" applyFont="1" applyFill="1" applyBorder="1" applyAlignment="1">
      <alignment horizontal="center"/>
    </xf>
    <xf numFmtId="1" fontId="30" fillId="4" borderId="7" xfId="0" applyNumberFormat="1" applyFont="1" applyFill="1" applyBorder="1" applyAlignment="1">
      <alignment horizontal="center"/>
    </xf>
    <xf numFmtId="1" fontId="29" fillId="4" borderId="7" xfId="0" applyNumberFormat="1" applyFont="1" applyFill="1" applyBorder="1" applyAlignment="1">
      <alignment horizontal="center" vertical="center"/>
    </xf>
    <xf numFmtId="0" fontId="30" fillId="4" borderId="7" xfId="0" applyFont="1" applyFill="1" applyBorder="1" applyAlignment="1">
      <alignment horizontal="center" vertical="center"/>
    </xf>
    <xf numFmtId="167" fontId="30" fillId="4" borderId="7" xfId="0" applyNumberFormat="1" applyFont="1" applyFill="1" applyBorder="1" applyAlignment="1">
      <alignment horizontal="center" vertical="center" wrapText="1"/>
    </xf>
    <xf numFmtId="169" fontId="30" fillId="0" borderId="2" xfId="0" applyNumberFormat="1" applyFont="1" applyBorder="1" applyAlignment="1">
      <alignment horizontal="center" vertical="center"/>
    </xf>
    <xf numFmtId="168" fontId="30" fillId="0" borderId="3" xfId="0" applyNumberFormat="1" applyFont="1" applyBorder="1" applyAlignment="1">
      <alignment horizontal="center" vertical="center"/>
    </xf>
    <xf numFmtId="0" fontId="30" fillId="4" borderId="0" xfId="0" applyFont="1" applyFill="1" applyBorder="1" applyAlignment="1">
      <alignment horizontal="left" vertical="center" wrapText="1"/>
    </xf>
    <xf numFmtId="49" fontId="30" fillId="4" borderId="8" xfId="0" applyNumberFormat="1" applyFont="1" applyFill="1" applyBorder="1" applyAlignment="1">
      <alignment horizontal="center" vertical="center"/>
    </xf>
    <xf numFmtId="49" fontId="30" fillId="4" borderId="8" xfId="0" applyNumberFormat="1" applyFont="1" applyFill="1" applyBorder="1" applyAlignment="1">
      <alignment vertical="center"/>
    </xf>
    <xf numFmtId="167" fontId="30" fillId="4" borderId="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vertical="center" wrapText="1"/>
    </xf>
    <xf numFmtId="0" fontId="30" fillId="4" borderId="1" xfId="0" applyFont="1" applyFill="1" applyBorder="1"/>
    <xf numFmtId="167" fontId="29" fillId="4" borderId="8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wrapText="1"/>
    </xf>
    <xf numFmtId="0" fontId="29" fillId="4" borderId="1" xfId="0" applyFont="1" applyFill="1" applyBorder="1" applyAlignment="1">
      <alignment vertical="center"/>
    </xf>
    <xf numFmtId="0" fontId="30" fillId="0" borderId="1" xfId="0" applyFont="1" applyBorder="1" applyAlignment="1">
      <alignment wrapText="1"/>
    </xf>
    <xf numFmtId="167" fontId="30" fillId="4" borderId="8" xfId="0" applyNumberFormat="1" applyFont="1" applyFill="1" applyBorder="1" applyAlignment="1">
      <alignment horizontal="center" vertical="center" wrapText="1"/>
    </xf>
    <xf numFmtId="167" fontId="30" fillId="2" borderId="8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0" fontId="29" fillId="3" borderId="4" xfId="0" applyFont="1" applyFill="1" applyBorder="1" applyAlignment="1">
      <alignment horizontal="center" vertical="center" wrapText="1"/>
    </xf>
    <xf numFmtId="0" fontId="29" fillId="3" borderId="6" xfId="0" applyFont="1" applyFill="1" applyBorder="1" applyAlignment="1">
      <alignment horizontal="center" vertical="center" wrapText="1"/>
    </xf>
    <xf numFmtId="9" fontId="30" fillId="0" borderId="7" xfId="0" applyNumberFormat="1" applyFont="1" applyFill="1" applyBorder="1" applyAlignment="1">
      <alignment horizontal="center" vertical="center" wrapText="1"/>
    </xf>
    <xf numFmtId="180" fontId="30" fillId="0" borderId="1" xfId="0" applyNumberFormat="1" applyFont="1" applyFill="1" applyBorder="1" applyAlignment="1">
      <alignment horizontal="left" vertical="center" wrapText="1"/>
    </xf>
    <xf numFmtId="180" fontId="30" fillId="0" borderId="1" xfId="0" applyNumberFormat="1" applyFont="1" applyFill="1" applyBorder="1" applyAlignment="1">
      <alignment horizontal="center" vertical="center" wrapText="1"/>
    </xf>
    <xf numFmtId="180" fontId="30" fillId="2" borderId="1" xfId="0" applyNumberFormat="1" applyFont="1" applyFill="1" applyBorder="1" applyAlignment="1">
      <alignment horizontal="left" vertical="center" wrapText="1"/>
    </xf>
    <xf numFmtId="180" fontId="29" fillId="2" borderId="4" xfId="0" applyNumberFormat="1" applyFont="1" applyFill="1" applyBorder="1" applyAlignment="1">
      <alignment horizontal="left" vertical="center" wrapText="1"/>
    </xf>
    <xf numFmtId="167" fontId="29" fillId="2" borderId="6" xfId="1" applyNumberFormat="1" applyFont="1" applyFill="1" applyBorder="1" applyAlignment="1">
      <alignment horizontal="center" vertical="center"/>
    </xf>
    <xf numFmtId="180" fontId="29" fillId="2" borderId="1" xfId="0" applyNumberFormat="1" applyFont="1" applyFill="1" applyBorder="1" applyAlignment="1">
      <alignment horizontal="left" vertical="center" wrapText="1"/>
    </xf>
    <xf numFmtId="184" fontId="30" fillId="2" borderId="1" xfId="0" applyNumberFormat="1" applyFont="1" applyFill="1" applyBorder="1" applyAlignment="1">
      <alignment horizontal="center" vertical="center" wrapText="1"/>
    </xf>
    <xf numFmtId="0" fontId="30" fillId="2" borderId="4" xfId="3" applyFont="1" applyFill="1" applyBorder="1" applyAlignment="1">
      <alignment horizontal="left" vertical="center" wrapText="1"/>
    </xf>
    <xf numFmtId="180" fontId="30" fillId="2" borderId="1" xfId="0" applyNumberFormat="1" applyFont="1" applyFill="1" applyBorder="1" applyAlignment="1">
      <alignment horizontal="center" vertical="center" wrapText="1"/>
    </xf>
    <xf numFmtId="0" fontId="30" fillId="2" borderId="1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right" vertical="center"/>
    </xf>
    <xf numFmtId="0" fontId="33" fillId="0" borderId="1" xfId="0" applyFont="1" applyFill="1" applyBorder="1" applyAlignment="1">
      <alignment horizontal="left" vertical="center" wrapText="1"/>
    </xf>
    <xf numFmtId="49" fontId="30" fillId="0" borderId="8" xfId="0" applyNumberFormat="1" applyFont="1" applyFill="1" applyBorder="1" applyAlignment="1">
      <alignment horizontal="right" vertical="center"/>
    </xf>
    <xf numFmtId="0" fontId="34" fillId="0" borderId="1" xfId="0" applyFont="1" applyFill="1" applyBorder="1" applyAlignment="1">
      <alignment horizontal="left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/>
    </xf>
    <xf numFmtId="167" fontId="29" fillId="0" borderId="10" xfId="0" applyNumberFormat="1" applyFont="1" applyFill="1" applyBorder="1" applyAlignment="1">
      <alignment horizontal="center" vertical="center" wrapText="1"/>
    </xf>
    <xf numFmtId="12" fontId="29" fillId="0" borderId="8" xfId="8" applyNumberFormat="1" applyFont="1" applyFill="1" applyBorder="1" applyAlignment="1">
      <alignment horizontal="center" vertical="center" wrapText="1"/>
    </xf>
    <xf numFmtId="3" fontId="29" fillId="0" borderId="7" xfId="8" applyNumberFormat="1" applyFont="1" applyFill="1" applyBorder="1" applyAlignment="1">
      <alignment horizontal="center" vertical="center" wrapText="1"/>
    </xf>
    <xf numFmtId="167" fontId="29" fillId="0" borderId="2" xfId="0" applyNumberFormat="1" applyFont="1" applyFill="1" applyBorder="1" applyAlignment="1">
      <alignment horizontal="center" wrapText="1"/>
    </xf>
    <xf numFmtId="167" fontId="29" fillId="0" borderId="3" xfId="0" applyNumberFormat="1" applyFont="1" applyFill="1" applyBorder="1" applyAlignment="1">
      <alignment horizontal="center" wrapText="1"/>
    </xf>
    <xf numFmtId="3" fontId="29" fillId="0" borderId="7" xfId="0" applyNumberFormat="1" applyFont="1" applyFill="1" applyBorder="1" applyAlignment="1">
      <alignment horizontal="center" wrapText="1"/>
    </xf>
    <xf numFmtId="3" fontId="29" fillId="0" borderId="8" xfId="8" applyNumberFormat="1" applyFont="1" applyFill="1" applyBorder="1" applyAlignment="1">
      <alignment horizontal="center" wrapText="1"/>
    </xf>
    <xf numFmtId="3" fontId="29" fillId="0" borderId="8" xfId="0" applyNumberFormat="1" applyFont="1" applyFill="1" applyBorder="1" applyAlignment="1">
      <alignment horizontal="center" wrapText="1"/>
    </xf>
    <xf numFmtId="3" fontId="29" fillId="0" borderId="11" xfId="0" applyNumberFormat="1" applyFont="1" applyFill="1" applyBorder="1" applyAlignment="1">
      <alignment horizontal="center" wrapText="1"/>
    </xf>
    <xf numFmtId="167" fontId="29" fillId="0" borderId="7" xfId="0" applyNumberFormat="1" applyFont="1" applyFill="1" applyBorder="1" applyAlignment="1">
      <alignment horizontal="center" wrapText="1"/>
    </xf>
    <xf numFmtId="167" fontId="29" fillId="0" borderId="10" xfId="0" applyNumberFormat="1" applyFont="1" applyFill="1" applyBorder="1" applyAlignment="1">
      <alignment horizontal="center" wrapText="1"/>
    </xf>
    <xf numFmtId="0" fontId="29" fillId="0" borderId="7" xfId="0" applyNumberFormat="1" applyFont="1" applyFill="1" applyBorder="1" applyAlignment="1">
      <alignment horizontal="center" vertical="center" wrapText="1"/>
    </xf>
    <xf numFmtId="0" fontId="29" fillId="0" borderId="10" xfId="0" applyNumberFormat="1" applyFont="1" applyFill="1" applyBorder="1" applyAlignment="1">
      <alignment horizontal="center" vertical="center" wrapText="1"/>
    </xf>
    <xf numFmtId="3" fontId="29" fillId="0" borderId="4" xfId="0" applyNumberFormat="1" applyFont="1" applyFill="1" applyBorder="1" applyAlignment="1">
      <alignment horizontal="center" vertical="center" wrapText="1"/>
    </xf>
    <xf numFmtId="167" fontId="29" fillId="0" borderId="6" xfId="1" applyNumberFormat="1" applyFont="1" applyFill="1" applyBorder="1" applyAlignment="1">
      <alignment horizontal="center" vertical="center"/>
    </xf>
    <xf numFmtId="167" fontId="29" fillId="0" borderId="3" xfId="0" applyNumberFormat="1" applyFont="1" applyFill="1" applyBorder="1" applyAlignment="1">
      <alignment horizontal="center" vertical="center" wrapText="1"/>
    </xf>
    <xf numFmtId="0" fontId="29" fillId="0" borderId="4" xfId="0" applyNumberFormat="1" applyFont="1" applyFill="1" applyBorder="1" applyAlignment="1">
      <alignment horizontal="center" vertical="center" wrapText="1"/>
    </xf>
    <xf numFmtId="167" fontId="29" fillId="0" borderId="12" xfId="1" applyNumberFormat="1" applyFont="1" applyFill="1" applyBorder="1" applyAlignment="1">
      <alignment horizontal="center" vertical="center" wrapText="1"/>
    </xf>
    <xf numFmtId="167" fontId="29" fillId="0" borderId="4" xfId="0" applyNumberFormat="1" applyFont="1" applyFill="1" applyBorder="1" applyAlignment="1">
      <alignment horizontal="center" vertical="center"/>
    </xf>
    <xf numFmtId="166" fontId="30" fillId="0" borderId="1" xfId="0" applyNumberFormat="1" applyFont="1" applyFill="1" applyBorder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/>
    </xf>
    <xf numFmtId="166" fontId="30" fillId="0" borderId="4" xfId="0" applyNumberFormat="1" applyFont="1" applyFill="1" applyBorder="1" applyAlignment="1">
      <alignment horizontal="center" vertical="center"/>
    </xf>
    <xf numFmtId="0" fontId="30" fillId="2" borderId="7" xfId="3" applyFont="1" applyFill="1" applyBorder="1" applyAlignment="1">
      <alignment horizontal="center" vertical="center" wrapText="1"/>
    </xf>
    <xf numFmtId="167" fontId="29" fillId="2" borderId="1" xfId="3" applyNumberFormat="1" applyFont="1" applyFill="1" applyBorder="1" applyAlignment="1">
      <alignment horizontal="center" vertical="center" wrapText="1"/>
    </xf>
    <xf numFmtId="167" fontId="29" fillId="2" borderId="8" xfId="3" applyNumberFormat="1" applyFont="1" applyFill="1" applyBorder="1" applyAlignment="1">
      <alignment horizontal="center" vertical="center" wrapText="1"/>
    </xf>
    <xf numFmtId="49" fontId="29" fillId="2" borderId="1" xfId="3" applyNumberFormat="1" applyFont="1" applyFill="1" applyBorder="1" applyAlignment="1">
      <alignment horizontal="center" vertical="center" wrapText="1"/>
    </xf>
    <xf numFmtId="169" fontId="40" fillId="0" borderId="29" xfId="0" applyNumberFormat="1" applyFont="1" applyBorder="1" applyAlignment="1">
      <alignment horizontal="center" vertical="center"/>
    </xf>
    <xf numFmtId="168" fontId="40" fillId="0" borderId="2" xfId="0" applyNumberFormat="1" applyFont="1" applyBorder="1" applyAlignment="1">
      <alignment horizontal="center" vertical="center"/>
    </xf>
    <xf numFmtId="0" fontId="39" fillId="4" borderId="7" xfId="0" applyFont="1" applyFill="1" applyBorder="1" applyAlignment="1">
      <alignment horizontal="left" vertical="center" wrapText="1"/>
    </xf>
    <xf numFmtId="169" fontId="39" fillId="0" borderId="8" xfId="0" applyNumberFormat="1" applyFont="1" applyBorder="1" applyAlignment="1">
      <alignment horizontal="center" vertical="center"/>
    </xf>
    <xf numFmtId="168" fontId="39" fillId="0" borderId="8" xfId="0" applyNumberFormat="1" applyFont="1" applyBorder="1" applyAlignment="1">
      <alignment horizontal="center" vertical="center"/>
    </xf>
    <xf numFmtId="0" fontId="39" fillId="4" borderId="8" xfId="3" applyFont="1" applyFill="1" applyBorder="1" applyAlignment="1">
      <alignment vertical="center" wrapText="1"/>
    </xf>
    <xf numFmtId="168" fontId="39" fillId="0" borderId="11" xfId="0" applyNumberFormat="1" applyFont="1" applyBorder="1" applyAlignment="1">
      <alignment horizontal="center" vertical="center"/>
    </xf>
    <xf numFmtId="0" fontId="39" fillId="4" borderId="4" xfId="3" applyFont="1" applyFill="1" applyBorder="1" applyAlignment="1">
      <alignment horizontal="left" vertical="center" wrapText="1"/>
    </xf>
    <xf numFmtId="169" fontId="40" fillId="4" borderId="8" xfId="0" applyNumberFormat="1" applyFont="1" applyFill="1" applyBorder="1" applyAlignment="1">
      <alignment horizontal="center" vertical="center"/>
    </xf>
    <xf numFmtId="168" fontId="40" fillId="4" borderId="8" xfId="0" applyNumberFormat="1" applyFont="1" applyFill="1" applyBorder="1" applyAlignment="1">
      <alignment horizontal="center" vertical="center"/>
    </xf>
    <xf numFmtId="49" fontId="39" fillId="4" borderId="8" xfId="0" applyNumberFormat="1" applyFont="1" applyFill="1" applyBorder="1" applyAlignment="1">
      <alignment horizontal="center" vertical="center"/>
    </xf>
    <xf numFmtId="49" fontId="39" fillId="4" borderId="8" xfId="0" applyNumberFormat="1" applyFont="1" applyFill="1" applyBorder="1" applyAlignment="1">
      <alignment vertical="center"/>
    </xf>
    <xf numFmtId="169" fontId="39" fillId="4" borderId="8" xfId="0" applyNumberFormat="1" applyFont="1" applyFill="1" applyBorder="1" applyAlignment="1">
      <alignment horizontal="center" vertical="center"/>
    </xf>
    <xf numFmtId="3" fontId="39" fillId="4" borderId="1" xfId="0" applyNumberFormat="1" applyFont="1" applyFill="1" applyBorder="1" applyAlignment="1">
      <alignment vertical="center" wrapText="1"/>
    </xf>
    <xf numFmtId="167" fontId="30" fillId="3" borderId="8" xfId="1" applyNumberFormat="1" applyFont="1" applyFill="1" applyBorder="1" applyAlignment="1">
      <alignment horizontal="center" vertical="center"/>
    </xf>
    <xf numFmtId="169" fontId="50" fillId="29" borderId="37" xfId="0" applyNumberFormat="1" applyFont="1" applyFill="1" applyBorder="1" applyAlignment="1">
      <alignment horizontal="center" vertical="center" wrapText="1"/>
    </xf>
    <xf numFmtId="168" fontId="50" fillId="29" borderId="6" xfId="0" applyNumberFormat="1" applyFont="1" applyFill="1" applyBorder="1" applyAlignment="1">
      <alignment horizontal="center" vertical="center" wrapText="1"/>
    </xf>
    <xf numFmtId="49" fontId="51" fillId="29" borderId="1" xfId="0" applyNumberFormat="1" applyFont="1" applyFill="1" applyBorder="1" applyAlignment="1">
      <alignment horizontal="center" vertical="center" wrapText="1"/>
    </xf>
    <xf numFmtId="0" fontId="51" fillId="29" borderId="1" xfId="0" applyFont="1" applyFill="1" applyBorder="1" applyAlignment="1">
      <alignment horizontal="right" wrapText="1"/>
    </xf>
    <xf numFmtId="0" fontId="50" fillId="29" borderId="1" xfId="0" applyFont="1" applyFill="1" applyBorder="1" applyAlignment="1">
      <alignment horizontal="left" vertical="center" wrapText="1"/>
    </xf>
    <xf numFmtId="167" fontId="51" fillId="29" borderId="1" xfId="0" applyNumberFormat="1" applyFont="1" applyFill="1" applyBorder="1" applyAlignment="1">
      <alignment horizontal="center" vertical="center" wrapText="1"/>
    </xf>
    <xf numFmtId="167" fontId="50" fillId="29" borderId="1" xfId="0" applyNumberFormat="1" applyFont="1" applyFill="1" applyBorder="1" applyAlignment="1">
      <alignment horizontal="center" vertical="center" wrapText="1"/>
    </xf>
    <xf numFmtId="0" fontId="51" fillId="29" borderId="1" xfId="0" applyFont="1" applyFill="1" applyBorder="1" applyAlignment="1">
      <alignment horizontal="left" vertical="center" wrapText="1"/>
    </xf>
    <xf numFmtId="0" fontId="51" fillId="29" borderId="1" xfId="0" applyFont="1" applyFill="1" applyBorder="1" applyAlignment="1">
      <alignment horizontal="center" wrapText="1"/>
    </xf>
    <xf numFmtId="0" fontId="51" fillId="29" borderId="1" xfId="0" applyFont="1" applyFill="1" applyBorder="1" applyAlignment="1">
      <alignment vertical="top" wrapText="1"/>
    </xf>
    <xf numFmtId="0" fontId="51" fillId="29" borderId="42" xfId="0" applyFont="1" applyFill="1" applyBorder="1" applyAlignment="1">
      <alignment vertical="top" wrapText="1"/>
    </xf>
    <xf numFmtId="169" fontId="51" fillId="29" borderId="37" xfId="0" applyNumberFormat="1" applyFont="1" applyFill="1" applyBorder="1" applyAlignment="1">
      <alignment horizontal="center" wrapText="1"/>
    </xf>
    <xf numFmtId="168" fontId="51" fillId="29" borderId="6" xfId="0" applyNumberFormat="1" applyFont="1" applyFill="1" applyBorder="1" applyAlignment="1">
      <alignment horizontal="center" wrapText="1"/>
    </xf>
    <xf numFmtId="0" fontId="51" fillId="29" borderId="1" xfId="0" applyFont="1" applyFill="1" applyBorder="1" applyAlignment="1">
      <alignment horizontal="left" wrapText="1"/>
    </xf>
    <xf numFmtId="0" fontId="51" fillId="29" borderId="42" xfId="0" applyFont="1" applyFill="1" applyBorder="1" applyAlignment="1">
      <alignment horizontal="center" wrapText="1"/>
    </xf>
    <xf numFmtId="169" fontId="51" fillId="29" borderId="37" xfId="0" applyNumberFormat="1" applyFont="1" applyFill="1" applyBorder="1" applyAlignment="1">
      <alignment horizontal="center" vertical="center" wrapText="1"/>
    </xf>
    <xf numFmtId="168" fontId="51" fillId="29" borderId="6" xfId="0" applyNumberFormat="1" applyFont="1" applyFill="1" applyBorder="1" applyAlignment="1">
      <alignment horizontal="center" vertical="center" wrapText="1"/>
    </xf>
    <xf numFmtId="0" fontId="36" fillId="2" borderId="42" xfId="0" applyFont="1" applyFill="1" applyBorder="1" applyAlignment="1">
      <alignment horizontal="left" vertical="center" wrapText="1"/>
    </xf>
    <xf numFmtId="0" fontId="51" fillId="29" borderId="8" xfId="0" applyFont="1" applyFill="1" applyBorder="1" applyAlignment="1">
      <alignment horizontal="left" vertical="center" wrapText="1"/>
    </xf>
    <xf numFmtId="0" fontId="50" fillId="29" borderId="8" xfId="0" applyFont="1" applyFill="1" applyBorder="1" applyAlignment="1">
      <alignment horizontal="left" vertical="center" wrapText="1"/>
    </xf>
    <xf numFmtId="0" fontId="52" fillId="29" borderId="7" xfId="0" applyFont="1" applyFill="1" applyBorder="1" applyAlignment="1">
      <alignment horizontal="left" vertical="center" wrapText="1"/>
    </xf>
    <xf numFmtId="0" fontId="51" fillId="29" borderId="7" xfId="0" applyFont="1" applyFill="1" applyBorder="1" applyAlignment="1">
      <alignment horizontal="left" wrapText="1"/>
    </xf>
    <xf numFmtId="0" fontId="36" fillId="2" borderId="42" xfId="0" applyFont="1" applyFill="1" applyBorder="1" applyAlignment="1">
      <alignment horizontal="center" vertical="center" wrapText="1"/>
    </xf>
    <xf numFmtId="169" fontId="51" fillId="29" borderId="37" xfId="0" applyNumberFormat="1" applyFont="1" applyFill="1" applyBorder="1" applyAlignment="1">
      <alignment horizontal="center" vertical="top" wrapText="1"/>
    </xf>
    <xf numFmtId="168" fontId="51" fillId="29" borderId="6" xfId="0" applyNumberFormat="1" applyFont="1" applyFill="1" applyBorder="1" applyAlignment="1">
      <alignment horizontal="center" vertical="top" wrapText="1"/>
    </xf>
    <xf numFmtId="0" fontId="51" fillId="29" borderId="1" xfId="0" applyFont="1" applyFill="1" applyBorder="1" applyAlignment="1">
      <alignment vertical="center" wrapText="1"/>
    </xf>
    <xf numFmtId="9" fontId="51" fillId="29" borderId="1" xfId="0" applyNumberFormat="1" applyFont="1" applyFill="1" applyBorder="1" applyAlignment="1">
      <alignment vertical="top" wrapText="1"/>
    </xf>
    <xf numFmtId="0" fontId="36" fillId="2" borderId="1" xfId="0" applyFont="1" applyFill="1" applyBorder="1"/>
    <xf numFmtId="0" fontId="36" fillId="2" borderId="42" xfId="0" applyFont="1" applyFill="1" applyBorder="1"/>
    <xf numFmtId="0" fontId="36" fillId="29" borderId="1" xfId="0" applyFont="1" applyFill="1" applyBorder="1" applyAlignment="1">
      <alignment horizontal="left" wrapText="1"/>
    </xf>
    <xf numFmtId="167" fontId="36" fillId="2" borderId="42" xfId="0" applyNumberFormat="1" applyFont="1" applyFill="1" applyBorder="1" applyAlignment="1">
      <alignment vertical="center" wrapText="1"/>
    </xf>
    <xf numFmtId="0" fontId="36" fillId="2" borderId="42" xfId="0" applyNumberFormat="1" applyFont="1" applyFill="1" applyBorder="1" applyAlignment="1">
      <alignment vertical="center" wrapText="1"/>
    </xf>
    <xf numFmtId="167" fontId="36" fillId="2" borderId="1" xfId="0" applyNumberFormat="1" applyFont="1" applyFill="1" applyBorder="1" applyAlignment="1"/>
    <xf numFmtId="167" fontId="36" fillId="2" borderId="42" xfId="0" applyNumberFormat="1" applyFont="1" applyFill="1" applyBorder="1" applyAlignment="1"/>
    <xf numFmtId="0" fontId="36" fillId="0" borderId="1" xfId="0" applyFont="1" applyBorder="1" applyAlignment="1">
      <alignment vertical="center"/>
    </xf>
    <xf numFmtId="0" fontId="36" fillId="0" borderId="1" xfId="0" applyFont="1" applyBorder="1"/>
    <xf numFmtId="0" fontId="36" fillId="0" borderId="42" xfId="0" applyFont="1" applyBorder="1"/>
    <xf numFmtId="0" fontId="29" fillId="3" borderId="1" xfId="0" applyFont="1" applyFill="1" applyBorder="1" applyAlignment="1">
      <alignment horizontal="center"/>
    </xf>
    <xf numFmtId="0" fontId="51" fillId="2" borderId="1" xfId="0" applyFont="1" applyFill="1" applyBorder="1" applyAlignment="1">
      <alignment horizontal="left" vertical="center" wrapText="1"/>
    </xf>
    <xf numFmtId="167" fontId="29" fillId="0" borderId="6" xfId="0" applyNumberFormat="1" applyFont="1" applyBorder="1" applyAlignment="1">
      <alignment horizontal="center" vertical="center"/>
    </xf>
    <xf numFmtId="167" fontId="30" fillId="0" borderId="6" xfId="1" applyNumberFormat="1" applyFont="1" applyFill="1" applyBorder="1" applyAlignment="1">
      <alignment horizontal="center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167" fontId="30" fillId="0" borderId="1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vertical="center" wrapText="1"/>
    </xf>
    <xf numFmtId="167" fontId="37" fillId="0" borderId="1" xfId="0" applyNumberFormat="1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left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168" fontId="30" fillId="0" borderId="31" xfId="0" applyNumberFormat="1" applyFont="1" applyFill="1" applyBorder="1" applyAlignment="1">
      <alignment horizontal="center" vertical="top"/>
    </xf>
    <xf numFmtId="168" fontId="30" fillId="0" borderId="7" xfId="0" applyNumberFormat="1" applyFont="1" applyFill="1" applyBorder="1" applyAlignment="1">
      <alignment horizontal="center" vertical="top"/>
    </xf>
    <xf numFmtId="168" fontId="30" fillId="0" borderId="2" xfId="0" applyNumberFormat="1" applyFont="1" applyFill="1" applyBorder="1" applyAlignment="1">
      <alignment horizontal="center" vertical="top"/>
    </xf>
    <xf numFmtId="168" fontId="29" fillId="0" borderId="31" xfId="0" applyNumberFormat="1" applyFont="1" applyFill="1" applyBorder="1" applyAlignment="1">
      <alignment horizontal="center" vertical="center"/>
    </xf>
    <xf numFmtId="168" fontId="29" fillId="0" borderId="2" xfId="0" applyNumberFormat="1" applyFont="1" applyFill="1" applyBorder="1" applyAlignment="1">
      <alignment horizontal="center" vertical="center"/>
    </xf>
    <xf numFmtId="168" fontId="29" fillId="0" borderId="7" xfId="0" applyNumberFormat="1" applyFont="1" applyFill="1" applyBorder="1" applyAlignment="1">
      <alignment horizontal="center" vertical="center"/>
    </xf>
    <xf numFmtId="168" fontId="30" fillId="0" borderId="31" xfId="0" applyNumberFormat="1" applyFont="1" applyFill="1" applyBorder="1" applyAlignment="1">
      <alignment horizontal="center" vertical="center"/>
    </xf>
    <xf numFmtId="168" fontId="30" fillId="0" borderId="2" xfId="0" applyNumberFormat="1" applyFont="1" applyFill="1" applyBorder="1" applyAlignment="1">
      <alignment horizontal="center" vertical="center"/>
    </xf>
    <xf numFmtId="168" fontId="30" fillId="0" borderId="7" xfId="0" applyNumberFormat="1" applyFont="1" applyFill="1" applyBorder="1" applyAlignment="1">
      <alignment horizontal="center" vertical="center"/>
    </xf>
    <xf numFmtId="169" fontId="29" fillId="0" borderId="31" xfId="0" applyNumberFormat="1" applyFont="1" applyFill="1" applyBorder="1" applyAlignment="1">
      <alignment horizontal="center" vertical="center"/>
    </xf>
    <xf numFmtId="169" fontId="29" fillId="0" borderId="2" xfId="0" applyNumberFormat="1" applyFont="1" applyFill="1" applyBorder="1" applyAlignment="1">
      <alignment horizontal="center" vertical="center"/>
    </xf>
    <xf numFmtId="169" fontId="29" fillId="0" borderId="7" xfId="0" applyNumberFormat="1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left"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30" fillId="6" borderId="4" xfId="0" applyFont="1" applyFill="1" applyBorder="1" applyAlignment="1">
      <alignment horizontal="left" vertical="center" wrapText="1"/>
    </xf>
    <xf numFmtId="0" fontId="30" fillId="6" borderId="5" xfId="0" applyFont="1" applyFill="1" applyBorder="1" applyAlignment="1">
      <alignment horizontal="left" vertical="center" wrapText="1"/>
    </xf>
    <xf numFmtId="0" fontId="30" fillId="6" borderId="6" xfId="0" applyFont="1" applyFill="1" applyBorder="1" applyAlignment="1">
      <alignment horizontal="left" vertical="center" wrapText="1"/>
    </xf>
    <xf numFmtId="169" fontId="29" fillId="0" borderId="8" xfId="0" applyNumberFormat="1" applyFont="1" applyFill="1" applyBorder="1" applyAlignment="1">
      <alignment horizontal="center" vertical="center" wrapText="1"/>
    </xf>
    <xf numFmtId="169" fontId="29" fillId="0" borderId="7" xfId="0" applyNumberFormat="1" applyFont="1" applyFill="1" applyBorder="1" applyAlignment="1">
      <alignment horizontal="center" vertical="center" wrapText="1"/>
    </xf>
    <xf numFmtId="49" fontId="29" fillId="0" borderId="8" xfId="0" applyNumberFormat="1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vertical="center" wrapText="1"/>
    </xf>
    <xf numFmtId="167" fontId="29" fillId="0" borderId="8" xfId="0" applyNumberFormat="1" applyFont="1" applyFill="1" applyBorder="1" applyAlignment="1">
      <alignment horizontal="center" vertical="center" wrapText="1"/>
    </xf>
    <xf numFmtId="167" fontId="29" fillId="0" borderId="7" xfId="0" applyNumberFormat="1" applyFont="1" applyFill="1" applyBorder="1" applyAlignment="1">
      <alignment horizontal="center" vertical="center" wrapText="1"/>
    </xf>
    <xf numFmtId="169" fontId="29" fillId="0" borderId="2" xfId="0" applyNumberFormat="1" applyFont="1" applyFill="1" applyBorder="1" applyAlignment="1">
      <alignment horizontal="center" vertical="center" wrapText="1"/>
    </xf>
    <xf numFmtId="49" fontId="29" fillId="0" borderId="2" xfId="0" applyNumberFormat="1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vertical="center" wrapText="1"/>
    </xf>
    <xf numFmtId="0" fontId="30" fillId="3" borderId="4" xfId="0" applyFont="1" applyFill="1" applyBorder="1" applyAlignment="1">
      <alignment vertical="center" wrapText="1"/>
    </xf>
    <xf numFmtId="0" fontId="30" fillId="3" borderId="5" xfId="0" applyFont="1" applyFill="1" applyBorder="1" applyAlignment="1">
      <alignment vertical="center" wrapText="1"/>
    </xf>
    <xf numFmtId="0" fontId="30" fillId="3" borderId="6" xfId="0" applyFont="1" applyFill="1" applyBorder="1" applyAlignment="1">
      <alignment vertical="center" wrapText="1"/>
    </xf>
    <xf numFmtId="169" fontId="50" fillId="29" borderId="36" xfId="0" applyNumberFormat="1" applyFont="1" applyFill="1" applyBorder="1" applyAlignment="1">
      <alignment horizontal="center" vertical="center" wrapText="1"/>
    </xf>
    <xf numFmtId="169" fontId="50" fillId="29" borderId="47" xfId="0" applyNumberFormat="1" applyFont="1" applyFill="1" applyBorder="1" applyAlignment="1">
      <alignment horizontal="center" vertical="center" wrapText="1"/>
    </xf>
    <xf numFmtId="168" fontId="50" fillId="29" borderId="8" xfId="0" applyNumberFormat="1" applyFont="1" applyFill="1" applyBorder="1" applyAlignment="1">
      <alignment horizontal="center" vertical="center" wrapText="1"/>
    </xf>
    <xf numFmtId="168" fontId="50" fillId="29" borderId="7" xfId="0" applyNumberFormat="1" applyFont="1" applyFill="1" applyBorder="1" applyAlignment="1">
      <alignment horizontal="center" vertical="center" wrapText="1"/>
    </xf>
    <xf numFmtId="0" fontId="51" fillId="29" borderId="8" xfId="0" applyFont="1" applyFill="1" applyBorder="1" applyAlignment="1">
      <alignment horizontal="center" vertical="center" wrapText="1"/>
    </xf>
    <xf numFmtId="0" fontId="51" fillId="29" borderId="7" xfId="0" applyFont="1" applyFill="1" applyBorder="1" applyAlignment="1">
      <alignment horizontal="center" vertical="center" wrapText="1"/>
    </xf>
    <xf numFmtId="0" fontId="51" fillId="29" borderId="11" xfId="0" applyFont="1" applyFill="1" applyBorder="1" applyAlignment="1">
      <alignment horizontal="right" vertical="top" wrapText="1"/>
    </xf>
    <xf numFmtId="0" fontId="51" fillId="29" borderId="10" xfId="0" applyFont="1" applyFill="1" applyBorder="1" applyAlignment="1">
      <alignment horizontal="right" vertical="top" wrapText="1"/>
    </xf>
    <xf numFmtId="167" fontId="51" fillId="29" borderId="14" xfId="0" applyNumberFormat="1" applyFont="1" applyFill="1" applyBorder="1" applyAlignment="1">
      <alignment horizontal="center" vertical="center" wrapText="1"/>
    </xf>
    <xf numFmtId="167" fontId="51" fillId="29" borderId="9" xfId="0" applyNumberFormat="1" applyFont="1" applyFill="1" applyBorder="1" applyAlignment="1">
      <alignment horizontal="center" vertical="center" wrapText="1"/>
    </xf>
    <xf numFmtId="167" fontId="50" fillId="29" borderId="8" xfId="0" applyNumberFormat="1" applyFont="1" applyFill="1" applyBorder="1" applyAlignment="1">
      <alignment horizontal="center" vertical="center" wrapText="1"/>
    </xf>
    <xf numFmtId="167" fontId="50" fillId="29" borderId="7" xfId="0" applyNumberFormat="1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0" fontId="36" fillId="2" borderId="7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wrapText="1"/>
    </xf>
    <xf numFmtId="0" fontId="36" fillId="2" borderId="7" xfId="0" applyFont="1" applyFill="1" applyBorder="1" applyAlignment="1">
      <alignment horizontal="center" wrapText="1"/>
    </xf>
    <xf numFmtId="0" fontId="36" fillId="2" borderId="44" xfId="0" applyFont="1" applyFill="1" applyBorder="1" applyAlignment="1">
      <alignment horizontal="center" vertical="center" wrapText="1"/>
    </xf>
    <xf numFmtId="0" fontId="36" fillId="2" borderId="45" xfId="0" applyFont="1" applyFill="1" applyBorder="1" applyAlignment="1">
      <alignment horizontal="center" vertical="center" wrapText="1"/>
    </xf>
    <xf numFmtId="169" fontId="30" fillId="2" borderId="1" xfId="0" applyNumberFormat="1" applyFont="1" applyFill="1" applyBorder="1" applyAlignment="1">
      <alignment horizontal="center" vertical="center"/>
    </xf>
    <xf numFmtId="168" fontId="30" fillId="2" borderId="8" xfId="0" applyNumberFormat="1" applyFont="1" applyFill="1" applyBorder="1" applyAlignment="1">
      <alignment horizontal="center" vertical="center"/>
    </xf>
    <xf numFmtId="168" fontId="30" fillId="2" borderId="7" xfId="0" applyNumberFormat="1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right" vertical="center"/>
    </xf>
    <xf numFmtId="0" fontId="29" fillId="2" borderId="11" xfId="0" applyFont="1" applyFill="1" applyBorder="1" applyAlignment="1">
      <alignment horizontal="left" vertical="center" wrapText="1"/>
    </xf>
    <xf numFmtId="0" fontId="29" fillId="2" borderId="10" xfId="0" applyFont="1" applyFill="1" applyBorder="1" applyAlignment="1">
      <alignment horizontal="left" vertical="center" wrapText="1"/>
    </xf>
    <xf numFmtId="167" fontId="29" fillId="0" borderId="8" xfId="0" applyNumberFormat="1" applyFont="1" applyBorder="1" applyAlignment="1">
      <alignment horizontal="center" vertical="center"/>
    </xf>
    <xf numFmtId="167" fontId="29" fillId="0" borderId="7" xfId="0" applyNumberFormat="1" applyFont="1" applyBorder="1" applyAlignment="1">
      <alignment horizontal="center" vertical="center"/>
    </xf>
    <xf numFmtId="167" fontId="29" fillId="2" borderId="14" xfId="1" applyNumberFormat="1" applyFont="1" applyFill="1" applyBorder="1" applyAlignment="1">
      <alignment horizontal="center" vertical="center" wrapText="1"/>
    </xf>
    <xf numFmtId="167" fontId="29" fillId="0" borderId="9" xfId="1" applyNumberFormat="1" applyFont="1" applyBorder="1" applyAlignment="1">
      <alignment horizontal="center" vertical="center" wrapText="1"/>
    </xf>
    <xf numFmtId="167" fontId="29" fillId="2" borderId="8" xfId="1" applyNumberFormat="1" applyFont="1" applyFill="1" applyBorder="1" applyAlignment="1">
      <alignment horizontal="center" vertical="center" wrapText="1"/>
    </xf>
    <xf numFmtId="167" fontId="29" fillId="0" borderId="7" xfId="1" applyNumberFormat="1" applyFont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left" vertical="center" wrapText="1"/>
    </xf>
    <xf numFmtId="0" fontId="29" fillId="2" borderId="7" xfId="0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vertical="center"/>
    </xf>
    <xf numFmtId="0" fontId="30" fillId="3" borderId="4" xfId="0" applyFont="1" applyFill="1" applyBorder="1" applyAlignment="1">
      <alignment vertical="center"/>
    </xf>
    <xf numFmtId="0" fontId="30" fillId="6" borderId="11" xfId="0" applyFont="1" applyFill="1" applyBorder="1" applyAlignment="1">
      <alignment horizontal="left" vertical="center" wrapText="1"/>
    </xf>
    <xf numFmtId="0" fontId="30" fillId="6" borderId="15" xfId="0" applyFont="1" applyFill="1" applyBorder="1" applyAlignment="1">
      <alignment horizontal="left" vertical="center" wrapText="1"/>
    </xf>
    <xf numFmtId="0" fontId="30" fillId="6" borderId="14" xfId="0" applyFont="1" applyFill="1" applyBorder="1" applyAlignment="1">
      <alignment horizontal="left" vertical="center" wrapText="1"/>
    </xf>
    <xf numFmtId="0" fontId="29" fillId="3" borderId="5" xfId="0" applyFont="1" applyFill="1" applyBorder="1" applyAlignment="1">
      <alignment wrapText="1"/>
    </xf>
    <xf numFmtId="169" fontId="30" fillId="0" borderId="8" xfId="0" applyNumberFormat="1" applyFont="1" applyFill="1" applyBorder="1" applyAlignment="1">
      <alignment horizontal="center" vertical="center"/>
    </xf>
    <xf numFmtId="169" fontId="30" fillId="0" borderId="7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 vertical="center"/>
    </xf>
    <xf numFmtId="49" fontId="29" fillId="0" borderId="7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left" vertical="center" wrapText="1"/>
    </xf>
    <xf numFmtId="0" fontId="29" fillId="0" borderId="10" xfId="0" applyFont="1" applyFill="1" applyBorder="1" applyAlignment="1">
      <alignment horizontal="left" vertical="center" wrapText="1"/>
    </xf>
    <xf numFmtId="0" fontId="29" fillId="0" borderId="8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9" fontId="30" fillId="0" borderId="1" xfId="0" applyNumberFormat="1" applyFont="1" applyFill="1" applyBorder="1" applyAlignment="1">
      <alignment horizontal="center" vertical="center"/>
    </xf>
    <xf numFmtId="168" fontId="30" fillId="0" borderId="8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left" vertical="center" wrapText="1"/>
    </xf>
    <xf numFmtId="0" fontId="30" fillId="0" borderId="10" xfId="0" applyFont="1" applyFill="1" applyBorder="1" applyAlignment="1">
      <alignment horizontal="left" vertical="center" wrapText="1"/>
    </xf>
    <xf numFmtId="167" fontId="30" fillId="0" borderId="1" xfId="1" applyNumberFormat="1" applyFont="1" applyFill="1" applyBorder="1" applyAlignment="1">
      <alignment horizontal="center" vertical="center" wrapText="1"/>
    </xf>
    <xf numFmtId="167" fontId="29" fillId="0" borderId="6" xfId="1" applyNumberFormat="1" applyFont="1" applyFill="1" applyBorder="1" applyAlignment="1">
      <alignment horizontal="center" vertical="center" wrapText="1"/>
    </xf>
    <xf numFmtId="167" fontId="29" fillId="0" borderId="1" xfId="1" applyNumberFormat="1" applyFont="1" applyFill="1" applyBorder="1" applyAlignment="1">
      <alignment horizontal="center" vertical="center" wrapText="1"/>
    </xf>
    <xf numFmtId="169" fontId="29" fillId="0" borderId="1" xfId="0" applyNumberFormat="1" applyFont="1" applyBorder="1" applyAlignment="1">
      <alignment horizontal="center" vertical="center"/>
    </xf>
    <xf numFmtId="49" fontId="29" fillId="0" borderId="8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167" fontId="29" fillId="2" borderId="8" xfId="0" applyNumberFormat="1" applyFont="1" applyFill="1" applyBorder="1" applyAlignment="1">
      <alignment horizontal="center" vertical="center" wrapText="1"/>
    </xf>
    <xf numFmtId="167" fontId="29" fillId="2" borderId="2" xfId="0" applyNumberFormat="1" applyFont="1" applyFill="1" applyBorder="1" applyAlignment="1">
      <alignment horizontal="center" vertical="center" wrapText="1"/>
    </xf>
    <xf numFmtId="167" fontId="29" fillId="2" borderId="7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167" fontId="29" fillId="0" borderId="14" xfId="1" applyNumberFormat="1" applyFont="1" applyFill="1" applyBorder="1" applyAlignment="1">
      <alignment horizontal="center" vertical="center" wrapText="1"/>
    </xf>
    <xf numFmtId="167" fontId="29" fillId="0" borderId="9" xfId="1" applyNumberFormat="1" applyFont="1" applyFill="1" applyBorder="1" applyAlignment="1">
      <alignment horizontal="center" vertical="center" wrapText="1"/>
    </xf>
    <xf numFmtId="167" fontId="29" fillId="0" borderId="8" xfId="1" applyNumberFormat="1" applyFont="1" applyFill="1" applyBorder="1" applyAlignment="1">
      <alignment horizontal="center" vertical="center" wrapText="1"/>
    </xf>
    <xf numFmtId="167" fontId="29" fillId="0" borderId="7" xfId="1" applyNumberFormat="1" applyFont="1" applyFill="1" applyBorder="1" applyAlignment="1">
      <alignment horizontal="center" vertical="center" wrapText="1"/>
    </xf>
    <xf numFmtId="167" fontId="29" fillId="0" borderId="2" xfId="0" applyNumberFormat="1" applyFont="1" applyFill="1" applyBorder="1" applyAlignment="1">
      <alignment horizontal="center" vertical="center" wrapText="1"/>
    </xf>
    <xf numFmtId="49" fontId="30" fillId="3" borderId="4" xfId="0" applyNumberFormat="1" applyFont="1" applyFill="1" applyBorder="1" applyAlignment="1">
      <alignment wrapText="1"/>
    </xf>
    <xf numFmtId="49" fontId="30" fillId="3" borderId="5" xfId="0" applyNumberFormat="1" applyFont="1" applyFill="1" applyBorder="1" applyAlignment="1">
      <alignment wrapText="1"/>
    </xf>
    <xf numFmtId="0" fontId="30" fillId="3" borderId="5" xfId="0" applyFont="1" applyFill="1" applyBorder="1" applyAlignment="1">
      <alignment wrapText="1"/>
    </xf>
    <xf numFmtId="0" fontId="29" fillId="3" borderId="1" xfId="0" applyFont="1" applyFill="1" applyBorder="1" applyAlignment="1">
      <alignment wrapText="1"/>
    </xf>
    <xf numFmtId="0" fontId="29" fillId="3" borderId="10" xfId="0" applyFont="1" applyFill="1" applyBorder="1" applyAlignment="1">
      <alignment wrapText="1"/>
    </xf>
    <xf numFmtId="0" fontId="30" fillId="3" borderId="4" xfId="0" applyFont="1" applyFill="1" applyBorder="1" applyAlignment="1">
      <alignment horizontal="left" wrapText="1"/>
    </xf>
    <xf numFmtId="0" fontId="30" fillId="3" borderId="5" xfId="0" applyFont="1" applyFill="1" applyBorder="1" applyAlignment="1">
      <alignment horizontal="left" wrapText="1"/>
    </xf>
    <xf numFmtId="169" fontId="29" fillId="2" borderId="1" xfId="0" applyNumberFormat="1" applyFont="1" applyFill="1" applyBorder="1" applyAlignment="1">
      <alignment horizontal="center" vertical="center" wrapText="1"/>
    </xf>
    <xf numFmtId="168" fontId="29" fillId="2" borderId="8" xfId="0" applyNumberFormat="1" applyFont="1" applyFill="1" applyBorder="1" applyAlignment="1">
      <alignment horizontal="center" vertical="center" wrapText="1"/>
    </xf>
    <xf numFmtId="168" fontId="29" fillId="2" borderId="7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180" fontId="30" fillId="2" borderId="1" xfId="0" applyNumberFormat="1" applyFont="1" applyFill="1" applyBorder="1" applyAlignment="1">
      <alignment horizontal="center" vertical="center" wrapText="1"/>
    </xf>
    <xf numFmtId="180" fontId="29" fillId="2" borderId="11" xfId="0" applyNumberFormat="1" applyFont="1" applyFill="1" applyBorder="1" applyAlignment="1">
      <alignment horizontal="left" vertical="center" wrapText="1"/>
    </xf>
    <xf numFmtId="180" fontId="29" fillId="2" borderId="3" xfId="0" applyNumberFormat="1" applyFont="1" applyFill="1" applyBorder="1" applyAlignment="1">
      <alignment horizontal="left" vertical="center" wrapText="1"/>
    </xf>
    <xf numFmtId="167" fontId="29" fillId="2" borderId="14" xfId="1" applyNumberFormat="1" applyFont="1" applyFill="1" applyBorder="1" applyAlignment="1">
      <alignment horizontal="center" vertical="center"/>
    </xf>
    <xf numFmtId="167" fontId="29" fillId="2" borderId="9" xfId="1" applyNumberFormat="1" applyFont="1" applyFill="1" applyBorder="1" applyAlignment="1">
      <alignment horizontal="center" vertical="center"/>
    </xf>
    <xf numFmtId="167" fontId="29" fillId="2" borderId="8" xfId="1" applyNumberFormat="1" applyFont="1" applyFill="1" applyBorder="1" applyAlignment="1">
      <alignment horizontal="center" vertical="center"/>
    </xf>
    <xf numFmtId="167" fontId="29" fillId="2" borderId="7" xfId="1" applyNumberFormat="1" applyFont="1" applyFill="1" applyBorder="1" applyAlignment="1">
      <alignment horizontal="center" vertical="center"/>
    </xf>
    <xf numFmtId="169" fontId="36" fillId="2" borderId="1" xfId="0" applyNumberFormat="1" applyFont="1" applyFill="1" applyBorder="1" applyAlignment="1">
      <alignment horizontal="center"/>
    </xf>
    <xf numFmtId="169" fontId="40" fillId="2" borderId="1" xfId="0" applyNumberFormat="1" applyFont="1" applyFill="1" applyBorder="1" applyAlignment="1">
      <alignment horizontal="center" vertical="center"/>
    </xf>
    <xf numFmtId="169" fontId="39" fillId="2" borderId="8" xfId="0" applyNumberFormat="1" applyFont="1" applyFill="1" applyBorder="1" applyAlignment="1">
      <alignment horizontal="center" vertical="center"/>
    </xf>
    <xf numFmtId="169" fontId="39" fillId="2" borderId="7" xfId="0" applyNumberFormat="1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9" fillId="2" borderId="8" xfId="156" applyFont="1" applyFill="1" applyBorder="1" applyAlignment="1">
      <alignment horizontal="left" vertical="top" wrapText="1"/>
    </xf>
    <xf numFmtId="0" fontId="39" fillId="2" borderId="7" xfId="156" applyFont="1" applyFill="1" applyBorder="1" applyAlignment="1">
      <alignment horizontal="left" vertical="top" wrapText="1"/>
    </xf>
    <xf numFmtId="167" fontId="36" fillId="2" borderId="8" xfId="0" applyNumberFormat="1" applyFont="1" applyFill="1" applyBorder="1" applyAlignment="1">
      <alignment horizontal="center" vertical="center" wrapText="1"/>
    </xf>
    <xf numFmtId="167" fontId="36" fillId="2" borderId="7" xfId="0" applyNumberFormat="1" applyFont="1" applyFill="1" applyBorder="1" applyAlignment="1">
      <alignment horizontal="center" vertical="center" wrapText="1"/>
    </xf>
    <xf numFmtId="167" fontId="36" fillId="2" borderId="8" xfId="0" applyNumberFormat="1" applyFont="1" applyFill="1" applyBorder="1" applyAlignment="1">
      <alignment horizontal="center" vertical="center"/>
    </xf>
    <xf numFmtId="167" fontId="36" fillId="2" borderId="7" xfId="0" applyNumberFormat="1" applyFont="1" applyFill="1" applyBorder="1" applyAlignment="1">
      <alignment horizontal="center" vertical="center"/>
    </xf>
    <xf numFmtId="169" fontId="40" fillId="2" borderId="8" xfId="0" applyNumberFormat="1" applyFont="1" applyFill="1" applyBorder="1" applyAlignment="1">
      <alignment horizontal="center" vertical="center"/>
    </xf>
    <xf numFmtId="169" fontId="40" fillId="2" borderId="2" xfId="0" applyNumberFormat="1" applyFont="1" applyFill="1" applyBorder="1" applyAlignment="1">
      <alignment horizontal="center" vertical="center"/>
    </xf>
    <xf numFmtId="169" fontId="40" fillId="2" borderId="7" xfId="0" applyNumberFormat="1" applyFont="1" applyFill="1" applyBorder="1" applyAlignment="1">
      <alignment horizontal="center" vertical="center"/>
    </xf>
    <xf numFmtId="0" fontId="36" fillId="2" borderId="8" xfId="0" applyFont="1" applyFill="1" applyBorder="1"/>
    <xf numFmtId="0" fontId="36" fillId="2" borderId="7" xfId="0" applyFont="1" applyFill="1" applyBorder="1"/>
    <xf numFmtId="49" fontId="29" fillId="0" borderId="8" xfId="0" applyNumberFormat="1" applyFont="1" applyFill="1" applyBorder="1" applyAlignment="1">
      <alignment vertical="center"/>
    </xf>
    <xf numFmtId="49" fontId="29" fillId="0" borderId="7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167" fontId="29" fillId="0" borderId="8" xfId="0" applyNumberFormat="1" applyFont="1" applyFill="1" applyBorder="1" applyAlignment="1">
      <alignment horizontal="center" vertical="center"/>
    </xf>
    <xf numFmtId="167" fontId="29" fillId="0" borderId="7" xfId="0" applyNumberFormat="1" applyFont="1" applyFill="1" applyBorder="1" applyAlignment="1">
      <alignment horizontal="center" vertical="center"/>
    </xf>
    <xf numFmtId="169" fontId="30" fillId="2" borderId="8" xfId="0" applyNumberFormat="1" applyFont="1" applyFill="1" applyBorder="1" applyAlignment="1">
      <alignment horizontal="center" vertical="center"/>
    </xf>
    <xf numFmtId="169" fontId="30" fillId="2" borderId="7" xfId="0" applyNumberFormat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/>
    </xf>
    <xf numFmtId="49" fontId="29" fillId="2" borderId="7" xfId="0" applyNumberFormat="1" applyFont="1" applyFill="1" applyBorder="1" applyAlignment="1">
      <alignment horizontal="center" vertical="center"/>
    </xf>
    <xf numFmtId="0" fontId="29" fillId="2" borderId="8" xfId="4" applyFont="1" applyFill="1" applyBorder="1" applyAlignment="1">
      <alignment horizontal="center" vertical="center" wrapText="1"/>
    </xf>
    <xf numFmtId="0" fontId="29" fillId="2" borderId="7" xfId="4" applyFont="1" applyFill="1" applyBorder="1" applyAlignment="1">
      <alignment horizontal="center" vertical="center" wrapText="1"/>
    </xf>
    <xf numFmtId="0" fontId="29" fillId="2" borderId="8" xfId="4" applyFont="1" applyFill="1" applyBorder="1" applyAlignment="1">
      <alignment horizontal="left" vertical="center" wrapText="1"/>
    </xf>
    <xf numFmtId="0" fontId="29" fillId="2" borderId="7" xfId="4" applyFont="1" applyFill="1" applyBorder="1" applyAlignment="1">
      <alignment horizontal="left" vertical="center" wrapText="1"/>
    </xf>
    <xf numFmtId="0" fontId="30" fillId="3" borderId="4" xfId="155" applyFont="1" applyFill="1" applyBorder="1" applyAlignment="1">
      <alignment vertical="center" wrapText="1"/>
    </xf>
    <xf numFmtId="0" fontId="30" fillId="3" borderId="5" xfId="155" applyFont="1" applyFill="1" applyBorder="1" applyAlignment="1">
      <alignment vertical="center" wrapText="1"/>
    </xf>
    <xf numFmtId="180" fontId="40" fillId="2" borderId="8" xfId="0" applyNumberFormat="1" applyFont="1" applyFill="1" applyBorder="1" applyAlignment="1">
      <alignment horizontal="left" vertical="center"/>
    </xf>
    <xf numFmtId="180" fontId="40" fillId="2" borderId="7" xfId="0" applyNumberFormat="1" applyFont="1" applyFill="1" applyBorder="1" applyAlignment="1">
      <alignment horizontal="left" vertical="center"/>
    </xf>
    <xf numFmtId="167" fontId="39" fillId="2" borderId="8" xfId="0" applyNumberFormat="1" applyFont="1" applyFill="1" applyBorder="1" applyAlignment="1">
      <alignment horizontal="center" vertical="center"/>
    </xf>
    <xf numFmtId="167" fontId="39" fillId="2" borderId="7" xfId="0" applyNumberFormat="1" applyFont="1" applyFill="1" applyBorder="1" applyAlignment="1">
      <alignment horizontal="center" vertical="center"/>
    </xf>
    <xf numFmtId="168" fontId="30" fillId="2" borderId="2" xfId="0" applyNumberFormat="1" applyFont="1" applyFill="1" applyBorder="1" applyAlignment="1">
      <alignment horizontal="center" vertical="center"/>
    </xf>
    <xf numFmtId="168" fontId="30" fillId="2" borderId="1" xfId="0" applyNumberFormat="1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left" vertical="center" wrapText="1"/>
    </xf>
    <xf numFmtId="167" fontId="36" fillId="2" borderId="2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29" fillId="2" borderId="43" xfId="0" applyFont="1" applyFill="1" applyBorder="1" applyAlignment="1">
      <alignment horizontal="center" vertical="center" wrapText="1"/>
    </xf>
    <xf numFmtId="168" fontId="30" fillId="3" borderId="4" xfId="0" applyNumberFormat="1" applyFont="1" applyFill="1" applyBorder="1" applyAlignment="1">
      <alignment vertical="center" wrapText="1"/>
    </xf>
    <xf numFmtId="168" fontId="30" fillId="3" borderId="5" xfId="0" applyNumberFormat="1" applyFont="1" applyFill="1" applyBorder="1" applyAlignment="1">
      <alignment vertical="center" wrapText="1"/>
    </xf>
    <xf numFmtId="169" fontId="29" fillId="2" borderId="8" xfId="0" applyNumberFormat="1" applyFont="1" applyFill="1" applyBorder="1" applyAlignment="1">
      <alignment horizontal="center" vertical="center"/>
    </xf>
    <xf numFmtId="169" fontId="29" fillId="2" borderId="2" xfId="0" applyNumberFormat="1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/>
    </xf>
    <xf numFmtId="0" fontId="29" fillId="2" borderId="8" xfId="155" applyFont="1" applyFill="1" applyBorder="1" applyAlignment="1">
      <alignment horizontal="center" vertical="center"/>
    </xf>
    <xf numFmtId="0" fontId="29" fillId="2" borderId="2" xfId="155" applyFont="1" applyFill="1" applyBorder="1" applyAlignment="1">
      <alignment horizontal="center" vertical="center"/>
    </xf>
    <xf numFmtId="0" fontId="29" fillId="0" borderId="8" xfId="4" applyFont="1" applyFill="1" applyBorder="1" applyAlignment="1">
      <alignment horizontal="left" vertical="center" wrapText="1"/>
    </xf>
    <xf numFmtId="0" fontId="29" fillId="0" borderId="2" xfId="4" applyFont="1" applyFill="1" applyBorder="1" applyAlignment="1">
      <alignment horizontal="left" vertical="center" wrapText="1"/>
    </xf>
    <xf numFmtId="49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8" xfId="3" applyFont="1" applyFill="1" applyBorder="1" applyAlignment="1">
      <alignment horizontal="left" vertical="center" wrapText="1"/>
    </xf>
    <xf numFmtId="0" fontId="29" fillId="0" borderId="2" xfId="3" applyFont="1" applyFill="1" applyBorder="1" applyAlignment="1">
      <alignment horizontal="left" vertical="center" wrapText="1"/>
    </xf>
    <xf numFmtId="0" fontId="29" fillId="0" borderId="7" xfId="3" applyFont="1" applyFill="1" applyBorder="1" applyAlignment="1">
      <alignment horizontal="left" vertical="center" wrapText="1"/>
    </xf>
    <xf numFmtId="167" fontId="36" fillId="0" borderId="8" xfId="3" applyNumberFormat="1" applyFont="1" applyFill="1" applyBorder="1" applyAlignment="1">
      <alignment horizontal="center" vertical="center" wrapText="1"/>
    </xf>
    <xf numFmtId="167" fontId="36" fillId="0" borderId="7" xfId="3" applyNumberFormat="1" applyFont="1" applyFill="1" applyBorder="1" applyAlignment="1">
      <alignment horizontal="center" vertical="center" wrapText="1"/>
    </xf>
    <xf numFmtId="167" fontId="36" fillId="0" borderId="2" xfId="3" applyNumberFormat="1" applyFont="1" applyFill="1" applyBorder="1" applyAlignment="1">
      <alignment horizontal="center" vertical="center" wrapText="1"/>
    </xf>
    <xf numFmtId="169" fontId="30" fillId="2" borderId="2" xfId="0" applyNumberFormat="1" applyFont="1" applyFill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167" fontId="29" fillId="0" borderId="8" xfId="0" applyNumberFormat="1" applyFont="1" applyBorder="1" applyAlignment="1">
      <alignment horizontal="center"/>
    </xf>
    <xf numFmtId="167" fontId="29" fillId="0" borderId="7" xfId="0" applyNumberFormat="1" applyFont="1" applyBorder="1" applyAlignment="1">
      <alignment horizontal="center"/>
    </xf>
    <xf numFmtId="0" fontId="29" fillId="3" borderId="4" xfId="0" applyFont="1" applyFill="1" applyBorder="1" applyAlignment="1">
      <alignment wrapText="1"/>
    </xf>
    <xf numFmtId="168" fontId="29" fillId="2" borderId="8" xfId="3" applyNumberFormat="1" applyFont="1" applyFill="1" applyBorder="1" applyAlignment="1">
      <alignment horizontal="center" vertical="center" wrapText="1"/>
    </xf>
    <xf numFmtId="168" fontId="29" fillId="2" borderId="7" xfId="3" applyNumberFormat="1" applyFont="1" applyFill="1" applyBorder="1" applyAlignment="1">
      <alignment horizontal="center" vertical="center" wrapText="1"/>
    </xf>
    <xf numFmtId="49" fontId="29" fillId="2" borderId="8" xfId="3" applyNumberFormat="1" applyFont="1" applyFill="1" applyBorder="1" applyAlignment="1">
      <alignment horizontal="center" vertical="center" wrapText="1"/>
    </xf>
    <xf numFmtId="49" fontId="29" fillId="2" borderId="7" xfId="0" applyNumberFormat="1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11" xfId="3" applyFont="1" applyFill="1" applyBorder="1" applyAlignment="1">
      <alignment horizontal="left" vertical="center" wrapText="1"/>
    </xf>
    <xf numFmtId="0" fontId="29" fillId="0" borderId="4" xfId="3" applyFont="1" applyFill="1" applyBorder="1" applyAlignment="1">
      <alignment horizontal="left" vertical="center" wrapText="1"/>
    </xf>
    <xf numFmtId="0" fontId="30" fillId="3" borderId="11" xfId="0" applyFont="1" applyFill="1" applyBorder="1" applyAlignment="1">
      <alignment vertical="center" wrapText="1"/>
    </xf>
    <xf numFmtId="0" fontId="30" fillId="3" borderId="15" xfId="0" applyFont="1" applyFill="1" applyBorder="1" applyAlignment="1">
      <alignment vertical="center" wrapText="1"/>
    </xf>
    <xf numFmtId="0" fontId="29" fillId="3" borderId="15" xfId="0" applyFont="1" applyFill="1" applyBorder="1" applyAlignment="1">
      <alignment wrapText="1"/>
    </xf>
    <xf numFmtId="169" fontId="29" fillId="2" borderId="7" xfId="0" applyNumberFormat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vertical="center"/>
    </xf>
    <xf numFmtId="49" fontId="29" fillId="2" borderId="7" xfId="0" applyNumberFormat="1" applyFont="1" applyFill="1" applyBorder="1" applyAlignment="1">
      <alignment vertical="center"/>
    </xf>
    <xf numFmtId="0" fontId="29" fillId="2" borderId="4" xfId="0" applyFont="1" applyFill="1" applyBorder="1" applyAlignment="1">
      <alignment horizontal="left" vertical="center" wrapText="1"/>
    </xf>
    <xf numFmtId="167" fontId="29" fillId="2" borderId="6" xfId="1" applyNumberFormat="1" applyFont="1" applyFill="1" applyBorder="1" applyAlignment="1">
      <alignment horizontal="center" vertical="center" wrapText="1"/>
    </xf>
    <xf numFmtId="167" fontId="29" fillId="2" borderId="1" xfId="1" applyNumberFormat="1" applyFont="1" applyFill="1" applyBorder="1" applyAlignment="1">
      <alignment horizontal="center" vertical="center" wrapText="1"/>
    </xf>
    <xf numFmtId="169" fontId="30" fillId="0" borderId="2" xfId="0" applyNumberFormat="1" applyFont="1" applyFill="1" applyBorder="1" applyAlignment="1">
      <alignment horizontal="center" vertical="center"/>
    </xf>
    <xf numFmtId="49" fontId="29" fillId="0" borderId="2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center"/>
    </xf>
    <xf numFmtId="49" fontId="29" fillId="0" borderId="2" xfId="0" applyNumberFormat="1" applyFont="1" applyFill="1" applyBorder="1" applyAlignment="1">
      <alignment horizontal="center"/>
    </xf>
    <xf numFmtId="49" fontId="29" fillId="0" borderId="7" xfId="0" applyNumberFormat="1" applyFont="1" applyFill="1" applyBorder="1" applyAlignment="1">
      <alignment horizontal="center"/>
    </xf>
    <xf numFmtId="0" fontId="29" fillId="0" borderId="8" xfId="0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7" xfId="0" applyFont="1" applyFill="1" applyBorder="1" applyAlignment="1">
      <alignment horizontal="left" vertical="center" wrapText="1"/>
    </xf>
    <xf numFmtId="167" fontId="48" fillId="0" borderId="8" xfId="0" applyNumberFormat="1" applyFont="1" applyFill="1" applyBorder="1" applyAlignment="1">
      <alignment horizontal="center" vertical="center" wrapText="1"/>
    </xf>
    <xf numFmtId="167" fontId="48" fillId="0" borderId="2" xfId="0" applyNumberFormat="1" applyFont="1" applyFill="1" applyBorder="1" applyAlignment="1">
      <alignment horizontal="center" vertical="center" wrapText="1"/>
    </xf>
    <xf numFmtId="167" fontId="48" fillId="0" borderId="7" xfId="0" applyNumberFormat="1" applyFont="1" applyFill="1" applyBorder="1" applyAlignment="1">
      <alignment horizontal="center" vertical="center" wrapText="1"/>
    </xf>
    <xf numFmtId="167" fontId="47" fillId="0" borderId="8" xfId="0" applyNumberFormat="1" applyFont="1" applyFill="1" applyBorder="1" applyAlignment="1">
      <alignment horizontal="center" vertical="center" wrapText="1"/>
    </xf>
    <xf numFmtId="167" fontId="47" fillId="0" borderId="7" xfId="0" applyNumberFormat="1" applyFont="1" applyFill="1" applyBorder="1" applyAlignment="1">
      <alignment horizontal="center" vertical="center" wrapText="1"/>
    </xf>
    <xf numFmtId="169" fontId="29" fillId="0" borderId="8" xfId="0" applyNumberFormat="1" applyFont="1" applyFill="1" applyBorder="1" applyAlignment="1">
      <alignment horizontal="center" vertical="center"/>
    </xf>
    <xf numFmtId="168" fontId="29" fillId="0" borderId="8" xfId="0" applyNumberFormat="1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vertical="center" wrapText="1"/>
    </xf>
    <xf numFmtId="0" fontId="29" fillId="3" borderId="10" xfId="0" applyFont="1" applyFill="1" applyBorder="1" applyAlignment="1">
      <alignment vertical="center" wrapText="1"/>
    </xf>
    <xf numFmtId="0" fontId="29" fillId="0" borderId="8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/>
    </xf>
    <xf numFmtId="167" fontId="46" fillId="0" borderId="8" xfId="0" applyNumberFormat="1" applyFont="1" applyFill="1" applyBorder="1" applyAlignment="1">
      <alignment horizontal="center" vertical="center" wrapText="1"/>
    </xf>
    <xf numFmtId="167" fontId="46" fillId="0" borderId="7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/>
    </xf>
    <xf numFmtId="169" fontId="29" fillId="0" borderId="1" xfId="0" applyNumberFormat="1" applyFont="1" applyFill="1" applyBorder="1" applyAlignment="1">
      <alignment horizontal="center" vertical="center" wrapText="1"/>
    </xf>
    <xf numFmtId="168" fontId="29" fillId="0" borderId="8" xfId="0" applyNumberFormat="1" applyFont="1" applyFill="1" applyBorder="1" applyAlignment="1">
      <alignment horizontal="center" vertical="center" wrapText="1"/>
    </xf>
    <xf numFmtId="168" fontId="29" fillId="0" borderId="7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0" fontId="29" fillId="0" borderId="8" xfId="18" applyFont="1" applyFill="1" applyBorder="1" applyAlignment="1">
      <alignment horizontal="left" vertical="center" wrapText="1"/>
    </xf>
    <xf numFmtId="0" fontId="29" fillId="0" borderId="7" xfId="18" applyFont="1" applyFill="1" applyBorder="1" applyAlignment="1">
      <alignment horizontal="left" vertical="center" wrapText="1"/>
    </xf>
    <xf numFmtId="167" fontId="29" fillId="0" borderId="8" xfId="0" applyNumberFormat="1" applyFont="1" applyBorder="1" applyAlignment="1">
      <alignment horizontal="center" vertical="center" wrapText="1"/>
    </xf>
    <xf numFmtId="167" fontId="29" fillId="0" borderId="7" xfId="0" applyNumberFormat="1" applyFont="1" applyBorder="1" applyAlignment="1">
      <alignment horizontal="center" vertical="center" wrapText="1"/>
    </xf>
    <xf numFmtId="167" fontId="36" fillId="0" borderId="8" xfId="150" applyNumberFormat="1" applyFont="1" applyBorder="1" applyAlignment="1">
      <alignment horizontal="center" vertical="center" wrapText="1"/>
    </xf>
    <xf numFmtId="167" fontId="36" fillId="0" borderId="7" xfId="150" applyNumberFormat="1" applyFont="1" applyBorder="1" applyAlignment="1">
      <alignment horizontal="center" vertical="center" wrapText="1"/>
    </xf>
    <xf numFmtId="167" fontId="36" fillId="0" borderId="8" xfId="0" applyNumberFormat="1" applyFont="1" applyBorder="1" applyAlignment="1">
      <alignment horizontal="center" vertical="center" wrapText="1"/>
    </xf>
    <xf numFmtId="167" fontId="36" fillId="0" borderId="7" xfId="0" applyNumberFormat="1" applyFont="1" applyBorder="1" applyAlignment="1">
      <alignment horizontal="center" vertical="center" wrapText="1"/>
    </xf>
    <xf numFmtId="0" fontId="29" fillId="0" borderId="4" xfId="18" applyFont="1" applyFill="1" applyBorder="1" applyAlignment="1">
      <alignment horizontal="left" vertical="center" wrapText="1"/>
    </xf>
    <xf numFmtId="167" fontId="29" fillId="0" borderId="8" xfId="150" applyNumberFormat="1" applyFont="1" applyBorder="1" applyAlignment="1">
      <alignment horizontal="center" vertical="center" wrapText="1"/>
    </xf>
    <xf numFmtId="167" fontId="29" fillId="0" borderId="7" xfId="150" applyNumberFormat="1" applyFont="1" applyBorder="1" applyAlignment="1">
      <alignment horizontal="center" vertical="center" wrapText="1"/>
    </xf>
    <xf numFmtId="167" fontId="29" fillId="0" borderId="1" xfId="0" applyNumberFormat="1" applyFont="1" applyBorder="1" applyAlignment="1">
      <alignment horizontal="center" vertical="center" wrapText="1"/>
    </xf>
    <xf numFmtId="0" fontId="29" fillId="2" borderId="4" xfId="18" applyFont="1" applyFill="1" applyBorder="1" applyAlignment="1">
      <alignment horizontal="left" vertical="center" wrapText="1"/>
    </xf>
    <xf numFmtId="167" fontId="36" fillId="2" borderId="8" xfId="18" applyNumberFormat="1" applyFont="1" applyFill="1" applyBorder="1" applyAlignment="1">
      <alignment horizontal="center" vertical="center" wrapText="1"/>
    </xf>
    <xf numFmtId="167" fontId="36" fillId="2" borderId="7" xfId="18" applyNumberFormat="1" applyFont="1" applyFill="1" applyBorder="1" applyAlignment="1">
      <alignment horizontal="center" vertical="center" wrapText="1"/>
    </xf>
    <xf numFmtId="167" fontId="36" fillId="2" borderId="1" xfId="18" applyNumberFormat="1" applyFont="1" applyFill="1" applyBorder="1" applyAlignment="1">
      <alignment horizontal="center" vertical="center" wrapText="1"/>
    </xf>
    <xf numFmtId="49" fontId="29" fillId="0" borderId="7" xfId="0" applyNumberFormat="1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167" fontId="29" fillId="2" borderId="6" xfId="0" applyNumberFormat="1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left" vertical="center" wrapText="1"/>
    </xf>
    <xf numFmtId="167" fontId="30" fillId="0" borderId="8" xfId="0" applyNumberFormat="1" applyFont="1" applyBorder="1" applyAlignment="1">
      <alignment horizontal="center" vertical="center"/>
    </xf>
    <xf numFmtId="167" fontId="30" fillId="0" borderId="7" xfId="0" applyNumberFormat="1" applyFont="1" applyBorder="1" applyAlignment="1">
      <alignment horizontal="center" vertical="center"/>
    </xf>
    <xf numFmtId="167" fontId="30" fillId="2" borderId="14" xfId="1" applyNumberFormat="1" applyFont="1" applyFill="1" applyBorder="1" applyAlignment="1">
      <alignment horizontal="center" vertical="center" wrapText="1"/>
    </xf>
    <xf numFmtId="167" fontId="30" fillId="2" borderId="9" xfId="1" applyNumberFormat="1" applyFont="1" applyFill="1" applyBorder="1" applyAlignment="1">
      <alignment horizontal="center" vertical="center" wrapText="1"/>
    </xf>
    <xf numFmtId="167" fontId="30" fillId="2" borderId="8" xfId="1" applyNumberFormat="1" applyFont="1" applyFill="1" applyBorder="1" applyAlignment="1">
      <alignment horizontal="center" vertical="center" wrapText="1"/>
    </xf>
    <xf numFmtId="167" fontId="30" fillId="2" borderId="7" xfId="1" applyNumberFormat="1" applyFont="1" applyFill="1" applyBorder="1" applyAlignment="1">
      <alignment horizontal="center" vertical="center" wrapText="1"/>
    </xf>
    <xf numFmtId="169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7" fontId="29" fillId="2" borderId="1" xfId="154" applyNumberFormat="1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left" vertical="center" wrapText="1"/>
    </xf>
    <xf numFmtId="0" fontId="30" fillId="2" borderId="10" xfId="0" applyFont="1" applyFill="1" applyBorder="1" applyAlignment="1">
      <alignment horizontal="left" vertical="center" wrapText="1"/>
    </xf>
    <xf numFmtId="169" fontId="30" fillId="0" borderId="8" xfId="0" applyNumberFormat="1" applyFont="1" applyFill="1" applyBorder="1" applyAlignment="1">
      <alignment horizontal="center" vertical="center" wrapText="1"/>
    </xf>
    <xf numFmtId="169" fontId="30" fillId="0" borderId="2" xfId="0" applyNumberFormat="1" applyFont="1" applyFill="1" applyBorder="1" applyAlignment="1">
      <alignment horizontal="center" vertical="center" wrapText="1"/>
    </xf>
    <xf numFmtId="169" fontId="30" fillId="0" borderId="7" xfId="0" applyNumberFormat="1" applyFont="1" applyFill="1" applyBorder="1" applyAlignment="1">
      <alignment horizontal="center" vertical="center" wrapText="1"/>
    </xf>
    <xf numFmtId="168" fontId="30" fillId="0" borderId="8" xfId="0" applyNumberFormat="1" applyFont="1" applyFill="1" applyBorder="1" applyAlignment="1">
      <alignment horizontal="center" vertical="center" wrapText="1"/>
    </xf>
    <xf numFmtId="168" fontId="30" fillId="0" borderId="2" xfId="0" applyNumberFormat="1" applyFont="1" applyFill="1" applyBorder="1" applyAlignment="1">
      <alignment horizontal="center" vertical="center" wrapText="1"/>
    </xf>
    <xf numFmtId="168" fontId="30" fillId="0" borderId="7" xfId="0" applyNumberFormat="1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167" fontId="29" fillId="0" borderId="8" xfId="3" applyNumberFormat="1" applyFont="1" applyFill="1" applyBorder="1" applyAlignment="1">
      <alignment horizontal="center" vertical="center" wrapText="1"/>
    </xf>
    <xf numFmtId="167" fontId="29" fillId="0" borderId="2" xfId="3" applyNumberFormat="1" applyFont="1" applyFill="1" applyBorder="1" applyAlignment="1">
      <alignment horizontal="center" vertical="center" wrapText="1"/>
    </xf>
    <xf numFmtId="167" fontId="29" fillId="0" borderId="7" xfId="3" applyNumberFormat="1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vertical="top" wrapText="1"/>
    </xf>
    <xf numFmtId="0" fontId="29" fillId="0" borderId="7" xfId="0" applyFont="1" applyFill="1" applyBorder="1" applyAlignment="1">
      <alignment vertical="top" wrapText="1"/>
    </xf>
    <xf numFmtId="3" fontId="29" fillId="0" borderId="8" xfId="0" applyNumberFormat="1" applyFont="1" applyFill="1" applyBorder="1" applyAlignment="1">
      <alignment horizontal="center" vertical="center" wrapText="1"/>
    </xf>
    <xf numFmtId="3" fontId="29" fillId="0" borderId="7" xfId="0" applyNumberFormat="1" applyFont="1" applyFill="1" applyBorder="1" applyAlignment="1">
      <alignment horizontal="center" vertical="center" wrapText="1"/>
    </xf>
    <xf numFmtId="3" fontId="29" fillId="0" borderId="8" xfId="0" applyNumberFormat="1" applyFont="1" applyFill="1" applyBorder="1" applyAlignment="1">
      <alignment horizontal="center" vertical="center"/>
    </xf>
    <xf numFmtId="3" fontId="29" fillId="0" borderId="7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 wrapText="1"/>
    </xf>
    <xf numFmtId="168" fontId="30" fillId="0" borderId="8" xfId="0" applyNumberFormat="1" applyFont="1" applyBorder="1" applyAlignment="1">
      <alignment horizontal="center" vertical="center"/>
    </xf>
    <xf numFmtId="168" fontId="30" fillId="0" borderId="7" xfId="0" applyNumberFormat="1" applyFont="1" applyBorder="1" applyAlignment="1">
      <alignment horizontal="center" vertical="center"/>
    </xf>
    <xf numFmtId="169" fontId="29" fillId="0" borderId="8" xfId="0" applyNumberFormat="1" applyFont="1" applyBorder="1" applyAlignment="1">
      <alignment horizontal="center" vertical="center"/>
    </xf>
    <xf numFmtId="169" fontId="29" fillId="0" borderId="7" xfId="0" applyNumberFormat="1" applyFont="1" applyBorder="1" applyAlignment="1">
      <alignment horizontal="center" vertical="center"/>
    </xf>
    <xf numFmtId="0" fontId="29" fillId="2" borderId="8" xfId="0" applyFont="1" applyFill="1" applyBorder="1" applyAlignment="1">
      <alignment horizontal="left" vertical="center"/>
    </xf>
    <xf numFmtId="0" fontId="29" fillId="2" borderId="7" xfId="0" applyFont="1" applyFill="1" applyBorder="1" applyAlignment="1">
      <alignment horizontal="left" vertical="center"/>
    </xf>
    <xf numFmtId="0" fontId="29" fillId="2" borderId="10" xfId="3" applyFont="1" applyFill="1" applyBorder="1" applyAlignment="1">
      <alignment horizontal="left" vertical="center" wrapText="1"/>
    </xf>
    <xf numFmtId="167" fontId="29" fillId="2" borderId="8" xfId="0" applyNumberFormat="1" applyFont="1" applyFill="1" applyBorder="1" applyAlignment="1">
      <alignment horizontal="center" vertical="center"/>
    </xf>
    <xf numFmtId="167" fontId="29" fillId="2" borderId="7" xfId="0" applyNumberFormat="1" applyFont="1" applyFill="1" applyBorder="1" applyAlignment="1">
      <alignment horizontal="center" vertical="center"/>
    </xf>
    <xf numFmtId="167" fontId="29" fillId="2" borderId="11" xfId="0" applyNumberFormat="1" applyFont="1" applyFill="1" applyBorder="1" applyAlignment="1">
      <alignment horizontal="center" vertical="center"/>
    </xf>
    <xf numFmtId="167" fontId="29" fillId="2" borderId="10" xfId="0" applyNumberFormat="1" applyFont="1" applyFill="1" applyBorder="1" applyAlignment="1">
      <alignment horizontal="center" vertical="center"/>
    </xf>
    <xf numFmtId="169" fontId="29" fillId="0" borderId="8" xfId="0" applyNumberFormat="1" applyFont="1" applyFill="1" applyBorder="1" applyAlignment="1">
      <alignment horizontal="center" vertical="top"/>
    </xf>
    <xf numFmtId="169" fontId="29" fillId="0" borderId="7" xfId="0" applyNumberFormat="1" applyFont="1" applyFill="1" applyBorder="1" applyAlignment="1">
      <alignment horizontal="center" vertical="top"/>
    </xf>
    <xf numFmtId="49" fontId="29" fillId="0" borderId="8" xfId="0" applyNumberFormat="1" applyFont="1" applyFill="1" applyBorder="1" applyAlignment="1">
      <alignment horizontal="center" vertical="top"/>
    </xf>
    <xf numFmtId="49" fontId="29" fillId="0" borderId="7" xfId="0" applyNumberFormat="1" applyFont="1" applyFill="1" applyBorder="1" applyAlignment="1">
      <alignment horizontal="center" vertical="top"/>
    </xf>
    <xf numFmtId="167" fontId="29" fillId="0" borderId="1" xfId="149" applyNumberFormat="1" applyFont="1" applyFill="1" applyBorder="1" applyAlignment="1">
      <alignment horizontal="center" vertical="center" wrapText="1"/>
    </xf>
    <xf numFmtId="169" fontId="29" fillId="0" borderId="2" xfId="0" applyNumberFormat="1" applyFont="1" applyFill="1" applyBorder="1" applyAlignment="1">
      <alignment horizontal="center" vertical="top"/>
    </xf>
    <xf numFmtId="49" fontId="29" fillId="0" borderId="1" xfId="0" applyNumberFormat="1" applyFont="1" applyFill="1" applyBorder="1" applyAlignment="1">
      <alignment horizontal="center" vertical="top"/>
    </xf>
    <xf numFmtId="0" fontId="29" fillId="0" borderId="1" xfId="0" applyFont="1" applyFill="1" applyBorder="1" applyAlignment="1">
      <alignment horizontal="left" vertical="top" wrapText="1"/>
    </xf>
    <xf numFmtId="49" fontId="29" fillId="0" borderId="4" xfId="0" applyNumberFormat="1" applyFont="1" applyFill="1" applyBorder="1" applyAlignment="1">
      <alignment horizontal="center" vertical="top"/>
    </xf>
    <xf numFmtId="167" fontId="30" fillId="0" borderId="6" xfId="149" applyNumberFormat="1" applyFont="1" applyFill="1" applyBorder="1" applyAlignment="1">
      <alignment horizontal="center" vertical="center" wrapText="1"/>
    </xf>
    <xf numFmtId="167" fontId="30" fillId="0" borderId="1" xfId="149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wrapText="1"/>
    </xf>
    <xf numFmtId="0" fontId="30" fillId="3" borderId="4" xfId="0" applyFont="1" applyFill="1" applyBorder="1" applyAlignment="1">
      <alignment wrapText="1"/>
    </xf>
    <xf numFmtId="0" fontId="29" fillId="0" borderId="4" xfId="0" applyFont="1" applyFill="1" applyBorder="1" applyAlignment="1">
      <alignment horizontal="center" vertical="top"/>
    </xf>
    <xf numFmtId="169" fontId="36" fillId="2" borderId="8" xfId="0" applyNumberFormat="1" applyFont="1" applyFill="1" applyBorder="1" applyAlignment="1">
      <alignment horizontal="center" vertical="center"/>
    </xf>
    <xf numFmtId="169" fontId="36" fillId="2" borderId="7" xfId="0" applyNumberFormat="1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vertical="center"/>
    </xf>
    <xf numFmtId="0" fontId="36" fillId="2" borderId="7" xfId="0" applyFont="1" applyFill="1" applyBorder="1" applyAlignment="1">
      <alignment vertical="center"/>
    </xf>
    <xf numFmtId="0" fontId="36" fillId="2" borderId="8" xfId="3" applyFont="1" applyFill="1" applyBorder="1" applyAlignment="1">
      <alignment vertical="center" wrapText="1"/>
    </xf>
    <xf numFmtId="0" fontId="36" fillId="2" borderId="7" xfId="3" applyFont="1" applyFill="1" applyBorder="1" applyAlignment="1">
      <alignment vertical="center" wrapText="1"/>
    </xf>
    <xf numFmtId="167" fontId="36" fillId="2" borderId="8" xfId="8" applyNumberFormat="1" applyFont="1" applyFill="1" applyBorder="1" applyAlignment="1">
      <alignment horizontal="center" vertical="center" wrapText="1"/>
    </xf>
    <xf numFmtId="167" fontId="36" fillId="2" borderId="7" xfId="8" applyNumberFormat="1" applyFont="1" applyFill="1" applyBorder="1" applyAlignment="1">
      <alignment horizontal="center" vertical="center" wrapText="1"/>
    </xf>
    <xf numFmtId="0" fontId="36" fillId="0" borderId="8" xfId="0" applyFont="1" applyBorder="1" applyAlignment="1">
      <alignment vertical="center" wrapText="1"/>
    </xf>
    <xf numFmtId="0" fontId="36" fillId="0" borderId="7" xfId="0" applyFont="1" applyBorder="1" applyAlignment="1">
      <alignment vertical="center" wrapText="1"/>
    </xf>
    <xf numFmtId="0" fontId="29" fillId="0" borderId="2" xfId="0" applyFont="1" applyFill="1" applyBorder="1" applyAlignment="1">
      <alignment horizontal="center"/>
    </xf>
    <xf numFmtId="0" fontId="29" fillId="2" borderId="8" xfId="3" applyFont="1" applyFill="1" applyBorder="1" applyAlignment="1">
      <alignment horizontal="left" vertical="center" wrapText="1"/>
    </xf>
    <xf numFmtId="0" fontId="29" fillId="2" borderId="2" xfId="3" applyFont="1" applyFill="1" applyBorder="1" applyAlignment="1">
      <alignment horizontal="left" vertical="center" wrapText="1"/>
    </xf>
    <xf numFmtId="167" fontId="29" fillId="0" borderId="8" xfId="8" applyNumberFormat="1" applyFont="1" applyFill="1" applyBorder="1" applyAlignment="1">
      <alignment horizontal="center" vertical="center" wrapText="1"/>
    </xf>
    <xf numFmtId="167" fontId="29" fillId="0" borderId="7" xfId="8" applyNumberFormat="1" applyFont="1" applyFill="1" applyBorder="1" applyAlignment="1">
      <alignment horizontal="center" vertical="center" wrapText="1"/>
    </xf>
    <xf numFmtId="167" fontId="29" fillId="0" borderId="1" xfId="8" applyNumberFormat="1" applyFont="1" applyFill="1" applyBorder="1" applyAlignment="1">
      <alignment horizontal="center" vertical="center" wrapText="1"/>
    </xf>
    <xf numFmtId="167" fontId="36" fillId="2" borderId="4" xfId="0" applyNumberFormat="1" applyFont="1" applyFill="1" applyBorder="1" applyAlignment="1">
      <alignment horizontal="center" vertical="center" wrapText="1"/>
    </xf>
    <xf numFmtId="167" fontId="36" fillId="2" borderId="5" xfId="0" applyNumberFormat="1" applyFont="1" applyFill="1" applyBorder="1" applyAlignment="1">
      <alignment horizontal="center" vertical="center" wrapText="1"/>
    </xf>
    <xf numFmtId="167" fontId="36" fillId="2" borderId="6" xfId="0" applyNumberFormat="1" applyFont="1" applyFill="1" applyBorder="1" applyAlignment="1">
      <alignment horizontal="center" vertical="center" wrapText="1"/>
    </xf>
    <xf numFmtId="169" fontId="29" fillId="0" borderId="2" xfId="0" applyNumberFormat="1" applyFont="1" applyBorder="1" applyAlignment="1">
      <alignment horizontal="center" vertical="center"/>
    </xf>
    <xf numFmtId="168" fontId="29" fillId="2" borderId="8" xfId="0" applyNumberFormat="1" applyFont="1" applyFill="1" applyBorder="1" applyAlignment="1">
      <alignment horizontal="center" vertical="center"/>
    </xf>
    <xf numFmtId="168" fontId="29" fillId="2" borderId="2" xfId="0" applyNumberFormat="1" applyFont="1" applyFill="1" applyBorder="1" applyAlignment="1">
      <alignment horizontal="center" vertical="center"/>
    </xf>
    <xf numFmtId="168" fontId="29" fillId="2" borderId="7" xfId="0" applyNumberFormat="1" applyFont="1" applyFill="1" applyBorder="1" applyAlignment="1">
      <alignment horizontal="center" vertical="center"/>
    </xf>
    <xf numFmtId="49" fontId="29" fillId="0" borderId="7" xfId="0" applyNumberFormat="1" applyFont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/>
    </xf>
    <xf numFmtId="49" fontId="29" fillId="2" borderId="2" xfId="0" applyNumberFormat="1" applyFont="1" applyFill="1" applyBorder="1" applyAlignment="1">
      <alignment horizontal="center"/>
    </xf>
    <xf numFmtId="49" fontId="29" fillId="2" borderId="7" xfId="0" applyNumberFormat="1" applyFont="1" applyFill="1" applyBorder="1" applyAlignment="1">
      <alignment horizontal="center"/>
    </xf>
    <xf numFmtId="0" fontId="29" fillId="2" borderId="3" xfId="0" applyFont="1" applyFill="1" applyBorder="1" applyAlignment="1">
      <alignment horizontal="left" vertical="center" wrapText="1"/>
    </xf>
    <xf numFmtId="167" fontId="29" fillId="0" borderId="2" xfId="0" applyNumberFormat="1" applyFont="1" applyBorder="1" applyAlignment="1">
      <alignment horizontal="center" vertical="center"/>
    </xf>
    <xf numFmtId="167" fontId="36" fillId="2" borderId="2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left" vertical="center" wrapText="1"/>
    </xf>
    <xf numFmtId="0" fontId="29" fillId="5" borderId="5" xfId="0" applyFont="1" applyFill="1" applyBorder="1" applyAlignment="1">
      <alignment horizontal="left" vertical="center" wrapText="1"/>
    </xf>
    <xf numFmtId="0" fontId="29" fillId="5" borderId="6" xfId="0" applyFont="1" applyFill="1" applyBorder="1" applyAlignment="1">
      <alignment horizontal="left" vertical="center" wrapText="1"/>
    </xf>
    <xf numFmtId="167" fontId="29" fillId="0" borderId="2" xfId="8" applyNumberFormat="1" applyFont="1" applyFill="1" applyBorder="1" applyAlignment="1">
      <alignment horizontal="center" vertical="center" wrapText="1"/>
    </xf>
    <xf numFmtId="169" fontId="38" fillId="2" borderId="8" xfId="0" applyNumberFormat="1" applyFont="1" applyFill="1" applyBorder="1" applyAlignment="1">
      <alignment horizontal="center" vertical="center" wrapText="1"/>
    </xf>
    <xf numFmtId="169" fontId="38" fillId="2" borderId="7" xfId="0" applyNumberFormat="1" applyFont="1" applyFill="1" applyBorder="1" applyAlignment="1">
      <alignment horizontal="center" vertical="center" wrapText="1"/>
    </xf>
    <xf numFmtId="49" fontId="36" fillId="2" borderId="8" xfId="0" applyNumberFormat="1" applyFont="1" applyFill="1" applyBorder="1" applyAlignment="1">
      <alignment horizontal="center" vertical="center"/>
    </xf>
    <xf numFmtId="49" fontId="36" fillId="2" borderId="7" xfId="0" applyNumberFormat="1" applyFont="1" applyFill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2" borderId="8" xfId="0" applyFont="1" applyFill="1" applyBorder="1" applyAlignment="1">
      <alignment horizontal="left" vertical="center" wrapText="1"/>
    </xf>
    <xf numFmtId="0" fontId="36" fillId="2" borderId="7" xfId="0" applyFont="1" applyFill="1" applyBorder="1" applyAlignment="1">
      <alignment horizontal="left" vertical="center" wrapText="1"/>
    </xf>
    <xf numFmtId="167" fontId="36" fillId="2" borderId="1" xfId="0" applyNumberFormat="1" applyFont="1" applyFill="1" applyBorder="1" applyAlignment="1">
      <alignment horizontal="center" vertical="center" wrapText="1"/>
    </xf>
    <xf numFmtId="169" fontId="30" fillId="2" borderId="1" xfId="0" applyNumberFormat="1" applyFont="1" applyFill="1" applyBorder="1" applyAlignment="1">
      <alignment horizontal="center" vertical="center" wrapText="1"/>
    </xf>
    <xf numFmtId="168" fontId="30" fillId="2" borderId="8" xfId="0" applyNumberFormat="1" applyFont="1" applyFill="1" applyBorder="1" applyAlignment="1">
      <alignment horizontal="center" vertical="center" wrapText="1"/>
    </xf>
    <xf numFmtId="168" fontId="30" fillId="2" borderId="7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169" fontId="30" fillId="2" borderId="8" xfId="0" applyNumberFormat="1" applyFont="1" applyFill="1" applyBorder="1" applyAlignment="1">
      <alignment horizontal="center" vertical="center" wrapText="1"/>
    </xf>
    <xf numFmtId="169" fontId="29" fillId="0" borderId="7" xfId="0" applyNumberFormat="1" applyFont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horizontal="right" vertical="center"/>
    </xf>
    <xf numFmtId="0" fontId="29" fillId="0" borderId="7" xfId="0" applyFont="1" applyBorder="1" applyAlignment="1">
      <alignment horizontal="right" vertical="center"/>
    </xf>
    <xf numFmtId="0" fontId="29" fillId="0" borderId="10" xfId="0" applyFont="1" applyBorder="1" applyAlignment="1">
      <alignment vertical="center" wrapText="1"/>
    </xf>
    <xf numFmtId="167" fontId="36" fillId="0" borderId="1" xfId="0" applyNumberFormat="1" applyFont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left" vertical="top" wrapText="1"/>
    </xf>
    <xf numFmtId="0" fontId="29" fillId="2" borderId="10" xfId="0" applyFont="1" applyFill="1" applyBorder="1" applyAlignment="1">
      <alignment horizontal="left" vertical="top" wrapText="1"/>
    </xf>
    <xf numFmtId="167" fontId="36" fillId="2" borderId="1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left" vertical="top" wrapText="1"/>
    </xf>
    <xf numFmtId="0" fontId="29" fillId="2" borderId="1" xfId="0" applyFont="1" applyFill="1" applyBorder="1" applyAlignment="1">
      <alignment horizontal="right" vertical="center"/>
    </xf>
    <xf numFmtId="167" fontId="30" fillId="2" borderId="6" xfId="1" applyNumberFormat="1" applyFont="1" applyFill="1" applyBorder="1" applyAlignment="1">
      <alignment horizontal="center" vertical="center" wrapText="1"/>
    </xf>
    <xf numFmtId="167" fontId="30" fillId="2" borderId="1" xfId="1" applyNumberFormat="1" applyFont="1" applyFill="1" applyBorder="1" applyAlignment="1">
      <alignment horizontal="center" vertical="center"/>
    </xf>
    <xf numFmtId="167" fontId="30" fillId="2" borderId="1" xfId="1" applyNumberFormat="1" applyFont="1" applyFill="1" applyBorder="1" applyAlignment="1">
      <alignment horizontal="center" vertical="center" wrapText="1"/>
    </xf>
    <xf numFmtId="169" fontId="29" fillId="0" borderId="8" xfId="0" applyNumberFormat="1" applyFont="1" applyFill="1" applyBorder="1" applyAlignment="1">
      <alignment horizontal="center"/>
    </xf>
    <xf numFmtId="169" fontId="29" fillId="0" borderId="2" xfId="0" applyNumberFormat="1" applyFont="1" applyFill="1" applyBorder="1" applyAlignment="1">
      <alignment horizontal="center"/>
    </xf>
    <xf numFmtId="169" fontId="29" fillId="0" borderId="7" xfId="0" applyNumberFormat="1" applyFont="1" applyFill="1" applyBorder="1" applyAlignment="1">
      <alignment horizontal="center"/>
    </xf>
    <xf numFmtId="168" fontId="29" fillId="0" borderId="8" xfId="0" applyNumberFormat="1" applyFont="1" applyFill="1" applyBorder="1" applyAlignment="1">
      <alignment horizontal="center"/>
    </xf>
    <xf numFmtId="168" fontId="29" fillId="0" borderId="2" xfId="0" applyNumberFormat="1" applyFont="1" applyFill="1" applyBorder="1" applyAlignment="1">
      <alignment horizontal="center"/>
    </xf>
    <xf numFmtId="168" fontId="29" fillId="0" borderId="7" xfId="0" applyNumberFormat="1" applyFont="1" applyFill="1" applyBorder="1" applyAlignment="1">
      <alignment horizontal="center"/>
    </xf>
    <xf numFmtId="0" fontId="29" fillId="3" borderId="5" xfId="0" applyFont="1" applyFill="1" applyBorder="1" applyAlignment="1">
      <alignment horizontal="left" wrapText="1"/>
    </xf>
    <xf numFmtId="0" fontId="29" fillId="3" borderId="6" xfId="0" applyFont="1" applyFill="1" applyBorder="1" applyAlignment="1">
      <alignment horizontal="left" wrapText="1"/>
    </xf>
    <xf numFmtId="0" fontId="29" fillId="2" borderId="8" xfId="0" applyFont="1" applyFill="1" applyBorder="1" applyAlignment="1">
      <alignment horizontal="right" vertical="center"/>
    </xf>
    <xf numFmtId="0" fontId="36" fillId="0" borderId="7" xfId="0" applyFont="1" applyBorder="1" applyAlignment="1">
      <alignment horizontal="right" vertical="center"/>
    </xf>
    <xf numFmtId="169" fontId="29" fillId="0" borderId="1" xfId="0" applyNumberFormat="1" applyFont="1" applyFill="1" applyBorder="1" applyAlignment="1">
      <alignment horizontal="center"/>
    </xf>
    <xf numFmtId="0" fontId="29" fillId="0" borderId="1" xfId="0" applyFont="1" applyFill="1" applyBorder="1" applyAlignment="1">
      <alignment horizontal="left" vertical="center" wrapText="1"/>
    </xf>
    <xf numFmtId="0" fontId="29" fillId="0" borderId="8" xfId="0" applyFont="1" applyFill="1" applyBorder="1" applyAlignment="1">
      <alignment horizontal="left" vertical="top" wrapText="1"/>
    </xf>
    <xf numFmtId="0" fontId="29" fillId="0" borderId="7" xfId="0" applyFont="1" applyFill="1" applyBorder="1" applyAlignment="1">
      <alignment horizontal="left" vertical="top" wrapText="1"/>
    </xf>
    <xf numFmtId="0" fontId="29" fillId="0" borderId="8" xfId="0" applyFont="1" applyFill="1" applyBorder="1" applyAlignment="1">
      <alignment horizontal="center" wrapText="1"/>
    </xf>
    <xf numFmtId="0" fontId="29" fillId="0" borderId="7" xfId="0" applyFont="1" applyFill="1" applyBorder="1" applyAlignment="1">
      <alignment horizontal="center" wrapText="1"/>
    </xf>
    <xf numFmtId="169" fontId="30" fillId="0" borderId="2" xfId="1" applyNumberFormat="1" applyFont="1" applyFill="1" applyBorder="1" applyAlignment="1">
      <alignment horizontal="center" vertical="center"/>
    </xf>
    <xf numFmtId="169" fontId="30" fillId="0" borderId="7" xfId="1" applyNumberFormat="1" applyFont="1" applyFill="1" applyBorder="1" applyAlignment="1">
      <alignment horizontal="center" vertical="center"/>
    </xf>
    <xf numFmtId="168" fontId="30" fillId="0" borderId="8" xfId="1" applyNumberFormat="1" applyFont="1" applyFill="1" applyBorder="1" applyAlignment="1">
      <alignment horizontal="center" vertical="center"/>
    </xf>
    <xf numFmtId="168" fontId="30" fillId="0" borderId="7" xfId="1" applyNumberFormat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left" vertical="center" wrapText="1"/>
    </xf>
    <xf numFmtId="0" fontId="30" fillId="0" borderId="7" xfId="0" applyFont="1" applyFill="1" applyBorder="1" applyAlignment="1">
      <alignment horizontal="left" vertical="center" wrapText="1"/>
    </xf>
    <xf numFmtId="167" fontId="30" fillId="0" borderId="8" xfId="0" applyNumberFormat="1" applyFont="1" applyFill="1" applyBorder="1" applyAlignment="1">
      <alignment horizontal="center" vertical="center"/>
    </xf>
    <xf numFmtId="167" fontId="30" fillId="0" borderId="7" xfId="0" applyNumberFormat="1" applyFont="1" applyFill="1" applyBorder="1" applyAlignment="1">
      <alignment horizontal="center" vertical="center"/>
    </xf>
    <xf numFmtId="168" fontId="29" fillId="0" borderId="2" xfId="0" applyNumberFormat="1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wrapText="1"/>
    </xf>
    <xf numFmtId="167" fontId="29" fillId="0" borderId="2" xfId="0" applyNumberFormat="1" applyFont="1" applyFill="1" applyBorder="1" applyAlignment="1">
      <alignment horizontal="center" vertical="center"/>
    </xf>
    <xf numFmtId="180" fontId="29" fillId="0" borderId="2" xfId="0" applyNumberFormat="1" applyFont="1" applyFill="1" applyBorder="1" applyAlignment="1">
      <alignment horizontal="center" vertical="center" wrapText="1"/>
    </xf>
    <xf numFmtId="180" fontId="29" fillId="0" borderId="7" xfId="0" applyNumberFormat="1" applyFont="1" applyFill="1" applyBorder="1" applyAlignment="1">
      <alignment horizontal="center" vertical="center" wrapText="1"/>
    </xf>
    <xf numFmtId="180" fontId="29" fillId="0" borderId="8" xfId="0" applyNumberFormat="1" applyFont="1" applyFill="1" applyBorder="1" applyAlignment="1">
      <alignment horizontal="left" vertical="center" wrapText="1"/>
    </xf>
    <xf numFmtId="180" fontId="29" fillId="0" borderId="2" xfId="0" applyNumberFormat="1" applyFont="1" applyFill="1" applyBorder="1" applyAlignment="1">
      <alignment horizontal="left" vertical="center" wrapText="1"/>
    </xf>
    <xf numFmtId="180" fontId="29" fillId="0" borderId="7" xfId="0" applyNumberFormat="1" applyFont="1" applyFill="1" applyBorder="1" applyAlignment="1">
      <alignment horizontal="left" vertical="center" wrapText="1"/>
    </xf>
    <xf numFmtId="180" fontId="29" fillId="0" borderId="8" xfId="0" applyNumberFormat="1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169" fontId="29" fillId="2" borderId="8" xfId="0" applyNumberFormat="1" applyFont="1" applyFill="1" applyBorder="1" applyAlignment="1">
      <alignment horizontal="center" vertical="center" wrapText="1"/>
    </xf>
    <xf numFmtId="169" fontId="29" fillId="2" borderId="2" xfId="0" applyNumberFormat="1" applyFont="1" applyFill="1" applyBorder="1" applyAlignment="1">
      <alignment horizontal="center" vertical="center" wrapText="1"/>
    </xf>
    <xf numFmtId="169" fontId="29" fillId="2" borderId="7" xfId="0" applyNumberFormat="1" applyFont="1" applyFill="1" applyBorder="1" applyAlignment="1">
      <alignment horizontal="center" vertical="center" wrapText="1"/>
    </xf>
    <xf numFmtId="168" fontId="29" fillId="2" borderId="2" xfId="0" applyNumberFormat="1" applyFont="1" applyFill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horizontal="center" vertical="center" wrapText="1"/>
    </xf>
    <xf numFmtId="49" fontId="29" fillId="2" borderId="2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169" fontId="30" fillId="2" borderId="2" xfId="0" applyNumberFormat="1" applyFont="1" applyFill="1" applyBorder="1" applyAlignment="1">
      <alignment horizontal="center" vertical="center" wrapText="1"/>
    </xf>
    <xf numFmtId="169" fontId="30" fillId="2" borderId="7" xfId="0" applyNumberFormat="1" applyFont="1" applyFill="1" applyBorder="1" applyAlignment="1">
      <alignment horizontal="center" vertical="center" wrapText="1"/>
    </xf>
    <xf numFmtId="168" fontId="30" fillId="2" borderId="2" xfId="0" applyNumberFormat="1" applyFont="1" applyFill="1" applyBorder="1" applyAlignment="1">
      <alignment horizontal="center" vertical="center" wrapText="1"/>
    </xf>
    <xf numFmtId="167" fontId="30" fillId="2" borderId="1" xfId="0" applyNumberFormat="1" applyFont="1" applyFill="1" applyBorder="1" applyAlignment="1">
      <alignment horizontal="center" vertical="center" wrapText="1"/>
    </xf>
    <xf numFmtId="169" fontId="30" fillId="6" borderId="4" xfId="0" applyNumberFormat="1" applyFont="1" applyFill="1" applyBorder="1" applyAlignment="1">
      <alignment horizontal="left" vertical="center"/>
    </xf>
    <xf numFmtId="169" fontId="30" fillId="6" borderId="5" xfId="0" applyNumberFormat="1" applyFont="1" applyFill="1" applyBorder="1" applyAlignment="1">
      <alignment horizontal="left" vertical="center"/>
    </xf>
    <xf numFmtId="169" fontId="30" fillId="6" borderId="6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 wrapText="1"/>
    </xf>
    <xf numFmtId="0" fontId="30" fillId="3" borderId="10" xfId="0" applyFont="1" applyFill="1" applyBorder="1" applyAlignment="1">
      <alignment wrapText="1"/>
    </xf>
    <xf numFmtId="0" fontId="30" fillId="3" borderId="13" xfId="0" applyFont="1" applyFill="1" applyBorder="1" applyAlignment="1">
      <alignment wrapText="1"/>
    </xf>
    <xf numFmtId="0" fontId="29" fillId="2" borderId="8" xfId="0" applyFont="1" applyFill="1" applyBorder="1" applyAlignment="1">
      <alignment vertical="center" wrapText="1"/>
    </xf>
    <xf numFmtId="0" fontId="29" fillId="2" borderId="7" xfId="0" applyFont="1" applyFill="1" applyBorder="1" applyAlignment="1">
      <alignment vertical="center" wrapText="1"/>
    </xf>
    <xf numFmtId="167" fontId="29" fillId="2" borderId="7" xfId="1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49" fontId="30" fillId="2" borderId="8" xfId="0" applyNumberFormat="1" applyFont="1" applyFill="1" applyBorder="1" applyAlignment="1">
      <alignment horizontal="center" vertical="center" wrapText="1"/>
    </xf>
    <xf numFmtId="49" fontId="30" fillId="2" borderId="7" xfId="0" applyNumberFormat="1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left" vertical="center" wrapText="1"/>
    </xf>
    <xf numFmtId="0" fontId="30" fillId="2" borderId="7" xfId="0" applyFont="1" applyFill="1" applyBorder="1" applyAlignment="1">
      <alignment horizontal="left" vertical="center" wrapText="1"/>
    </xf>
    <xf numFmtId="167" fontId="29" fillId="2" borderId="9" xfId="1" applyNumberFormat="1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167" fontId="29" fillId="2" borderId="2" xfId="1" applyNumberFormat="1" applyFont="1" applyFill="1" applyBorder="1" applyAlignment="1">
      <alignment horizontal="center" vertical="center" wrapText="1"/>
    </xf>
    <xf numFmtId="49" fontId="29" fillId="0" borderId="7" xfId="0" applyNumberFormat="1" applyFont="1" applyBorder="1" applyAlignment="1">
      <alignment horizontal="center" vertical="center" wrapText="1"/>
    </xf>
    <xf numFmtId="168" fontId="30" fillId="0" borderId="8" xfId="0" applyNumberFormat="1" applyFont="1" applyBorder="1" applyAlignment="1">
      <alignment horizontal="center" vertical="center" wrapText="1"/>
    </xf>
    <xf numFmtId="168" fontId="30" fillId="0" borderId="7" xfId="0" applyNumberFormat="1" applyFont="1" applyBorder="1" applyAlignment="1">
      <alignment horizontal="center" vertical="center" wrapText="1"/>
    </xf>
    <xf numFmtId="49" fontId="30" fillId="3" borderId="4" xfId="0" applyNumberFormat="1" applyFont="1" applyFill="1" applyBorder="1" applyAlignment="1">
      <alignment horizontal="left" vertical="center" wrapText="1"/>
    </xf>
    <xf numFmtId="49" fontId="30" fillId="3" borderId="5" xfId="0" applyNumberFormat="1" applyFont="1" applyFill="1" applyBorder="1" applyAlignment="1">
      <alignment horizontal="left" vertical="center" wrapText="1"/>
    </xf>
    <xf numFmtId="169" fontId="39" fillId="4" borderId="1" xfId="0" applyNumberFormat="1" applyFont="1" applyFill="1" applyBorder="1" applyAlignment="1">
      <alignment horizontal="center" vertical="center"/>
    </xf>
    <xf numFmtId="168" fontId="39" fillId="4" borderId="8" xfId="0" applyNumberFormat="1" applyFont="1" applyFill="1" applyBorder="1" applyAlignment="1">
      <alignment horizontal="center" vertical="center"/>
    </xf>
    <xf numFmtId="168" fontId="39" fillId="4" borderId="7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vertical="center" wrapText="1"/>
    </xf>
    <xf numFmtId="0" fontId="39" fillId="4" borderId="7" xfId="0" applyFont="1" applyFill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9" fontId="39" fillId="4" borderId="8" xfId="0" applyNumberFormat="1" applyFont="1" applyFill="1" applyBorder="1" applyAlignment="1">
      <alignment horizontal="center" vertical="center"/>
    </xf>
    <xf numFmtId="169" fontId="39" fillId="4" borderId="2" xfId="0" applyNumberFormat="1" applyFont="1" applyFill="1" applyBorder="1" applyAlignment="1">
      <alignment horizontal="center" vertical="center"/>
    </xf>
    <xf numFmtId="169" fontId="39" fillId="4" borderId="7" xfId="0" applyNumberFormat="1" applyFont="1" applyFill="1" applyBorder="1" applyAlignment="1">
      <alignment horizontal="center" vertical="center"/>
    </xf>
    <xf numFmtId="49" fontId="39" fillId="4" borderId="8" xfId="0" applyNumberFormat="1" applyFont="1" applyFill="1" applyBorder="1" applyAlignment="1">
      <alignment horizontal="center" vertical="center"/>
    </xf>
    <xf numFmtId="49" fontId="39" fillId="4" borderId="2" xfId="0" applyNumberFormat="1" applyFont="1" applyFill="1" applyBorder="1" applyAlignment="1">
      <alignment horizontal="center" vertical="center"/>
    </xf>
    <xf numFmtId="49" fontId="39" fillId="4" borderId="7" xfId="0" applyNumberFormat="1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left" vertical="center" wrapText="1"/>
    </xf>
    <xf numFmtId="0" fontId="39" fillId="0" borderId="7" xfId="0" applyFont="1" applyFill="1" applyBorder="1" applyAlignment="1">
      <alignment horizontal="left" vertical="center" wrapText="1"/>
    </xf>
    <xf numFmtId="167" fontId="39" fillId="0" borderId="8" xfId="0" applyNumberFormat="1" applyFont="1" applyFill="1" applyBorder="1" applyAlignment="1">
      <alignment horizontal="center" vertical="center" wrapText="1"/>
    </xf>
    <xf numFmtId="167" fontId="39" fillId="0" borderId="7" xfId="0" applyNumberFormat="1" applyFont="1" applyFill="1" applyBorder="1" applyAlignment="1">
      <alignment horizontal="center" vertical="center" wrapText="1"/>
    </xf>
    <xf numFmtId="168" fontId="39" fillId="4" borderId="2" xfId="0" applyNumberFormat="1" applyFont="1" applyFill="1" applyBorder="1" applyAlignment="1">
      <alignment horizontal="center" vertical="center"/>
    </xf>
    <xf numFmtId="167" fontId="39" fillId="0" borderId="1" xfId="0" applyNumberFormat="1" applyFont="1" applyFill="1" applyBorder="1" applyAlignment="1">
      <alignment horizontal="center" vertical="center" wrapText="1"/>
    </xf>
    <xf numFmtId="169" fontId="40" fillId="4" borderId="1" xfId="0" applyNumberFormat="1" applyFont="1" applyFill="1" applyBorder="1" applyAlignment="1">
      <alignment horizontal="center" vertical="center"/>
    </xf>
    <xf numFmtId="168" fontId="40" fillId="4" borderId="8" xfId="0" applyNumberFormat="1" applyFont="1" applyFill="1" applyBorder="1" applyAlignment="1">
      <alignment horizontal="center" vertical="center"/>
    </xf>
    <xf numFmtId="168" fontId="40" fillId="4" borderId="2" xfId="0" applyNumberFormat="1" applyFont="1" applyFill="1" applyBorder="1" applyAlignment="1">
      <alignment horizontal="center" vertical="center"/>
    </xf>
    <xf numFmtId="168" fontId="40" fillId="4" borderId="7" xfId="0" applyNumberFormat="1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left" vertical="center" wrapText="1"/>
    </xf>
    <xf numFmtId="167" fontId="40" fillId="0" borderId="1" xfId="0" applyNumberFormat="1" applyFont="1" applyFill="1" applyBorder="1" applyAlignment="1">
      <alignment horizontal="center" vertical="center" wrapText="1"/>
    </xf>
    <xf numFmtId="167" fontId="30" fillId="0" borderId="1" xfId="0" applyNumberFormat="1" applyFont="1" applyFill="1" applyBorder="1" applyAlignment="1">
      <alignment horizontal="center" vertical="center" wrapText="1"/>
    </xf>
    <xf numFmtId="167" fontId="29" fillId="3" borderId="1" xfId="0" applyNumberFormat="1" applyFont="1" applyFill="1" applyBorder="1" applyAlignment="1">
      <alignment horizontal="center"/>
    </xf>
    <xf numFmtId="0" fontId="39" fillId="0" borderId="8" xfId="0" applyFont="1" applyBorder="1" applyAlignment="1">
      <alignment vertical="center" wrapText="1"/>
    </xf>
    <xf numFmtId="0" fontId="39" fillId="0" borderId="7" xfId="0" applyFont="1" applyBorder="1" applyAlignment="1">
      <alignment vertical="center" wrapText="1"/>
    </xf>
    <xf numFmtId="169" fontId="40" fillId="4" borderId="8" xfId="0" applyNumberFormat="1" applyFont="1" applyFill="1" applyBorder="1" applyAlignment="1">
      <alignment horizontal="center" vertical="center"/>
    </xf>
    <xf numFmtId="169" fontId="40" fillId="4" borderId="2" xfId="0" applyNumberFormat="1" applyFont="1" applyFill="1" applyBorder="1" applyAlignment="1">
      <alignment horizontal="center" vertical="center"/>
    </xf>
    <xf numFmtId="169" fontId="40" fillId="4" borderId="7" xfId="0" applyNumberFormat="1" applyFont="1" applyFill="1" applyBorder="1" applyAlignment="1">
      <alignment horizontal="center" vertical="center"/>
    </xf>
    <xf numFmtId="167" fontId="40" fillId="0" borderId="8" xfId="0" applyNumberFormat="1" applyFont="1" applyFill="1" applyBorder="1" applyAlignment="1">
      <alignment horizontal="center" vertical="center" wrapText="1"/>
    </xf>
    <xf numFmtId="167" fontId="40" fillId="0" borderId="2" xfId="0" applyNumberFormat="1" applyFont="1" applyFill="1" applyBorder="1" applyAlignment="1">
      <alignment horizontal="center" vertical="center" wrapText="1"/>
    </xf>
    <xf numFmtId="167" fontId="40" fillId="0" borderId="7" xfId="0" applyNumberFormat="1" applyFont="1" applyFill="1" applyBorder="1" applyAlignment="1">
      <alignment horizontal="center" vertical="center" wrapText="1"/>
    </xf>
    <xf numFmtId="167" fontId="30" fillId="0" borderId="8" xfId="0" applyNumberFormat="1" applyFont="1" applyFill="1" applyBorder="1" applyAlignment="1">
      <alignment horizontal="center" vertical="center" wrapText="1"/>
    </xf>
    <xf numFmtId="167" fontId="30" fillId="0" borderId="2" xfId="0" applyNumberFormat="1" applyFont="1" applyFill="1" applyBorder="1" applyAlignment="1">
      <alignment horizontal="center" vertical="center" wrapText="1"/>
    </xf>
    <xf numFmtId="167" fontId="30" fillId="0" borderId="7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vertical="center" wrapText="1"/>
    </xf>
    <xf numFmtId="0" fontId="29" fillId="5" borderId="4" xfId="0" applyFont="1" applyFill="1" applyBorder="1" applyAlignment="1">
      <alignment horizontal="left" wrapText="1"/>
    </xf>
    <xf numFmtId="0" fontId="29" fillId="5" borderId="5" xfId="0" applyFont="1" applyFill="1" applyBorder="1" applyAlignment="1">
      <alignment horizontal="left" wrapText="1"/>
    </xf>
    <xf numFmtId="0" fontId="29" fillId="5" borderId="6" xfId="0" applyFont="1" applyFill="1" applyBorder="1" applyAlignment="1">
      <alignment horizontal="left" wrapText="1"/>
    </xf>
    <xf numFmtId="167" fontId="30" fillId="3" borderId="1" xfId="0" applyNumberFormat="1" applyFont="1" applyFill="1" applyBorder="1" applyAlignment="1">
      <alignment horizontal="center"/>
    </xf>
    <xf numFmtId="0" fontId="30" fillId="6" borderId="1" xfId="0" applyFont="1" applyFill="1" applyBorder="1" applyAlignment="1">
      <alignment horizontal="left" vertical="center" wrapText="1"/>
    </xf>
    <xf numFmtId="169" fontId="30" fillId="0" borderId="1" xfId="0" applyNumberFormat="1" applyFont="1" applyBorder="1" applyAlignment="1">
      <alignment horizontal="center" vertical="center"/>
    </xf>
    <xf numFmtId="168" fontId="30" fillId="0" borderId="2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4" xfId="3" applyFont="1" applyFill="1" applyBorder="1" applyAlignment="1">
      <alignment horizontal="left" vertical="center" wrapText="1"/>
    </xf>
    <xf numFmtId="168" fontId="38" fillId="2" borderId="8" xfId="0" applyNumberFormat="1" applyFont="1" applyFill="1" applyBorder="1" applyAlignment="1">
      <alignment horizontal="center" vertical="center"/>
    </xf>
    <xf numFmtId="168" fontId="38" fillId="2" borderId="7" xfId="0" applyNumberFormat="1" applyFont="1" applyFill="1" applyBorder="1" applyAlignment="1">
      <alignment horizontal="center" vertical="center"/>
    </xf>
    <xf numFmtId="167" fontId="36" fillId="0" borderId="8" xfId="0" applyNumberFormat="1" applyFont="1" applyFill="1" applyBorder="1" applyAlignment="1">
      <alignment horizontal="center" vertical="center" wrapText="1"/>
    </xf>
    <xf numFmtId="167" fontId="36" fillId="0" borderId="7" xfId="0" applyNumberFormat="1" applyFont="1" applyFill="1" applyBorder="1" applyAlignment="1">
      <alignment horizontal="center" vertical="center" wrapText="1"/>
    </xf>
    <xf numFmtId="168" fontId="38" fillId="2" borderId="2" xfId="0" applyNumberFormat="1" applyFont="1" applyFill="1" applyBorder="1" applyAlignment="1">
      <alignment horizontal="center" vertical="center"/>
    </xf>
    <xf numFmtId="49" fontId="36" fillId="2" borderId="2" xfId="0" applyNumberFormat="1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left" vertical="center" wrapText="1"/>
    </xf>
    <xf numFmtId="169" fontId="38" fillId="2" borderId="8" xfId="0" applyNumberFormat="1" applyFont="1" applyFill="1" applyBorder="1" applyAlignment="1">
      <alignment horizontal="center" vertical="center"/>
    </xf>
    <xf numFmtId="169" fontId="38" fillId="2" borderId="2" xfId="0" applyNumberFormat="1" applyFont="1" applyFill="1" applyBorder="1" applyAlignment="1">
      <alignment horizontal="center" vertical="center"/>
    </xf>
    <xf numFmtId="49" fontId="36" fillId="2" borderId="8" xfId="0" applyNumberFormat="1" applyFont="1" applyFill="1" applyBorder="1" applyAlignment="1">
      <alignment vertical="center"/>
    </xf>
    <xf numFmtId="49" fontId="36" fillId="2" borderId="2" xfId="0" applyNumberFormat="1" applyFont="1" applyFill="1" applyBorder="1" applyAlignment="1">
      <alignment vertical="center"/>
    </xf>
    <xf numFmtId="0" fontId="38" fillId="2" borderId="1" xfId="0" applyFont="1" applyFill="1" applyBorder="1" applyAlignment="1">
      <alignment vertical="center" wrapText="1"/>
    </xf>
    <xf numFmtId="0" fontId="36" fillId="2" borderId="8" xfId="0" applyFont="1" applyFill="1" applyBorder="1" applyAlignment="1">
      <alignment vertical="center" wrapText="1"/>
    </xf>
    <xf numFmtId="167" fontId="38" fillId="2" borderId="1" xfId="0" applyNumberFormat="1" applyFont="1" applyFill="1" applyBorder="1" applyAlignment="1">
      <alignment horizontal="center" vertical="center" wrapText="1"/>
    </xf>
    <xf numFmtId="167" fontId="38" fillId="2" borderId="8" xfId="0" applyNumberFormat="1" applyFont="1" applyFill="1" applyBorder="1" applyAlignment="1">
      <alignment horizontal="center" vertical="center" wrapText="1"/>
    </xf>
    <xf numFmtId="0" fontId="29" fillId="0" borderId="7" xfId="0" applyFont="1" applyBorder="1" applyAlignment="1">
      <alignment horizontal="center"/>
    </xf>
    <xf numFmtId="169" fontId="38" fillId="2" borderId="7" xfId="0" applyNumberFormat="1" applyFont="1" applyFill="1" applyBorder="1" applyAlignment="1">
      <alignment horizontal="center" vertical="center"/>
    </xf>
    <xf numFmtId="49" fontId="36" fillId="2" borderId="7" xfId="0" applyNumberFormat="1" applyFont="1" applyFill="1" applyBorder="1" applyAlignment="1">
      <alignment vertical="center"/>
    </xf>
    <xf numFmtId="0" fontId="36" fillId="2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horizontal="left" vertical="center" wrapText="1"/>
    </xf>
    <xf numFmtId="167" fontId="29" fillId="3" borderId="4" xfId="0" applyNumberFormat="1" applyFont="1" applyFill="1" applyBorder="1" applyAlignment="1">
      <alignment horizontal="center"/>
    </xf>
    <xf numFmtId="167" fontId="29" fillId="3" borderId="5" xfId="0" applyNumberFormat="1" applyFont="1" applyFill="1" applyBorder="1" applyAlignment="1">
      <alignment horizontal="center"/>
    </xf>
    <xf numFmtId="167" fontId="29" fillId="3" borderId="6" xfId="0" applyNumberFormat="1" applyFont="1" applyFill="1" applyBorder="1" applyAlignment="1">
      <alignment horizontal="center"/>
    </xf>
    <xf numFmtId="168" fontId="38" fillId="0" borderId="8" xfId="0" applyNumberFormat="1" applyFont="1" applyBorder="1" applyAlignment="1">
      <alignment horizontal="center" vertical="center"/>
    </xf>
    <xf numFmtId="168" fontId="38" fillId="0" borderId="7" xfId="0" applyNumberFormat="1" applyFont="1" applyBorder="1" applyAlignment="1">
      <alignment horizontal="center" vertical="center"/>
    </xf>
    <xf numFmtId="169" fontId="36" fillId="0" borderId="8" xfId="0" applyNumberFormat="1" applyFont="1" applyBorder="1" applyAlignment="1">
      <alignment horizontal="center" vertical="center"/>
    </xf>
    <xf numFmtId="169" fontId="36" fillId="0" borderId="7" xfId="0" applyNumberFormat="1" applyFont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/>
    </xf>
    <xf numFmtId="49" fontId="30" fillId="0" borderId="2" xfId="0" applyNumberFormat="1" applyFont="1" applyFill="1" applyBorder="1" applyAlignment="1">
      <alignment horizontal="center" vertical="center"/>
    </xf>
    <xf numFmtId="49" fontId="30" fillId="0" borderId="7" xfId="0" applyNumberFormat="1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 wrapText="1"/>
    </xf>
    <xf numFmtId="49" fontId="29" fillId="0" borderId="2" xfId="0" applyNumberFormat="1" applyFont="1" applyFill="1" applyBorder="1" applyAlignment="1">
      <alignment vertical="center"/>
    </xf>
    <xf numFmtId="0" fontId="29" fillId="2" borderId="8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166" fontId="36" fillId="2" borderId="8" xfId="0" applyNumberFormat="1" applyFont="1" applyFill="1" applyBorder="1" applyAlignment="1">
      <alignment horizontal="center" vertical="center" wrapText="1"/>
    </xf>
    <xf numFmtId="166" fontId="36" fillId="2" borderId="2" xfId="0" applyNumberFormat="1" applyFont="1" applyFill="1" applyBorder="1" applyAlignment="1">
      <alignment horizontal="center" vertical="center" wrapText="1"/>
    </xf>
    <xf numFmtId="166" fontId="36" fillId="2" borderId="7" xfId="0" applyNumberFormat="1" applyFont="1" applyFill="1" applyBorder="1" applyAlignment="1">
      <alignment horizontal="center" vertical="center" wrapText="1"/>
    </xf>
    <xf numFmtId="168" fontId="29" fillId="0" borderId="1" xfId="0" applyNumberFormat="1" applyFont="1" applyFill="1" applyBorder="1" applyAlignment="1">
      <alignment horizontal="center" vertical="center"/>
    </xf>
    <xf numFmtId="49" fontId="29" fillId="0" borderId="8" xfId="0" applyNumberFormat="1" applyFont="1" applyFill="1" applyBorder="1" applyAlignment="1">
      <alignment horizontal="left" vertical="center" wrapText="1"/>
    </xf>
    <xf numFmtId="49" fontId="29" fillId="0" borderId="2" xfId="0" applyNumberFormat="1" applyFont="1" applyFill="1" applyBorder="1" applyAlignment="1">
      <alignment horizontal="left" vertical="center" wrapText="1"/>
    </xf>
    <xf numFmtId="49" fontId="29" fillId="0" borderId="7" xfId="0" applyNumberFormat="1" applyFont="1" applyFill="1" applyBorder="1" applyAlignment="1">
      <alignment horizontal="left" vertical="center" wrapText="1"/>
    </xf>
    <xf numFmtId="167" fontId="30" fillId="0" borderId="2" xfId="0" applyNumberFormat="1" applyFont="1" applyFill="1" applyBorder="1" applyAlignment="1">
      <alignment horizontal="center" vertical="center"/>
    </xf>
    <xf numFmtId="168" fontId="30" fillId="3" borderId="4" xfId="0" applyNumberFormat="1" applyFont="1" applyFill="1" applyBorder="1" applyAlignment="1">
      <alignment horizontal="left" vertical="top" wrapText="1"/>
    </xf>
    <xf numFmtId="168" fontId="30" fillId="3" borderId="5" xfId="0" applyNumberFormat="1" applyFont="1" applyFill="1" applyBorder="1" applyAlignment="1">
      <alignment horizontal="left" vertical="top" wrapText="1"/>
    </xf>
    <xf numFmtId="169" fontId="29" fillId="0" borderId="8" xfId="0" applyNumberFormat="1" applyFont="1" applyBorder="1" applyAlignment="1">
      <alignment horizontal="center" vertical="center" wrapText="1"/>
    </xf>
    <xf numFmtId="168" fontId="29" fillId="0" borderId="8" xfId="0" applyNumberFormat="1" applyFont="1" applyBorder="1" applyAlignment="1">
      <alignment horizontal="center" vertical="center" wrapText="1"/>
    </xf>
    <xf numFmtId="168" fontId="29" fillId="0" borderId="7" xfId="0" applyNumberFormat="1" applyFont="1" applyBorder="1" applyAlignment="1">
      <alignment horizontal="center" vertical="center" wrapText="1"/>
    </xf>
    <xf numFmtId="49" fontId="29" fillId="0" borderId="8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/>
    </xf>
    <xf numFmtId="171" fontId="29" fillId="0" borderId="8" xfId="37" applyNumberFormat="1" applyFont="1" applyBorder="1" applyAlignment="1">
      <alignment horizontal="center" vertical="center"/>
    </xf>
    <xf numFmtId="171" fontId="29" fillId="0" borderId="7" xfId="37" applyNumberFormat="1" applyFont="1" applyBorder="1" applyAlignment="1">
      <alignment horizontal="center" vertical="center"/>
    </xf>
    <xf numFmtId="0" fontId="29" fillId="0" borderId="8" xfId="0" applyFont="1" applyFill="1" applyBorder="1" applyAlignment="1">
      <alignment horizontal="right" vertical="center"/>
    </xf>
    <xf numFmtId="0" fontId="29" fillId="0" borderId="2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right" vertical="center"/>
    </xf>
    <xf numFmtId="167" fontId="29" fillId="0" borderId="2" xfId="1" applyNumberFormat="1" applyFont="1" applyFill="1" applyBorder="1" applyAlignment="1">
      <alignment horizontal="center" vertical="center" wrapText="1"/>
    </xf>
    <xf numFmtId="174" fontId="29" fillId="0" borderId="31" xfId="37" applyNumberFormat="1" applyFont="1" applyFill="1" applyBorder="1" applyAlignment="1">
      <alignment horizontal="center" vertical="center"/>
    </xf>
    <xf numFmtId="174" fontId="29" fillId="0" borderId="2" xfId="37" applyNumberFormat="1" applyFont="1" applyFill="1" applyBorder="1" applyAlignment="1">
      <alignment horizontal="center" vertical="center"/>
    </xf>
    <xf numFmtId="174" fontId="29" fillId="0" borderId="7" xfId="37" applyNumberFormat="1" applyFont="1" applyFill="1" applyBorder="1" applyAlignment="1">
      <alignment horizontal="center" vertical="center"/>
    </xf>
    <xf numFmtId="49" fontId="29" fillId="0" borderId="31" xfId="0" applyNumberFormat="1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left" vertical="center" wrapText="1"/>
    </xf>
    <xf numFmtId="174" fontId="29" fillId="0" borderId="31" xfId="37" applyNumberFormat="1" applyFont="1" applyFill="1" applyBorder="1" applyAlignment="1">
      <alignment horizontal="center" vertical="center" wrapText="1"/>
    </xf>
    <xf numFmtId="174" fontId="29" fillId="0" borderId="7" xfId="37" applyNumberFormat="1" applyFont="1" applyFill="1" applyBorder="1" applyAlignment="1">
      <alignment horizontal="center" vertical="center" wrapText="1"/>
    </xf>
    <xf numFmtId="171" fontId="29" fillId="0" borderId="31" xfId="0" applyNumberFormat="1" applyFont="1" applyFill="1" applyBorder="1" applyAlignment="1">
      <alignment horizontal="center" vertical="center"/>
    </xf>
    <xf numFmtId="171" fontId="29" fillId="0" borderId="2" xfId="0" applyNumberFormat="1" applyFont="1" applyFill="1" applyBorder="1" applyAlignment="1">
      <alignment horizontal="center" vertical="center"/>
    </xf>
    <xf numFmtId="171" fontId="29" fillId="0" borderId="7" xfId="0" applyNumberFormat="1" applyFont="1" applyFill="1" applyBorder="1" applyAlignment="1">
      <alignment horizontal="center" vertical="center"/>
    </xf>
    <xf numFmtId="0" fontId="29" fillId="0" borderId="31" xfId="0" applyNumberFormat="1" applyFont="1" applyFill="1" applyBorder="1" applyAlignment="1">
      <alignment horizontal="left" vertical="center" wrapText="1"/>
    </xf>
    <xf numFmtId="0" fontId="29" fillId="0" borderId="7" xfId="0" applyNumberFormat="1" applyFont="1" applyFill="1" applyBorder="1" applyAlignment="1">
      <alignment horizontal="left" vertical="center" wrapText="1"/>
    </xf>
    <xf numFmtId="171" fontId="29" fillId="0" borderId="31" xfId="37" applyNumberFormat="1" applyFont="1" applyFill="1" applyBorder="1" applyAlignment="1">
      <alignment horizontal="center" vertical="center" wrapText="1"/>
    </xf>
    <xf numFmtId="171" fontId="29" fillId="0" borderId="2" xfId="37" applyNumberFormat="1" applyFont="1" applyFill="1" applyBorder="1" applyAlignment="1">
      <alignment horizontal="center" vertical="center" wrapText="1"/>
    </xf>
    <xf numFmtId="171" fontId="29" fillId="0" borderId="7" xfId="37" applyNumberFormat="1" applyFont="1" applyFill="1" applyBorder="1" applyAlignment="1">
      <alignment horizontal="center" vertical="center" wrapText="1"/>
    </xf>
    <xf numFmtId="174" fontId="29" fillId="0" borderId="31" xfId="0" applyNumberFormat="1" applyFont="1" applyFill="1" applyBorder="1" applyAlignment="1">
      <alignment horizontal="center" vertical="center"/>
    </xf>
    <xf numFmtId="174" fontId="29" fillId="0" borderId="2" xfId="0" applyNumberFormat="1" applyFont="1" applyFill="1" applyBorder="1" applyAlignment="1">
      <alignment horizontal="center" vertical="center"/>
    </xf>
    <xf numFmtId="174" fontId="29" fillId="0" borderId="7" xfId="0" applyNumberFormat="1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vertical="center" wrapText="1"/>
    </xf>
    <xf numFmtId="0" fontId="29" fillId="0" borderId="2" xfId="0" applyNumberFormat="1" applyFont="1" applyFill="1" applyBorder="1" applyAlignment="1">
      <alignment horizontal="left" vertical="center" wrapText="1"/>
    </xf>
    <xf numFmtId="174" fontId="29" fillId="0" borderId="2" xfId="37" applyNumberFormat="1" applyFont="1" applyFill="1" applyBorder="1" applyAlignment="1">
      <alignment horizontal="center" vertical="center" wrapText="1"/>
    </xf>
    <xf numFmtId="174" fontId="29" fillId="0" borderId="1" xfId="37" applyNumberFormat="1" applyFont="1" applyFill="1" applyBorder="1" applyAlignment="1">
      <alignment horizontal="center" vertical="center" wrapText="1"/>
    </xf>
    <xf numFmtId="167" fontId="29" fillId="0" borderId="30" xfId="1" applyNumberFormat="1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167" fontId="30" fillId="0" borderId="8" xfId="1" applyNumberFormat="1" applyFont="1" applyFill="1" applyBorder="1" applyAlignment="1">
      <alignment horizontal="center" vertical="center" wrapText="1"/>
    </xf>
    <xf numFmtId="176" fontId="29" fillId="0" borderId="31" xfId="0" applyNumberFormat="1" applyFont="1" applyFill="1" applyBorder="1" applyAlignment="1">
      <alignment horizontal="center" vertical="center"/>
    </xf>
    <xf numFmtId="176" fontId="29" fillId="0" borderId="7" xfId="0" applyNumberFormat="1" applyFont="1" applyFill="1" applyBorder="1" applyAlignment="1">
      <alignment horizontal="center" vertical="center"/>
    </xf>
    <xf numFmtId="49" fontId="29" fillId="0" borderId="32" xfId="0" applyNumberFormat="1" applyFont="1" applyFill="1" applyBorder="1" applyAlignment="1">
      <alignment horizontal="center" vertical="top"/>
    </xf>
    <xf numFmtId="49" fontId="29" fillId="0" borderId="10" xfId="0" applyNumberFormat="1" applyFont="1" applyFill="1" applyBorder="1" applyAlignment="1">
      <alignment horizontal="center" vertical="top"/>
    </xf>
    <xf numFmtId="49" fontId="36" fillId="0" borderId="14" xfId="0" applyNumberFormat="1" applyFont="1" applyFill="1" applyBorder="1" applyAlignment="1">
      <alignment horizontal="center" vertical="center"/>
    </xf>
    <xf numFmtId="49" fontId="36" fillId="0" borderId="9" xfId="0" applyNumberFormat="1" applyFont="1" applyFill="1" applyBorder="1" applyAlignment="1">
      <alignment horizontal="center" vertical="center"/>
    </xf>
    <xf numFmtId="49" fontId="29" fillId="0" borderId="2" xfId="0" applyNumberFormat="1" applyFont="1" applyFill="1" applyBorder="1" applyAlignment="1">
      <alignment horizontal="center" vertical="top"/>
    </xf>
    <xf numFmtId="0" fontId="30" fillId="6" borderId="34" xfId="0" applyFont="1" applyFill="1" applyBorder="1" applyAlignment="1">
      <alignment horizontal="left" vertical="center" wrapText="1"/>
    </xf>
    <xf numFmtId="167" fontId="30" fillId="0" borderId="33" xfId="1" applyNumberFormat="1" applyFont="1" applyFill="1" applyBorder="1" applyAlignment="1">
      <alignment horizontal="center" vertical="center" wrapText="1"/>
    </xf>
    <xf numFmtId="167" fontId="30" fillId="0" borderId="9" xfId="1" applyNumberFormat="1" applyFont="1" applyFill="1" applyBorder="1" applyAlignment="1">
      <alignment horizontal="center" vertical="center" wrapText="1"/>
    </xf>
    <xf numFmtId="0" fontId="36" fillId="0" borderId="31" xfId="0" applyFont="1" applyFill="1" applyBorder="1" applyAlignment="1">
      <alignment vertical="center" wrapText="1"/>
    </xf>
    <xf numFmtId="0" fontId="36" fillId="0" borderId="2" xfId="0" applyFont="1" applyFill="1" applyBorder="1" applyAlignment="1">
      <alignment vertical="center" wrapText="1"/>
    </xf>
    <xf numFmtId="0" fontId="36" fillId="0" borderId="7" xfId="0" applyFont="1" applyFill="1" applyBorder="1" applyAlignment="1">
      <alignment vertical="center" wrapText="1"/>
    </xf>
    <xf numFmtId="176" fontId="36" fillId="0" borderId="31" xfId="0" applyNumberFormat="1" applyFont="1" applyFill="1" applyBorder="1" applyAlignment="1">
      <alignment horizontal="center" vertical="center" wrapText="1"/>
    </xf>
    <xf numFmtId="176" fontId="36" fillId="0" borderId="2" xfId="0" applyNumberFormat="1" applyFont="1" applyFill="1" applyBorder="1" applyAlignment="1">
      <alignment horizontal="center" vertical="center" wrapText="1"/>
    </xf>
    <xf numFmtId="176" fontId="36" fillId="0" borderId="7" xfId="0" applyNumberFormat="1" applyFont="1" applyFill="1" applyBorder="1" applyAlignment="1">
      <alignment horizontal="center" vertical="center" wrapText="1"/>
    </xf>
    <xf numFmtId="0" fontId="29" fillId="0" borderId="4" xfId="4" applyFont="1" applyFill="1" applyBorder="1" applyAlignment="1">
      <alignment horizontal="left" vertical="center" wrapText="1"/>
    </xf>
    <xf numFmtId="0" fontId="36" fillId="0" borderId="1" xfId="0" applyFont="1" applyBorder="1" applyAlignment="1">
      <alignment horizontal="center" vertical="center"/>
    </xf>
    <xf numFmtId="169" fontId="29" fillId="0" borderId="33" xfId="0" applyNumberFormat="1" applyFont="1" applyFill="1" applyBorder="1" applyAlignment="1">
      <alignment horizontal="center" vertical="center"/>
    </xf>
    <xf numFmtId="169" fontId="29" fillId="0" borderId="12" xfId="0" applyNumberFormat="1" applyFont="1" applyFill="1" applyBorder="1" applyAlignment="1">
      <alignment horizontal="center" vertical="center"/>
    </xf>
    <xf numFmtId="169" fontId="29" fillId="0" borderId="9" xfId="0" applyNumberFormat="1" applyFont="1" applyFill="1" applyBorder="1" applyAlignment="1">
      <alignment horizontal="center" vertical="center"/>
    </xf>
    <xf numFmtId="169" fontId="30" fillId="0" borderId="8" xfId="0" applyNumberFormat="1" applyFont="1" applyFill="1" applyBorder="1" applyAlignment="1">
      <alignment horizontal="center" vertical="top"/>
    </xf>
    <xf numFmtId="169" fontId="30" fillId="0" borderId="2" xfId="0" applyNumberFormat="1" applyFont="1" applyFill="1" applyBorder="1" applyAlignment="1">
      <alignment horizontal="center" vertical="top"/>
    </xf>
    <xf numFmtId="169" fontId="30" fillId="0" borderId="7" xfId="0" applyNumberFormat="1" applyFont="1" applyFill="1" applyBorder="1" applyAlignment="1">
      <alignment horizontal="center" vertical="top"/>
    </xf>
    <xf numFmtId="169" fontId="30" fillId="0" borderId="1" xfId="0" applyNumberFormat="1" applyFont="1" applyFill="1" applyBorder="1" applyAlignment="1">
      <alignment horizontal="center" vertical="top"/>
    </xf>
    <xf numFmtId="0" fontId="29" fillId="0" borderId="31" xfId="0" applyFont="1" applyFill="1" applyBorder="1" applyAlignment="1">
      <alignment horizontal="center" vertical="top" wrapText="1"/>
    </xf>
    <xf numFmtId="0" fontId="29" fillId="0" borderId="7" xfId="0" applyFont="1" applyFill="1" applyBorder="1" applyAlignment="1">
      <alignment horizontal="center" vertical="top" wrapText="1"/>
    </xf>
    <xf numFmtId="0" fontId="29" fillId="0" borderId="31" xfId="0" applyFont="1" applyFill="1" applyBorder="1" applyAlignment="1">
      <alignment horizontal="left" vertical="top" wrapText="1"/>
    </xf>
    <xf numFmtId="169" fontId="30" fillId="0" borderId="31" xfId="0" applyNumberFormat="1" applyFont="1" applyFill="1" applyBorder="1" applyAlignment="1">
      <alignment horizontal="center" vertical="top"/>
    </xf>
    <xf numFmtId="167" fontId="30" fillId="0" borderId="7" xfId="1" applyNumberFormat="1" applyFont="1" applyFill="1" applyBorder="1" applyAlignment="1">
      <alignment horizontal="center" vertical="center" wrapText="1"/>
    </xf>
    <xf numFmtId="167" fontId="30" fillId="0" borderId="6" xfId="1" applyNumberFormat="1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top"/>
    </xf>
    <xf numFmtId="0" fontId="29" fillId="0" borderId="7" xfId="0" applyFont="1" applyFill="1" applyBorder="1" applyAlignment="1">
      <alignment horizontal="center" vertical="top"/>
    </xf>
    <xf numFmtId="0" fontId="36" fillId="0" borderId="14" xfId="0" applyFont="1" applyFill="1" applyBorder="1" applyAlignment="1">
      <alignment horizontal="center"/>
    </xf>
    <xf numFmtId="0" fontId="36" fillId="0" borderId="12" xfId="0" applyFont="1" applyFill="1" applyBorder="1" applyAlignment="1">
      <alignment horizontal="center"/>
    </xf>
    <xf numFmtId="167" fontId="29" fillId="0" borderId="29" xfId="1" applyNumberFormat="1" applyFont="1" applyFill="1" applyBorder="1" applyAlignment="1">
      <alignment horizontal="center" vertical="center" wrapText="1"/>
    </xf>
    <xf numFmtId="0" fontId="29" fillId="0" borderId="32" xfId="4" applyFont="1" applyFill="1" applyBorder="1" applyAlignment="1">
      <alignment horizontal="left" vertical="center" wrapText="1"/>
    </xf>
    <xf numFmtId="0" fontId="29" fillId="0" borderId="3" xfId="4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30" fillId="2" borderId="8" xfId="3" applyFont="1" applyFill="1" applyBorder="1" applyAlignment="1">
      <alignment horizontal="left" vertical="center" wrapText="1"/>
    </xf>
    <xf numFmtId="0" fontId="30" fillId="2" borderId="7" xfId="3" applyFont="1" applyFill="1" applyBorder="1" applyAlignment="1">
      <alignment horizontal="left" vertical="center" wrapText="1"/>
    </xf>
    <xf numFmtId="169" fontId="30" fillId="4" borderId="8" xfId="0" applyNumberFormat="1" applyFont="1" applyFill="1" applyBorder="1" applyAlignment="1">
      <alignment horizontal="center" vertical="center"/>
    </xf>
    <xf numFmtId="169" fontId="30" fillId="4" borderId="7" xfId="0" applyNumberFormat="1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 wrapText="1"/>
    </xf>
    <xf numFmtId="0" fontId="29" fillId="0" borderId="31" xfId="4" applyFont="1" applyFill="1" applyBorder="1" applyAlignment="1">
      <alignment horizontal="left" vertical="center" wrapText="1"/>
    </xf>
    <xf numFmtId="0" fontId="29" fillId="0" borderId="7" xfId="4" applyFont="1" applyFill="1" applyBorder="1" applyAlignment="1">
      <alignment horizontal="left" vertical="center" wrapText="1"/>
    </xf>
    <xf numFmtId="177" fontId="39" fillId="2" borderId="31" xfId="0" applyNumberFormat="1" applyFont="1" applyFill="1" applyBorder="1" applyAlignment="1">
      <alignment horizontal="center" vertical="center" wrapText="1"/>
    </xf>
    <xf numFmtId="177" fontId="36" fillId="2" borderId="7" xfId="0" applyNumberFormat="1" applyFont="1" applyFill="1" applyBorder="1" applyAlignment="1">
      <alignment horizontal="center" vertical="center"/>
    </xf>
    <xf numFmtId="3" fontId="29" fillId="0" borderId="31" xfId="4" applyNumberFormat="1" applyFont="1" applyFill="1" applyBorder="1" applyAlignment="1">
      <alignment horizontal="center" vertical="center" wrapText="1"/>
    </xf>
    <xf numFmtId="3" fontId="29" fillId="0" borderId="7" xfId="4" applyNumberFormat="1" applyFont="1" applyFill="1" applyBorder="1" applyAlignment="1">
      <alignment horizontal="center" vertical="center" wrapText="1"/>
    </xf>
    <xf numFmtId="0" fontId="29" fillId="0" borderId="31" xfId="4" applyFont="1" applyFill="1" applyBorder="1" applyAlignment="1">
      <alignment horizontal="left" vertical="top" wrapText="1"/>
    </xf>
    <xf numFmtId="0" fontId="29" fillId="0" borderId="7" xfId="4" applyFont="1" applyFill="1" applyBorder="1" applyAlignment="1">
      <alignment horizontal="left" vertical="top" wrapText="1"/>
    </xf>
    <xf numFmtId="0" fontId="29" fillId="0" borderId="31" xfId="4" applyFont="1" applyFill="1" applyBorder="1" applyAlignment="1">
      <alignment horizontal="center" vertical="center" wrapText="1"/>
    </xf>
    <xf numFmtId="0" fontId="29" fillId="0" borderId="7" xfId="4" applyFont="1" applyFill="1" applyBorder="1" applyAlignment="1">
      <alignment horizontal="center" vertical="center" wrapText="1"/>
    </xf>
    <xf numFmtId="167" fontId="39" fillId="0" borderId="31" xfId="4" applyNumberFormat="1" applyFont="1" applyFill="1" applyBorder="1" applyAlignment="1">
      <alignment horizontal="center" vertical="center" wrapText="1"/>
    </xf>
    <xf numFmtId="167" fontId="39" fillId="0" borderId="2" xfId="4" applyNumberFormat="1" applyFont="1" applyFill="1" applyBorder="1" applyAlignment="1">
      <alignment horizontal="center" vertical="center" wrapText="1"/>
    </xf>
    <xf numFmtId="167" fontId="39" fillId="0" borderId="7" xfId="4" applyNumberFormat="1" applyFont="1" applyFill="1" applyBorder="1" applyAlignment="1">
      <alignment horizontal="center" vertical="center" wrapText="1"/>
    </xf>
    <xf numFmtId="167" fontId="39" fillId="2" borderId="31" xfId="4" applyNumberFormat="1" applyFont="1" applyFill="1" applyBorder="1" applyAlignment="1">
      <alignment horizontal="center" vertical="center" wrapText="1"/>
    </xf>
    <xf numFmtId="167" fontId="39" fillId="2" borderId="2" xfId="4" applyNumberFormat="1" applyFont="1" applyFill="1" applyBorder="1" applyAlignment="1">
      <alignment horizontal="center" vertical="center" wrapText="1"/>
    </xf>
    <xf numFmtId="167" fontId="39" fillId="2" borderId="7" xfId="4" applyNumberFormat="1" applyFont="1" applyFill="1" applyBorder="1" applyAlignment="1">
      <alignment horizontal="center" vertical="center" wrapText="1"/>
    </xf>
    <xf numFmtId="168" fontId="30" fillId="0" borderId="31" xfId="152" applyNumberFormat="1" applyFont="1" applyBorder="1" applyAlignment="1">
      <alignment horizontal="center" vertical="top"/>
    </xf>
    <xf numFmtId="168" fontId="30" fillId="0" borderId="7" xfId="152" applyNumberFormat="1" applyFont="1" applyBorder="1" applyAlignment="1">
      <alignment horizontal="center" vertical="top"/>
    </xf>
    <xf numFmtId="167" fontId="30" fillId="3" borderId="26" xfId="0" applyNumberFormat="1" applyFont="1" applyFill="1" applyBorder="1" applyAlignment="1">
      <alignment horizontal="center"/>
    </xf>
    <xf numFmtId="167" fontId="30" fillId="3" borderId="27" xfId="0" applyNumberFormat="1" applyFont="1" applyFill="1" applyBorder="1" applyAlignment="1">
      <alignment horizontal="center"/>
    </xf>
    <xf numFmtId="167" fontId="30" fillId="3" borderId="28" xfId="0" applyNumberFormat="1" applyFont="1" applyFill="1" applyBorder="1" applyAlignment="1">
      <alignment horizontal="center"/>
    </xf>
    <xf numFmtId="0" fontId="29" fillId="4" borderId="8" xfId="0" applyFont="1" applyFill="1" applyBorder="1" applyAlignment="1">
      <alignment horizontal="left" vertical="center" wrapText="1"/>
    </xf>
    <xf numFmtId="0" fontId="29" fillId="4" borderId="7" xfId="0" applyFont="1" applyFill="1" applyBorder="1" applyAlignment="1">
      <alignment horizontal="left" vertical="center" wrapText="1"/>
    </xf>
    <xf numFmtId="0" fontId="30" fillId="4" borderId="8" xfId="0" applyFont="1" applyFill="1" applyBorder="1" applyAlignment="1">
      <alignment horizontal="center" vertical="center" wrapText="1"/>
    </xf>
    <xf numFmtId="0" fontId="30" fillId="4" borderId="7" xfId="0" applyFont="1" applyFill="1" applyBorder="1" applyAlignment="1">
      <alignment horizontal="center" vertical="center" wrapText="1"/>
    </xf>
    <xf numFmtId="0" fontId="30" fillId="0" borderId="32" xfId="4" applyFont="1" applyFill="1" applyBorder="1" applyAlignment="1">
      <alignment horizontal="left" vertical="top" wrapText="1"/>
    </xf>
    <xf numFmtId="0" fontId="29" fillId="0" borderId="10" xfId="0" applyFont="1" applyFill="1" applyBorder="1" applyAlignment="1">
      <alignment horizontal="left" vertical="top" wrapText="1"/>
    </xf>
    <xf numFmtId="0" fontId="30" fillId="0" borderId="8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2" borderId="31" xfId="3" applyFont="1" applyFill="1" applyBorder="1" applyAlignment="1">
      <alignment horizontal="left" vertical="center" wrapText="1"/>
    </xf>
    <xf numFmtId="0" fontId="29" fillId="2" borderId="7" xfId="3" applyFont="1" applyFill="1" applyBorder="1" applyAlignment="1">
      <alignment horizontal="left" vertical="center" wrapText="1"/>
    </xf>
    <xf numFmtId="0" fontId="30" fillId="6" borderId="32" xfId="0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center" vertical="top"/>
    </xf>
    <xf numFmtId="167" fontId="29" fillId="0" borderId="31" xfId="1" applyNumberFormat="1" applyFont="1" applyFill="1" applyBorder="1" applyAlignment="1">
      <alignment horizontal="center" vertical="center" wrapText="1"/>
    </xf>
    <xf numFmtId="3" fontId="29" fillId="0" borderId="31" xfId="0" applyNumberFormat="1" applyFont="1" applyFill="1" applyBorder="1" applyAlignment="1">
      <alignment horizontal="center" vertical="center" wrapText="1"/>
    </xf>
    <xf numFmtId="167" fontId="29" fillId="0" borderId="31" xfId="0" applyNumberFormat="1" applyFont="1" applyFill="1" applyBorder="1" applyAlignment="1">
      <alignment horizontal="center" vertical="center" wrapText="1"/>
    </xf>
    <xf numFmtId="0" fontId="29" fillId="0" borderId="31" xfId="3" applyFont="1" applyFill="1" applyBorder="1" applyAlignment="1">
      <alignment horizontal="left" vertical="center" wrapText="1"/>
    </xf>
    <xf numFmtId="167" fontId="29" fillId="4" borderId="1" xfId="1" applyNumberFormat="1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/>
    </xf>
    <xf numFmtId="167" fontId="36" fillId="2" borderId="31" xfId="0" applyNumberFormat="1" applyFont="1" applyFill="1" applyBorder="1" applyAlignment="1">
      <alignment horizontal="center" vertical="center" wrapText="1"/>
    </xf>
    <xf numFmtId="167" fontId="30" fillId="3" borderId="7" xfId="0" applyNumberFormat="1" applyFont="1" applyFill="1" applyBorder="1" applyAlignment="1">
      <alignment horizontal="center"/>
    </xf>
    <xf numFmtId="168" fontId="30" fillId="6" borderId="4" xfId="0" applyNumberFormat="1" applyFont="1" applyFill="1" applyBorder="1" applyAlignment="1">
      <alignment horizontal="left" vertical="center"/>
    </xf>
    <xf numFmtId="168" fontId="30" fillId="6" borderId="5" xfId="0" applyNumberFormat="1" applyFont="1" applyFill="1" applyBorder="1" applyAlignment="1">
      <alignment horizontal="left" vertical="center"/>
    </xf>
    <xf numFmtId="168" fontId="30" fillId="6" borderId="6" xfId="0" applyNumberFormat="1" applyFont="1" applyFill="1" applyBorder="1" applyAlignment="1">
      <alignment horizontal="left" vertical="center"/>
    </xf>
    <xf numFmtId="166" fontId="36" fillId="2" borderId="31" xfId="0" applyNumberFormat="1" applyFont="1" applyFill="1" applyBorder="1" applyAlignment="1">
      <alignment horizontal="center" vertical="center" wrapText="1"/>
    </xf>
    <xf numFmtId="168" fontId="29" fillId="2" borderId="8" xfId="0" applyNumberFormat="1" applyFont="1" applyFill="1" applyBorder="1" applyAlignment="1">
      <alignment horizontal="left" vertical="center" wrapText="1"/>
    </xf>
    <xf numFmtId="168" fontId="29" fillId="2" borderId="7" xfId="0" applyNumberFormat="1" applyFont="1" applyFill="1" applyBorder="1" applyAlignment="1">
      <alignment horizontal="left" vertical="center" wrapText="1"/>
    </xf>
    <xf numFmtId="0" fontId="29" fillId="3" borderId="4" xfId="0" applyFont="1" applyFill="1" applyBorder="1" applyAlignment="1">
      <alignment horizontal="center" wrapText="1"/>
    </xf>
    <xf numFmtId="0" fontId="29" fillId="3" borderId="5" xfId="0" applyFont="1" applyFill="1" applyBorder="1" applyAlignment="1">
      <alignment horizontal="center" wrapText="1"/>
    </xf>
    <xf numFmtId="0" fontId="29" fillId="3" borderId="6" xfId="0" applyFont="1" applyFill="1" applyBorder="1" applyAlignment="1">
      <alignment horizontal="center" wrapText="1"/>
    </xf>
    <xf numFmtId="0" fontId="29" fillId="0" borderId="4" xfId="0" applyFont="1" applyFill="1" applyBorder="1" applyAlignment="1">
      <alignment horizontal="left" vertical="center" wrapText="1"/>
    </xf>
    <xf numFmtId="49" fontId="29" fillId="0" borderId="1" xfId="0" applyNumberFormat="1" applyFont="1" applyFill="1" applyBorder="1" applyAlignment="1">
      <alignment vertical="center"/>
    </xf>
    <xf numFmtId="168" fontId="29" fillId="0" borderId="31" xfId="0" applyNumberFormat="1" applyFont="1" applyBorder="1" applyAlignment="1">
      <alignment horizontal="center" vertical="center"/>
    </xf>
    <xf numFmtId="168" fontId="29" fillId="0" borderId="7" xfId="0" applyNumberFormat="1" applyFont="1" applyBorder="1" applyAlignment="1">
      <alignment horizontal="center" vertical="center"/>
    </xf>
    <xf numFmtId="169" fontId="30" fillId="0" borderId="31" xfId="0" applyNumberFormat="1" applyFont="1" applyFill="1" applyBorder="1" applyAlignment="1">
      <alignment horizontal="center" vertical="center"/>
    </xf>
    <xf numFmtId="167" fontId="30" fillId="0" borderId="31" xfId="1" applyNumberFormat="1" applyFont="1" applyFill="1" applyBorder="1" applyAlignment="1">
      <alignment horizontal="center" vertical="center" wrapText="1"/>
    </xf>
    <xf numFmtId="167" fontId="30" fillId="0" borderId="2" xfId="1" applyNumberFormat="1" applyFont="1" applyFill="1" applyBorder="1" applyAlignment="1">
      <alignment horizontal="center" vertical="center" wrapText="1"/>
    </xf>
    <xf numFmtId="167" fontId="30" fillId="4" borderId="8" xfId="1" applyNumberFormat="1" applyFont="1" applyFill="1" applyBorder="1" applyAlignment="1">
      <alignment horizontal="center" vertical="center" wrapText="1"/>
    </xf>
    <xf numFmtId="167" fontId="30" fillId="4" borderId="7" xfId="1" applyNumberFormat="1" applyFont="1" applyFill="1" applyBorder="1" applyAlignment="1">
      <alignment horizontal="center" vertical="center" wrapText="1"/>
    </xf>
    <xf numFmtId="2" fontId="29" fillId="0" borderId="31" xfId="17" applyNumberFormat="1" applyFont="1" applyFill="1" applyBorder="1" applyAlignment="1">
      <alignment horizontal="center" vertical="center" wrapText="1"/>
    </xf>
    <xf numFmtId="2" fontId="29" fillId="0" borderId="7" xfId="17" applyNumberFormat="1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left" vertical="center" wrapText="1"/>
    </xf>
    <xf numFmtId="167" fontId="29" fillId="2" borderId="31" xfId="1" applyNumberFormat="1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left" vertical="center" wrapText="1"/>
    </xf>
    <xf numFmtId="0" fontId="29" fillId="2" borderId="31" xfId="0" applyFont="1" applyFill="1" applyBorder="1" applyAlignment="1">
      <alignment horizontal="center" vertical="center"/>
    </xf>
    <xf numFmtId="0" fontId="29" fillId="2" borderId="3" xfId="3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  <xf numFmtId="166" fontId="36" fillId="0" borderId="31" xfId="0" applyNumberFormat="1" applyFont="1" applyFill="1" applyBorder="1" applyAlignment="1">
      <alignment horizontal="center" vertical="center" wrapText="1"/>
    </xf>
    <xf numFmtId="166" fontId="36" fillId="0" borderId="2" xfId="0" applyNumberFormat="1" applyFont="1" applyFill="1" applyBorder="1" applyAlignment="1">
      <alignment horizontal="center" vertical="center" wrapText="1"/>
    </xf>
    <xf numFmtId="166" fontId="36" fillId="0" borderId="7" xfId="0" applyNumberFormat="1" applyFont="1" applyFill="1" applyBorder="1" applyAlignment="1">
      <alignment horizontal="center" vertical="center" wrapText="1"/>
    </xf>
    <xf numFmtId="167" fontId="30" fillId="3" borderId="4" xfId="0" applyNumberFormat="1" applyFont="1" applyFill="1" applyBorder="1" applyAlignment="1">
      <alignment horizontal="center"/>
    </xf>
    <xf numFmtId="167" fontId="30" fillId="3" borderId="5" xfId="0" applyNumberFormat="1" applyFont="1" applyFill="1" applyBorder="1" applyAlignment="1">
      <alignment horizontal="center"/>
    </xf>
    <xf numFmtId="167" fontId="30" fillId="3" borderId="6" xfId="0" applyNumberFormat="1" applyFont="1" applyFill="1" applyBorder="1" applyAlignment="1">
      <alignment horizontal="center"/>
    </xf>
    <xf numFmtId="0" fontId="29" fillId="2" borderId="2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vertical="center"/>
    </xf>
    <xf numFmtId="167" fontId="29" fillId="2" borderId="12" xfId="1" applyNumberFormat="1" applyFont="1" applyFill="1" applyBorder="1" applyAlignment="1">
      <alignment horizontal="center" vertical="center" wrapText="1"/>
    </xf>
    <xf numFmtId="181" fontId="29" fillId="2" borderId="31" xfId="0" applyNumberFormat="1" applyFont="1" applyFill="1" applyBorder="1" applyAlignment="1">
      <alignment horizontal="center" vertical="center" wrapText="1"/>
    </xf>
    <xf numFmtId="181" fontId="29" fillId="2" borderId="2" xfId="0" applyNumberFormat="1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top"/>
    </xf>
    <xf numFmtId="0" fontId="30" fillId="0" borderId="10" xfId="0" applyFont="1" applyFill="1" applyBorder="1" applyAlignment="1">
      <alignment horizontal="center" vertical="top"/>
    </xf>
    <xf numFmtId="181" fontId="29" fillId="2" borderId="7" xfId="0" applyNumberFormat="1" applyFont="1" applyFill="1" applyBorder="1" applyAlignment="1">
      <alignment horizontal="center" vertical="center" wrapText="1"/>
    </xf>
    <xf numFmtId="1" fontId="29" fillId="2" borderId="31" xfId="0" applyNumberFormat="1" applyFont="1" applyFill="1" applyBorder="1" applyAlignment="1">
      <alignment horizontal="center" vertical="center"/>
    </xf>
    <xf numFmtId="1" fontId="29" fillId="2" borderId="2" xfId="0" applyNumberFormat="1" applyFont="1" applyFill="1" applyBorder="1" applyAlignment="1">
      <alignment horizontal="center" vertical="center"/>
    </xf>
    <xf numFmtId="0" fontId="29" fillId="2" borderId="31" xfId="0" applyFont="1" applyFill="1" applyBorder="1" applyAlignment="1">
      <alignment horizontal="center" vertical="center" wrapText="1"/>
    </xf>
    <xf numFmtId="1" fontId="29" fillId="2" borderId="7" xfId="0" applyNumberFormat="1" applyFont="1" applyFill="1" applyBorder="1" applyAlignment="1">
      <alignment horizontal="center" vertical="center"/>
    </xf>
    <xf numFmtId="167" fontId="29" fillId="0" borderId="31" xfId="8" applyNumberFormat="1" applyFont="1" applyFill="1" applyBorder="1" applyAlignment="1">
      <alignment horizontal="center" vertical="center"/>
    </xf>
    <xf numFmtId="167" fontId="29" fillId="0" borderId="2" xfId="8" applyNumberFormat="1" applyFont="1" applyFill="1" applyBorder="1" applyAlignment="1">
      <alignment horizontal="center" vertical="center"/>
    </xf>
    <xf numFmtId="167" fontId="29" fillId="0" borderId="7" xfId="8" applyNumberFormat="1" applyFont="1" applyFill="1" applyBorder="1" applyAlignment="1">
      <alignment horizontal="center" vertical="center"/>
    </xf>
    <xf numFmtId="0" fontId="30" fillId="2" borderId="31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/>
    </xf>
    <xf numFmtId="0" fontId="29" fillId="0" borderId="4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/>
    </xf>
    <xf numFmtId="0" fontId="30" fillId="2" borderId="2" xfId="0" applyFont="1" applyFill="1" applyBorder="1" applyAlignment="1">
      <alignment horizontal="left" vertical="center" wrapText="1"/>
    </xf>
    <xf numFmtId="167" fontId="29" fillId="2" borderId="4" xfId="1" applyNumberFormat="1" applyFont="1" applyFill="1" applyBorder="1" applyAlignment="1">
      <alignment horizontal="center" vertical="center" wrapText="1"/>
    </xf>
    <xf numFmtId="167" fontId="29" fillId="2" borderId="5" xfId="1" applyNumberFormat="1" applyFont="1" applyFill="1" applyBorder="1" applyAlignment="1">
      <alignment horizontal="center" vertical="center" wrapText="1"/>
    </xf>
    <xf numFmtId="167" fontId="30" fillId="2" borderId="4" xfId="1" applyNumberFormat="1" applyFont="1" applyFill="1" applyBorder="1" applyAlignment="1">
      <alignment horizontal="center" vertical="center" wrapText="1"/>
    </xf>
    <xf numFmtId="167" fontId="30" fillId="2" borderId="5" xfId="1" applyNumberFormat="1" applyFont="1" applyFill="1" applyBorder="1" applyAlignment="1">
      <alignment horizontal="center" vertical="center" wrapText="1"/>
    </xf>
    <xf numFmtId="0" fontId="30" fillId="3" borderId="6" xfId="0" applyFont="1" applyFill="1" applyBorder="1" applyAlignment="1">
      <alignment horizontal="left" vertical="center" wrapText="1"/>
    </xf>
    <xf numFmtId="168" fontId="30" fillId="0" borderId="1" xfId="0" applyNumberFormat="1" applyFont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left" vertical="center" wrapText="1"/>
    </xf>
    <xf numFmtId="49" fontId="29" fillId="4" borderId="8" xfId="0" applyNumberFormat="1" applyFont="1" applyFill="1" applyBorder="1" applyAlignment="1">
      <alignment horizontal="center" vertical="center"/>
    </xf>
    <xf numFmtId="49" fontId="29" fillId="4" borderId="7" xfId="0" applyNumberFormat="1" applyFont="1" applyFill="1" applyBorder="1" applyAlignment="1">
      <alignment horizontal="center" vertical="center"/>
    </xf>
    <xf numFmtId="49" fontId="30" fillId="0" borderId="0" xfId="0" applyNumberFormat="1" applyFont="1" applyAlignment="1">
      <alignment wrapText="1"/>
    </xf>
    <xf numFmtId="169" fontId="30" fillId="0" borderId="1" xfId="0" applyNumberFormat="1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171" fontId="39" fillId="2" borderId="31" xfId="8" applyNumberFormat="1" applyFont="1" applyFill="1" applyBorder="1" applyAlignment="1">
      <alignment horizontal="center" vertical="center"/>
    </xf>
    <xf numFmtId="171" fontId="39" fillId="2" borderId="2" xfId="8" applyNumberFormat="1" applyFont="1" applyFill="1" applyBorder="1" applyAlignment="1">
      <alignment horizontal="center" vertical="center"/>
    </xf>
    <xf numFmtId="9" fontId="29" fillId="0" borderId="31" xfId="4" applyNumberFormat="1" applyFont="1" applyFill="1" applyBorder="1" applyAlignment="1">
      <alignment horizontal="center" vertical="center" wrapText="1"/>
    </xf>
    <xf numFmtId="9" fontId="29" fillId="0" borderId="7" xfId="4" applyNumberFormat="1" applyFont="1" applyFill="1" applyBorder="1" applyAlignment="1">
      <alignment horizontal="center" vertical="center" wrapText="1"/>
    </xf>
    <xf numFmtId="0" fontId="29" fillId="0" borderId="31" xfId="4" applyFont="1" applyFill="1" applyBorder="1" applyAlignment="1">
      <alignment horizontal="center" vertical="center"/>
    </xf>
    <xf numFmtId="171" fontId="39" fillId="2" borderId="7" xfId="8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168" fontId="30" fillId="4" borderId="31" xfId="0" applyNumberFormat="1" applyFont="1" applyFill="1" applyBorder="1" applyAlignment="1">
      <alignment horizontal="center" vertical="center"/>
    </xf>
    <xf numFmtId="168" fontId="30" fillId="4" borderId="7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left" vertical="center" wrapText="1"/>
    </xf>
    <xf numFmtId="49" fontId="29" fillId="0" borderId="31" xfId="0" applyNumberFormat="1" applyFont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168" fontId="29" fillId="2" borderId="32" xfId="0" applyNumberFormat="1" applyFont="1" applyFill="1" applyBorder="1" applyAlignment="1">
      <alignment horizontal="left" vertical="center" wrapText="1"/>
    </xf>
    <xf numFmtId="0" fontId="29" fillId="2" borderId="3" xfId="0" applyFont="1" applyFill="1" applyBorder="1" applyAlignment="1">
      <alignment horizontal="left" vertical="center"/>
    </xf>
    <xf numFmtId="0" fontId="29" fillId="0" borderId="2" xfId="0" applyFont="1" applyFill="1" applyBorder="1" applyAlignment="1">
      <alignment horizontal="left" wrapText="1"/>
    </xf>
    <xf numFmtId="0" fontId="29" fillId="0" borderId="7" xfId="0" applyFont="1" applyFill="1" applyBorder="1" applyAlignment="1">
      <alignment horizontal="left" wrapText="1"/>
    </xf>
    <xf numFmtId="0" fontId="30" fillId="4" borderId="31" xfId="0" applyFont="1" applyFill="1" applyBorder="1" applyAlignment="1">
      <alignment horizontal="left" vertical="center" wrapText="1"/>
    </xf>
    <xf numFmtId="0" fontId="30" fillId="4" borderId="7" xfId="0" applyFont="1" applyFill="1" applyBorder="1" applyAlignment="1">
      <alignment horizontal="left" vertical="center" wrapText="1"/>
    </xf>
    <xf numFmtId="167" fontId="30" fillId="4" borderId="14" xfId="1" applyNumberFormat="1" applyFont="1" applyFill="1" applyBorder="1" applyAlignment="1">
      <alignment horizontal="center" vertical="center" wrapText="1"/>
    </xf>
    <xf numFmtId="167" fontId="30" fillId="4" borderId="9" xfId="1" applyNumberFormat="1" applyFont="1" applyFill="1" applyBorder="1" applyAlignment="1">
      <alignment horizontal="center" vertical="center" wrapText="1"/>
    </xf>
    <xf numFmtId="49" fontId="29" fillId="4" borderId="8" xfId="0" applyNumberFormat="1" applyFont="1" applyFill="1" applyBorder="1" applyAlignment="1">
      <alignment vertical="center"/>
    </xf>
    <xf numFmtId="49" fontId="29" fillId="4" borderId="7" xfId="0" applyNumberFormat="1" applyFont="1" applyFill="1" applyBorder="1" applyAlignment="1">
      <alignment vertical="center"/>
    </xf>
    <xf numFmtId="171" fontId="39" fillId="0" borderId="31" xfId="8" applyNumberFormat="1" applyFont="1" applyBorder="1" applyAlignment="1">
      <alignment horizontal="center" vertical="center" wrapText="1"/>
    </xf>
    <xf numFmtId="171" fontId="39" fillId="0" borderId="2" xfId="8" applyNumberFormat="1" applyFont="1" applyBorder="1" applyAlignment="1">
      <alignment horizontal="center" vertical="center" wrapText="1"/>
    </xf>
    <xf numFmtId="171" fontId="39" fillId="0" borderId="7" xfId="8" applyNumberFormat="1" applyFont="1" applyBorder="1" applyAlignment="1">
      <alignment horizontal="center" vertical="center" wrapText="1"/>
    </xf>
    <xf numFmtId="171" fontId="39" fillId="0" borderId="31" xfId="8" applyNumberFormat="1" applyFont="1" applyFill="1" applyBorder="1" applyAlignment="1">
      <alignment horizontal="center" vertical="center"/>
    </xf>
    <xf numFmtId="171" fontId="39" fillId="0" borderId="2" xfId="8" applyNumberFormat="1" applyFont="1" applyFill="1" applyBorder="1" applyAlignment="1">
      <alignment horizontal="center" vertical="center"/>
    </xf>
    <xf numFmtId="171" fontId="39" fillId="0" borderId="7" xfId="8" applyNumberFormat="1" applyFont="1" applyFill="1" applyBorder="1" applyAlignment="1">
      <alignment horizontal="center" vertical="center"/>
    </xf>
    <xf numFmtId="49" fontId="30" fillId="0" borderId="31" xfId="0" applyNumberFormat="1" applyFont="1" applyFill="1" applyBorder="1" applyAlignment="1">
      <alignment horizontal="center" vertical="center"/>
    </xf>
    <xf numFmtId="4" fontId="29" fillId="0" borderId="31" xfId="4" applyNumberFormat="1" applyFont="1" applyFill="1" applyBorder="1" applyAlignment="1">
      <alignment horizontal="left" vertical="top" wrapText="1"/>
    </xf>
    <xf numFmtId="9" fontId="29" fillId="0" borderId="2" xfId="17" applyFont="1" applyFill="1" applyBorder="1" applyAlignment="1">
      <alignment horizontal="center" vertical="center" wrapText="1"/>
    </xf>
    <xf numFmtId="171" fontId="39" fillId="2" borderId="31" xfId="8" applyNumberFormat="1" applyFont="1" applyFill="1" applyBorder="1" applyAlignment="1">
      <alignment horizontal="center" vertical="center" wrapText="1"/>
    </xf>
    <xf numFmtId="171" fontId="39" fillId="2" borderId="2" xfId="8" applyNumberFormat="1" applyFont="1" applyFill="1" applyBorder="1" applyAlignment="1">
      <alignment horizontal="center" vertical="center" wrapText="1"/>
    </xf>
    <xf numFmtId="171" fontId="39" fillId="2" borderId="7" xfId="8" applyNumberFormat="1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top" wrapText="1"/>
    </xf>
    <xf numFmtId="0" fontId="30" fillId="2" borderId="3" xfId="0" applyFont="1" applyFill="1" applyBorder="1" applyAlignment="1">
      <alignment horizontal="left" vertical="center" wrapText="1"/>
    </xf>
    <xf numFmtId="1" fontId="29" fillId="2" borderId="1" xfId="0" applyNumberFormat="1" applyFont="1" applyFill="1" applyBorder="1" applyAlignment="1">
      <alignment vertical="center" wrapText="1"/>
    </xf>
    <xf numFmtId="167" fontId="29" fillId="2" borderId="31" xfId="0" applyNumberFormat="1" applyFont="1" applyFill="1" applyBorder="1" applyAlignment="1">
      <alignment horizontal="center" vertical="center" wrapText="1"/>
    </xf>
    <xf numFmtId="169" fontId="30" fillId="0" borderId="31" xfId="0" applyNumberFormat="1" applyFont="1" applyBorder="1" applyAlignment="1">
      <alignment horizontal="center" vertical="center"/>
    </xf>
    <xf numFmtId="169" fontId="30" fillId="0" borderId="7" xfId="0" applyNumberFormat="1" applyFont="1" applyBorder="1" applyAlignment="1">
      <alignment horizontal="center" vertical="center"/>
    </xf>
    <xf numFmtId="168" fontId="30" fillId="0" borderId="31" xfId="0" applyNumberFormat="1" applyFont="1" applyBorder="1" applyAlignment="1">
      <alignment horizontal="center" vertical="center"/>
    </xf>
    <xf numFmtId="0" fontId="30" fillId="6" borderId="10" xfId="0" applyFont="1" applyFill="1" applyBorder="1" applyAlignment="1">
      <alignment horizontal="left" vertical="center" wrapText="1"/>
    </xf>
    <xf numFmtId="0" fontId="30" fillId="6" borderId="13" xfId="0" applyFont="1" applyFill="1" applyBorder="1" applyAlignment="1">
      <alignment horizontal="left" vertical="center" wrapText="1"/>
    </xf>
    <xf numFmtId="0" fontId="30" fillId="6" borderId="9" xfId="0" applyFont="1" applyFill="1" applyBorder="1" applyAlignment="1">
      <alignment horizontal="left" vertical="center" wrapText="1"/>
    </xf>
    <xf numFmtId="0" fontId="29" fillId="2" borderId="31" xfId="4" applyFont="1" applyFill="1" applyBorder="1" applyAlignment="1">
      <alignment horizontal="center" vertical="top" wrapText="1"/>
    </xf>
    <xf numFmtId="0" fontId="29" fillId="2" borderId="7" xfId="0" applyFont="1" applyFill="1" applyBorder="1" applyAlignment="1">
      <alignment horizontal="center" vertical="top" wrapText="1"/>
    </xf>
    <xf numFmtId="176" fontId="29" fillId="0" borderId="31" xfId="0" applyNumberFormat="1" applyFont="1" applyFill="1" applyBorder="1" applyAlignment="1">
      <alignment horizontal="center" vertical="center" wrapText="1"/>
    </xf>
    <xf numFmtId="176" fontId="29" fillId="0" borderId="2" xfId="0" applyNumberFormat="1" applyFont="1" applyFill="1" applyBorder="1" applyAlignment="1">
      <alignment horizontal="center" vertical="center" wrapText="1"/>
    </xf>
    <xf numFmtId="176" fontId="29" fillId="0" borderId="7" xfId="0" applyNumberFormat="1" applyFont="1" applyFill="1" applyBorder="1" applyAlignment="1">
      <alignment horizontal="center" vertical="center" wrapText="1"/>
    </xf>
    <xf numFmtId="169" fontId="29" fillId="0" borderId="31" xfId="0" applyNumberFormat="1" applyFont="1" applyBorder="1" applyAlignment="1">
      <alignment horizontal="center" vertical="center"/>
    </xf>
    <xf numFmtId="0" fontId="36" fillId="0" borderId="31" xfId="0" applyFont="1" applyFill="1" applyBorder="1" applyAlignment="1">
      <alignment horizontal="left" vertical="top" wrapText="1"/>
    </xf>
    <xf numFmtId="0" fontId="36" fillId="0" borderId="7" xfId="0" applyFont="1" applyFill="1" applyBorder="1" applyAlignment="1">
      <alignment horizontal="left" vertical="top" wrapText="1"/>
    </xf>
    <xf numFmtId="0" fontId="36" fillId="0" borderId="31" xfId="0" applyFont="1" applyFill="1" applyBorder="1" applyAlignment="1">
      <alignment horizontal="center"/>
    </xf>
    <xf numFmtId="0" fontId="36" fillId="0" borderId="7" xfId="0" applyFont="1" applyFill="1" applyBorder="1" applyAlignment="1">
      <alignment horizontal="center"/>
    </xf>
    <xf numFmtId="0" fontId="36" fillId="0" borderId="9" xfId="0" applyFont="1" applyFill="1" applyBorder="1" applyAlignment="1">
      <alignment horizontal="center"/>
    </xf>
    <xf numFmtId="176" fontId="29" fillId="0" borderId="2" xfId="0" applyNumberFormat="1" applyFont="1" applyFill="1" applyBorder="1" applyAlignment="1">
      <alignment horizontal="center" vertical="center"/>
    </xf>
    <xf numFmtId="168" fontId="29" fillId="0" borderId="31" xfId="152" applyNumberFormat="1" applyFont="1" applyFill="1" applyBorder="1" applyAlignment="1">
      <alignment horizontal="left" vertical="center" wrapText="1"/>
    </xf>
    <xf numFmtId="168" fontId="29" fillId="0" borderId="7" xfId="152" applyNumberFormat="1" applyFont="1" applyFill="1" applyBorder="1" applyAlignment="1">
      <alignment horizontal="left" vertical="center" wrapText="1"/>
    </xf>
    <xf numFmtId="0" fontId="29" fillId="2" borderId="31" xfId="4" applyFont="1" applyFill="1" applyBorder="1" applyAlignment="1">
      <alignment horizontal="left" vertical="top" wrapText="1"/>
    </xf>
    <xf numFmtId="0" fontId="29" fillId="2" borderId="7" xfId="0" applyFont="1" applyFill="1" applyBorder="1" applyAlignment="1">
      <alignment horizontal="left" vertical="top" wrapText="1"/>
    </xf>
    <xf numFmtId="49" fontId="36" fillId="0" borderId="31" xfId="0" applyNumberFormat="1" applyFont="1" applyFill="1" applyBorder="1" applyAlignment="1">
      <alignment horizontal="center"/>
    </xf>
    <xf numFmtId="49" fontId="36" fillId="0" borderId="7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left" vertical="top" wrapText="1"/>
    </xf>
    <xf numFmtId="49" fontId="36" fillId="0" borderId="31" xfId="0" applyNumberFormat="1" applyFont="1" applyFill="1" applyBorder="1" applyAlignment="1">
      <alignment horizontal="center" vertical="center"/>
    </xf>
    <xf numFmtId="49" fontId="36" fillId="0" borderId="7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/>
    </xf>
    <xf numFmtId="168" fontId="29" fillId="0" borderId="2" xfId="152" applyNumberFormat="1" applyFont="1" applyFill="1" applyBorder="1" applyAlignment="1">
      <alignment horizontal="left" vertical="center" wrapText="1"/>
    </xf>
    <xf numFmtId="168" fontId="30" fillId="0" borderId="2" xfId="152" applyNumberFormat="1" applyFont="1" applyBorder="1" applyAlignment="1">
      <alignment horizontal="center" vertical="top"/>
    </xf>
    <xf numFmtId="0" fontId="29" fillId="0" borderId="10" xfId="4" applyFont="1" applyFill="1" applyBorder="1" applyAlignment="1">
      <alignment horizontal="left" vertical="center" wrapText="1"/>
    </xf>
    <xf numFmtId="0" fontId="36" fillId="0" borderId="2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center" vertical="center"/>
    </xf>
    <xf numFmtId="0" fontId="29" fillId="2" borderId="4" xfId="4" applyFont="1" applyFill="1" applyBorder="1" applyAlignment="1">
      <alignment horizontal="left" vertical="top" wrapText="1"/>
    </xf>
    <xf numFmtId="168" fontId="29" fillId="2" borderId="31" xfId="0" applyNumberFormat="1" applyFont="1" applyFill="1" applyBorder="1" applyAlignment="1">
      <alignment horizontal="center" vertical="center" wrapText="1"/>
    </xf>
    <xf numFmtId="0" fontId="30" fillId="6" borderId="4" xfId="0" applyFont="1" applyFill="1" applyBorder="1" applyAlignment="1">
      <alignment horizontal="left" vertical="top" wrapText="1"/>
    </xf>
    <xf numFmtId="0" fontId="30" fillId="6" borderId="5" xfId="0" applyFont="1" applyFill="1" applyBorder="1" applyAlignment="1">
      <alignment horizontal="left" vertical="top" wrapText="1"/>
    </xf>
    <xf numFmtId="0" fontId="30" fillId="6" borderId="6" xfId="0" applyFont="1" applyFill="1" applyBorder="1" applyAlignment="1">
      <alignment horizontal="left" vertical="top" wrapText="1"/>
    </xf>
    <xf numFmtId="0" fontId="30" fillId="3" borderId="4" xfId="0" applyFont="1" applyFill="1" applyBorder="1" applyAlignment="1">
      <alignment horizontal="left" vertical="center"/>
    </xf>
    <xf numFmtId="0" fontId="30" fillId="3" borderId="5" xfId="0" applyFont="1" applyFill="1" applyBorder="1" applyAlignment="1">
      <alignment horizontal="left" vertical="center"/>
    </xf>
    <xf numFmtId="0" fontId="30" fillId="3" borderId="6" xfId="0" applyFont="1" applyFill="1" applyBorder="1" applyAlignment="1">
      <alignment horizontal="left" vertical="center"/>
    </xf>
    <xf numFmtId="1" fontId="29" fillId="2" borderId="1" xfId="0" applyNumberFormat="1" applyFont="1" applyFill="1" applyBorder="1" applyAlignment="1">
      <alignment horizontal="center" vertical="center"/>
    </xf>
    <xf numFmtId="167" fontId="30" fillId="2" borderId="31" xfId="0" applyNumberFormat="1" applyFont="1" applyFill="1" applyBorder="1" applyAlignment="1">
      <alignment horizontal="center" vertical="center" wrapText="1"/>
    </xf>
    <xf numFmtId="167" fontId="30" fillId="2" borderId="31" xfId="3" applyNumberFormat="1" applyFont="1" applyFill="1" applyBorder="1" applyAlignment="1">
      <alignment horizontal="center" vertical="center" wrapText="1"/>
    </xf>
    <xf numFmtId="167" fontId="30" fillId="2" borderId="2" xfId="3" applyNumberFormat="1" applyFont="1" applyFill="1" applyBorder="1" applyAlignment="1">
      <alignment horizontal="center" vertical="center" wrapText="1"/>
    </xf>
    <xf numFmtId="167" fontId="30" fillId="2" borderId="7" xfId="3" applyNumberFormat="1" applyFont="1" applyFill="1" applyBorder="1" applyAlignment="1">
      <alignment horizontal="center" vertical="center" wrapText="1"/>
    </xf>
    <xf numFmtId="0" fontId="29" fillId="2" borderId="32" xfId="3" applyFont="1" applyFill="1" applyBorder="1" applyAlignment="1">
      <alignment horizontal="left" vertical="center" wrapText="1"/>
    </xf>
    <xf numFmtId="0" fontId="30" fillId="2" borderId="31" xfId="0" applyFont="1" applyFill="1" applyBorder="1" applyAlignment="1">
      <alignment horizontal="left" vertical="center" wrapText="1"/>
    </xf>
    <xf numFmtId="167" fontId="30" fillId="0" borderId="31" xfId="0" applyNumberFormat="1" applyFont="1" applyFill="1" applyBorder="1" applyAlignment="1">
      <alignment horizontal="center" vertical="center" wrapText="1"/>
    </xf>
    <xf numFmtId="0" fontId="29" fillId="2" borderId="1" xfId="3" applyFont="1" applyFill="1" applyBorder="1" applyAlignment="1">
      <alignment horizontal="left" vertical="center" wrapText="1"/>
    </xf>
    <xf numFmtId="0" fontId="29" fillId="0" borderId="1" xfId="3" applyFont="1" applyFill="1" applyBorder="1" applyAlignment="1">
      <alignment horizontal="left" vertical="center" wrapText="1"/>
    </xf>
    <xf numFmtId="167" fontId="29" fillId="0" borderId="1" xfId="3" applyNumberFormat="1" applyFont="1" applyFill="1" applyBorder="1" applyAlignment="1">
      <alignment horizontal="center" vertical="center" wrapText="1"/>
    </xf>
    <xf numFmtId="167" fontId="29" fillId="0" borderId="31" xfId="3" applyNumberFormat="1" applyFont="1" applyFill="1" applyBorder="1" applyAlignment="1">
      <alignment horizontal="center" vertical="center" wrapText="1"/>
    </xf>
    <xf numFmtId="167" fontId="29" fillId="3" borderId="31" xfId="3" applyNumberFormat="1" applyFont="1" applyFill="1" applyBorder="1" applyAlignment="1">
      <alignment horizontal="center" vertical="center" wrapText="1"/>
    </xf>
    <xf numFmtId="167" fontId="29" fillId="3" borderId="7" xfId="3" applyNumberFormat="1" applyFont="1" applyFill="1" applyBorder="1" applyAlignment="1">
      <alignment horizontal="center" vertical="center" wrapText="1"/>
    </xf>
    <xf numFmtId="169" fontId="29" fillId="2" borderId="31" xfId="0" applyNumberFormat="1" applyFont="1" applyFill="1" applyBorder="1" applyAlignment="1">
      <alignment horizontal="center" vertical="center" wrapText="1"/>
    </xf>
    <xf numFmtId="49" fontId="29" fillId="2" borderId="31" xfId="0" applyNumberFormat="1" applyFont="1" applyFill="1" applyBorder="1" applyAlignment="1">
      <alignment horizontal="center" vertical="center"/>
    </xf>
    <xf numFmtId="168" fontId="30" fillId="2" borderId="31" xfId="0" applyNumberFormat="1" applyFont="1" applyFill="1" applyBorder="1" applyAlignment="1">
      <alignment horizontal="center" vertical="center"/>
    </xf>
    <xf numFmtId="168" fontId="30" fillId="2" borderId="31" xfId="0" applyNumberFormat="1" applyFont="1" applyFill="1" applyBorder="1" applyAlignment="1">
      <alignment horizontal="center" vertical="center" wrapText="1"/>
    </xf>
    <xf numFmtId="169" fontId="30" fillId="2" borderId="31" xfId="0" applyNumberFormat="1" applyFont="1" applyFill="1" applyBorder="1" applyAlignment="1">
      <alignment horizontal="center" vertical="center"/>
    </xf>
    <xf numFmtId="169" fontId="29" fillId="2" borderId="31" xfId="0" applyNumberFormat="1" applyFont="1" applyFill="1" applyBorder="1" applyAlignment="1">
      <alignment horizontal="center" vertical="center"/>
    </xf>
    <xf numFmtId="170" fontId="30" fillId="2" borderId="31" xfId="17" applyNumberFormat="1" applyFont="1" applyFill="1" applyBorder="1" applyAlignment="1">
      <alignment horizontal="center" vertical="center" wrapText="1"/>
    </xf>
    <xf numFmtId="170" fontId="30" fillId="2" borderId="7" xfId="17" applyNumberFormat="1" applyFont="1" applyFill="1" applyBorder="1" applyAlignment="1">
      <alignment horizontal="center" vertical="center" wrapText="1"/>
    </xf>
    <xf numFmtId="0" fontId="29" fillId="3" borderId="4" xfId="3" applyFont="1" applyFill="1" applyBorder="1" applyAlignment="1">
      <alignment horizontal="center" vertical="top" wrapText="1"/>
    </xf>
    <xf numFmtId="0" fontId="29" fillId="3" borderId="5" xfId="3" applyFont="1" applyFill="1" applyBorder="1" applyAlignment="1">
      <alignment horizontal="center" vertical="top" wrapText="1"/>
    </xf>
    <xf numFmtId="0" fontId="29" fillId="3" borderId="6" xfId="3" applyFont="1" applyFill="1" applyBorder="1" applyAlignment="1">
      <alignment horizontal="center" vertical="top" wrapText="1"/>
    </xf>
    <xf numFmtId="166" fontId="29" fillId="0" borderId="31" xfId="0" applyNumberFormat="1" applyFont="1" applyFill="1" applyBorder="1" applyAlignment="1">
      <alignment horizontal="center" vertical="center" wrapText="1"/>
    </xf>
    <xf numFmtId="166" fontId="29" fillId="0" borderId="2" xfId="0" applyNumberFormat="1" applyFont="1" applyFill="1" applyBorder="1" applyAlignment="1">
      <alignment horizontal="center" vertical="center" wrapText="1"/>
    </xf>
    <xf numFmtId="166" fontId="29" fillId="0" borderId="7" xfId="0" applyNumberFormat="1" applyFont="1" applyFill="1" applyBorder="1" applyAlignment="1">
      <alignment horizontal="center" vertical="center" wrapText="1"/>
    </xf>
    <xf numFmtId="169" fontId="30" fillId="3" borderId="4" xfId="0" applyNumberFormat="1" applyFont="1" applyFill="1" applyBorder="1" applyAlignment="1">
      <alignment horizontal="left" vertical="center"/>
    </xf>
    <xf numFmtId="169" fontId="30" fillId="3" borderId="5" xfId="0" applyNumberFormat="1" applyFont="1" applyFill="1" applyBorder="1" applyAlignment="1">
      <alignment horizontal="left" vertical="center"/>
    </xf>
    <xf numFmtId="169" fontId="30" fillId="3" borderId="6" xfId="0" applyNumberFormat="1" applyFont="1" applyFill="1" applyBorder="1" applyAlignment="1">
      <alignment horizontal="left" vertical="center"/>
    </xf>
    <xf numFmtId="169" fontId="30" fillId="2" borderId="31" xfId="0" applyNumberFormat="1" applyFont="1" applyFill="1" applyBorder="1" applyAlignment="1">
      <alignment horizontal="center" vertical="center" wrapText="1"/>
    </xf>
    <xf numFmtId="167" fontId="36" fillId="2" borderId="31" xfId="0" applyNumberFormat="1" applyFont="1" applyFill="1" applyBorder="1" applyAlignment="1">
      <alignment horizontal="center" vertical="center"/>
    </xf>
  </cellXfs>
  <cellStyles count="157">
    <cellStyle name="20% - Accent1" xfId="64"/>
    <cellStyle name="20% - Accent2" xfId="65"/>
    <cellStyle name="20% - Accent3" xfId="66"/>
    <cellStyle name="20% - Accent4" xfId="67"/>
    <cellStyle name="20% - Accent5" xfId="68"/>
    <cellStyle name="20% - Accent6" xfId="69"/>
    <cellStyle name="40% - Accent1" xfId="70"/>
    <cellStyle name="40% - Accent2" xfId="71"/>
    <cellStyle name="40% - Accent3" xfId="72"/>
    <cellStyle name="40% - Accent4" xfId="73"/>
    <cellStyle name="40% - Accent5" xfId="74"/>
    <cellStyle name="40% - Accent6" xfId="75"/>
    <cellStyle name="60% - Accent1" xfId="76"/>
    <cellStyle name="60% - Accent2" xfId="77"/>
    <cellStyle name="60% - Accent3" xfId="78"/>
    <cellStyle name="60% - Accent4" xfId="79"/>
    <cellStyle name="60% - Accent5" xfId="80"/>
    <cellStyle name="60% - Accent6" xfId="81"/>
    <cellStyle name="Accent1" xfId="82"/>
    <cellStyle name="Accent2" xfId="83"/>
    <cellStyle name="Accent3" xfId="84"/>
    <cellStyle name="Accent4" xfId="85"/>
    <cellStyle name="Accent5" xfId="86"/>
    <cellStyle name="Accent6" xfId="87"/>
    <cellStyle name="Bad" xfId="88"/>
    <cellStyle name="Calculation" xfId="89"/>
    <cellStyle name="Check Cell" xfId="90"/>
    <cellStyle name="Explanatory Text" xfId="91"/>
    <cellStyle name="Good" xfId="92"/>
    <cellStyle name="Heading 1" xfId="93"/>
    <cellStyle name="Heading 2" xfId="94"/>
    <cellStyle name="Heading 3" xfId="95"/>
    <cellStyle name="Heading 4" xfId="96"/>
    <cellStyle name="Input" xfId="97"/>
    <cellStyle name="Linked Cell" xfId="98"/>
    <cellStyle name="Neutral" xfId="99"/>
    <cellStyle name="Normal 4" xfId="10"/>
    <cellStyle name="Note" xfId="100"/>
    <cellStyle name="Output" xfId="101"/>
    <cellStyle name="Title" xfId="102"/>
    <cellStyle name="Total" xfId="103"/>
    <cellStyle name="Warning Text" xfId="104"/>
    <cellStyle name="Денежный 2" xfId="16"/>
    <cellStyle name="Обычный" xfId="0" builtinId="0"/>
    <cellStyle name="Обычный 10" xfId="153"/>
    <cellStyle name="Обычный 10 2" xfId="152"/>
    <cellStyle name="Обычный 2" xfId="3"/>
    <cellStyle name="Обычный 2 2" xfId="18"/>
    <cellStyle name="Обычный 2 2 2" xfId="106"/>
    <cellStyle name="Обычный 2 2 3" xfId="148"/>
    <cellStyle name="Обычный 2 3" xfId="19"/>
    <cellStyle name="Обычный 2 4" xfId="105"/>
    <cellStyle name="Обычный 2_09.04.2014_Programme budget 2014_Education_Modified" xfId="4"/>
    <cellStyle name="Обычный 2_Бюджетный циркуляр 2015г.Нацстат" xfId="156"/>
    <cellStyle name="Обычный 3" xfId="6"/>
    <cellStyle name="Обычный 3 2" xfId="20"/>
    <cellStyle name="Обычный 3 3" xfId="21"/>
    <cellStyle name="Обычный 3 3 2" xfId="22"/>
    <cellStyle name="Обычный 3 3 2 2" xfId="5"/>
    <cellStyle name="Обычный 3 3 2 2 2" xfId="46"/>
    <cellStyle name="Обычный 3 3 2 2 3" xfId="110"/>
    <cellStyle name="Обычный 3 3 2 3" xfId="45"/>
    <cellStyle name="Обычный 3 3 2 4" xfId="109"/>
    <cellStyle name="Обычный 3 3 2_09.04.2014_Programme budget 2014_Education_Modified" xfId="111"/>
    <cellStyle name="Обычный 3 3 3" xfId="23"/>
    <cellStyle name="Обычный 3 3 3 2" xfId="47"/>
    <cellStyle name="Обычный 3 3 3 3" xfId="112"/>
    <cellStyle name="Обычный 3 3 4" xfId="44"/>
    <cellStyle name="Обычный 3 3 5" xfId="108"/>
    <cellStyle name="Обычный 3 3_09.04.2014_Programme budget 2014_Education_Modified" xfId="113"/>
    <cellStyle name="Обычный 3 4" xfId="24"/>
    <cellStyle name="Обычный 3 4 2" xfId="25"/>
    <cellStyle name="Обычный 3 4 2 2" xfId="49"/>
    <cellStyle name="Обычный 3 4 2 3" xfId="115"/>
    <cellStyle name="Обычный 3 4 3" xfId="48"/>
    <cellStyle name="Обычный 3 4 4" xfId="114"/>
    <cellStyle name="Обычный 3 4_09.04.2014_Programme budget 2014_Education_Modified" xfId="116"/>
    <cellStyle name="Обычный 3 5" xfId="26"/>
    <cellStyle name="Обычный 3 5 2" xfId="50"/>
    <cellStyle name="Обычный 3 5 3" xfId="117"/>
    <cellStyle name="Обычный 3 6" xfId="43"/>
    <cellStyle name="Обычный 3 7" xfId="107"/>
    <cellStyle name="Обычный 3_09.04.2014_Programme budget 2014_Education_Modified" xfId="118"/>
    <cellStyle name="Обычный 4" xfId="9"/>
    <cellStyle name="Обычный 4 2" xfId="28"/>
    <cellStyle name="Обычный 4 2 2" xfId="29"/>
    <cellStyle name="Обычный 4 2 2 2" xfId="53"/>
    <cellStyle name="Обычный 4 2 2 3" xfId="121"/>
    <cellStyle name="Обычный 4 2 3" xfId="52"/>
    <cellStyle name="Обычный 4 2 4" xfId="120"/>
    <cellStyle name="Обычный 4 2 5" xfId="146"/>
    <cellStyle name="Обычный 4 2_09.04.2014_Programme budget 2014_Education_Modified" xfId="122"/>
    <cellStyle name="Обычный 4 3" xfId="30"/>
    <cellStyle name="Обычный 4 3 2" xfId="54"/>
    <cellStyle name="Обычный 4 3 3" xfId="123"/>
    <cellStyle name="Обычный 4 4" xfId="51"/>
    <cellStyle name="Обычный 4 5" xfId="27"/>
    <cellStyle name="Обычный 4 6" xfId="119"/>
    <cellStyle name="Обычный 4_09.04.2014_Programme budget 2014_Education_Modified" xfId="124"/>
    <cellStyle name="Обычный 5" xfId="7"/>
    <cellStyle name="Обычный 5 2" xfId="15"/>
    <cellStyle name="Обычный 5 3" xfId="125"/>
    <cellStyle name="Обычный 5 4" xfId="144"/>
    <cellStyle name="Обычный 6" xfId="14"/>
    <cellStyle name="Обычный 6 2" xfId="32"/>
    <cellStyle name="Обычный 6 2 2" xfId="33"/>
    <cellStyle name="Обычный 6 2 2 2" xfId="57"/>
    <cellStyle name="Обычный 6 2 2 3" xfId="128"/>
    <cellStyle name="Обычный 6 2 3" xfId="56"/>
    <cellStyle name="Обычный 6 2 4" xfId="127"/>
    <cellStyle name="Обычный 6 2_09.04.2014_Programme budget 2014_Education_Modified" xfId="129"/>
    <cellStyle name="Обычный 6 3" xfId="34"/>
    <cellStyle name="Обычный 6 3 2" xfId="58"/>
    <cellStyle name="Обычный 6 3 3" xfId="130"/>
    <cellStyle name="Обычный 6 4" xfId="55"/>
    <cellStyle name="Обычный 6 5" xfId="31"/>
    <cellStyle name="Обычный 6 6" xfId="126"/>
    <cellStyle name="Обычный 6_09.04.2014_Programme budget 2014_Education_Modified" xfId="131"/>
    <cellStyle name="Обычный 7" xfId="138"/>
    <cellStyle name="Обычный 8" xfId="139"/>
    <cellStyle name="Обычный 9" xfId="142"/>
    <cellStyle name="Обычный_Таблицы СПБ_ 2015-2017_МТММ_12.04.2014" xfId="155"/>
    <cellStyle name="Процентный" xfId="2" builtinId="5"/>
    <cellStyle name="Процентный 2" xfId="11"/>
    <cellStyle name="Процентный 2 2" xfId="36"/>
    <cellStyle name="Процентный 2 3" xfId="35"/>
    <cellStyle name="Процентный 2 4" xfId="140"/>
    <cellStyle name="Процентный 3" xfId="12"/>
    <cellStyle name="Процентный 4" xfId="17"/>
    <cellStyle name="Процентный 5" xfId="137"/>
    <cellStyle name="Стиль 1" xfId="63"/>
    <cellStyle name="Финансовый" xfId="1" builtinId="3"/>
    <cellStyle name="Финансовый 2" xfId="13"/>
    <cellStyle name="Финансовый 2 2" xfId="38"/>
    <cellStyle name="Финансовый 2 2 2" xfId="39"/>
    <cellStyle name="Финансовый 2 2 2 2" xfId="40"/>
    <cellStyle name="Финансовый 2 2 2 2 2" xfId="61"/>
    <cellStyle name="Финансовый 2 2 2 2 3" xfId="134"/>
    <cellStyle name="Финансовый 2 2 2 3" xfId="60"/>
    <cellStyle name="Финансовый 2 2 2 4" xfId="133"/>
    <cellStyle name="Финансовый 2 2 3" xfId="41"/>
    <cellStyle name="Финансовый 2 2 3 2" xfId="62"/>
    <cellStyle name="Финансовый 2 2 3 3" xfId="135"/>
    <cellStyle name="Финансовый 2 2 4" xfId="59"/>
    <cellStyle name="Финансовый 2 2 5" xfId="132"/>
    <cellStyle name="Финансовый 2 3" xfId="37"/>
    <cellStyle name="Финансовый 2 4" xfId="141"/>
    <cellStyle name="Финансовый 3" xfId="8"/>
    <cellStyle name="Финансовый 3 2" xfId="42"/>
    <cellStyle name="Финансовый 3 3" xfId="145"/>
    <cellStyle name="Финансовый 3 4" xfId="147"/>
    <cellStyle name="Финансовый 4" xfId="136"/>
    <cellStyle name="Финансовый 4 2" xfId="143"/>
    <cellStyle name="Финансовый 4 3" xfId="151"/>
    <cellStyle name="Финансовый 5" xfId="149"/>
    <cellStyle name="Финансовый 6" xfId="150"/>
    <cellStyle name="Финансовый 7" xfId="1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023"/>
  <sheetViews>
    <sheetView tabSelected="1" zoomScale="80" zoomScaleNormal="80" zoomScaleSheetLayoutView="85" workbookViewId="0">
      <selection activeCell="Q2021" sqref="A1:Q2021"/>
    </sheetView>
  </sheetViews>
  <sheetFormatPr defaultRowHeight="15" x14ac:dyDescent="0.25"/>
  <cols>
    <col min="1" max="1" width="0.140625" style="559" customWidth="1"/>
    <col min="2" max="2" width="11.85546875" style="601" customWidth="1"/>
    <col min="3" max="3" width="9.28515625" style="15" bestFit="1" customWidth="1"/>
    <col min="4" max="4" width="9.42578125" style="128" bestFit="1" customWidth="1"/>
    <col min="5" max="5" width="48" style="128" customWidth="1"/>
    <col min="6" max="6" width="16.140625" style="15" customWidth="1"/>
    <col min="7" max="7" width="17.42578125" style="15" customWidth="1"/>
    <col min="8" max="8" width="19" style="15" customWidth="1"/>
    <col min="9" max="9" width="19.140625" style="15" customWidth="1"/>
    <col min="10" max="10" width="19" style="15" customWidth="1"/>
    <col min="11" max="11" width="48.140625" style="128" customWidth="1"/>
    <col min="12" max="12" width="11.42578125" style="128" customWidth="1"/>
    <col min="13" max="13" width="10" style="128" customWidth="1"/>
    <col min="14" max="14" width="11.5703125" style="128" customWidth="1"/>
    <col min="15" max="15" width="15.5703125" style="128" bestFit="1" customWidth="1"/>
    <col min="16" max="16" width="11.85546875" style="128" customWidth="1"/>
    <col min="17" max="17" width="15.28515625" style="128" customWidth="1"/>
    <col min="18" max="16384" width="9.140625" style="128"/>
  </cols>
  <sheetData>
    <row r="1" spans="1:17" x14ac:dyDescent="0.25">
      <c r="O1" s="29"/>
      <c r="P1" s="29"/>
      <c r="Q1" s="246" t="s">
        <v>172</v>
      </c>
    </row>
    <row r="2" spans="1:17" x14ac:dyDescent="0.25">
      <c r="I2" s="195" t="s">
        <v>173</v>
      </c>
      <c r="O2" s="29"/>
      <c r="Q2" s="246" t="s">
        <v>2928</v>
      </c>
    </row>
    <row r="3" spans="1:17" x14ac:dyDescent="0.25">
      <c r="O3" s="29"/>
      <c r="P3" s="29"/>
      <c r="Q3" s="246" t="s">
        <v>2929</v>
      </c>
    </row>
    <row r="4" spans="1:17" x14ac:dyDescent="0.25">
      <c r="P4" s="29"/>
      <c r="Q4" s="246" t="s">
        <v>2930</v>
      </c>
    </row>
    <row r="5" spans="1:17" x14ac:dyDescent="0.25">
      <c r="A5" s="560"/>
      <c r="B5" s="7"/>
      <c r="C5" s="431"/>
      <c r="D5" s="9"/>
      <c r="E5" s="10"/>
      <c r="P5" s="29"/>
      <c r="Q5" s="246" t="s">
        <v>2931</v>
      </c>
    </row>
    <row r="6" spans="1:17" x14ac:dyDescent="0.25">
      <c r="A6" s="2536" t="s">
        <v>0</v>
      </c>
      <c r="B6" s="2536"/>
      <c r="C6" s="2536"/>
      <c r="D6" s="2536"/>
      <c r="E6" s="2536"/>
      <c r="P6" s="29"/>
      <c r="Q6" s="29"/>
    </row>
    <row r="7" spans="1:17" ht="10.5" customHeight="1" x14ac:dyDescent="0.25"/>
    <row r="8" spans="1:17" ht="15" customHeight="1" x14ac:dyDescent="0.25">
      <c r="A8" s="2537" t="s">
        <v>659</v>
      </c>
      <c r="B8" s="2532" t="s">
        <v>1</v>
      </c>
      <c r="C8" s="2538" t="s">
        <v>2</v>
      </c>
      <c r="D8" s="2539" t="s">
        <v>3</v>
      </c>
      <c r="E8" s="2163" t="s">
        <v>4</v>
      </c>
      <c r="F8" s="2529" t="s">
        <v>174</v>
      </c>
      <c r="G8" s="2530"/>
      <c r="H8" s="2530"/>
      <c r="I8" s="2530"/>
      <c r="J8" s="2176"/>
      <c r="K8" s="2236" t="s">
        <v>175</v>
      </c>
      <c r="L8" s="2239" t="s">
        <v>176</v>
      </c>
      <c r="M8" s="2239"/>
      <c r="N8" s="2540" t="s">
        <v>177</v>
      </c>
      <c r="O8" s="2541"/>
      <c r="P8" s="2541"/>
      <c r="Q8" s="2542"/>
    </row>
    <row r="9" spans="1:17" x14ac:dyDescent="0.25">
      <c r="A9" s="2537"/>
      <c r="B9" s="2532"/>
      <c r="C9" s="2538"/>
      <c r="D9" s="2539"/>
      <c r="E9" s="2163"/>
      <c r="F9" s="2527" t="s">
        <v>178</v>
      </c>
      <c r="G9" s="2528"/>
      <c r="H9" s="2528"/>
      <c r="I9" s="2528"/>
      <c r="J9" s="2013"/>
      <c r="K9" s="2526"/>
      <c r="L9" s="2241"/>
      <c r="M9" s="2240"/>
      <c r="N9" s="2543"/>
      <c r="O9" s="2544"/>
      <c r="P9" s="2544"/>
      <c r="Q9" s="2545"/>
    </row>
    <row r="10" spans="1:17" x14ac:dyDescent="0.25">
      <c r="A10" s="2537"/>
      <c r="B10" s="2532"/>
      <c r="C10" s="2538"/>
      <c r="D10" s="2539"/>
      <c r="E10" s="2163"/>
      <c r="F10" s="295" t="s">
        <v>669</v>
      </c>
      <c r="G10" s="295" t="s">
        <v>670</v>
      </c>
      <c r="H10" s="295" t="s">
        <v>179</v>
      </c>
      <c r="I10" s="295" t="s">
        <v>180</v>
      </c>
      <c r="J10" s="295" t="s">
        <v>428</v>
      </c>
      <c r="K10" s="2237"/>
      <c r="L10" s="2240"/>
      <c r="M10" s="190">
        <v>2017</v>
      </c>
      <c r="N10" s="190">
        <v>2018</v>
      </c>
      <c r="O10" s="190">
        <v>2019</v>
      </c>
      <c r="P10" s="190">
        <v>2020</v>
      </c>
      <c r="Q10" s="190">
        <v>2021</v>
      </c>
    </row>
    <row r="11" spans="1:17" ht="19.5" customHeight="1" thickBot="1" x14ac:dyDescent="0.3">
      <c r="A11" s="1826" t="s">
        <v>5</v>
      </c>
      <c r="B11" s="1827"/>
      <c r="C11" s="1827"/>
      <c r="D11" s="1827"/>
      <c r="E11" s="1827"/>
      <c r="F11" s="1827"/>
      <c r="G11" s="1827"/>
      <c r="H11" s="1827"/>
      <c r="I11" s="1827"/>
      <c r="J11" s="1827"/>
      <c r="K11" s="1827"/>
      <c r="L11" s="1827"/>
      <c r="M11" s="1827"/>
      <c r="N11" s="1827"/>
      <c r="O11" s="1827"/>
      <c r="P11" s="1827"/>
      <c r="Q11" s="1828"/>
    </row>
    <row r="12" spans="1:17" s="129" customFormat="1" ht="73.5" x14ac:dyDescent="0.25">
      <c r="A12" s="556">
        <v>11</v>
      </c>
      <c r="B12" s="492">
        <v>1</v>
      </c>
      <c r="C12" s="413"/>
      <c r="D12" s="53"/>
      <c r="E12" s="391" t="s">
        <v>531</v>
      </c>
      <c r="F12" s="196">
        <v>201810.50000000003</v>
      </c>
      <c r="G12" s="196">
        <v>215271.99999999997</v>
      </c>
      <c r="H12" s="197">
        <f>H13+H14+H15+H16+H17+H18+H19+H20+H21</f>
        <v>257908.99999999997</v>
      </c>
      <c r="I12" s="196">
        <v>223871.19999999998</v>
      </c>
      <c r="J12" s="196">
        <v>226443.29999999996</v>
      </c>
      <c r="K12" s="301" t="s">
        <v>181</v>
      </c>
      <c r="L12" s="274" t="s">
        <v>182</v>
      </c>
      <c r="M12" s="274"/>
      <c r="N12" s="274"/>
      <c r="O12" s="274"/>
      <c r="P12" s="274"/>
      <c r="Q12" s="274"/>
    </row>
    <row r="13" spans="1:17" s="129" customFormat="1" x14ac:dyDescent="0.25">
      <c r="A13" s="557"/>
      <c r="B13" s="480"/>
      <c r="C13" s="424">
        <v>1</v>
      </c>
      <c r="D13" s="253"/>
      <c r="E13" s="143" t="s">
        <v>7</v>
      </c>
      <c r="F13" s="361">
        <v>27811.4</v>
      </c>
      <c r="G13" s="361">
        <v>43796</v>
      </c>
      <c r="H13" s="820">
        <v>29957.8</v>
      </c>
      <c r="I13" s="89">
        <v>27559.3</v>
      </c>
      <c r="J13" s="89">
        <v>27788.7</v>
      </c>
      <c r="K13" s="317" t="s">
        <v>183</v>
      </c>
      <c r="L13" s="318" t="s">
        <v>184</v>
      </c>
      <c r="M13" s="382">
        <v>100</v>
      </c>
      <c r="N13" s="382">
        <v>100</v>
      </c>
      <c r="O13" s="382">
        <v>100</v>
      </c>
      <c r="P13" s="382">
        <v>100</v>
      </c>
      <c r="Q13" s="382">
        <v>100</v>
      </c>
    </row>
    <row r="14" spans="1:17" s="129" customFormat="1" x14ac:dyDescent="0.25">
      <c r="A14" s="557"/>
      <c r="B14" s="544"/>
      <c r="C14" s="432">
        <v>2</v>
      </c>
      <c r="D14" s="253"/>
      <c r="E14" s="384" t="s">
        <v>9</v>
      </c>
      <c r="F14" s="361">
        <v>11941.9</v>
      </c>
      <c r="G14" s="361">
        <v>11732.4</v>
      </c>
      <c r="H14" s="820">
        <v>14239.5</v>
      </c>
      <c r="I14" s="89">
        <v>13642</v>
      </c>
      <c r="J14" s="89">
        <v>13760.4</v>
      </c>
      <c r="K14" s="317" t="s">
        <v>185</v>
      </c>
      <c r="L14" s="318" t="s">
        <v>182</v>
      </c>
      <c r="M14" s="382">
        <v>95</v>
      </c>
      <c r="N14" s="382">
        <v>100</v>
      </c>
      <c r="O14" s="382">
        <v>100</v>
      </c>
      <c r="P14" s="382">
        <v>100</v>
      </c>
      <c r="Q14" s="382">
        <v>100</v>
      </c>
    </row>
    <row r="15" spans="1:17" s="129" customFormat="1" ht="30" x14ac:dyDescent="0.25">
      <c r="A15" s="557"/>
      <c r="B15" s="544"/>
      <c r="C15" s="432">
        <v>3</v>
      </c>
      <c r="D15" s="253"/>
      <c r="E15" s="384" t="s">
        <v>11</v>
      </c>
      <c r="F15" s="361">
        <v>7908.3</v>
      </c>
      <c r="G15" s="361">
        <v>7551.9</v>
      </c>
      <c r="H15" s="820">
        <v>8203.2000000000007</v>
      </c>
      <c r="I15" s="89">
        <v>7543.4</v>
      </c>
      <c r="J15" s="89">
        <v>7571.9</v>
      </c>
      <c r="K15" s="56" t="s">
        <v>186</v>
      </c>
      <c r="L15" s="318" t="s">
        <v>182</v>
      </c>
      <c r="M15" s="382"/>
      <c r="N15" s="382"/>
      <c r="O15" s="382"/>
      <c r="P15" s="382"/>
      <c r="Q15" s="382"/>
    </row>
    <row r="16" spans="1:17" s="129" customFormat="1" ht="30" x14ac:dyDescent="0.25">
      <c r="A16" s="557"/>
      <c r="B16" s="544"/>
      <c r="C16" s="432">
        <v>4</v>
      </c>
      <c r="D16" s="253"/>
      <c r="E16" s="384" t="s">
        <v>13</v>
      </c>
      <c r="F16" s="361">
        <v>18945.599999999999</v>
      </c>
      <c r="G16" s="361">
        <v>18229.7</v>
      </c>
      <c r="H16" s="820">
        <v>19670.2</v>
      </c>
      <c r="I16" s="89">
        <v>18054.900000000001</v>
      </c>
      <c r="J16" s="89">
        <v>18136.900000000001</v>
      </c>
      <c r="K16" s="317" t="s">
        <v>187</v>
      </c>
      <c r="L16" s="318" t="s">
        <v>423</v>
      </c>
      <c r="M16" s="382"/>
      <c r="N16" s="382"/>
      <c r="O16" s="382"/>
      <c r="P16" s="382"/>
      <c r="Q16" s="382"/>
    </row>
    <row r="17" spans="1:17" s="129" customFormat="1" ht="30" x14ac:dyDescent="0.25">
      <c r="A17" s="557"/>
      <c r="B17" s="544"/>
      <c r="C17" s="432">
        <v>5</v>
      </c>
      <c r="D17" s="253"/>
      <c r="E17" s="461" t="s">
        <v>15</v>
      </c>
      <c r="F17" s="361">
        <v>21239.1</v>
      </c>
      <c r="G17" s="361">
        <v>19008</v>
      </c>
      <c r="H17" s="820">
        <v>34138.699999999997</v>
      </c>
      <c r="I17" s="89">
        <v>28119.9</v>
      </c>
      <c r="J17" s="89">
        <v>28592.2</v>
      </c>
      <c r="K17" s="317" t="s">
        <v>188</v>
      </c>
      <c r="L17" s="318" t="s">
        <v>189</v>
      </c>
      <c r="M17" s="382"/>
      <c r="N17" s="382"/>
      <c r="O17" s="382"/>
      <c r="P17" s="382"/>
      <c r="Q17" s="382"/>
    </row>
    <row r="18" spans="1:17" s="129" customFormat="1" ht="30" x14ac:dyDescent="0.25">
      <c r="A18" s="557"/>
      <c r="B18" s="480"/>
      <c r="C18" s="422">
        <v>6</v>
      </c>
      <c r="D18" s="253"/>
      <c r="E18" s="463" t="s">
        <v>17</v>
      </c>
      <c r="F18" s="361">
        <v>62185.599999999999</v>
      </c>
      <c r="G18" s="361">
        <v>60029.1</v>
      </c>
      <c r="H18" s="820">
        <v>67430.2</v>
      </c>
      <c r="I18" s="89">
        <v>75932.800000000003</v>
      </c>
      <c r="J18" s="89">
        <v>76893</v>
      </c>
      <c r="K18" s="317" t="s">
        <v>190</v>
      </c>
      <c r="L18" s="318" t="s">
        <v>182</v>
      </c>
      <c r="M18" s="382"/>
      <c r="N18" s="382"/>
      <c r="O18" s="382"/>
      <c r="P18" s="382"/>
      <c r="Q18" s="382"/>
    </row>
    <row r="19" spans="1:17" s="129" customFormat="1" ht="45" x14ac:dyDescent="0.25">
      <c r="A19" s="557"/>
      <c r="B19" s="544"/>
      <c r="C19" s="432">
        <v>9</v>
      </c>
      <c r="D19" s="253"/>
      <c r="E19" s="463" t="s">
        <v>18</v>
      </c>
      <c r="F19" s="316">
        <v>18729.2</v>
      </c>
      <c r="G19" s="316">
        <v>18301.3</v>
      </c>
      <c r="H19" s="820">
        <f>12137.3+7639.3</f>
        <v>19776.599999999999</v>
      </c>
      <c r="I19" s="89">
        <v>19434.099999999999</v>
      </c>
      <c r="J19" s="89">
        <v>19737.400000000001</v>
      </c>
      <c r="K19" s="314" t="s">
        <v>672</v>
      </c>
      <c r="L19" s="315" t="s">
        <v>191</v>
      </c>
      <c r="M19" s="382">
        <v>230</v>
      </c>
      <c r="N19" s="382">
        <v>241</v>
      </c>
      <c r="O19" s="382">
        <v>251</v>
      </c>
      <c r="P19" s="382">
        <v>258</v>
      </c>
      <c r="Q19" s="382">
        <v>268</v>
      </c>
    </row>
    <row r="20" spans="1:17" s="129" customFormat="1" x14ac:dyDescent="0.25">
      <c r="A20" s="557"/>
      <c r="B20" s="480"/>
      <c r="C20" s="422">
        <v>10</v>
      </c>
      <c r="D20" s="253"/>
      <c r="E20" s="463" t="s">
        <v>19</v>
      </c>
      <c r="F20" s="316">
        <v>32626.3</v>
      </c>
      <c r="G20" s="316">
        <v>36031.199999999997</v>
      </c>
      <c r="H20" s="820">
        <v>29620.799999999999</v>
      </c>
      <c r="I20" s="87">
        <v>33184.199999999997</v>
      </c>
      <c r="J20" s="87">
        <v>33546.9</v>
      </c>
      <c r="K20" s="314" t="s">
        <v>192</v>
      </c>
      <c r="L20" s="315" t="s">
        <v>189</v>
      </c>
      <c r="M20" s="382">
        <v>53</v>
      </c>
      <c r="N20" s="382">
        <v>53</v>
      </c>
      <c r="O20" s="382">
        <v>53</v>
      </c>
      <c r="P20" s="382">
        <v>53</v>
      </c>
      <c r="Q20" s="382">
        <v>53</v>
      </c>
    </row>
    <row r="21" spans="1:17" s="129" customFormat="1" x14ac:dyDescent="0.25">
      <c r="A21" s="557"/>
      <c r="B21" s="480"/>
      <c r="C21" s="422">
        <v>11</v>
      </c>
      <c r="D21" s="253"/>
      <c r="E21" s="463" t="s">
        <v>20</v>
      </c>
      <c r="F21" s="316">
        <v>423.1</v>
      </c>
      <c r="G21" s="316">
        <v>592.4</v>
      </c>
      <c r="H21" s="820">
        <v>34872</v>
      </c>
      <c r="I21" s="89">
        <v>400.6</v>
      </c>
      <c r="J21" s="89">
        <v>415.9</v>
      </c>
      <c r="K21" s="314"/>
      <c r="L21" s="315"/>
      <c r="M21" s="382"/>
      <c r="N21" s="382"/>
      <c r="O21" s="382"/>
      <c r="P21" s="382"/>
      <c r="Q21" s="382"/>
    </row>
    <row r="22" spans="1:17" s="129" customFormat="1" ht="133.5" customHeight="1" x14ac:dyDescent="0.25">
      <c r="A22" s="557">
        <v>11</v>
      </c>
      <c r="B22" s="480">
        <v>2</v>
      </c>
      <c r="C22" s="433"/>
      <c r="D22" s="130"/>
      <c r="E22" s="383" t="s">
        <v>2816</v>
      </c>
      <c r="F22" s="197">
        <v>158329.80000000002</v>
      </c>
      <c r="G22" s="197">
        <v>161863.90000000002</v>
      </c>
      <c r="H22" s="197">
        <f>H23+H24+H25+H27</f>
        <v>161416.5</v>
      </c>
      <c r="I22" s="197">
        <v>164908.69999999998</v>
      </c>
      <c r="J22" s="197">
        <v>165951.20000000001</v>
      </c>
      <c r="K22" s="319" t="s">
        <v>193</v>
      </c>
      <c r="L22" s="131" t="s">
        <v>182</v>
      </c>
      <c r="M22" s="11"/>
      <c r="N22" s="11"/>
      <c r="O22" s="11"/>
      <c r="P22" s="11"/>
      <c r="Q22" s="11"/>
    </row>
    <row r="23" spans="1:17" s="129" customFormat="1" ht="45" x14ac:dyDescent="0.25">
      <c r="A23" s="557"/>
      <c r="B23" s="480"/>
      <c r="C23" s="422">
        <v>1</v>
      </c>
      <c r="D23" s="13"/>
      <c r="E23" s="276" t="s">
        <v>22</v>
      </c>
      <c r="F23" s="316">
        <v>69144.3</v>
      </c>
      <c r="G23" s="316">
        <v>70838.600000000006</v>
      </c>
      <c r="H23" s="820">
        <v>73431.100000000006</v>
      </c>
      <c r="I23" s="361">
        <v>72709.3</v>
      </c>
      <c r="J23" s="361">
        <v>73129.5</v>
      </c>
      <c r="K23" s="276" t="s">
        <v>194</v>
      </c>
      <c r="L23" s="132" t="s">
        <v>195</v>
      </c>
      <c r="M23" s="133">
        <v>11</v>
      </c>
      <c r="N23" s="133">
        <v>11</v>
      </c>
      <c r="O23" s="133">
        <v>11</v>
      </c>
      <c r="P23" s="133">
        <v>11</v>
      </c>
      <c r="Q23" s="133">
        <v>11</v>
      </c>
    </row>
    <row r="24" spans="1:17" s="129" customFormat="1" ht="37.5" customHeight="1" x14ac:dyDescent="0.25">
      <c r="A24" s="557"/>
      <c r="B24" s="480"/>
      <c r="C24" s="422">
        <v>2</v>
      </c>
      <c r="D24" s="13"/>
      <c r="E24" s="276" t="s">
        <v>477</v>
      </c>
      <c r="F24" s="316">
        <v>77653.899999999994</v>
      </c>
      <c r="G24" s="316">
        <v>79067.100000000006</v>
      </c>
      <c r="H24" s="820">
        <v>75947.5</v>
      </c>
      <c r="I24" s="361">
        <v>79132.2</v>
      </c>
      <c r="J24" s="361">
        <v>79646.600000000006</v>
      </c>
      <c r="K24" s="276" t="s">
        <v>671</v>
      </c>
      <c r="L24" s="132" t="s">
        <v>196</v>
      </c>
      <c r="M24" s="133">
        <v>10</v>
      </c>
      <c r="N24" s="133">
        <v>10</v>
      </c>
      <c r="O24" s="133">
        <v>10</v>
      </c>
      <c r="P24" s="133">
        <v>10</v>
      </c>
      <c r="Q24" s="133">
        <v>10</v>
      </c>
    </row>
    <row r="25" spans="1:17" s="129" customFormat="1" ht="30" x14ac:dyDescent="0.25">
      <c r="A25" s="1882"/>
      <c r="B25" s="1815"/>
      <c r="C25" s="2028">
        <v>3</v>
      </c>
      <c r="D25" s="1888"/>
      <c r="E25" s="2020" t="s">
        <v>23</v>
      </c>
      <c r="F25" s="1835">
        <v>5051</v>
      </c>
      <c r="G25" s="1835">
        <v>4854</v>
      </c>
      <c r="H25" s="1950">
        <v>4734.8999999999996</v>
      </c>
      <c r="I25" s="1835">
        <v>4792.3</v>
      </c>
      <c r="J25" s="1835">
        <v>4814</v>
      </c>
      <c r="K25" s="276" t="s">
        <v>197</v>
      </c>
      <c r="L25" s="318" t="s">
        <v>182</v>
      </c>
      <c r="M25" s="43"/>
      <c r="N25" s="43"/>
      <c r="O25" s="43"/>
      <c r="P25" s="43"/>
      <c r="Q25" s="43"/>
    </row>
    <row r="26" spans="1:17" s="129" customFormat="1" ht="30" x14ac:dyDescent="0.25">
      <c r="A26" s="1883"/>
      <c r="B26" s="1817"/>
      <c r="C26" s="1820"/>
      <c r="D26" s="1889"/>
      <c r="E26" s="2022"/>
      <c r="F26" s="1836"/>
      <c r="G26" s="1836"/>
      <c r="H26" s="1950"/>
      <c r="I26" s="1836"/>
      <c r="J26" s="1836"/>
      <c r="K26" s="276" t="s">
        <v>198</v>
      </c>
      <c r="L26" s="318" t="s">
        <v>191</v>
      </c>
      <c r="M26" s="133">
        <v>1</v>
      </c>
      <c r="N26" s="133">
        <v>1</v>
      </c>
      <c r="O26" s="133">
        <v>1</v>
      </c>
      <c r="P26" s="133">
        <v>1</v>
      </c>
      <c r="Q26" s="133">
        <v>1</v>
      </c>
    </row>
    <row r="27" spans="1:17" s="129" customFormat="1" ht="45" x14ac:dyDescent="0.25">
      <c r="A27" s="443"/>
      <c r="B27" s="496"/>
      <c r="C27" s="422">
        <v>4</v>
      </c>
      <c r="D27" s="272"/>
      <c r="E27" s="317" t="s">
        <v>478</v>
      </c>
      <c r="F27" s="316">
        <v>6480.6</v>
      </c>
      <c r="G27" s="316">
        <v>7104.2</v>
      </c>
      <c r="H27" s="820">
        <v>7303</v>
      </c>
      <c r="I27" s="361">
        <v>8274.9</v>
      </c>
      <c r="J27" s="361">
        <v>8361.1</v>
      </c>
      <c r="K27" s="276" t="s">
        <v>199</v>
      </c>
      <c r="L27" s="318" t="s">
        <v>189</v>
      </c>
      <c r="M27" s="43"/>
      <c r="N27" s="43"/>
      <c r="O27" s="43"/>
      <c r="P27" s="43"/>
      <c r="Q27" s="43"/>
    </row>
    <row r="28" spans="1:17" s="129" customFormat="1" ht="88.5" customHeight="1" x14ac:dyDescent="0.25">
      <c r="A28" s="557">
        <v>11</v>
      </c>
      <c r="B28" s="496">
        <v>3</v>
      </c>
      <c r="C28" s="422"/>
      <c r="D28" s="344"/>
      <c r="E28" s="383" t="s">
        <v>2817</v>
      </c>
      <c r="F28" s="197">
        <v>361292.7</v>
      </c>
      <c r="G28" s="197">
        <v>373387.10000000003</v>
      </c>
      <c r="H28" s="197">
        <f>H29+H30+H32</f>
        <v>362418.9</v>
      </c>
      <c r="I28" s="197">
        <v>369596.10000000003</v>
      </c>
      <c r="J28" s="197">
        <v>373856.7</v>
      </c>
      <c r="K28" s="171" t="s">
        <v>200</v>
      </c>
      <c r="L28" s="318" t="s">
        <v>182</v>
      </c>
      <c r="M28" s="11"/>
      <c r="N28" s="11"/>
      <c r="O28" s="11"/>
      <c r="P28" s="11"/>
      <c r="Q28" s="11"/>
    </row>
    <row r="29" spans="1:17" s="129" customFormat="1" ht="45" x14ac:dyDescent="0.25">
      <c r="A29" s="443"/>
      <c r="B29" s="496"/>
      <c r="C29" s="422">
        <v>1</v>
      </c>
      <c r="D29" s="344"/>
      <c r="E29" s="276" t="s">
        <v>24</v>
      </c>
      <c r="F29" s="361">
        <v>259810.9</v>
      </c>
      <c r="G29" s="361">
        <v>276478.90000000002</v>
      </c>
      <c r="H29" s="820">
        <v>257437</v>
      </c>
      <c r="I29" s="361">
        <v>269844.90000000002</v>
      </c>
      <c r="J29" s="361">
        <v>273066.3</v>
      </c>
      <c r="K29" s="692" t="s">
        <v>201</v>
      </c>
      <c r="L29" s="318" t="s">
        <v>189</v>
      </c>
      <c r="M29" s="43"/>
      <c r="N29" s="43"/>
      <c r="O29" s="43"/>
      <c r="P29" s="43"/>
      <c r="Q29" s="43"/>
    </row>
    <row r="30" spans="1:17" s="129" customFormat="1" ht="30" x14ac:dyDescent="0.25">
      <c r="A30" s="1882"/>
      <c r="B30" s="1815"/>
      <c r="C30" s="2028">
        <v>2</v>
      </c>
      <c r="D30" s="1884"/>
      <c r="E30" s="2020" t="s">
        <v>25</v>
      </c>
      <c r="F30" s="1835">
        <v>69700.600000000006</v>
      </c>
      <c r="G30" s="1835">
        <v>66540.7</v>
      </c>
      <c r="H30" s="1950">
        <v>69858.399999999994</v>
      </c>
      <c r="I30" s="1835">
        <v>66300.800000000003</v>
      </c>
      <c r="J30" s="1835">
        <v>66625</v>
      </c>
      <c r="K30" s="276" t="s">
        <v>202</v>
      </c>
      <c r="L30" s="318" t="s">
        <v>203</v>
      </c>
      <c r="M30" s="43"/>
      <c r="N30" s="43"/>
      <c r="O30" s="43"/>
      <c r="P30" s="43"/>
      <c r="Q30" s="43"/>
    </row>
    <row r="31" spans="1:17" s="129" customFormat="1" ht="30" x14ac:dyDescent="0.25">
      <c r="A31" s="1883"/>
      <c r="B31" s="1817"/>
      <c r="C31" s="1820"/>
      <c r="D31" s="1885"/>
      <c r="E31" s="2022"/>
      <c r="F31" s="1836"/>
      <c r="G31" s="1836"/>
      <c r="H31" s="1950"/>
      <c r="I31" s="1836"/>
      <c r="J31" s="1836"/>
      <c r="K31" s="692" t="s">
        <v>204</v>
      </c>
      <c r="L31" s="318" t="s">
        <v>189</v>
      </c>
      <c r="M31" s="43"/>
      <c r="N31" s="43"/>
      <c r="O31" s="43"/>
      <c r="P31" s="43"/>
      <c r="Q31" s="43"/>
    </row>
    <row r="32" spans="1:17" s="129" customFormat="1" ht="45" x14ac:dyDescent="0.25">
      <c r="A32" s="557"/>
      <c r="B32" s="480"/>
      <c r="C32" s="422">
        <v>3</v>
      </c>
      <c r="D32" s="313"/>
      <c r="E32" s="276" t="s">
        <v>26</v>
      </c>
      <c r="F32" s="316">
        <v>31781.200000000001</v>
      </c>
      <c r="G32" s="316">
        <v>30367.5</v>
      </c>
      <c r="H32" s="820">
        <v>35123.5</v>
      </c>
      <c r="I32" s="361">
        <v>33450.400000000001</v>
      </c>
      <c r="J32" s="361">
        <v>34165.4</v>
      </c>
      <c r="K32" s="276" t="s">
        <v>205</v>
      </c>
      <c r="L32" s="318" t="s">
        <v>189</v>
      </c>
      <c r="M32" s="43"/>
      <c r="N32" s="43"/>
      <c r="O32" s="43"/>
      <c r="P32" s="43"/>
      <c r="Q32" s="43"/>
    </row>
    <row r="33" spans="1:17" s="129" customFormat="1" ht="103.5" x14ac:dyDescent="0.25">
      <c r="A33" s="557">
        <v>11</v>
      </c>
      <c r="B33" s="889">
        <v>4</v>
      </c>
      <c r="C33" s="577"/>
      <c r="D33" s="893"/>
      <c r="E33" s="892" t="s">
        <v>2818</v>
      </c>
      <c r="F33" s="894">
        <v>10443.799999999999</v>
      </c>
      <c r="G33" s="894">
        <v>10335.599999999999</v>
      </c>
      <c r="H33" s="197">
        <f>H34+H37</f>
        <v>10689.7</v>
      </c>
      <c r="I33" s="197">
        <v>10428.299999999999</v>
      </c>
      <c r="J33" s="197">
        <v>10475.400000000001</v>
      </c>
      <c r="K33" s="171" t="s">
        <v>206</v>
      </c>
      <c r="L33" s="318" t="s">
        <v>182</v>
      </c>
      <c r="M33" s="11"/>
      <c r="N33" s="11"/>
      <c r="O33" s="11"/>
      <c r="P33" s="11"/>
      <c r="Q33" s="11"/>
    </row>
    <row r="34" spans="1:17" s="129" customFormat="1" ht="15" customHeight="1" x14ac:dyDescent="0.25">
      <c r="A34" s="1882"/>
      <c r="B34" s="889"/>
      <c r="C34" s="1976">
        <v>1</v>
      </c>
      <c r="D34" s="1955"/>
      <c r="E34" s="1874" t="s">
        <v>27</v>
      </c>
      <c r="F34" s="1903">
        <v>3150.1</v>
      </c>
      <c r="G34" s="1903">
        <v>3092.2</v>
      </c>
      <c r="H34" s="1950">
        <v>3456</v>
      </c>
      <c r="I34" s="1835">
        <v>3110.3</v>
      </c>
      <c r="J34" s="1835">
        <v>3124.8</v>
      </c>
      <c r="K34" s="276" t="s">
        <v>673</v>
      </c>
      <c r="L34" s="318" t="s">
        <v>182</v>
      </c>
      <c r="M34" s="43"/>
      <c r="N34" s="43"/>
      <c r="O34" s="43"/>
      <c r="P34" s="43"/>
      <c r="Q34" s="43"/>
    </row>
    <row r="35" spans="1:17" s="129" customFormat="1" x14ac:dyDescent="0.25">
      <c r="A35" s="2015"/>
      <c r="B35" s="890"/>
      <c r="C35" s="1977"/>
      <c r="D35" s="1978"/>
      <c r="E35" s="1969"/>
      <c r="F35" s="1904"/>
      <c r="G35" s="1904"/>
      <c r="H35" s="1950"/>
      <c r="I35" s="1911"/>
      <c r="J35" s="1911"/>
      <c r="K35" s="276" t="s">
        <v>207</v>
      </c>
      <c r="L35" s="318" t="s">
        <v>182</v>
      </c>
      <c r="M35" s="43"/>
      <c r="N35" s="43"/>
      <c r="O35" s="43"/>
      <c r="P35" s="43"/>
      <c r="Q35" s="43"/>
    </row>
    <row r="36" spans="1:17" s="129" customFormat="1" x14ac:dyDescent="0.25">
      <c r="A36" s="1883"/>
      <c r="B36" s="891"/>
      <c r="C36" s="2009"/>
      <c r="D36" s="1956"/>
      <c r="E36" s="1875"/>
      <c r="F36" s="1905"/>
      <c r="G36" s="1905"/>
      <c r="H36" s="1950"/>
      <c r="I36" s="1836"/>
      <c r="J36" s="1836"/>
      <c r="K36" s="276" t="s">
        <v>208</v>
      </c>
      <c r="L36" s="318" t="s">
        <v>182</v>
      </c>
      <c r="M36" s="43"/>
      <c r="N36" s="43"/>
      <c r="O36" s="43"/>
      <c r="P36" s="43"/>
      <c r="Q36" s="43"/>
    </row>
    <row r="37" spans="1:17" s="129" customFormat="1" ht="15" customHeight="1" x14ac:dyDescent="0.25">
      <c r="A37" s="1882"/>
      <c r="B37" s="889"/>
      <c r="C37" s="1976">
        <v>2</v>
      </c>
      <c r="D37" s="1955"/>
      <c r="E37" s="1874" t="s">
        <v>28</v>
      </c>
      <c r="F37" s="1903">
        <v>7293.7</v>
      </c>
      <c r="G37" s="1903">
        <v>7243.4</v>
      </c>
      <c r="H37" s="1950">
        <v>7233.7</v>
      </c>
      <c r="I37" s="1835">
        <v>7318</v>
      </c>
      <c r="J37" s="1835">
        <v>7350.6</v>
      </c>
      <c r="K37" s="276" t="s">
        <v>209</v>
      </c>
      <c r="L37" s="318" t="s">
        <v>189</v>
      </c>
      <c r="M37" s="43"/>
      <c r="N37" s="43"/>
      <c r="O37" s="43"/>
      <c r="P37" s="43"/>
      <c r="Q37" s="43"/>
    </row>
    <row r="38" spans="1:17" s="129" customFormat="1" ht="30" x14ac:dyDescent="0.25">
      <c r="A38" s="1883"/>
      <c r="B38" s="891"/>
      <c r="C38" s="2009"/>
      <c r="D38" s="1956"/>
      <c r="E38" s="1875"/>
      <c r="F38" s="1904"/>
      <c r="G38" s="1904"/>
      <c r="H38" s="1950"/>
      <c r="I38" s="1911"/>
      <c r="J38" s="1911"/>
      <c r="K38" s="276" t="s">
        <v>674</v>
      </c>
      <c r="L38" s="318" t="s">
        <v>189</v>
      </c>
      <c r="M38" s="43"/>
      <c r="N38" s="43"/>
      <c r="O38" s="43"/>
      <c r="P38" s="43"/>
      <c r="Q38" s="43"/>
    </row>
    <row r="39" spans="1:17" s="142" customFormat="1" x14ac:dyDescent="0.25">
      <c r="A39" s="2655" t="s">
        <v>29</v>
      </c>
      <c r="B39" s="2656"/>
      <c r="C39" s="2656"/>
      <c r="D39" s="2656"/>
      <c r="E39" s="2657"/>
      <c r="F39" s="17">
        <v>731876.8</v>
      </c>
      <c r="G39" s="17">
        <v>760858.6</v>
      </c>
      <c r="H39" s="17">
        <f>H12+H22+H28+H33</f>
        <v>792434.1</v>
      </c>
      <c r="I39" s="17">
        <v>768804.3</v>
      </c>
      <c r="J39" s="17">
        <v>776726.6</v>
      </c>
      <c r="K39" s="791"/>
      <c r="L39" s="2317"/>
      <c r="M39" s="2318"/>
      <c r="N39" s="2318"/>
      <c r="O39" s="2318"/>
      <c r="P39" s="2318"/>
      <c r="Q39" s="2319"/>
    </row>
    <row r="40" spans="1:17" x14ac:dyDescent="0.25">
      <c r="A40" s="1826" t="s">
        <v>489</v>
      </c>
      <c r="B40" s="1827"/>
      <c r="C40" s="1827"/>
      <c r="D40" s="1827"/>
      <c r="E40" s="1827"/>
      <c r="F40" s="1827"/>
      <c r="G40" s="1827"/>
      <c r="H40" s="1827"/>
      <c r="I40" s="1827"/>
      <c r="J40" s="1827"/>
      <c r="K40" s="1827"/>
      <c r="L40" s="1827"/>
      <c r="M40" s="1827"/>
      <c r="N40" s="1827"/>
      <c r="O40" s="1827"/>
      <c r="P40" s="1827"/>
      <c r="Q40" s="1828"/>
    </row>
    <row r="41" spans="1:17" ht="21" customHeight="1" x14ac:dyDescent="0.25">
      <c r="A41" s="558">
        <v>12</v>
      </c>
      <c r="B41" s="484">
        <v>2</v>
      </c>
      <c r="C41" s="324"/>
      <c r="D41" s="39"/>
      <c r="E41" s="40" t="s">
        <v>490</v>
      </c>
      <c r="F41" s="340"/>
      <c r="G41" s="340"/>
      <c r="H41" s="725">
        <f>H42+H43+H44</f>
        <v>159340.9</v>
      </c>
      <c r="I41" s="340">
        <v>169934.19999999998</v>
      </c>
      <c r="J41" s="340">
        <v>171785.69999999998</v>
      </c>
      <c r="K41" s="39"/>
      <c r="L41" s="39"/>
      <c r="M41" s="39"/>
      <c r="N41" s="39"/>
      <c r="O41" s="39"/>
      <c r="P41" s="39"/>
      <c r="Q41" s="39"/>
    </row>
    <row r="42" spans="1:17" ht="68.25" customHeight="1" x14ac:dyDescent="0.25">
      <c r="A42" s="561"/>
      <c r="B42" s="445"/>
      <c r="C42" s="427" t="s">
        <v>6</v>
      </c>
      <c r="D42" s="378"/>
      <c r="E42" s="464" t="s">
        <v>676</v>
      </c>
      <c r="F42" s="354"/>
      <c r="G42" s="354"/>
      <c r="H42" s="1070">
        <v>118088</v>
      </c>
      <c r="I42" s="1065">
        <v>132871.29999999999</v>
      </c>
      <c r="J42" s="1065">
        <v>134722.79999999999</v>
      </c>
      <c r="K42" s="380" t="s">
        <v>491</v>
      </c>
      <c r="L42" s="289" t="s">
        <v>426</v>
      </c>
      <c r="M42" s="341">
        <v>7.9000000000000001E-2</v>
      </c>
      <c r="N42" s="341">
        <v>7.9000000000000001E-2</v>
      </c>
      <c r="O42" s="341">
        <v>7.9000000000000001E-2</v>
      </c>
      <c r="P42" s="341">
        <v>7.9000000000000001E-2</v>
      </c>
      <c r="Q42" s="381">
        <v>0.1</v>
      </c>
    </row>
    <row r="43" spans="1:17" ht="45" x14ac:dyDescent="0.25">
      <c r="A43" s="562"/>
      <c r="B43" s="41"/>
      <c r="C43" s="427" t="s">
        <v>8</v>
      </c>
      <c r="D43" s="378"/>
      <c r="E43" s="464" t="s">
        <v>677</v>
      </c>
      <c r="F43" s="354"/>
      <c r="G43" s="354"/>
      <c r="H43" s="1070">
        <f>7062.9-310</f>
        <v>6752.9</v>
      </c>
      <c r="I43" s="1065">
        <v>7062.9</v>
      </c>
      <c r="J43" s="1065">
        <v>7062.9</v>
      </c>
      <c r="K43" s="380" t="s">
        <v>492</v>
      </c>
      <c r="L43" s="289" t="s">
        <v>182</v>
      </c>
      <c r="M43" s="341">
        <v>100</v>
      </c>
      <c r="N43" s="341">
        <v>100</v>
      </c>
      <c r="O43" s="341">
        <v>100</v>
      </c>
      <c r="P43" s="341">
        <v>100</v>
      </c>
      <c r="Q43" s="381">
        <v>100</v>
      </c>
    </row>
    <row r="44" spans="1:17" ht="82.5" customHeight="1" x14ac:dyDescent="0.25">
      <c r="A44" s="563"/>
      <c r="B44" s="602"/>
      <c r="C44" s="427" t="s">
        <v>10</v>
      </c>
      <c r="D44" s="50"/>
      <c r="E44" s="465" t="s">
        <v>675</v>
      </c>
      <c r="F44" s="354"/>
      <c r="G44" s="354"/>
      <c r="H44" s="1800">
        <f>30000+5000-500</f>
        <v>34500</v>
      </c>
      <c r="I44" s="1220">
        <v>30000</v>
      </c>
      <c r="J44" s="1220">
        <v>30000</v>
      </c>
      <c r="K44" s="74" t="s">
        <v>493</v>
      </c>
      <c r="L44" s="354" t="s">
        <v>270</v>
      </c>
      <c r="M44" s="354">
        <v>13</v>
      </c>
      <c r="N44" s="354">
        <v>13</v>
      </c>
      <c r="O44" s="354">
        <v>13</v>
      </c>
      <c r="P44" s="354">
        <v>13</v>
      </c>
      <c r="Q44" s="134">
        <v>13</v>
      </c>
    </row>
    <row r="45" spans="1:17" s="142" customFormat="1" x14ac:dyDescent="0.25">
      <c r="A45" s="2655" t="s">
        <v>678</v>
      </c>
      <c r="B45" s="2656"/>
      <c r="C45" s="2656"/>
      <c r="D45" s="2656"/>
      <c r="E45" s="2657"/>
      <c r="F45" s="17">
        <v>0</v>
      </c>
      <c r="G45" s="17">
        <v>0</v>
      </c>
      <c r="H45" s="17">
        <f>H41</f>
        <v>159340.9</v>
      </c>
      <c r="I45" s="17">
        <v>169934.19999999998</v>
      </c>
      <c r="J45" s="17">
        <v>171785.69999999998</v>
      </c>
      <c r="K45" s="791"/>
      <c r="L45" s="2317"/>
      <c r="M45" s="2318"/>
      <c r="N45" s="2318"/>
      <c r="O45" s="2318"/>
      <c r="P45" s="2318"/>
      <c r="Q45" s="2319"/>
    </row>
    <row r="46" spans="1:17" x14ac:dyDescent="0.25">
      <c r="A46" s="1826" t="s">
        <v>30</v>
      </c>
      <c r="B46" s="1827"/>
      <c r="C46" s="1827"/>
      <c r="D46" s="1827"/>
      <c r="E46" s="1827"/>
      <c r="F46" s="1827"/>
      <c r="G46" s="1827"/>
      <c r="H46" s="1827"/>
      <c r="I46" s="1827"/>
      <c r="J46" s="1827"/>
      <c r="K46" s="1827"/>
      <c r="L46" s="1827"/>
      <c r="M46" s="1827"/>
      <c r="N46" s="1827"/>
      <c r="O46" s="1827"/>
      <c r="P46" s="1827"/>
      <c r="Q46" s="1828"/>
    </row>
    <row r="47" spans="1:17" ht="85.5" customHeight="1" x14ac:dyDescent="0.25">
      <c r="A47" s="564">
        <v>13</v>
      </c>
      <c r="B47" s="545">
        <v>2</v>
      </c>
      <c r="C47" s="434"/>
      <c r="D47" s="336"/>
      <c r="E47" s="2070" t="s">
        <v>2819</v>
      </c>
      <c r="F47" s="2491">
        <v>0</v>
      </c>
      <c r="G47" s="2491">
        <v>0</v>
      </c>
      <c r="H47" s="2491">
        <f>H49+H51+H53+H55+H56</f>
        <v>8618.2999999999993</v>
      </c>
      <c r="I47" s="2491">
        <v>7928.6</v>
      </c>
      <c r="J47" s="2491">
        <v>8002.4</v>
      </c>
      <c r="K47" s="387" t="s">
        <v>210</v>
      </c>
      <c r="L47" s="20" t="s">
        <v>182</v>
      </c>
      <c r="M47" s="20">
        <v>7413.2</v>
      </c>
      <c r="N47" s="28">
        <v>5508.5</v>
      </c>
      <c r="O47" s="28">
        <v>5509.7</v>
      </c>
      <c r="P47" s="28">
        <v>5542.3</v>
      </c>
      <c r="Q47" s="28">
        <v>5564.4</v>
      </c>
    </row>
    <row r="48" spans="1:17" ht="42.75" x14ac:dyDescent="0.25">
      <c r="A48" s="565"/>
      <c r="B48" s="356"/>
      <c r="C48" s="435"/>
      <c r="D48" s="337"/>
      <c r="E48" s="2071"/>
      <c r="F48" s="2492"/>
      <c r="G48" s="2492"/>
      <c r="H48" s="2492"/>
      <c r="I48" s="2492"/>
      <c r="J48" s="2492"/>
      <c r="K48" s="387" t="s">
        <v>211</v>
      </c>
      <c r="L48" s="20" t="s">
        <v>182</v>
      </c>
      <c r="M48" s="20">
        <v>25</v>
      </c>
      <c r="N48" s="28">
        <v>30</v>
      </c>
      <c r="O48" s="28">
        <v>40</v>
      </c>
      <c r="P48" s="28">
        <v>50</v>
      </c>
      <c r="Q48" s="28">
        <v>50</v>
      </c>
    </row>
    <row r="49" spans="1:17" ht="75" x14ac:dyDescent="0.25">
      <c r="A49" s="566"/>
      <c r="B49" s="546"/>
      <c r="C49" s="434" t="s">
        <v>6</v>
      </c>
      <c r="D49" s="336"/>
      <c r="E49" s="1866" t="s">
        <v>31</v>
      </c>
      <c r="F49" s="2349"/>
      <c r="G49" s="2349"/>
      <c r="H49" s="2470"/>
      <c r="I49" s="2470">
        <v>1662.7</v>
      </c>
      <c r="J49" s="2470">
        <v>1669.3</v>
      </c>
      <c r="K49" s="335" t="s">
        <v>212</v>
      </c>
      <c r="L49" s="334" t="s">
        <v>182</v>
      </c>
      <c r="M49" s="334">
        <v>40</v>
      </c>
      <c r="N49" s="35">
        <v>45</v>
      </c>
      <c r="O49" s="35">
        <v>50</v>
      </c>
      <c r="P49" s="35">
        <v>60</v>
      </c>
      <c r="Q49" s="35">
        <v>60</v>
      </c>
    </row>
    <row r="50" spans="1:17" ht="30" x14ac:dyDescent="0.25">
      <c r="A50" s="565"/>
      <c r="B50" s="356"/>
      <c r="C50" s="435"/>
      <c r="D50" s="337"/>
      <c r="E50" s="1867"/>
      <c r="F50" s="1901"/>
      <c r="G50" s="1901"/>
      <c r="H50" s="2470"/>
      <c r="I50" s="2470"/>
      <c r="J50" s="2470"/>
      <c r="K50" s="335" t="s">
        <v>213</v>
      </c>
      <c r="L50" s="334" t="s">
        <v>214</v>
      </c>
      <c r="M50" s="334" t="s">
        <v>215</v>
      </c>
      <c r="N50" s="35" t="s">
        <v>215</v>
      </c>
      <c r="O50" s="35" t="s">
        <v>216</v>
      </c>
      <c r="P50" s="35"/>
      <c r="Q50" s="35"/>
    </row>
    <row r="51" spans="1:17" ht="30" x14ac:dyDescent="0.25">
      <c r="A51" s="566"/>
      <c r="B51" s="546"/>
      <c r="C51" s="434" t="s">
        <v>8</v>
      </c>
      <c r="D51" s="336"/>
      <c r="E51" s="1866" t="s">
        <v>32</v>
      </c>
      <c r="F51" s="2349"/>
      <c r="G51" s="2349"/>
      <c r="H51" s="2470">
        <f>7952.7</f>
        <v>7952.7</v>
      </c>
      <c r="I51" s="2470">
        <v>831.3</v>
      </c>
      <c r="J51" s="2470">
        <v>834.7</v>
      </c>
      <c r="K51" s="335" t="s">
        <v>217</v>
      </c>
      <c r="L51" s="334" t="s">
        <v>182</v>
      </c>
      <c r="M51" s="334">
        <v>35</v>
      </c>
      <c r="N51" s="35">
        <v>40</v>
      </c>
      <c r="O51" s="35">
        <v>50</v>
      </c>
      <c r="P51" s="35">
        <v>60</v>
      </c>
      <c r="Q51" s="35">
        <v>60</v>
      </c>
    </row>
    <row r="52" spans="1:17" ht="45" x14ac:dyDescent="0.25">
      <c r="A52" s="565"/>
      <c r="B52" s="356"/>
      <c r="C52" s="435"/>
      <c r="D52" s="337"/>
      <c r="E52" s="1867"/>
      <c r="F52" s="1901"/>
      <c r="G52" s="1901"/>
      <c r="H52" s="2470"/>
      <c r="I52" s="2470"/>
      <c r="J52" s="2470"/>
      <c r="K52" s="335" t="s">
        <v>218</v>
      </c>
      <c r="L52" s="334" t="s">
        <v>182</v>
      </c>
      <c r="M52" s="334"/>
      <c r="N52" s="35">
        <v>30</v>
      </c>
      <c r="O52" s="35">
        <v>40</v>
      </c>
      <c r="P52" s="35">
        <v>50</v>
      </c>
      <c r="Q52" s="35">
        <v>50</v>
      </c>
    </row>
    <row r="53" spans="1:17" ht="60" x14ac:dyDescent="0.25">
      <c r="A53" s="566"/>
      <c r="B53" s="546"/>
      <c r="C53" s="434" t="s">
        <v>10</v>
      </c>
      <c r="D53" s="336"/>
      <c r="E53" s="1866" t="s">
        <v>33</v>
      </c>
      <c r="F53" s="2349"/>
      <c r="G53" s="2349"/>
      <c r="H53" s="2470"/>
      <c r="I53" s="2470">
        <v>720.5</v>
      </c>
      <c r="J53" s="2470">
        <v>723.4</v>
      </c>
      <c r="K53" s="335" t="s">
        <v>219</v>
      </c>
      <c r="L53" s="334" t="s">
        <v>182</v>
      </c>
      <c r="M53" s="334">
        <v>15</v>
      </c>
      <c r="N53" s="35">
        <v>20</v>
      </c>
      <c r="O53" s="35">
        <v>20</v>
      </c>
      <c r="P53" s="35">
        <v>25</v>
      </c>
      <c r="Q53" s="35">
        <v>25</v>
      </c>
    </row>
    <row r="54" spans="1:17" ht="45" x14ac:dyDescent="0.25">
      <c r="A54" s="565"/>
      <c r="B54" s="356"/>
      <c r="C54" s="435"/>
      <c r="D54" s="337"/>
      <c r="E54" s="1867"/>
      <c r="F54" s="1901"/>
      <c r="G54" s="1901"/>
      <c r="H54" s="2470"/>
      <c r="I54" s="2470"/>
      <c r="J54" s="2470"/>
      <c r="K54" s="335" t="s">
        <v>220</v>
      </c>
      <c r="L54" s="334" t="s">
        <v>189</v>
      </c>
      <c r="M54" s="334">
        <v>10</v>
      </c>
      <c r="N54" s="35">
        <v>15</v>
      </c>
      <c r="O54" s="35">
        <v>20</v>
      </c>
      <c r="P54" s="35">
        <v>25</v>
      </c>
      <c r="Q54" s="35">
        <v>25</v>
      </c>
    </row>
    <row r="55" spans="1:17" ht="60" x14ac:dyDescent="0.25">
      <c r="A55" s="567"/>
      <c r="B55" s="502"/>
      <c r="C55" s="426" t="s">
        <v>12</v>
      </c>
      <c r="D55" s="194"/>
      <c r="E55" s="453" t="s">
        <v>34</v>
      </c>
      <c r="F55" s="354"/>
      <c r="G55" s="354"/>
      <c r="H55" s="338"/>
      <c r="I55" s="338">
        <v>1163.9000000000001</v>
      </c>
      <c r="J55" s="338">
        <v>1168.5</v>
      </c>
      <c r="K55" s="335" t="s">
        <v>221</v>
      </c>
      <c r="L55" s="334" t="s">
        <v>189</v>
      </c>
      <c r="M55" s="334"/>
      <c r="N55" s="386"/>
      <c r="O55" s="386"/>
      <c r="P55" s="386"/>
      <c r="Q55" s="386"/>
    </row>
    <row r="56" spans="1:17" ht="30" x14ac:dyDescent="0.25">
      <c r="A56" s="567"/>
      <c r="B56" s="502"/>
      <c r="C56" s="426" t="s">
        <v>14</v>
      </c>
      <c r="D56" s="194"/>
      <c r="E56" s="357" t="s">
        <v>17</v>
      </c>
      <c r="F56" s="354"/>
      <c r="G56" s="354"/>
      <c r="H56" s="338">
        <v>665.6</v>
      </c>
      <c r="I56" s="338">
        <v>3550.2000000000003</v>
      </c>
      <c r="J56" s="338">
        <v>3606.5</v>
      </c>
      <c r="K56" s="335" t="s">
        <v>190</v>
      </c>
      <c r="L56" s="334"/>
      <c r="M56" s="334"/>
      <c r="N56" s="386"/>
      <c r="O56" s="386"/>
      <c r="P56" s="386"/>
      <c r="Q56" s="386"/>
    </row>
    <row r="57" spans="1:17" s="142" customFormat="1" x14ac:dyDescent="0.25">
      <c r="A57" s="867"/>
      <c r="B57" s="868" t="s">
        <v>35</v>
      </c>
      <c r="C57" s="868"/>
      <c r="D57" s="869"/>
      <c r="E57" s="754"/>
      <c r="F57" s="46">
        <v>0</v>
      </c>
      <c r="G57" s="46">
        <v>0</v>
      </c>
      <c r="H57" s="46">
        <f>H47</f>
        <v>8618.2999999999993</v>
      </c>
      <c r="I57" s="46">
        <v>7928.6</v>
      </c>
      <c r="J57" s="46">
        <v>8002.4</v>
      </c>
      <c r="K57" s="16"/>
      <c r="L57" s="17">
        <v>0</v>
      </c>
      <c r="M57" s="17"/>
      <c r="N57" s="17"/>
      <c r="O57" s="17"/>
      <c r="P57" s="17"/>
      <c r="Q57" s="17"/>
    </row>
    <row r="58" spans="1:17" x14ac:dyDescent="0.25">
      <c r="A58" s="2475" t="s">
        <v>494</v>
      </c>
      <c r="B58" s="2476"/>
      <c r="C58" s="2476"/>
      <c r="D58" s="2476"/>
      <c r="E58" s="2476"/>
      <c r="F58" s="2476"/>
      <c r="G58" s="2476"/>
      <c r="H58" s="2476"/>
      <c r="I58" s="2476"/>
      <c r="J58" s="2476"/>
      <c r="K58" s="2476"/>
      <c r="L58" s="2476"/>
      <c r="M58" s="2476"/>
      <c r="N58" s="2476"/>
      <c r="O58" s="2476"/>
      <c r="P58" s="2476"/>
      <c r="Q58" s="2477"/>
    </row>
    <row r="59" spans="1:17" ht="24.75" customHeight="1" x14ac:dyDescent="0.25">
      <c r="A59" s="558">
        <v>14</v>
      </c>
      <c r="B59" s="484">
        <v>2</v>
      </c>
      <c r="C59" s="412"/>
      <c r="D59" s="8"/>
      <c r="E59" s="8" t="s">
        <v>495</v>
      </c>
      <c r="F59" s="198">
        <v>242926.7</v>
      </c>
      <c r="G59" s="198">
        <v>236730.7</v>
      </c>
      <c r="H59" s="198">
        <f>H60+H62+H63</f>
        <v>212832.1</v>
      </c>
      <c r="I59" s="198">
        <v>239457.7</v>
      </c>
      <c r="J59" s="198">
        <v>242229.2</v>
      </c>
      <c r="K59" s="8"/>
      <c r="L59" s="8"/>
      <c r="M59" s="8"/>
      <c r="N59" s="8"/>
      <c r="O59" s="8"/>
      <c r="P59" s="8"/>
      <c r="Q59" s="8"/>
    </row>
    <row r="60" spans="1:17" x14ac:dyDescent="0.25">
      <c r="A60" s="1953"/>
      <c r="B60" s="482"/>
      <c r="C60" s="1955" t="s">
        <v>6</v>
      </c>
      <c r="D60" s="1862"/>
      <c r="E60" s="2479" t="s">
        <v>689</v>
      </c>
      <c r="F60" s="2478">
        <v>205332.1</v>
      </c>
      <c r="G60" s="2478">
        <v>201144.6</v>
      </c>
      <c r="H60" s="2478">
        <v>175546</v>
      </c>
      <c r="I60" s="2478">
        <v>203871.6</v>
      </c>
      <c r="J60" s="2478">
        <v>206643.1</v>
      </c>
      <c r="K60" s="2479" t="s">
        <v>680</v>
      </c>
      <c r="L60" s="324" t="s">
        <v>270</v>
      </c>
      <c r="M60" s="324">
        <v>421</v>
      </c>
      <c r="N60" s="324">
        <v>400</v>
      </c>
      <c r="O60" s="324">
        <v>400</v>
      </c>
      <c r="P60" s="324">
        <v>400</v>
      </c>
      <c r="Q60" s="324">
        <v>400</v>
      </c>
    </row>
    <row r="61" spans="1:17" ht="30" x14ac:dyDescent="0.25">
      <c r="A61" s="1954"/>
      <c r="B61" s="483"/>
      <c r="C61" s="1956"/>
      <c r="D61" s="1863"/>
      <c r="E61" s="2480"/>
      <c r="F61" s="2337"/>
      <c r="G61" s="2337"/>
      <c r="H61" s="2337"/>
      <c r="I61" s="2337"/>
      <c r="J61" s="2337"/>
      <c r="K61" s="2480"/>
      <c r="L61" s="293" t="s">
        <v>496</v>
      </c>
      <c r="M61" s="324">
        <v>802</v>
      </c>
      <c r="N61" s="324">
        <v>800</v>
      </c>
      <c r="O61" s="324">
        <v>800</v>
      </c>
      <c r="P61" s="324">
        <v>800</v>
      </c>
      <c r="Q61" s="324">
        <v>800</v>
      </c>
    </row>
    <row r="62" spans="1:17" ht="54.75" customHeight="1" x14ac:dyDescent="0.25">
      <c r="A62" s="558"/>
      <c r="B62" s="484"/>
      <c r="C62" s="411" t="s">
        <v>8</v>
      </c>
      <c r="D62" s="8"/>
      <c r="E62" s="42" t="s">
        <v>497</v>
      </c>
      <c r="F62" s="322">
        <v>3607.6</v>
      </c>
      <c r="G62" s="322">
        <v>5586.1</v>
      </c>
      <c r="H62" s="322">
        <v>2786.1</v>
      </c>
      <c r="I62" s="322">
        <v>5586.1</v>
      </c>
      <c r="J62" s="322">
        <v>5586.1</v>
      </c>
      <c r="K62" s="42" t="s">
        <v>498</v>
      </c>
      <c r="L62" s="324" t="s">
        <v>270</v>
      </c>
      <c r="M62" s="324">
        <v>15</v>
      </c>
      <c r="N62" s="324">
        <v>20</v>
      </c>
      <c r="O62" s="324">
        <v>24</v>
      </c>
      <c r="P62" s="324">
        <v>24</v>
      </c>
      <c r="Q62" s="324">
        <v>24</v>
      </c>
    </row>
    <row r="63" spans="1:17" ht="67.5" customHeight="1" x14ac:dyDescent="0.25">
      <c r="A63" s="558"/>
      <c r="B63" s="484"/>
      <c r="C63" s="411" t="s">
        <v>10</v>
      </c>
      <c r="D63" s="8"/>
      <c r="E63" s="42" t="s">
        <v>499</v>
      </c>
      <c r="F63" s="322">
        <v>33987</v>
      </c>
      <c r="G63" s="322">
        <v>30000</v>
      </c>
      <c r="H63" s="322">
        <f>34200+300</f>
        <v>34500</v>
      </c>
      <c r="I63" s="322">
        <v>30000</v>
      </c>
      <c r="J63" s="322">
        <v>30000</v>
      </c>
      <c r="K63" s="42" t="s">
        <v>493</v>
      </c>
      <c r="L63" s="324" t="s">
        <v>270</v>
      </c>
      <c r="M63" s="324">
        <v>180</v>
      </c>
      <c r="N63" s="324">
        <v>180</v>
      </c>
      <c r="O63" s="324">
        <v>180</v>
      </c>
      <c r="P63" s="324">
        <v>180</v>
      </c>
      <c r="Q63" s="324">
        <v>180</v>
      </c>
    </row>
    <row r="64" spans="1:17" s="142" customFormat="1" x14ac:dyDescent="0.25">
      <c r="A64" s="2655" t="s">
        <v>2820</v>
      </c>
      <c r="B64" s="2656"/>
      <c r="C64" s="2656"/>
      <c r="D64" s="2656"/>
      <c r="E64" s="2657"/>
      <c r="F64" s="46">
        <v>242926.7</v>
      </c>
      <c r="G64" s="46">
        <v>236730.7</v>
      </c>
      <c r="H64" s="46">
        <f>H59</f>
        <v>212832.1</v>
      </c>
      <c r="I64" s="46">
        <v>239457.7</v>
      </c>
      <c r="J64" s="46">
        <v>242229.2</v>
      </c>
      <c r="K64" s="16"/>
      <c r="L64" s="17"/>
      <c r="M64" s="17"/>
      <c r="N64" s="17"/>
      <c r="O64" s="17"/>
      <c r="P64" s="17"/>
      <c r="Q64" s="17"/>
    </row>
    <row r="65" spans="1:17" x14ac:dyDescent="0.25">
      <c r="A65" s="2621" t="s">
        <v>36</v>
      </c>
      <c r="B65" s="2622"/>
      <c r="C65" s="2622"/>
      <c r="D65" s="2622"/>
      <c r="E65" s="2622"/>
      <c r="F65" s="2622"/>
      <c r="G65" s="2622"/>
      <c r="H65" s="2622"/>
      <c r="I65" s="2622"/>
      <c r="J65" s="2622"/>
      <c r="K65" s="2622"/>
      <c r="L65" s="2622"/>
      <c r="M65" s="2622"/>
      <c r="N65" s="2622"/>
      <c r="O65" s="2622"/>
      <c r="P65" s="2622"/>
      <c r="Q65" s="2623"/>
    </row>
    <row r="66" spans="1:17" s="129" customFormat="1" x14ac:dyDescent="0.25">
      <c r="A66" s="443"/>
      <c r="B66" s="496"/>
      <c r="C66" s="421"/>
      <c r="D66" s="31"/>
      <c r="E66" s="647"/>
      <c r="F66" s="404">
        <v>582074.9</v>
      </c>
      <c r="G66" s="404">
        <v>574738.50000000012</v>
      </c>
      <c r="H66" s="705">
        <f>H67+H68+H69+H70+H71+H72+H73+H75+H81</f>
        <v>1192348.7999999998</v>
      </c>
      <c r="I66" s="404">
        <v>594314.1</v>
      </c>
      <c r="J66" s="404">
        <v>600531.5</v>
      </c>
      <c r="K66" s="383"/>
      <c r="L66" s="382"/>
      <c r="M66" s="382"/>
      <c r="N66" s="382"/>
      <c r="O66" s="382"/>
      <c r="P66" s="382"/>
      <c r="Q66" s="382"/>
    </row>
    <row r="67" spans="1:17" s="129" customFormat="1" ht="57" x14ac:dyDescent="0.25">
      <c r="A67" s="443">
        <v>15</v>
      </c>
      <c r="B67" s="496">
        <v>2</v>
      </c>
      <c r="C67" s="421" t="s">
        <v>6</v>
      </c>
      <c r="D67" s="31"/>
      <c r="E67" s="385" t="s">
        <v>2821</v>
      </c>
      <c r="F67" s="297">
        <v>126317.40000000001</v>
      </c>
      <c r="G67" s="297">
        <v>127446.1</v>
      </c>
      <c r="H67" s="699">
        <v>124157.5</v>
      </c>
      <c r="I67" s="297">
        <v>129491.1</v>
      </c>
      <c r="J67" s="297">
        <v>135708.5</v>
      </c>
      <c r="K67" s="383" t="s">
        <v>554</v>
      </c>
      <c r="L67" s="382" t="s">
        <v>270</v>
      </c>
      <c r="M67" s="382">
        <v>36</v>
      </c>
      <c r="N67" s="382">
        <v>37</v>
      </c>
      <c r="O67" s="382">
        <v>37</v>
      </c>
      <c r="P67" s="382">
        <v>37</v>
      </c>
      <c r="Q67" s="382">
        <v>37</v>
      </c>
    </row>
    <row r="68" spans="1:17" s="129" customFormat="1" ht="45" x14ac:dyDescent="0.25">
      <c r="A68" s="568"/>
      <c r="B68" s="480"/>
      <c r="C68" s="421" t="s">
        <v>8</v>
      </c>
      <c r="D68" s="250"/>
      <c r="E68" s="410" t="s">
        <v>555</v>
      </c>
      <c r="F68" s="374">
        <v>72564.7</v>
      </c>
      <c r="G68" s="374">
        <v>23099.7</v>
      </c>
      <c r="H68" s="698">
        <f>161328+7969.3</f>
        <v>169297.3</v>
      </c>
      <c r="I68" s="374">
        <v>36588.699999999997</v>
      </c>
      <c r="J68" s="374">
        <v>36588.699999999997</v>
      </c>
      <c r="K68" s="529" t="s">
        <v>679</v>
      </c>
      <c r="L68" s="318" t="s">
        <v>270</v>
      </c>
      <c r="M68" s="69">
        <v>142</v>
      </c>
      <c r="N68" s="69">
        <v>62</v>
      </c>
      <c r="O68" s="69">
        <v>74</v>
      </c>
      <c r="P68" s="69">
        <v>74</v>
      </c>
      <c r="Q68" s="69">
        <v>74</v>
      </c>
    </row>
    <row r="69" spans="1:17" s="129" customFormat="1" ht="45" x14ac:dyDescent="0.25">
      <c r="A69" s="568"/>
      <c r="B69" s="480"/>
      <c r="C69" s="417" t="s">
        <v>10</v>
      </c>
      <c r="D69" s="248"/>
      <c r="E69" s="410" t="s">
        <v>556</v>
      </c>
      <c r="F69" s="379">
        <v>4211.3999999999996</v>
      </c>
      <c r="G69" s="379">
        <v>2960</v>
      </c>
      <c r="H69" s="700">
        <v>3023.3</v>
      </c>
      <c r="I69" s="379">
        <v>3023.3</v>
      </c>
      <c r="J69" s="379">
        <v>3023.3</v>
      </c>
      <c r="K69" s="522" t="s">
        <v>557</v>
      </c>
      <c r="L69" s="256" t="s">
        <v>270</v>
      </c>
      <c r="M69" s="256">
        <v>257</v>
      </c>
      <c r="N69" s="256">
        <v>200</v>
      </c>
      <c r="O69" s="256">
        <v>200</v>
      </c>
      <c r="P69" s="256">
        <v>200</v>
      </c>
      <c r="Q69" s="256">
        <v>200</v>
      </c>
    </row>
    <row r="70" spans="1:17" s="129" customFormat="1" ht="105" x14ac:dyDescent="0.25">
      <c r="A70" s="568"/>
      <c r="B70" s="480"/>
      <c r="C70" s="417" t="s">
        <v>12</v>
      </c>
      <c r="D70" s="248"/>
      <c r="E70" s="410" t="s">
        <v>681</v>
      </c>
      <c r="F70" s="379">
        <v>10365.9</v>
      </c>
      <c r="G70" s="379">
        <v>8878.7000000000007</v>
      </c>
      <c r="H70" s="700">
        <v>8110.1</v>
      </c>
      <c r="I70" s="379">
        <v>8110.1</v>
      </c>
      <c r="J70" s="379">
        <v>8110.1</v>
      </c>
      <c r="K70" s="522" t="s">
        <v>558</v>
      </c>
      <c r="L70" s="256" t="s">
        <v>222</v>
      </c>
      <c r="M70" s="256">
        <v>4921</v>
      </c>
      <c r="N70" s="302">
        <v>3600</v>
      </c>
      <c r="O70" s="302">
        <v>2445</v>
      </c>
      <c r="P70" s="302">
        <v>2445</v>
      </c>
      <c r="Q70" s="302">
        <v>2445</v>
      </c>
    </row>
    <row r="71" spans="1:17" s="129" customFormat="1" ht="30" x14ac:dyDescent="0.25">
      <c r="A71" s="568"/>
      <c r="B71" s="480"/>
      <c r="C71" s="417" t="s">
        <v>14</v>
      </c>
      <c r="D71" s="272"/>
      <c r="E71" s="410" t="s">
        <v>682</v>
      </c>
      <c r="F71" s="379">
        <v>830</v>
      </c>
      <c r="G71" s="379">
        <v>1421.6</v>
      </c>
      <c r="H71" s="700">
        <f>1341.6</f>
        <v>1341.6</v>
      </c>
      <c r="I71" s="379">
        <v>1341.6</v>
      </c>
      <c r="J71" s="379">
        <v>1341.6</v>
      </c>
      <c r="K71" s="522" t="s">
        <v>559</v>
      </c>
      <c r="L71" s="256" t="s">
        <v>440</v>
      </c>
      <c r="M71" s="306">
        <v>3</v>
      </c>
      <c r="N71" s="306">
        <v>2</v>
      </c>
      <c r="O71" s="306">
        <v>2</v>
      </c>
      <c r="P71" s="306">
        <v>2</v>
      </c>
      <c r="Q71" s="306">
        <v>2</v>
      </c>
    </row>
    <row r="72" spans="1:17" s="129" customFormat="1" ht="30" x14ac:dyDescent="0.25">
      <c r="A72" s="443"/>
      <c r="B72" s="496"/>
      <c r="C72" s="421" t="s">
        <v>16</v>
      </c>
      <c r="D72" s="272"/>
      <c r="E72" s="410" t="s">
        <v>683</v>
      </c>
      <c r="F72" s="379">
        <v>5351.6</v>
      </c>
      <c r="G72" s="379">
        <v>0</v>
      </c>
      <c r="H72" s="700">
        <f>475472.1</f>
        <v>475472.1</v>
      </c>
      <c r="I72" s="379">
        <v>0</v>
      </c>
      <c r="J72" s="379">
        <v>0</v>
      </c>
      <c r="K72" s="529" t="s">
        <v>560</v>
      </c>
      <c r="L72" s="256" t="s">
        <v>270</v>
      </c>
      <c r="M72" s="306">
        <v>1</v>
      </c>
      <c r="N72" s="306">
        <v>2</v>
      </c>
      <c r="O72" s="306">
        <v>2</v>
      </c>
      <c r="P72" s="306">
        <v>2</v>
      </c>
      <c r="Q72" s="306">
        <v>2</v>
      </c>
    </row>
    <row r="73" spans="1:17" s="129" customFormat="1" x14ac:dyDescent="0.25">
      <c r="A73" s="2488"/>
      <c r="B73" s="1815"/>
      <c r="C73" s="2359" t="s">
        <v>48</v>
      </c>
      <c r="D73" s="2360"/>
      <c r="E73" s="2497" t="s">
        <v>561</v>
      </c>
      <c r="F73" s="2498"/>
      <c r="G73" s="2498"/>
      <c r="H73" s="2496">
        <v>11628</v>
      </c>
      <c r="I73" s="2496">
        <v>11628</v>
      </c>
      <c r="J73" s="2496">
        <v>11628</v>
      </c>
      <c r="K73" s="2361" t="s">
        <v>185</v>
      </c>
      <c r="L73" s="2427" t="s">
        <v>426</v>
      </c>
      <c r="M73" s="2493">
        <v>100</v>
      </c>
      <c r="N73" s="2493">
        <v>100</v>
      </c>
      <c r="O73" s="2493">
        <v>100</v>
      </c>
      <c r="P73" s="2493">
        <v>100</v>
      </c>
      <c r="Q73" s="2493">
        <v>100</v>
      </c>
    </row>
    <row r="74" spans="1:17" s="129" customFormat="1" x14ac:dyDescent="0.25">
      <c r="A74" s="1883"/>
      <c r="B74" s="1817"/>
      <c r="C74" s="1885"/>
      <c r="D74" s="1889"/>
      <c r="E74" s="1867"/>
      <c r="F74" s="2003"/>
      <c r="G74" s="2003"/>
      <c r="H74" s="2232"/>
      <c r="I74" s="2232"/>
      <c r="J74" s="2232"/>
      <c r="K74" s="2022"/>
      <c r="L74" s="1832"/>
      <c r="M74" s="2494"/>
      <c r="N74" s="2494"/>
      <c r="O74" s="2494"/>
      <c r="P74" s="2494"/>
      <c r="Q74" s="2494"/>
    </row>
    <row r="75" spans="1:17" s="129" customFormat="1" ht="30" customHeight="1" x14ac:dyDescent="0.25">
      <c r="A75" s="2488"/>
      <c r="B75" s="1815"/>
      <c r="C75" s="2359" t="s">
        <v>49</v>
      </c>
      <c r="D75" s="2360"/>
      <c r="E75" s="2495" t="s">
        <v>562</v>
      </c>
      <c r="F75" s="379">
        <v>140622.9</v>
      </c>
      <c r="G75" s="379">
        <v>164563.6</v>
      </c>
      <c r="H75" s="2473">
        <f>197052.8+130597-20058.3</f>
        <v>307591.5</v>
      </c>
      <c r="I75" s="379">
        <v>161200.4</v>
      </c>
      <c r="J75" s="379">
        <v>161200.4</v>
      </c>
      <c r="K75" s="2303" t="s">
        <v>657</v>
      </c>
      <c r="L75" s="402" t="s">
        <v>182</v>
      </c>
      <c r="M75" s="403">
        <v>0.28799999999999998</v>
      </c>
      <c r="N75" s="403">
        <v>0.32</v>
      </c>
      <c r="O75" s="403">
        <v>0.28599999999999998</v>
      </c>
      <c r="P75" s="403">
        <v>0.28599999999999998</v>
      </c>
      <c r="Q75" s="403">
        <v>0.28599999999999998</v>
      </c>
    </row>
    <row r="76" spans="1:17" s="129" customFormat="1" x14ac:dyDescent="0.25">
      <c r="A76" s="2015"/>
      <c r="B76" s="1816"/>
      <c r="C76" s="2016"/>
      <c r="D76" s="2212"/>
      <c r="E76" s="1969"/>
      <c r="F76" s="379">
        <v>70150.7</v>
      </c>
      <c r="G76" s="379">
        <v>73664.2</v>
      </c>
      <c r="H76" s="1970"/>
      <c r="I76" s="379">
        <v>73769</v>
      </c>
      <c r="J76" s="379">
        <v>73769</v>
      </c>
      <c r="K76" s="2303"/>
      <c r="L76" s="402" t="s">
        <v>182</v>
      </c>
      <c r="M76" s="403">
        <v>0.55100000000000005</v>
      </c>
      <c r="N76" s="403">
        <v>0.57399999999999995</v>
      </c>
      <c r="O76" s="403">
        <v>0.39700000000000002</v>
      </c>
      <c r="P76" s="403">
        <v>0.39700000000000002</v>
      </c>
      <c r="Q76" s="403">
        <v>0.39700000000000002</v>
      </c>
    </row>
    <row r="77" spans="1:17" s="129" customFormat="1" x14ac:dyDescent="0.25">
      <c r="A77" s="2015"/>
      <c r="B77" s="1816"/>
      <c r="C77" s="2016"/>
      <c r="D77" s="2212"/>
      <c r="E77" s="1969"/>
      <c r="F77" s="379">
        <v>7273.8</v>
      </c>
      <c r="G77" s="379">
        <v>13931.4</v>
      </c>
      <c r="H77" s="1970"/>
      <c r="I77" s="379">
        <v>12495.9</v>
      </c>
      <c r="J77" s="379">
        <v>12495.9</v>
      </c>
      <c r="K77" s="2303"/>
      <c r="L77" s="402" t="s">
        <v>182</v>
      </c>
      <c r="M77" s="403">
        <v>0.32</v>
      </c>
      <c r="N77" s="403">
        <v>0.41599999999999998</v>
      </c>
      <c r="O77" s="403">
        <v>0.46400000000000002</v>
      </c>
      <c r="P77" s="403">
        <v>0.46400000000000002</v>
      </c>
      <c r="Q77" s="403">
        <v>0.46400000000000002</v>
      </c>
    </row>
    <row r="78" spans="1:17" s="129" customFormat="1" x14ac:dyDescent="0.25">
      <c r="A78" s="2015"/>
      <c r="B78" s="1816"/>
      <c r="C78" s="2016"/>
      <c r="D78" s="2212"/>
      <c r="E78" s="1969"/>
      <c r="F78" s="379">
        <v>4555.2</v>
      </c>
      <c r="G78" s="379">
        <v>4219.3999999999996</v>
      </c>
      <c r="H78" s="1970"/>
      <c r="I78" s="379">
        <v>4103.8999999999996</v>
      </c>
      <c r="J78" s="379">
        <v>4103.8999999999996</v>
      </c>
      <c r="K78" s="2303"/>
      <c r="L78" s="402" t="s">
        <v>182</v>
      </c>
      <c r="M78" s="403">
        <v>0.187</v>
      </c>
      <c r="N78" s="403">
        <v>0.26100000000000001</v>
      </c>
      <c r="O78" s="403">
        <v>0.26900000000000002</v>
      </c>
      <c r="P78" s="403">
        <v>0.26900000000000002</v>
      </c>
      <c r="Q78" s="403">
        <v>0.26900000000000002</v>
      </c>
    </row>
    <row r="79" spans="1:17" s="129" customFormat="1" x14ac:dyDescent="0.25">
      <c r="A79" s="2015"/>
      <c r="B79" s="1816"/>
      <c r="C79" s="2016"/>
      <c r="D79" s="2212"/>
      <c r="E79" s="1969"/>
      <c r="F79" s="379">
        <v>26371.5</v>
      </c>
      <c r="G79" s="379">
        <v>36175.300000000003</v>
      </c>
      <c r="H79" s="1970"/>
      <c r="I79" s="379">
        <v>36455.1</v>
      </c>
      <c r="J79" s="379">
        <v>36455.1</v>
      </c>
      <c r="K79" s="2303"/>
      <c r="L79" s="402" t="s">
        <v>182</v>
      </c>
      <c r="M79" s="403">
        <v>0.65900000000000003</v>
      </c>
      <c r="N79" s="403">
        <v>0.70499999999999996</v>
      </c>
      <c r="O79" s="403">
        <v>0.30099999999999999</v>
      </c>
      <c r="P79" s="403">
        <v>0.30099999999999999</v>
      </c>
      <c r="Q79" s="403">
        <v>0.30099999999999999</v>
      </c>
    </row>
    <row r="80" spans="1:17" s="129" customFormat="1" x14ac:dyDescent="0.25">
      <c r="A80" s="1883"/>
      <c r="B80" s="1817"/>
      <c r="C80" s="1885"/>
      <c r="D80" s="1889"/>
      <c r="E80" s="1875"/>
      <c r="F80" s="379">
        <v>15839.4</v>
      </c>
      <c r="G80" s="379">
        <v>22530.5</v>
      </c>
      <c r="H80" s="1939"/>
      <c r="I80" s="379">
        <v>20619</v>
      </c>
      <c r="J80" s="379">
        <v>20619</v>
      </c>
      <c r="K80" s="2158"/>
      <c r="L80" s="402" t="s">
        <v>182</v>
      </c>
      <c r="M80" s="403">
        <v>0.249</v>
      </c>
      <c r="N80" s="403">
        <v>0.39100000000000001</v>
      </c>
      <c r="O80" s="403">
        <v>0.60099999999999998</v>
      </c>
      <c r="P80" s="403">
        <v>0.60099999999999998</v>
      </c>
      <c r="Q80" s="403">
        <v>0.60099999999999998</v>
      </c>
    </row>
    <row r="81" spans="1:17" s="129" customFormat="1" ht="45" customHeight="1" x14ac:dyDescent="0.25">
      <c r="A81" s="2488"/>
      <c r="B81" s="1815"/>
      <c r="C81" s="2359" t="s">
        <v>124</v>
      </c>
      <c r="D81" s="2360"/>
      <c r="E81" s="2495" t="s">
        <v>684</v>
      </c>
      <c r="F81" s="2501">
        <v>97620.4</v>
      </c>
      <c r="G81" s="2501">
        <v>95848</v>
      </c>
      <c r="H81" s="2473">
        <f>78864.3+2523.2+10029.9+310</f>
        <v>91727.4</v>
      </c>
      <c r="I81" s="2478">
        <v>95488</v>
      </c>
      <c r="J81" s="2478">
        <v>95488</v>
      </c>
      <c r="K81" s="317" t="s">
        <v>2822</v>
      </c>
      <c r="L81" s="318" t="s">
        <v>270</v>
      </c>
      <c r="M81" s="70">
        <v>114</v>
      </c>
      <c r="N81" s="70">
        <v>116</v>
      </c>
      <c r="O81" s="70">
        <v>159</v>
      </c>
      <c r="P81" s="70">
        <v>159</v>
      </c>
      <c r="Q81" s="70">
        <v>159</v>
      </c>
    </row>
    <row r="82" spans="1:17" s="129" customFormat="1" x14ac:dyDescent="0.25">
      <c r="A82" s="2015"/>
      <c r="B82" s="1816"/>
      <c r="C82" s="2016"/>
      <c r="D82" s="2212"/>
      <c r="E82" s="1969"/>
      <c r="F82" s="2502"/>
      <c r="G82" s="2502"/>
      <c r="H82" s="1970"/>
      <c r="I82" s="2336"/>
      <c r="J82" s="2336"/>
      <c r="K82" s="317" t="s">
        <v>685</v>
      </c>
      <c r="L82" s="318" t="s">
        <v>270</v>
      </c>
      <c r="M82" s="70">
        <v>33</v>
      </c>
      <c r="N82" s="70">
        <v>30</v>
      </c>
      <c r="O82" s="70">
        <v>29</v>
      </c>
      <c r="P82" s="70">
        <v>29</v>
      </c>
      <c r="Q82" s="70">
        <v>29</v>
      </c>
    </row>
    <row r="83" spans="1:17" s="129" customFormat="1" x14ac:dyDescent="0.25">
      <c r="A83" s="2015"/>
      <c r="B83" s="1816"/>
      <c r="C83" s="2016"/>
      <c r="D83" s="2212"/>
      <c r="E83" s="1969"/>
      <c r="F83" s="2502"/>
      <c r="G83" s="2502"/>
      <c r="H83" s="1970"/>
      <c r="I83" s="2336"/>
      <c r="J83" s="2336"/>
      <c r="K83" s="317" t="s">
        <v>686</v>
      </c>
      <c r="L83" s="318" t="s">
        <v>270</v>
      </c>
      <c r="M83" s="70">
        <v>21</v>
      </c>
      <c r="N83" s="70">
        <v>27</v>
      </c>
      <c r="O83" s="70">
        <v>18</v>
      </c>
      <c r="P83" s="70">
        <v>18</v>
      </c>
      <c r="Q83" s="70">
        <v>18</v>
      </c>
    </row>
    <row r="84" spans="1:17" s="129" customFormat="1" x14ac:dyDescent="0.25">
      <c r="A84" s="2015"/>
      <c r="B84" s="1816"/>
      <c r="C84" s="2016"/>
      <c r="D84" s="2212"/>
      <c r="E84" s="1969"/>
      <c r="F84" s="2502"/>
      <c r="G84" s="2502"/>
      <c r="H84" s="1970"/>
      <c r="I84" s="2336"/>
      <c r="J84" s="2336"/>
      <c r="K84" s="317" t="s">
        <v>687</v>
      </c>
      <c r="L84" s="318" t="s">
        <v>270</v>
      </c>
      <c r="M84" s="70">
        <v>2</v>
      </c>
      <c r="N84" s="70">
        <v>2</v>
      </c>
      <c r="O84" s="70">
        <v>2</v>
      </c>
      <c r="P84" s="70">
        <v>2</v>
      </c>
      <c r="Q84" s="70">
        <v>2</v>
      </c>
    </row>
    <row r="85" spans="1:17" s="129" customFormat="1" x14ac:dyDescent="0.25">
      <c r="A85" s="2015"/>
      <c r="B85" s="1816"/>
      <c r="C85" s="2016"/>
      <c r="D85" s="2212"/>
      <c r="E85" s="1969"/>
      <c r="F85" s="2502"/>
      <c r="G85" s="2502"/>
      <c r="H85" s="1970"/>
      <c r="I85" s="2336"/>
      <c r="J85" s="2336"/>
      <c r="K85" s="317" t="s">
        <v>563</v>
      </c>
      <c r="L85" s="318" t="s">
        <v>270</v>
      </c>
      <c r="M85" s="70">
        <v>8</v>
      </c>
      <c r="N85" s="70">
        <v>8</v>
      </c>
      <c r="O85" s="70">
        <v>8</v>
      </c>
      <c r="P85" s="70">
        <v>8</v>
      </c>
      <c r="Q85" s="70">
        <v>8</v>
      </c>
    </row>
    <row r="86" spans="1:17" s="129" customFormat="1" x14ac:dyDescent="0.25">
      <c r="A86" s="2015"/>
      <c r="B86" s="1816"/>
      <c r="C86" s="2016"/>
      <c r="D86" s="2212"/>
      <c r="E86" s="1969"/>
      <c r="F86" s="2502"/>
      <c r="G86" s="2502"/>
      <c r="H86" s="1970"/>
      <c r="I86" s="2336"/>
      <c r="J86" s="2336"/>
      <c r="K86" s="317" t="s">
        <v>564</v>
      </c>
      <c r="L86" s="318" t="s">
        <v>270</v>
      </c>
      <c r="M86" s="70"/>
      <c r="N86" s="70"/>
      <c r="O86" s="70"/>
      <c r="P86" s="70"/>
      <c r="Q86" s="70"/>
    </row>
    <row r="87" spans="1:17" s="129" customFormat="1" ht="15" customHeight="1" x14ac:dyDescent="0.25">
      <c r="A87" s="2015"/>
      <c r="B87" s="1816"/>
      <c r="C87" s="2016"/>
      <c r="D87" s="2212"/>
      <c r="E87" s="1969"/>
      <c r="F87" s="2502"/>
      <c r="G87" s="2502"/>
      <c r="H87" s="1970"/>
      <c r="I87" s="2336"/>
      <c r="J87" s="2336"/>
      <c r="K87" s="317" t="s">
        <v>565</v>
      </c>
      <c r="L87" s="318" t="s">
        <v>270</v>
      </c>
      <c r="M87" s="70">
        <v>50</v>
      </c>
      <c r="N87" s="70">
        <v>49</v>
      </c>
      <c r="O87" s="70">
        <v>102</v>
      </c>
      <c r="P87" s="70">
        <v>102</v>
      </c>
      <c r="Q87" s="70">
        <v>102</v>
      </c>
    </row>
    <row r="88" spans="1:17" s="129" customFormat="1" ht="30" x14ac:dyDescent="0.25">
      <c r="A88" s="2015"/>
      <c r="B88" s="1816"/>
      <c r="C88" s="2016"/>
      <c r="D88" s="2212"/>
      <c r="E88" s="1969"/>
      <c r="F88" s="2502"/>
      <c r="G88" s="2502"/>
      <c r="H88" s="1970"/>
      <c r="I88" s="2336"/>
      <c r="J88" s="2336"/>
      <c r="K88" s="317" t="s">
        <v>2823</v>
      </c>
      <c r="L88" s="318" t="s">
        <v>270</v>
      </c>
      <c r="M88" s="70">
        <v>26</v>
      </c>
      <c r="N88" s="70">
        <v>34</v>
      </c>
      <c r="O88" s="70">
        <v>21</v>
      </c>
      <c r="P88" s="70">
        <v>21</v>
      </c>
      <c r="Q88" s="70">
        <v>21</v>
      </c>
    </row>
    <row r="89" spans="1:17" s="129" customFormat="1" ht="15" customHeight="1" x14ac:dyDescent="0.25">
      <c r="A89" s="2015"/>
      <c r="B89" s="1816"/>
      <c r="C89" s="2016"/>
      <c r="D89" s="2212"/>
      <c r="E89" s="1969"/>
      <c r="F89" s="2502"/>
      <c r="G89" s="2502"/>
      <c r="H89" s="1970"/>
      <c r="I89" s="2336"/>
      <c r="J89" s="2336"/>
      <c r="K89" s="317" t="s">
        <v>688</v>
      </c>
      <c r="L89" s="318" t="s">
        <v>270</v>
      </c>
      <c r="M89" s="70">
        <v>17</v>
      </c>
      <c r="N89" s="70">
        <v>13</v>
      </c>
      <c r="O89" s="70">
        <v>12</v>
      </c>
      <c r="P89" s="70">
        <v>12</v>
      </c>
      <c r="Q89" s="70">
        <v>12</v>
      </c>
    </row>
    <row r="90" spans="1:17" s="129" customFormat="1" ht="15" customHeight="1" x14ac:dyDescent="0.25">
      <c r="A90" s="2015"/>
      <c r="B90" s="1816"/>
      <c r="C90" s="2016"/>
      <c r="D90" s="2212"/>
      <c r="E90" s="1969"/>
      <c r="F90" s="2502"/>
      <c r="G90" s="2502"/>
      <c r="H90" s="1970"/>
      <c r="I90" s="2336"/>
      <c r="J90" s="2336"/>
      <c r="K90" s="317" t="s">
        <v>564</v>
      </c>
      <c r="L90" s="318" t="s">
        <v>270</v>
      </c>
      <c r="M90" s="70">
        <v>9</v>
      </c>
      <c r="N90" s="70">
        <v>8</v>
      </c>
      <c r="O90" s="70">
        <v>9</v>
      </c>
      <c r="P90" s="70">
        <v>9</v>
      </c>
      <c r="Q90" s="70">
        <v>9</v>
      </c>
    </row>
    <row r="91" spans="1:17" s="129" customFormat="1" x14ac:dyDescent="0.25">
      <c r="A91" s="1883"/>
      <c r="B91" s="1817"/>
      <c r="C91" s="1885"/>
      <c r="D91" s="1889"/>
      <c r="E91" s="1875"/>
      <c r="F91" s="2503"/>
      <c r="G91" s="2503"/>
      <c r="H91" s="1939"/>
      <c r="I91" s="2337"/>
      <c r="J91" s="2337"/>
      <c r="K91" s="317" t="s">
        <v>691</v>
      </c>
      <c r="L91" s="318" t="s">
        <v>270</v>
      </c>
      <c r="M91" s="70"/>
      <c r="N91" s="70">
        <v>13</v>
      </c>
      <c r="O91" s="70"/>
      <c r="P91" s="70"/>
      <c r="Q91" s="70"/>
    </row>
    <row r="92" spans="1:17" s="129" customFormat="1" x14ac:dyDescent="0.25">
      <c r="A92" s="2488">
        <v>15</v>
      </c>
      <c r="B92" s="1815">
        <v>3</v>
      </c>
      <c r="C92" s="2359"/>
      <c r="D92" s="2360"/>
      <c r="E92" s="2272" t="s">
        <v>878</v>
      </c>
      <c r="F92" s="2489">
        <v>11735</v>
      </c>
      <c r="G92" s="2489">
        <v>19000</v>
      </c>
      <c r="H92" s="2489">
        <f>H95+H96+H97</f>
        <v>19000</v>
      </c>
      <c r="I92" s="2489">
        <v>19000</v>
      </c>
      <c r="J92" s="2489">
        <v>19000</v>
      </c>
      <c r="K92" s="2084"/>
      <c r="L92" s="2084"/>
      <c r="M92" s="2577"/>
      <c r="N92" s="2577"/>
      <c r="O92" s="2577"/>
      <c r="P92" s="2577"/>
      <c r="Q92" s="2577"/>
    </row>
    <row r="93" spans="1:17" s="129" customFormat="1" x14ac:dyDescent="0.25">
      <c r="A93" s="2015"/>
      <c r="B93" s="1816"/>
      <c r="C93" s="2016"/>
      <c r="D93" s="2212"/>
      <c r="E93" s="2272"/>
      <c r="F93" s="2490"/>
      <c r="G93" s="2490"/>
      <c r="H93" s="2490"/>
      <c r="I93" s="2490"/>
      <c r="J93" s="2490"/>
      <c r="K93" s="2084"/>
      <c r="L93" s="2084"/>
      <c r="M93" s="2577"/>
      <c r="N93" s="2577"/>
      <c r="O93" s="2577"/>
      <c r="P93" s="2577"/>
      <c r="Q93" s="2577"/>
    </row>
    <row r="94" spans="1:17" s="129" customFormat="1" ht="21" customHeight="1" x14ac:dyDescent="0.25">
      <c r="A94" s="2015"/>
      <c r="B94" s="1816"/>
      <c r="C94" s="2016"/>
      <c r="D94" s="2212"/>
      <c r="E94" s="2272"/>
      <c r="F94" s="2490"/>
      <c r="G94" s="2490"/>
      <c r="H94" s="2490"/>
      <c r="I94" s="2490"/>
      <c r="J94" s="2490"/>
      <c r="K94" s="2084"/>
      <c r="L94" s="2084"/>
      <c r="M94" s="2577"/>
      <c r="N94" s="2577"/>
      <c r="O94" s="2577"/>
      <c r="P94" s="2577"/>
      <c r="Q94" s="2577"/>
    </row>
    <row r="95" spans="1:17" s="129" customFormat="1" ht="45" x14ac:dyDescent="0.25">
      <c r="A95" s="568"/>
      <c r="B95" s="480"/>
      <c r="C95" s="417" t="s">
        <v>6</v>
      </c>
      <c r="D95" s="11"/>
      <c r="E95" s="405" t="s">
        <v>2824</v>
      </c>
      <c r="F95" s="212">
        <v>7447</v>
      </c>
      <c r="G95" s="212">
        <v>9360</v>
      </c>
      <c r="H95" s="700">
        <v>5440</v>
      </c>
      <c r="I95" s="212">
        <v>6000</v>
      </c>
      <c r="J95" s="212">
        <v>6000</v>
      </c>
      <c r="K95" s="251" t="s">
        <v>690</v>
      </c>
      <c r="L95" s="275" t="s">
        <v>426</v>
      </c>
      <c r="M95" s="256">
        <v>45.8</v>
      </c>
      <c r="N95" s="256">
        <v>47.4</v>
      </c>
      <c r="O95" s="256">
        <v>47.4</v>
      </c>
      <c r="P95" s="256">
        <v>47.4</v>
      </c>
      <c r="Q95" s="256">
        <v>47.4</v>
      </c>
    </row>
    <row r="96" spans="1:17" s="129" customFormat="1" ht="30" x14ac:dyDescent="0.25">
      <c r="A96" s="443"/>
      <c r="B96" s="496"/>
      <c r="C96" s="421" t="s">
        <v>8</v>
      </c>
      <c r="D96" s="11"/>
      <c r="E96" s="406" t="s">
        <v>2811</v>
      </c>
      <c r="F96" s="213">
        <v>4200</v>
      </c>
      <c r="G96" s="213">
        <v>4640</v>
      </c>
      <c r="H96" s="700"/>
      <c r="I96" s="213">
        <v>4500</v>
      </c>
      <c r="J96" s="213">
        <v>4500</v>
      </c>
      <c r="K96" s="251" t="s">
        <v>690</v>
      </c>
      <c r="L96" s="278" t="s">
        <v>426</v>
      </c>
      <c r="M96" s="318">
        <v>43.7</v>
      </c>
      <c r="N96" s="318">
        <v>21</v>
      </c>
      <c r="O96" s="318">
        <v>21</v>
      </c>
      <c r="P96" s="318">
        <v>21</v>
      </c>
      <c r="Q96" s="318">
        <v>21</v>
      </c>
    </row>
    <row r="97" spans="1:17" s="129" customFormat="1" ht="45" x14ac:dyDescent="0.25">
      <c r="A97" s="570"/>
      <c r="B97" s="481"/>
      <c r="C97" s="421" t="s">
        <v>10</v>
      </c>
      <c r="D97" s="352"/>
      <c r="E97" s="406" t="s">
        <v>2825</v>
      </c>
      <c r="F97" s="213">
        <v>88</v>
      </c>
      <c r="G97" s="213">
        <v>5000</v>
      </c>
      <c r="H97" s="700">
        <v>13560</v>
      </c>
      <c r="I97" s="213">
        <v>8500</v>
      </c>
      <c r="J97" s="213">
        <v>8500</v>
      </c>
      <c r="K97" s="251" t="s">
        <v>690</v>
      </c>
      <c r="L97" s="278" t="s">
        <v>426</v>
      </c>
      <c r="M97" s="318">
        <v>10.5</v>
      </c>
      <c r="N97" s="318">
        <v>31.6</v>
      </c>
      <c r="O97" s="318">
        <v>31.6</v>
      </c>
      <c r="P97" s="318">
        <v>31.6</v>
      </c>
      <c r="Q97" s="318">
        <v>31.6</v>
      </c>
    </row>
    <row r="98" spans="1:17" s="129" customFormat="1" ht="87.75" x14ac:dyDescent="0.25">
      <c r="A98" s="443">
        <v>15</v>
      </c>
      <c r="B98" s="496">
        <v>4</v>
      </c>
      <c r="C98" s="421"/>
      <c r="D98" s="11"/>
      <c r="E98" s="385" t="s">
        <v>813</v>
      </c>
      <c r="F98" s="199">
        <v>27926.7</v>
      </c>
      <c r="G98" s="71">
        <v>29652.799999999999</v>
      </c>
      <c r="H98" s="71">
        <f>H99</f>
        <v>35546.699999999997</v>
      </c>
      <c r="I98" s="71">
        <v>29203</v>
      </c>
      <c r="J98" s="71">
        <v>29203</v>
      </c>
      <c r="K98" s="72"/>
      <c r="L98" s="272"/>
      <c r="M98" s="272"/>
      <c r="N98" s="272"/>
      <c r="O98" s="272"/>
      <c r="P98" s="272"/>
      <c r="Q98" s="272"/>
    </row>
    <row r="99" spans="1:17" s="129" customFormat="1" ht="45" x14ac:dyDescent="0.25">
      <c r="A99" s="443"/>
      <c r="B99" s="496"/>
      <c r="C99" s="421" t="s">
        <v>6</v>
      </c>
      <c r="D99" s="11"/>
      <c r="E99" s="370" t="s">
        <v>37</v>
      </c>
      <c r="F99" s="379">
        <v>27926.7</v>
      </c>
      <c r="G99" s="379">
        <v>29652.799999999999</v>
      </c>
      <c r="H99" s="700">
        <f>18074.9+17471.8</f>
        <v>35546.699999999997</v>
      </c>
      <c r="I99" s="379">
        <v>29203</v>
      </c>
      <c r="J99" s="379">
        <v>29203</v>
      </c>
      <c r="K99" s="317" t="s">
        <v>223</v>
      </c>
      <c r="L99" s="272" t="s">
        <v>440</v>
      </c>
      <c r="M99" s="272">
        <v>293</v>
      </c>
      <c r="N99" s="272">
        <v>260</v>
      </c>
      <c r="O99" s="272">
        <v>294</v>
      </c>
      <c r="P99" s="272">
        <v>294</v>
      </c>
      <c r="Q99" s="272">
        <v>294</v>
      </c>
    </row>
    <row r="100" spans="1:17" s="129" customFormat="1" ht="87.75" x14ac:dyDescent="0.25">
      <c r="A100" s="443">
        <v>15</v>
      </c>
      <c r="B100" s="496">
        <v>5</v>
      </c>
      <c r="C100" s="421"/>
      <c r="D100" s="11"/>
      <c r="E100" s="385" t="s">
        <v>2826</v>
      </c>
      <c r="F100" s="199">
        <v>5125.7999999999993</v>
      </c>
      <c r="G100" s="71">
        <v>6776.7999999999993</v>
      </c>
      <c r="H100" s="71">
        <f>H101</f>
        <v>6693.9000000000005</v>
      </c>
      <c r="I100" s="71">
        <v>7044.6</v>
      </c>
      <c r="J100" s="71">
        <v>7044.6</v>
      </c>
      <c r="K100" s="72"/>
      <c r="L100" s="272"/>
      <c r="M100" s="272"/>
      <c r="N100" s="272"/>
      <c r="O100" s="272"/>
      <c r="P100" s="272"/>
      <c r="Q100" s="272"/>
    </row>
    <row r="101" spans="1:17" s="129" customFormat="1" ht="52.5" customHeight="1" x14ac:dyDescent="0.25">
      <c r="A101" s="443"/>
      <c r="B101" s="496"/>
      <c r="C101" s="421" t="s">
        <v>6</v>
      </c>
      <c r="D101" s="11"/>
      <c r="E101" s="370" t="s">
        <v>38</v>
      </c>
      <c r="F101" s="379">
        <v>5125.7999999999993</v>
      </c>
      <c r="G101" s="379">
        <v>6776.7999999999993</v>
      </c>
      <c r="H101" s="700">
        <f>5986.6+707.3</f>
        <v>6693.9000000000005</v>
      </c>
      <c r="I101" s="379">
        <v>7044.6</v>
      </c>
      <c r="J101" s="379">
        <v>7044.6</v>
      </c>
      <c r="K101" s="317" t="s">
        <v>692</v>
      </c>
      <c r="L101" s="272" t="s">
        <v>270</v>
      </c>
      <c r="M101" s="272">
        <v>4</v>
      </c>
      <c r="N101" s="272">
        <v>4</v>
      </c>
      <c r="O101" s="272">
        <v>4</v>
      </c>
      <c r="P101" s="272">
        <v>4</v>
      </c>
      <c r="Q101" s="272">
        <v>4</v>
      </c>
    </row>
    <row r="102" spans="1:17" s="142" customFormat="1" ht="33" customHeight="1" x14ac:dyDescent="0.25">
      <c r="A102" s="1917" t="s">
        <v>39</v>
      </c>
      <c r="B102" s="1918"/>
      <c r="C102" s="1918"/>
      <c r="D102" s="1918"/>
      <c r="E102" s="1918"/>
      <c r="F102" s="80">
        <v>626862.4</v>
      </c>
      <c r="G102" s="80">
        <v>630168.10000000009</v>
      </c>
      <c r="H102" s="80">
        <f>H66+H92+H98+H100</f>
        <v>1253589.3999999997</v>
      </c>
      <c r="I102" s="80">
        <v>649561.69999999995</v>
      </c>
      <c r="J102" s="80">
        <v>655779.1</v>
      </c>
      <c r="K102" s="796"/>
      <c r="L102" s="2481"/>
      <c r="M102" s="2482"/>
      <c r="N102" s="2482"/>
      <c r="O102" s="2482"/>
      <c r="P102" s="2482"/>
      <c r="Q102" s="2483"/>
    </row>
    <row r="103" spans="1:17" x14ac:dyDescent="0.25">
      <c r="A103" s="1826" t="s">
        <v>40</v>
      </c>
      <c r="B103" s="1827"/>
      <c r="C103" s="1827"/>
      <c r="D103" s="1827"/>
      <c r="E103" s="1827"/>
      <c r="F103" s="1827"/>
      <c r="G103" s="1827"/>
      <c r="H103" s="1827"/>
      <c r="I103" s="1827"/>
      <c r="J103" s="1827"/>
      <c r="K103" s="1827"/>
      <c r="L103" s="1827"/>
      <c r="M103" s="1827"/>
      <c r="N103" s="1827"/>
      <c r="O103" s="1827"/>
      <c r="P103" s="1827"/>
      <c r="Q103" s="1828"/>
    </row>
    <row r="104" spans="1:17" s="129" customFormat="1" ht="81.75" customHeight="1" x14ac:dyDescent="0.25">
      <c r="A104" s="571">
        <v>16</v>
      </c>
      <c r="B104" s="64">
        <v>1</v>
      </c>
      <c r="C104" s="30"/>
      <c r="D104" s="27"/>
      <c r="E104" s="385" t="s">
        <v>2827</v>
      </c>
      <c r="F104" s="320">
        <v>0</v>
      </c>
      <c r="G104" s="320">
        <v>0</v>
      </c>
      <c r="H104" s="320">
        <f>H105+H106+H107+H109+H110</f>
        <v>48458.1</v>
      </c>
      <c r="I104" s="320">
        <v>49193.1</v>
      </c>
      <c r="J104" s="320">
        <v>49193.1</v>
      </c>
      <c r="K104" s="383" t="s">
        <v>224</v>
      </c>
      <c r="L104" s="382" t="s">
        <v>182</v>
      </c>
      <c r="M104" s="382">
        <v>49.9</v>
      </c>
      <c r="N104" s="382">
        <v>66.7</v>
      </c>
      <c r="O104" s="382">
        <v>68.2</v>
      </c>
      <c r="P104" s="382">
        <v>69.599999999999994</v>
      </c>
      <c r="Q104" s="382">
        <v>69.599999999999994</v>
      </c>
    </row>
    <row r="105" spans="1:17" s="129" customFormat="1" ht="45" x14ac:dyDescent="0.25">
      <c r="A105" s="572"/>
      <c r="B105" s="494"/>
      <c r="C105" s="30" t="s">
        <v>6</v>
      </c>
      <c r="D105" s="30"/>
      <c r="E105" s="370" t="s">
        <v>7</v>
      </c>
      <c r="F105" s="308"/>
      <c r="G105" s="308"/>
      <c r="H105" s="308">
        <v>14685.3</v>
      </c>
      <c r="I105" s="308">
        <v>14685.3</v>
      </c>
      <c r="J105" s="308">
        <v>14685.3</v>
      </c>
      <c r="K105" s="317" t="s">
        <v>694</v>
      </c>
      <c r="L105" s="318" t="s">
        <v>225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</row>
    <row r="106" spans="1:17" s="129" customFormat="1" ht="30" x14ac:dyDescent="0.25">
      <c r="A106" s="572"/>
      <c r="B106" s="494"/>
      <c r="C106" s="30" t="s">
        <v>10</v>
      </c>
      <c r="D106" s="30"/>
      <c r="E106" s="370" t="s">
        <v>11</v>
      </c>
      <c r="F106" s="308"/>
      <c r="G106" s="308"/>
      <c r="H106" s="308">
        <v>25072.799999999999</v>
      </c>
      <c r="I106" s="308">
        <v>25307.8</v>
      </c>
      <c r="J106" s="308">
        <v>25307.8</v>
      </c>
      <c r="K106" s="317" t="s">
        <v>226</v>
      </c>
      <c r="L106" s="318" t="s">
        <v>182</v>
      </c>
      <c r="M106" s="318">
        <v>0</v>
      </c>
      <c r="N106" s="318">
        <v>0</v>
      </c>
      <c r="O106" s="26">
        <v>0</v>
      </c>
      <c r="P106" s="26">
        <v>0</v>
      </c>
      <c r="Q106" s="26">
        <v>0</v>
      </c>
    </row>
    <row r="107" spans="1:17" s="129" customFormat="1" ht="30" x14ac:dyDescent="0.25">
      <c r="A107" s="1829"/>
      <c r="B107" s="547"/>
      <c r="C107" s="1831" t="s">
        <v>14</v>
      </c>
      <c r="D107" s="1831"/>
      <c r="E107" s="1866" t="s">
        <v>41</v>
      </c>
      <c r="F107" s="2466"/>
      <c r="G107" s="2466"/>
      <c r="H107" s="2466"/>
      <c r="I107" s="2466">
        <v>1000</v>
      </c>
      <c r="J107" s="2466">
        <v>1000</v>
      </c>
      <c r="K107" s="317" t="s">
        <v>227</v>
      </c>
      <c r="L107" s="318" t="s">
        <v>189</v>
      </c>
      <c r="M107" s="318">
        <v>20</v>
      </c>
      <c r="N107" s="318">
        <v>20</v>
      </c>
      <c r="O107" s="318">
        <v>20</v>
      </c>
      <c r="P107" s="318">
        <v>20</v>
      </c>
      <c r="Q107" s="318">
        <v>20</v>
      </c>
    </row>
    <row r="108" spans="1:17" s="129" customFormat="1" ht="30" x14ac:dyDescent="0.25">
      <c r="A108" s="1830"/>
      <c r="B108" s="497"/>
      <c r="C108" s="2057"/>
      <c r="D108" s="2057"/>
      <c r="E108" s="1867"/>
      <c r="F108" s="1910"/>
      <c r="G108" s="1910"/>
      <c r="H108" s="1910"/>
      <c r="I108" s="1910"/>
      <c r="J108" s="1910"/>
      <c r="K108" s="317" t="s">
        <v>228</v>
      </c>
      <c r="L108" s="318" t="s">
        <v>189</v>
      </c>
      <c r="M108" s="318">
        <v>3</v>
      </c>
      <c r="N108" s="318">
        <v>3</v>
      </c>
      <c r="O108" s="318">
        <v>3</v>
      </c>
      <c r="P108" s="318">
        <v>3</v>
      </c>
      <c r="Q108" s="318">
        <v>3</v>
      </c>
    </row>
    <row r="109" spans="1:17" s="129" customFormat="1" ht="30" x14ac:dyDescent="0.25">
      <c r="A109" s="572"/>
      <c r="B109" s="494"/>
      <c r="C109" s="30" t="s">
        <v>14</v>
      </c>
      <c r="D109" s="30"/>
      <c r="E109" s="453" t="s">
        <v>42</v>
      </c>
      <c r="F109" s="308"/>
      <c r="G109" s="308"/>
      <c r="H109" s="899">
        <v>6100</v>
      </c>
      <c r="I109" s="308">
        <v>4500</v>
      </c>
      <c r="J109" s="308">
        <v>4500</v>
      </c>
      <c r="K109" s="317" t="s">
        <v>229</v>
      </c>
      <c r="L109" s="318" t="s">
        <v>189</v>
      </c>
      <c r="M109" s="318" t="s">
        <v>230</v>
      </c>
      <c r="N109" s="318" t="s">
        <v>230</v>
      </c>
      <c r="O109" s="318" t="s">
        <v>230</v>
      </c>
      <c r="P109" s="318" t="s">
        <v>230</v>
      </c>
      <c r="Q109" s="318" t="s">
        <v>230</v>
      </c>
    </row>
    <row r="110" spans="1:17" s="129" customFormat="1" ht="45" x14ac:dyDescent="0.25">
      <c r="A110" s="572"/>
      <c r="B110" s="494"/>
      <c r="C110" s="30" t="s">
        <v>16</v>
      </c>
      <c r="D110" s="30"/>
      <c r="E110" s="670" t="s">
        <v>17</v>
      </c>
      <c r="F110" s="308"/>
      <c r="G110" s="308"/>
      <c r="H110" s="308">
        <v>2600</v>
      </c>
      <c r="I110" s="308">
        <v>3700</v>
      </c>
      <c r="J110" s="308">
        <v>3700</v>
      </c>
      <c r="K110" s="317" t="s">
        <v>231</v>
      </c>
      <c r="L110" s="318" t="s">
        <v>182</v>
      </c>
      <c r="M110" s="318">
        <v>30</v>
      </c>
      <c r="N110" s="318">
        <v>30</v>
      </c>
      <c r="O110" s="318">
        <v>30</v>
      </c>
      <c r="P110" s="318">
        <v>30</v>
      </c>
      <c r="Q110" s="318">
        <v>30</v>
      </c>
    </row>
    <row r="111" spans="1:17" s="129" customFormat="1" ht="74.25" x14ac:dyDescent="0.25">
      <c r="A111" s="571">
        <v>16</v>
      </c>
      <c r="B111" s="64">
        <v>2</v>
      </c>
      <c r="C111" s="30"/>
      <c r="D111" s="30"/>
      <c r="E111" s="370" t="s">
        <v>2828</v>
      </c>
      <c r="F111" s="320">
        <v>0</v>
      </c>
      <c r="G111" s="320">
        <v>0</v>
      </c>
      <c r="H111" s="320">
        <f>H112+H113+H114+H115+H116</f>
        <v>98995.9</v>
      </c>
      <c r="I111" s="320">
        <v>101378.9</v>
      </c>
      <c r="J111" s="320">
        <v>89298.9</v>
      </c>
      <c r="K111" s="383" t="s">
        <v>232</v>
      </c>
      <c r="L111" s="382" t="s">
        <v>182</v>
      </c>
      <c r="M111" s="382">
        <v>174</v>
      </c>
      <c r="N111" s="382">
        <v>0</v>
      </c>
      <c r="O111" s="382">
        <v>0</v>
      </c>
      <c r="P111" s="382">
        <v>0</v>
      </c>
      <c r="Q111" s="382">
        <v>0</v>
      </c>
    </row>
    <row r="112" spans="1:17" s="129" customFormat="1" ht="45" x14ac:dyDescent="0.25">
      <c r="A112" s="505"/>
      <c r="B112" s="500"/>
      <c r="C112" s="421" t="s">
        <v>6</v>
      </c>
      <c r="D112" s="344"/>
      <c r="E112" s="370" t="s">
        <v>43</v>
      </c>
      <c r="F112" s="308"/>
      <c r="G112" s="308"/>
      <c r="H112" s="308">
        <v>65622.7</v>
      </c>
      <c r="I112" s="308">
        <v>61016.9</v>
      </c>
      <c r="J112" s="308">
        <v>61016.9</v>
      </c>
      <c r="K112" s="370" t="s">
        <v>233</v>
      </c>
      <c r="L112" s="318" t="s">
        <v>424</v>
      </c>
      <c r="M112" s="318">
        <v>650</v>
      </c>
      <c r="N112" s="318" t="s">
        <v>234</v>
      </c>
      <c r="O112" s="318" t="s">
        <v>234</v>
      </c>
      <c r="P112" s="318" t="s">
        <v>235</v>
      </c>
      <c r="Q112" s="318" t="s">
        <v>235</v>
      </c>
    </row>
    <row r="113" spans="1:17" s="129" customFormat="1" ht="30" x14ac:dyDescent="0.25">
      <c r="A113" s="505"/>
      <c r="B113" s="500"/>
      <c r="C113" s="421" t="s">
        <v>8</v>
      </c>
      <c r="D113" s="344"/>
      <c r="E113" s="370" t="s">
        <v>695</v>
      </c>
      <c r="F113" s="308"/>
      <c r="G113" s="308"/>
      <c r="H113" s="308">
        <v>6126.2</v>
      </c>
      <c r="I113" s="308">
        <v>12032</v>
      </c>
      <c r="J113" s="308">
        <v>6532</v>
      </c>
      <c r="K113" s="370" t="s">
        <v>2829</v>
      </c>
      <c r="L113" s="318"/>
      <c r="M113" s="318" t="s">
        <v>216</v>
      </c>
      <c r="N113" s="318" t="s">
        <v>216</v>
      </c>
      <c r="O113" s="318" t="s">
        <v>216</v>
      </c>
      <c r="P113" s="318" t="s">
        <v>216</v>
      </c>
      <c r="Q113" s="318" t="s">
        <v>216</v>
      </c>
    </row>
    <row r="114" spans="1:17" s="129" customFormat="1" ht="45" x14ac:dyDescent="0.25">
      <c r="A114" s="505"/>
      <c r="B114" s="500"/>
      <c r="C114" s="421" t="s">
        <v>10</v>
      </c>
      <c r="D114" s="344"/>
      <c r="E114" s="370" t="s">
        <v>44</v>
      </c>
      <c r="F114" s="308"/>
      <c r="G114" s="308"/>
      <c r="H114" s="308">
        <v>5000</v>
      </c>
      <c r="I114" s="308">
        <v>500</v>
      </c>
      <c r="J114" s="308">
        <v>6000</v>
      </c>
      <c r="K114" s="370" t="s">
        <v>236</v>
      </c>
      <c r="L114" s="318" t="s">
        <v>182</v>
      </c>
      <c r="M114" s="318">
        <v>100</v>
      </c>
      <c r="N114" s="318">
        <v>100</v>
      </c>
      <c r="O114" s="318">
        <v>100</v>
      </c>
      <c r="P114" s="318">
        <v>100</v>
      </c>
      <c r="Q114" s="318">
        <v>100</v>
      </c>
    </row>
    <row r="115" spans="1:17" s="129" customFormat="1" ht="30" x14ac:dyDescent="0.25">
      <c r="A115" s="505"/>
      <c r="B115" s="500"/>
      <c r="C115" s="421" t="s">
        <v>12</v>
      </c>
      <c r="D115" s="344"/>
      <c r="E115" s="370" t="s">
        <v>45</v>
      </c>
      <c r="F115" s="308"/>
      <c r="G115" s="308"/>
      <c r="H115" s="308">
        <v>13680</v>
      </c>
      <c r="I115" s="308">
        <v>16580</v>
      </c>
      <c r="J115" s="308">
        <v>8000</v>
      </c>
      <c r="K115" s="370" t="s">
        <v>237</v>
      </c>
      <c r="L115" s="318" t="s">
        <v>182</v>
      </c>
      <c r="M115" s="318">
        <v>100</v>
      </c>
      <c r="N115" s="318">
        <v>100</v>
      </c>
      <c r="O115" s="318">
        <v>100</v>
      </c>
      <c r="P115" s="318">
        <v>100</v>
      </c>
      <c r="Q115" s="318">
        <v>100</v>
      </c>
    </row>
    <row r="116" spans="1:17" s="129" customFormat="1" ht="60" x14ac:dyDescent="0.25">
      <c r="A116" s="505"/>
      <c r="B116" s="500"/>
      <c r="C116" s="421" t="s">
        <v>14</v>
      </c>
      <c r="D116" s="344"/>
      <c r="E116" s="305" t="s">
        <v>46</v>
      </c>
      <c r="F116" s="308"/>
      <c r="G116" s="308"/>
      <c r="H116" s="308">
        <v>8567</v>
      </c>
      <c r="I116" s="308">
        <v>11250</v>
      </c>
      <c r="J116" s="308">
        <v>7750</v>
      </c>
      <c r="K116" s="370" t="s">
        <v>532</v>
      </c>
      <c r="L116" s="318" t="s">
        <v>225</v>
      </c>
      <c r="M116" s="318">
        <v>30</v>
      </c>
      <c r="N116" s="318">
        <v>30</v>
      </c>
      <c r="O116" s="318">
        <v>30</v>
      </c>
      <c r="P116" s="318">
        <v>30</v>
      </c>
      <c r="Q116" s="318">
        <v>30</v>
      </c>
    </row>
    <row r="117" spans="1:17" s="142" customFormat="1" x14ac:dyDescent="0.25">
      <c r="A117" s="1821" t="s">
        <v>50</v>
      </c>
      <c r="B117" s="1822"/>
      <c r="C117" s="1822"/>
      <c r="D117" s="1822"/>
      <c r="E117" s="1822"/>
      <c r="F117" s="46">
        <v>0</v>
      </c>
      <c r="G117" s="46">
        <v>0</v>
      </c>
      <c r="H117" s="46">
        <f>H104+H111</f>
        <v>147454</v>
      </c>
      <c r="I117" s="46">
        <v>150572</v>
      </c>
      <c r="J117" s="46">
        <v>138492</v>
      </c>
      <c r="K117" s="813"/>
      <c r="L117" s="870"/>
      <c r="M117" s="870"/>
      <c r="N117" s="870"/>
      <c r="O117" s="870"/>
      <c r="P117" s="870"/>
      <c r="Q117" s="870"/>
    </row>
    <row r="118" spans="1:17" ht="9" hidden="1" customHeight="1" x14ac:dyDescent="0.25">
      <c r="A118" s="2148"/>
      <c r="B118" s="2148"/>
      <c r="C118" s="2148"/>
      <c r="D118" s="2148"/>
      <c r="E118" s="2148"/>
      <c r="F118" s="2148"/>
      <c r="G118" s="2148"/>
      <c r="H118" s="2148"/>
      <c r="I118" s="2148"/>
      <c r="J118" s="2148"/>
      <c r="K118" s="2148"/>
      <c r="L118" s="2148"/>
      <c r="M118" s="2148"/>
      <c r="N118" s="2148"/>
      <c r="O118" s="2148"/>
      <c r="P118" s="2148"/>
      <c r="Q118" s="2148"/>
    </row>
    <row r="119" spans="1:17" x14ac:dyDescent="0.25">
      <c r="A119" s="1826" t="s">
        <v>51</v>
      </c>
      <c r="B119" s="1827"/>
      <c r="C119" s="1827"/>
      <c r="D119" s="1827"/>
      <c r="E119" s="1827"/>
      <c r="F119" s="1827"/>
      <c r="G119" s="1827"/>
      <c r="H119" s="1827"/>
      <c r="I119" s="1827"/>
      <c r="J119" s="1827"/>
      <c r="K119" s="1827"/>
      <c r="L119" s="1827"/>
      <c r="M119" s="1827"/>
      <c r="N119" s="1827"/>
      <c r="O119" s="1827"/>
      <c r="P119" s="1827"/>
      <c r="Q119" s="1828"/>
    </row>
    <row r="120" spans="1:17" s="129" customFormat="1" ht="88.5" x14ac:dyDescent="0.25">
      <c r="A120" s="571">
        <v>16</v>
      </c>
      <c r="B120" s="64">
        <v>1</v>
      </c>
      <c r="C120" s="27"/>
      <c r="D120" s="27"/>
      <c r="E120" s="508" t="s">
        <v>2830</v>
      </c>
      <c r="F120" s="491">
        <v>0</v>
      </c>
      <c r="G120" s="491">
        <v>0</v>
      </c>
      <c r="H120" s="491">
        <f>H121+H122+H123+H124+H125</f>
        <v>13056.400000000001</v>
      </c>
      <c r="I120" s="491">
        <v>13851.099999999999</v>
      </c>
      <c r="J120" s="491">
        <v>13851.099999999999</v>
      </c>
      <c r="K120" s="506" t="s">
        <v>239</v>
      </c>
      <c r="L120" s="506" t="s">
        <v>182</v>
      </c>
      <c r="M120" s="506">
        <v>4.9000000000000004</v>
      </c>
      <c r="N120" s="506">
        <v>4.9000000000000004</v>
      </c>
      <c r="O120" s="506">
        <v>4.9000000000000004</v>
      </c>
      <c r="P120" s="506">
        <v>4.9000000000000004</v>
      </c>
      <c r="Q120" s="506">
        <v>4.9000000000000004</v>
      </c>
    </row>
    <row r="121" spans="1:17" s="129" customFormat="1" ht="60" x14ac:dyDescent="0.25">
      <c r="A121" s="572"/>
      <c r="B121" s="494"/>
      <c r="C121" s="30" t="s">
        <v>6</v>
      </c>
      <c r="D121" s="30"/>
      <c r="E121" s="370" t="s">
        <v>7</v>
      </c>
      <c r="F121" s="272"/>
      <c r="G121" s="272"/>
      <c r="H121" s="361">
        <v>3016.5</v>
      </c>
      <c r="I121" s="361">
        <v>3016.5</v>
      </c>
      <c r="J121" s="361">
        <v>3016.5</v>
      </c>
      <c r="K121" s="317" t="s">
        <v>240</v>
      </c>
      <c r="L121" s="318" t="s">
        <v>184</v>
      </c>
      <c r="M121" s="318">
        <v>0</v>
      </c>
      <c r="N121" s="318">
        <v>0</v>
      </c>
      <c r="O121" s="318">
        <v>0</v>
      </c>
      <c r="P121" s="318">
        <v>0</v>
      </c>
      <c r="Q121" s="318">
        <v>0</v>
      </c>
    </row>
    <row r="122" spans="1:17" s="129" customFormat="1" ht="45" x14ac:dyDescent="0.25">
      <c r="A122" s="572"/>
      <c r="B122" s="494"/>
      <c r="C122" s="30" t="s">
        <v>8</v>
      </c>
      <c r="D122" s="30"/>
      <c r="E122" s="370" t="s">
        <v>9</v>
      </c>
      <c r="F122" s="272"/>
      <c r="G122" s="272"/>
      <c r="H122" s="361">
        <v>2161.3000000000002</v>
      </c>
      <c r="I122" s="361">
        <v>2316.6999999999998</v>
      </c>
      <c r="J122" s="361">
        <v>2316.6999999999998</v>
      </c>
      <c r="K122" s="317" t="s">
        <v>241</v>
      </c>
      <c r="L122" s="318" t="s">
        <v>182</v>
      </c>
      <c r="M122" s="318">
        <v>100</v>
      </c>
      <c r="N122" s="318">
        <v>100</v>
      </c>
      <c r="O122" s="318">
        <v>100</v>
      </c>
      <c r="P122" s="318">
        <v>100</v>
      </c>
      <c r="Q122" s="318">
        <v>100</v>
      </c>
    </row>
    <row r="123" spans="1:17" s="129" customFormat="1" ht="30" x14ac:dyDescent="0.25">
      <c r="A123" s="572"/>
      <c r="B123" s="494"/>
      <c r="C123" s="30" t="s">
        <v>10</v>
      </c>
      <c r="D123" s="30"/>
      <c r="E123" s="370" t="s">
        <v>11</v>
      </c>
      <c r="F123" s="272"/>
      <c r="G123" s="272"/>
      <c r="H123" s="361">
        <v>705.6</v>
      </c>
      <c r="I123" s="361">
        <v>824.1</v>
      </c>
      <c r="J123" s="361">
        <v>824.1</v>
      </c>
      <c r="K123" s="317" t="s">
        <v>226</v>
      </c>
      <c r="L123" s="318" t="s">
        <v>182</v>
      </c>
      <c r="M123" s="318" t="s">
        <v>242</v>
      </c>
      <c r="N123" s="318" t="s">
        <v>242</v>
      </c>
      <c r="O123" s="318" t="s">
        <v>242</v>
      </c>
      <c r="P123" s="318">
        <v>100</v>
      </c>
      <c r="Q123" s="318">
        <v>100</v>
      </c>
    </row>
    <row r="124" spans="1:17" s="129" customFormat="1" ht="30" x14ac:dyDescent="0.25">
      <c r="A124" s="572"/>
      <c r="B124" s="494"/>
      <c r="C124" s="30" t="s">
        <v>14</v>
      </c>
      <c r="D124" s="30"/>
      <c r="E124" s="370" t="s">
        <v>15</v>
      </c>
      <c r="F124" s="272"/>
      <c r="G124" s="272"/>
      <c r="H124" s="361">
        <v>2705.3</v>
      </c>
      <c r="I124" s="361">
        <v>2792.1</v>
      </c>
      <c r="J124" s="361">
        <v>2792.1</v>
      </c>
      <c r="K124" s="317" t="s">
        <v>243</v>
      </c>
      <c r="L124" s="318" t="s">
        <v>424</v>
      </c>
      <c r="M124" s="318" t="s">
        <v>242</v>
      </c>
      <c r="N124" s="318" t="s">
        <v>242</v>
      </c>
      <c r="O124" s="318">
        <v>2</v>
      </c>
      <c r="P124" s="318">
        <v>2</v>
      </c>
      <c r="Q124" s="318">
        <v>2</v>
      </c>
    </row>
    <row r="125" spans="1:17" s="129" customFormat="1" ht="45" x14ac:dyDescent="0.25">
      <c r="A125" s="572"/>
      <c r="B125" s="494"/>
      <c r="C125" s="30" t="s">
        <v>16</v>
      </c>
      <c r="D125" s="30"/>
      <c r="E125" s="370" t="s">
        <v>693</v>
      </c>
      <c r="F125" s="272"/>
      <c r="G125" s="272"/>
      <c r="H125" s="361">
        <v>4467.7</v>
      </c>
      <c r="I125" s="361">
        <v>4901.7</v>
      </c>
      <c r="J125" s="361">
        <v>4901.7</v>
      </c>
      <c r="K125" s="317" t="s">
        <v>696</v>
      </c>
      <c r="L125" s="318" t="s">
        <v>182</v>
      </c>
      <c r="M125" s="318">
        <v>24</v>
      </c>
      <c r="N125" s="318">
        <v>24</v>
      </c>
      <c r="O125" s="318">
        <v>22.4</v>
      </c>
      <c r="P125" s="318">
        <v>22.4</v>
      </c>
      <c r="Q125" s="318">
        <v>22.4</v>
      </c>
    </row>
    <row r="126" spans="1:17" s="129" customFormat="1" ht="58.5" x14ac:dyDescent="0.25">
      <c r="A126" s="443">
        <v>16</v>
      </c>
      <c r="B126" s="496">
        <v>3</v>
      </c>
      <c r="C126" s="65"/>
      <c r="D126" s="65"/>
      <c r="E126" s="385" t="s">
        <v>2831</v>
      </c>
      <c r="F126" s="320">
        <v>0</v>
      </c>
      <c r="G126" s="320">
        <v>0</v>
      </c>
      <c r="H126" s="320">
        <f>H127+H128+H129</f>
        <v>2773.3</v>
      </c>
      <c r="I126" s="320">
        <v>2952.9</v>
      </c>
      <c r="J126" s="320">
        <v>2952.9</v>
      </c>
      <c r="K126" s="383" t="s">
        <v>244</v>
      </c>
      <c r="L126" s="383" t="s">
        <v>424</v>
      </c>
      <c r="M126" s="383">
        <v>23</v>
      </c>
      <c r="N126" s="383">
        <v>23</v>
      </c>
      <c r="O126" s="383">
        <v>23</v>
      </c>
      <c r="P126" s="383">
        <v>23</v>
      </c>
      <c r="Q126" s="383">
        <v>23</v>
      </c>
    </row>
    <row r="127" spans="1:17" s="129" customFormat="1" ht="30" x14ac:dyDescent="0.25">
      <c r="A127" s="505"/>
      <c r="B127" s="500"/>
      <c r="C127" s="421" t="s">
        <v>6</v>
      </c>
      <c r="D127" s="344"/>
      <c r="E127" s="370" t="s">
        <v>52</v>
      </c>
      <c r="F127" s="272"/>
      <c r="G127" s="272"/>
      <c r="H127" s="318">
        <v>1089.2</v>
      </c>
      <c r="I127" s="272">
        <v>1089.2</v>
      </c>
      <c r="J127" s="272">
        <v>1089.2</v>
      </c>
      <c r="K127" s="317" t="s">
        <v>245</v>
      </c>
      <c r="L127" s="318" t="s">
        <v>189</v>
      </c>
      <c r="M127" s="318" t="s">
        <v>246</v>
      </c>
      <c r="N127" s="318" t="s">
        <v>247</v>
      </c>
      <c r="O127" s="318" t="s">
        <v>248</v>
      </c>
      <c r="P127" s="318" t="s">
        <v>248</v>
      </c>
      <c r="Q127" s="318" t="s">
        <v>248</v>
      </c>
    </row>
    <row r="128" spans="1:17" s="129" customFormat="1" ht="60" x14ac:dyDescent="0.25">
      <c r="A128" s="505"/>
      <c r="B128" s="500"/>
      <c r="C128" s="421" t="s">
        <v>8</v>
      </c>
      <c r="D128" s="344"/>
      <c r="E128" s="370" t="s">
        <v>53</v>
      </c>
      <c r="F128" s="272"/>
      <c r="G128" s="272"/>
      <c r="H128" s="360">
        <v>331.6</v>
      </c>
      <c r="I128" s="360">
        <v>331.6</v>
      </c>
      <c r="J128" s="360">
        <v>331.6</v>
      </c>
      <c r="K128" s="317" t="s">
        <v>249</v>
      </c>
      <c r="L128" s="318" t="s">
        <v>189</v>
      </c>
      <c r="M128" s="318">
        <v>1</v>
      </c>
      <c r="N128" s="318">
        <v>1</v>
      </c>
      <c r="O128" s="318">
        <v>1</v>
      </c>
      <c r="P128" s="318">
        <v>1</v>
      </c>
      <c r="Q128" s="318">
        <v>1</v>
      </c>
    </row>
    <row r="129" spans="1:17" s="129" customFormat="1" ht="45" x14ac:dyDescent="0.25">
      <c r="A129" s="505"/>
      <c r="B129" s="500"/>
      <c r="C129" s="421" t="s">
        <v>10</v>
      </c>
      <c r="D129" s="344"/>
      <c r="E129" s="370" t="s">
        <v>54</v>
      </c>
      <c r="F129" s="272"/>
      <c r="G129" s="272"/>
      <c r="H129" s="318">
        <v>1352.5</v>
      </c>
      <c r="I129" s="318">
        <v>1532.1</v>
      </c>
      <c r="J129" s="318">
        <v>1532.1</v>
      </c>
      <c r="K129" s="317" t="s">
        <v>250</v>
      </c>
      <c r="L129" s="318" t="s">
        <v>189</v>
      </c>
      <c r="M129" s="318">
        <v>0</v>
      </c>
      <c r="N129" s="318">
        <v>0</v>
      </c>
      <c r="O129" s="318">
        <v>1</v>
      </c>
      <c r="P129" s="318">
        <v>0</v>
      </c>
      <c r="Q129" s="318">
        <v>0</v>
      </c>
    </row>
    <row r="130" spans="1:17" s="129" customFormat="1" ht="30" x14ac:dyDescent="0.25">
      <c r="A130" s="505"/>
      <c r="B130" s="500"/>
      <c r="C130" s="421" t="s">
        <v>12</v>
      </c>
      <c r="D130" s="344"/>
      <c r="E130" s="370" t="s">
        <v>55</v>
      </c>
      <c r="F130" s="272"/>
      <c r="G130" s="272"/>
      <c r="H130" s="318"/>
      <c r="I130" s="360"/>
      <c r="J130" s="360"/>
      <c r="K130" s="317" t="s">
        <v>251</v>
      </c>
      <c r="L130" s="318" t="s">
        <v>189</v>
      </c>
      <c r="M130" s="318">
        <v>0</v>
      </c>
      <c r="N130" s="318">
        <v>0</v>
      </c>
      <c r="O130" s="318">
        <v>0</v>
      </c>
      <c r="P130" s="318">
        <v>10</v>
      </c>
      <c r="Q130" s="318">
        <v>10</v>
      </c>
    </row>
    <row r="131" spans="1:17" s="129" customFormat="1" ht="30" x14ac:dyDescent="0.25">
      <c r="A131" s="505"/>
      <c r="B131" s="500"/>
      <c r="C131" s="421" t="s">
        <v>14</v>
      </c>
      <c r="D131" s="344"/>
      <c r="E131" s="370" t="s">
        <v>56</v>
      </c>
      <c r="F131" s="272"/>
      <c r="G131" s="272"/>
      <c r="H131" s="318">
        <v>0</v>
      </c>
      <c r="I131" s="360">
        <v>0</v>
      </c>
      <c r="J131" s="360">
        <v>0</v>
      </c>
      <c r="K131" s="317" t="s">
        <v>252</v>
      </c>
      <c r="L131" s="318" t="s">
        <v>189</v>
      </c>
      <c r="M131" s="318">
        <v>0</v>
      </c>
      <c r="N131" s="318">
        <v>0</v>
      </c>
      <c r="O131" s="318">
        <v>3</v>
      </c>
      <c r="P131" s="318">
        <v>3</v>
      </c>
      <c r="Q131" s="318">
        <v>3</v>
      </c>
    </row>
    <row r="132" spans="1:17" s="129" customFormat="1" ht="58.5" x14ac:dyDescent="0.25">
      <c r="A132" s="443">
        <v>16</v>
      </c>
      <c r="B132" s="496">
        <v>4</v>
      </c>
      <c r="C132" s="65"/>
      <c r="D132" s="65"/>
      <c r="E132" s="66" t="s">
        <v>808</v>
      </c>
      <c r="F132" s="199">
        <v>0</v>
      </c>
      <c r="G132" s="199">
        <v>0</v>
      </c>
      <c r="H132" s="199">
        <f>H133+H134</f>
        <v>376.8</v>
      </c>
      <c r="I132" s="199">
        <v>504.1</v>
      </c>
      <c r="J132" s="199">
        <v>504.1</v>
      </c>
      <c r="K132" s="67" t="s">
        <v>699</v>
      </c>
      <c r="L132" s="67" t="s">
        <v>189</v>
      </c>
      <c r="M132" s="67">
        <v>0</v>
      </c>
      <c r="N132" s="67">
        <v>0</v>
      </c>
      <c r="O132" s="67">
        <v>0</v>
      </c>
      <c r="P132" s="67">
        <v>0</v>
      </c>
      <c r="Q132" s="67">
        <v>0</v>
      </c>
    </row>
    <row r="133" spans="1:17" s="129" customFormat="1" ht="75" x14ac:dyDescent="0.25">
      <c r="A133" s="505"/>
      <c r="B133" s="500"/>
      <c r="C133" s="421" t="s">
        <v>6</v>
      </c>
      <c r="D133" s="344"/>
      <c r="E133" s="370" t="s">
        <v>57</v>
      </c>
      <c r="F133" s="272"/>
      <c r="G133" s="272"/>
      <c r="H133" s="318"/>
      <c r="I133" s="318">
        <v>103.5</v>
      </c>
      <c r="J133" s="318">
        <v>103.5</v>
      </c>
      <c r="K133" s="317" t="s">
        <v>697</v>
      </c>
      <c r="L133" s="318" t="s">
        <v>214</v>
      </c>
      <c r="M133" s="318" t="s">
        <v>215</v>
      </c>
      <c r="N133" s="318" t="s">
        <v>215</v>
      </c>
      <c r="O133" s="318" t="s">
        <v>216</v>
      </c>
      <c r="P133" s="318" t="s">
        <v>216</v>
      </c>
      <c r="Q133" s="318" t="s">
        <v>216</v>
      </c>
    </row>
    <row r="134" spans="1:17" s="129" customFormat="1" ht="45" x14ac:dyDescent="0.25">
      <c r="A134" s="505"/>
      <c r="B134" s="500"/>
      <c r="C134" s="421" t="s">
        <v>8</v>
      </c>
      <c r="D134" s="344"/>
      <c r="E134" s="370" t="s">
        <v>58</v>
      </c>
      <c r="F134" s="272"/>
      <c r="G134" s="272"/>
      <c r="H134" s="318">
        <v>376.8</v>
      </c>
      <c r="I134" s="318">
        <v>400.6</v>
      </c>
      <c r="J134" s="318">
        <v>400.6</v>
      </c>
      <c r="K134" s="317" t="s">
        <v>698</v>
      </c>
      <c r="L134" s="318" t="s">
        <v>214</v>
      </c>
      <c r="M134" s="318" t="s">
        <v>242</v>
      </c>
      <c r="N134" s="318" t="s">
        <v>216</v>
      </c>
      <c r="O134" s="318" t="s">
        <v>216</v>
      </c>
      <c r="P134" s="318" t="s">
        <v>216</v>
      </c>
      <c r="Q134" s="318" t="s">
        <v>216</v>
      </c>
    </row>
    <row r="135" spans="1:17" s="129" customFormat="1" ht="73.5" x14ac:dyDescent="0.25">
      <c r="A135" s="443">
        <v>16</v>
      </c>
      <c r="B135" s="496">
        <v>5</v>
      </c>
      <c r="C135" s="65"/>
      <c r="D135" s="65"/>
      <c r="E135" s="66" t="s">
        <v>809</v>
      </c>
      <c r="F135" s="199">
        <v>0</v>
      </c>
      <c r="G135" s="199">
        <v>0</v>
      </c>
      <c r="H135" s="199">
        <f>H136+H137+H138+H139+H140</f>
        <v>33928.699999999997</v>
      </c>
      <c r="I135" s="199">
        <v>33234.5</v>
      </c>
      <c r="J135" s="199">
        <v>33234.5</v>
      </c>
      <c r="K135" s="67" t="s">
        <v>700</v>
      </c>
      <c r="L135" s="67" t="s">
        <v>424</v>
      </c>
      <c r="M135" s="67">
        <v>23</v>
      </c>
      <c r="N135" s="67">
        <v>23</v>
      </c>
      <c r="O135" s="67">
        <v>23</v>
      </c>
      <c r="P135" s="67">
        <v>23</v>
      </c>
      <c r="Q135" s="67">
        <v>23</v>
      </c>
    </row>
    <row r="136" spans="1:17" s="129" customFormat="1" ht="30" x14ac:dyDescent="0.25">
      <c r="A136" s="505"/>
      <c r="B136" s="500"/>
      <c r="C136" s="421" t="s">
        <v>6</v>
      </c>
      <c r="D136" s="344"/>
      <c r="E136" s="370" t="s">
        <v>59</v>
      </c>
      <c r="F136" s="272"/>
      <c r="G136" s="272"/>
      <c r="H136" s="318">
        <v>29707.5</v>
      </c>
      <c r="I136" s="318">
        <v>28913.3</v>
      </c>
      <c r="J136" s="318">
        <v>28913.3</v>
      </c>
      <c r="K136" s="317" t="s">
        <v>244</v>
      </c>
      <c r="L136" s="318" t="s">
        <v>189</v>
      </c>
      <c r="M136" s="318">
        <v>23</v>
      </c>
      <c r="N136" s="318">
        <v>23</v>
      </c>
      <c r="O136" s="318">
        <v>23</v>
      </c>
      <c r="P136" s="318">
        <v>20</v>
      </c>
      <c r="Q136" s="318">
        <v>20</v>
      </c>
    </row>
    <row r="137" spans="1:17" s="129" customFormat="1" ht="30" x14ac:dyDescent="0.25">
      <c r="A137" s="505"/>
      <c r="B137" s="500"/>
      <c r="C137" s="421" t="s">
        <v>8</v>
      </c>
      <c r="D137" s="344"/>
      <c r="E137" s="370" t="s">
        <v>47</v>
      </c>
      <c r="F137" s="272"/>
      <c r="G137" s="272"/>
      <c r="H137" s="318">
        <v>4041.7</v>
      </c>
      <c r="I137" s="318">
        <v>4041.7</v>
      </c>
      <c r="J137" s="318">
        <v>4041.7</v>
      </c>
      <c r="K137" s="317" t="s">
        <v>244</v>
      </c>
      <c r="L137" s="318" t="s">
        <v>189</v>
      </c>
      <c r="M137" s="318">
        <v>23</v>
      </c>
      <c r="N137" s="318">
        <v>23</v>
      </c>
      <c r="O137" s="318">
        <v>23</v>
      </c>
      <c r="P137" s="318">
        <v>20</v>
      </c>
      <c r="Q137" s="318">
        <v>20</v>
      </c>
    </row>
    <row r="138" spans="1:17" s="129" customFormat="1" ht="30" x14ac:dyDescent="0.25">
      <c r="A138" s="505"/>
      <c r="B138" s="500"/>
      <c r="C138" s="421" t="s">
        <v>10</v>
      </c>
      <c r="D138" s="344"/>
      <c r="E138" s="370" t="s">
        <v>703</v>
      </c>
      <c r="F138" s="272"/>
      <c r="G138" s="272"/>
      <c r="H138" s="318">
        <v>76.5</v>
      </c>
      <c r="I138" s="318">
        <v>76.5</v>
      </c>
      <c r="J138" s="318">
        <v>76.5</v>
      </c>
      <c r="K138" s="317" t="s">
        <v>704</v>
      </c>
      <c r="L138" s="318" t="s">
        <v>214</v>
      </c>
      <c r="M138" s="318" t="s">
        <v>215</v>
      </c>
      <c r="N138" s="318" t="s">
        <v>215</v>
      </c>
      <c r="O138" s="318" t="s">
        <v>216</v>
      </c>
      <c r="P138" s="318" t="s">
        <v>216</v>
      </c>
      <c r="Q138" s="318" t="s">
        <v>216</v>
      </c>
    </row>
    <row r="139" spans="1:17" s="129" customFormat="1" ht="45" x14ac:dyDescent="0.25">
      <c r="A139" s="505"/>
      <c r="B139" s="500"/>
      <c r="C139" s="421" t="s">
        <v>12</v>
      </c>
      <c r="D139" s="344"/>
      <c r="E139" s="370" t="s">
        <v>60</v>
      </c>
      <c r="F139" s="272"/>
      <c r="G139" s="272"/>
      <c r="H139" s="318">
        <v>53</v>
      </c>
      <c r="I139" s="318">
        <v>53</v>
      </c>
      <c r="J139" s="318">
        <v>53</v>
      </c>
      <c r="K139" s="317" t="s">
        <v>253</v>
      </c>
      <c r="L139" s="318" t="s">
        <v>214</v>
      </c>
      <c r="M139" s="318" t="s">
        <v>215</v>
      </c>
      <c r="N139" s="318" t="s">
        <v>215</v>
      </c>
      <c r="O139" s="318" t="s">
        <v>216</v>
      </c>
      <c r="P139" s="318" t="s">
        <v>216</v>
      </c>
      <c r="Q139" s="318" t="s">
        <v>216</v>
      </c>
    </row>
    <row r="140" spans="1:17" s="129" customFormat="1" ht="30" x14ac:dyDescent="0.25">
      <c r="A140" s="505"/>
      <c r="B140" s="500"/>
      <c r="C140" s="421" t="s">
        <v>14</v>
      </c>
      <c r="D140" s="344"/>
      <c r="E140" s="370" t="s">
        <v>61</v>
      </c>
      <c r="F140" s="272"/>
      <c r="G140" s="272"/>
      <c r="H140" s="318">
        <v>50</v>
      </c>
      <c r="I140" s="318">
        <v>150</v>
      </c>
      <c r="J140" s="318">
        <v>150</v>
      </c>
      <c r="K140" s="317" t="s">
        <v>254</v>
      </c>
      <c r="L140" s="318" t="s">
        <v>214</v>
      </c>
      <c r="M140" s="318" t="s">
        <v>215</v>
      </c>
      <c r="N140" s="318" t="s">
        <v>215</v>
      </c>
      <c r="O140" s="318" t="s">
        <v>216</v>
      </c>
      <c r="P140" s="318" t="s">
        <v>216</v>
      </c>
      <c r="Q140" s="318" t="s">
        <v>216</v>
      </c>
    </row>
    <row r="141" spans="1:17" s="142" customFormat="1" ht="36" customHeight="1" x14ac:dyDescent="0.25">
      <c r="A141" s="2246" t="s">
        <v>62</v>
      </c>
      <c r="B141" s="2247"/>
      <c r="C141" s="2247"/>
      <c r="D141" s="2247"/>
      <c r="E141" s="2247"/>
      <c r="F141" s="46">
        <v>0</v>
      </c>
      <c r="G141" s="46">
        <v>0</v>
      </c>
      <c r="H141" s="46">
        <f>H120+H126+H132+H135</f>
        <v>50135.199999999997</v>
      </c>
      <c r="I141" s="46">
        <v>50542.6</v>
      </c>
      <c r="J141" s="46">
        <v>50542.6</v>
      </c>
      <c r="K141" s="871"/>
      <c r="L141" s="797"/>
      <c r="M141" s="797"/>
      <c r="N141" s="797"/>
      <c r="O141" s="797"/>
      <c r="P141" s="797"/>
      <c r="Q141" s="797"/>
    </row>
    <row r="142" spans="1:17" x14ac:dyDescent="0.25">
      <c r="A142" s="1826" t="s">
        <v>63</v>
      </c>
      <c r="B142" s="1827"/>
      <c r="C142" s="1827"/>
      <c r="D142" s="1827"/>
      <c r="E142" s="1827"/>
      <c r="F142" s="1827"/>
      <c r="G142" s="1827"/>
      <c r="H142" s="1827"/>
      <c r="I142" s="1827"/>
      <c r="J142" s="1827"/>
      <c r="K142" s="1827"/>
      <c r="L142" s="1827"/>
      <c r="M142" s="1827"/>
      <c r="N142" s="1827"/>
      <c r="O142" s="1827"/>
      <c r="P142" s="1827"/>
      <c r="Q142" s="1828"/>
    </row>
    <row r="143" spans="1:17" s="129" customFormat="1" ht="88.5" x14ac:dyDescent="0.25">
      <c r="A143" s="571">
        <v>16</v>
      </c>
      <c r="B143" s="64">
        <v>1</v>
      </c>
      <c r="C143" s="27"/>
      <c r="D143" s="27"/>
      <c r="E143" s="462" t="s">
        <v>2832</v>
      </c>
      <c r="F143" s="320">
        <v>0</v>
      </c>
      <c r="G143" s="320">
        <v>0</v>
      </c>
      <c r="H143" s="320">
        <f>H144</f>
        <v>13494.1</v>
      </c>
      <c r="I143" s="320">
        <v>23198.1</v>
      </c>
      <c r="J143" s="320">
        <v>23198.1</v>
      </c>
      <c r="K143" s="383" t="s">
        <v>255</v>
      </c>
      <c r="L143" s="382" t="s">
        <v>182</v>
      </c>
      <c r="M143" s="382">
        <v>4.9000000000000004</v>
      </c>
      <c r="N143" s="382">
        <v>4.9000000000000004</v>
      </c>
      <c r="O143" s="382">
        <v>4.9000000000000004</v>
      </c>
      <c r="P143" s="382">
        <v>4.9000000000000004</v>
      </c>
      <c r="Q143" s="382">
        <v>4.9000000000000004</v>
      </c>
    </row>
    <row r="144" spans="1:17" s="129" customFormat="1" ht="60" x14ac:dyDescent="0.25">
      <c r="A144" s="572"/>
      <c r="B144" s="494"/>
      <c r="C144" s="30" t="s">
        <v>6</v>
      </c>
      <c r="D144" s="30"/>
      <c r="E144" s="370" t="s">
        <v>7</v>
      </c>
      <c r="F144" s="272"/>
      <c r="G144" s="272"/>
      <c r="H144" s="360">
        <v>13494.1</v>
      </c>
      <c r="I144" s="361">
        <v>23198.1</v>
      </c>
      <c r="J144" s="361">
        <v>23198.1</v>
      </c>
      <c r="K144" s="317" t="s">
        <v>256</v>
      </c>
      <c r="L144" s="318" t="s">
        <v>189</v>
      </c>
      <c r="M144" s="318">
        <v>0</v>
      </c>
      <c r="N144" s="318">
        <v>0</v>
      </c>
      <c r="O144" s="318">
        <v>0</v>
      </c>
      <c r="P144" s="318">
        <v>0</v>
      </c>
      <c r="Q144" s="318">
        <v>0</v>
      </c>
    </row>
    <row r="145" spans="1:17" s="129" customFormat="1" ht="72.75" x14ac:dyDescent="0.25">
      <c r="A145" s="443">
        <v>16</v>
      </c>
      <c r="B145" s="496">
        <v>6</v>
      </c>
      <c r="C145" s="65"/>
      <c r="D145" s="65"/>
      <c r="E145" s="385" t="s">
        <v>2833</v>
      </c>
      <c r="F145" s="320">
        <v>0</v>
      </c>
      <c r="G145" s="320">
        <v>0</v>
      </c>
      <c r="H145" s="320">
        <f>H146+H147+H148</f>
        <v>10401.9</v>
      </c>
      <c r="I145" s="320">
        <v>14144.4</v>
      </c>
      <c r="J145" s="320">
        <v>14199.4</v>
      </c>
      <c r="K145" s="383" t="s">
        <v>537</v>
      </c>
      <c r="L145" s="318" t="s">
        <v>424</v>
      </c>
      <c r="M145" s="318">
        <v>1500</v>
      </c>
      <c r="N145" s="318">
        <v>2000</v>
      </c>
      <c r="O145" s="318">
        <v>2200</v>
      </c>
      <c r="P145" s="318">
        <v>2300</v>
      </c>
      <c r="Q145" s="318">
        <v>2500</v>
      </c>
    </row>
    <row r="146" spans="1:17" s="129" customFormat="1" ht="30" x14ac:dyDescent="0.25">
      <c r="A146" s="443"/>
      <c r="B146" s="496"/>
      <c r="C146" s="421" t="s">
        <v>6</v>
      </c>
      <c r="D146" s="65"/>
      <c r="E146" s="370" t="s">
        <v>533</v>
      </c>
      <c r="F146" s="272"/>
      <c r="G146" s="272"/>
      <c r="H146" s="360">
        <f>9390.9+357</f>
        <v>9747.9</v>
      </c>
      <c r="I146" s="360">
        <v>13490.4</v>
      </c>
      <c r="J146" s="360">
        <v>13545.4</v>
      </c>
      <c r="K146" s="2020" t="s">
        <v>534</v>
      </c>
      <c r="L146" s="2032" t="s">
        <v>189</v>
      </c>
      <c r="M146" s="2032">
        <v>1500</v>
      </c>
      <c r="N146" s="2032">
        <v>2000</v>
      </c>
      <c r="O146" s="2032">
        <v>2200</v>
      </c>
      <c r="P146" s="2032">
        <v>2300</v>
      </c>
      <c r="Q146" s="2032">
        <v>2500</v>
      </c>
    </row>
    <row r="147" spans="1:17" s="129" customFormat="1" ht="30" x14ac:dyDescent="0.25">
      <c r="A147" s="499"/>
      <c r="B147" s="485"/>
      <c r="C147" s="423" t="s">
        <v>8</v>
      </c>
      <c r="D147" s="313"/>
      <c r="E147" s="370" t="s">
        <v>535</v>
      </c>
      <c r="F147" s="321"/>
      <c r="G147" s="321"/>
      <c r="H147" s="360">
        <v>334</v>
      </c>
      <c r="I147" s="360">
        <v>334</v>
      </c>
      <c r="J147" s="360">
        <v>334</v>
      </c>
      <c r="K147" s="2022"/>
      <c r="L147" s="2033"/>
      <c r="M147" s="2033"/>
      <c r="N147" s="2033"/>
      <c r="O147" s="2033"/>
      <c r="P147" s="2033"/>
      <c r="Q147" s="2033"/>
    </row>
    <row r="148" spans="1:17" s="129" customFormat="1" ht="75" x14ac:dyDescent="0.25">
      <c r="A148" s="505"/>
      <c r="B148" s="500"/>
      <c r="C148" s="421" t="s">
        <v>10</v>
      </c>
      <c r="D148" s="344"/>
      <c r="E148" s="370" t="s">
        <v>701</v>
      </c>
      <c r="F148" s="272"/>
      <c r="G148" s="272"/>
      <c r="H148" s="360">
        <v>320</v>
      </c>
      <c r="I148" s="360">
        <v>320</v>
      </c>
      <c r="J148" s="360">
        <v>320</v>
      </c>
      <c r="K148" s="276" t="s">
        <v>536</v>
      </c>
      <c r="L148" s="11" t="s">
        <v>238</v>
      </c>
      <c r="M148" s="339">
        <v>5</v>
      </c>
      <c r="N148" s="11">
        <v>20</v>
      </c>
      <c r="O148" s="11">
        <v>30</v>
      </c>
      <c r="P148" s="11">
        <v>30</v>
      </c>
      <c r="Q148" s="11">
        <v>30</v>
      </c>
    </row>
    <row r="149" spans="1:17" s="142" customFormat="1" ht="33.75" customHeight="1" x14ac:dyDescent="0.25">
      <c r="A149" s="1821" t="s">
        <v>64</v>
      </c>
      <c r="B149" s="1822"/>
      <c r="C149" s="1822"/>
      <c r="D149" s="1822"/>
      <c r="E149" s="2531"/>
      <c r="F149" s="46">
        <v>0</v>
      </c>
      <c r="G149" s="46">
        <v>0</v>
      </c>
      <c r="H149" s="46">
        <f>H143+H145</f>
        <v>23896</v>
      </c>
      <c r="I149" s="46">
        <v>37342.5</v>
      </c>
      <c r="J149" s="46">
        <v>37397.5</v>
      </c>
      <c r="K149" s="813"/>
      <c r="L149" s="870"/>
      <c r="M149" s="870"/>
      <c r="N149" s="870"/>
      <c r="O149" s="870"/>
      <c r="P149" s="870"/>
      <c r="Q149" s="870"/>
    </row>
    <row r="150" spans="1:17" x14ac:dyDescent="0.25">
      <c r="A150" s="1826" t="s">
        <v>65</v>
      </c>
      <c r="B150" s="1827"/>
      <c r="C150" s="1827"/>
      <c r="D150" s="1827"/>
      <c r="E150" s="1827"/>
      <c r="F150" s="1827"/>
      <c r="G150" s="1827"/>
      <c r="H150" s="1827"/>
      <c r="I150" s="1827"/>
      <c r="J150" s="1827"/>
      <c r="K150" s="1827"/>
      <c r="L150" s="1827"/>
      <c r="M150" s="1827"/>
      <c r="N150" s="1827"/>
      <c r="O150" s="1827"/>
      <c r="P150" s="1827"/>
      <c r="Q150" s="1828"/>
    </row>
    <row r="151" spans="1:17" s="129" customFormat="1" ht="88.5" x14ac:dyDescent="0.25">
      <c r="A151" s="571">
        <v>16</v>
      </c>
      <c r="B151" s="64">
        <v>1</v>
      </c>
      <c r="C151" s="27"/>
      <c r="D151" s="27"/>
      <c r="E151" s="462" t="s">
        <v>2834</v>
      </c>
      <c r="F151" s="320">
        <v>0</v>
      </c>
      <c r="G151" s="320">
        <v>0</v>
      </c>
      <c r="H151" s="320">
        <f>H152+H153</f>
        <v>132716.29999999999</v>
      </c>
      <c r="I151" s="320">
        <v>119604.29999999999</v>
      </c>
      <c r="J151" s="320">
        <v>107485.29999999999</v>
      </c>
      <c r="K151" s="383" t="s">
        <v>257</v>
      </c>
      <c r="L151" s="382" t="s">
        <v>182</v>
      </c>
      <c r="M151" s="382">
        <v>4.5</v>
      </c>
      <c r="N151" s="382">
        <v>6.2</v>
      </c>
      <c r="O151" s="382">
        <v>6.2</v>
      </c>
      <c r="P151" s="382">
        <v>6.2</v>
      </c>
      <c r="Q151" s="382">
        <v>6.2</v>
      </c>
    </row>
    <row r="152" spans="1:17" s="129" customFormat="1" ht="60" x14ac:dyDescent="0.25">
      <c r="A152" s="572"/>
      <c r="B152" s="494"/>
      <c r="C152" s="30" t="s">
        <v>6</v>
      </c>
      <c r="D152" s="30"/>
      <c r="E152" s="370" t="s">
        <v>7</v>
      </c>
      <c r="F152" s="272"/>
      <c r="G152" s="272"/>
      <c r="H152" s="361">
        <f>46827.8</f>
        <v>46827.8</v>
      </c>
      <c r="I152" s="361">
        <v>35813.899999999994</v>
      </c>
      <c r="J152" s="361">
        <v>38677.9</v>
      </c>
      <c r="K152" s="317" t="s">
        <v>702</v>
      </c>
      <c r="L152" s="318" t="s">
        <v>238</v>
      </c>
      <c r="M152" s="318">
        <v>0</v>
      </c>
      <c r="N152" s="318">
        <v>0</v>
      </c>
      <c r="O152" s="318">
        <v>0</v>
      </c>
      <c r="P152" s="318">
        <v>0</v>
      </c>
      <c r="Q152" s="318">
        <v>0</v>
      </c>
    </row>
    <row r="153" spans="1:17" s="129" customFormat="1" ht="60" x14ac:dyDescent="0.25">
      <c r="A153" s="572"/>
      <c r="B153" s="494"/>
      <c r="C153" s="30" t="s">
        <v>49</v>
      </c>
      <c r="D153" s="30"/>
      <c r="E153" s="370" t="s">
        <v>67</v>
      </c>
      <c r="F153" s="272"/>
      <c r="G153" s="272"/>
      <c r="H153" s="322">
        <v>85888.5</v>
      </c>
      <c r="I153" s="308">
        <v>83790.399999999994</v>
      </c>
      <c r="J153" s="308">
        <v>68807.399999999994</v>
      </c>
      <c r="K153" s="317" t="s">
        <v>260</v>
      </c>
      <c r="L153" s="318" t="s">
        <v>238</v>
      </c>
      <c r="M153" s="318">
        <v>0</v>
      </c>
      <c r="N153" s="318">
        <v>0</v>
      </c>
      <c r="O153" s="318">
        <v>0</v>
      </c>
      <c r="P153" s="318">
        <v>0</v>
      </c>
      <c r="Q153" s="318">
        <v>0</v>
      </c>
    </row>
    <row r="154" spans="1:17" s="142" customFormat="1" ht="72.75" x14ac:dyDescent="0.25">
      <c r="A154" s="573">
        <v>16</v>
      </c>
      <c r="B154" s="603">
        <v>7</v>
      </c>
      <c r="C154" s="456"/>
      <c r="D154" s="466"/>
      <c r="E154" s="462" t="s">
        <v>2835</v>
      </c>
      <c r="F154" s="457">
        <v>0</v>
      </c>
      <c r="G154" s="457">
        <v>0</v>
      </c>
      <c r="H154" s="457">
        <f>H155+H156+H157+H158+H159+H160+H161+H162+H163+H164+H165+H166+H167+H168+H169+H170</f>
        <v>1702544</v>
      </c>
      <c r="I154" s="457">
        <v>2136332.63</v>
      </c>
      <c r="J154" s="457">
        <v>1869279.7000000002</v>
      </c>
      <c r="K154" s="455" t="s">
        <v>2836</v>
      </c>
      <c r="L154" s="452" t="s">
        <v>427</v>
      </c>
      <c r="M154" s="458">
        <v>3.7</v>
      </c>
      <c r="N154" s="458">
        <v>3.9</v>
      </c>
      <c r="O154" s="458">
        <v>4.0999999999999996</v>
      </c>
      <c r="P154" s="458">
        <v>4.2</v>
      </c>
      <c r="Q154" s="458">
        <v>4.4000000000000004</v>
      </c>
    </row>
    <row r="155" spans="1:17" s="129" customFormat="1" ht="31.5" customHeight="1" x14ac:dyDescent="0.25">
      <c r="A155" s="574"/>
      <c r="B155" s="604"/>
      <c r="C155" s="420" t="s">
        <v>6</v>
      </c>
      <c r="D155" s="51"/>
      <c r="E155" s="370" t="s">
        <v>538</v>
      </c>
      <c r="F155" s="269"/>
      <c r="G155" s="269"/>
      <c r="H155" s="1065">
        <f>5420.4</f>
        <v>5420.4</v>
      </c>
      <c r="I155" s="269">
        <v>5422.4</v>
      </c>
      <c r="J155" s="269">
        <v>5372.4</v>
      </c>
      <c r="K155" s="317" t="s">
        <v>537</v>
      </c>
      <c r="L155" s="318" t="s">
        <v>182</v>
      </c>
      <c r="M155" s="318">
        <v>100</v>
      </c>
      <c r="N155" s="318">
        <v>100</v>
      </c>
      <c r="O155" s="318">
        <v>100</v>
      </c>
      <c r="P155" s="318">
        <v>100</v>
      </c>
      <c r="Q155" s="318">
        <v>100</v>
      </c>
    </row>
    <row r="156" spans="1:17" s="129" customFormat="1" ht="75" x14ac:dyDescent="0.25">
      <c r="A156" s="574"/>
      <c r="B156" s="604"/>
      <c r="C156" s="420" t="s">
        <v>8</v>
      </c>
      <c r="D156" s="51"/>
      <c r="E156" s="370" t="s">
        <v>539</v>
      </c>
      <c r="F156" s="269"/>
      <c r="G156" s="269"/>
      <c r="H156" s="269">
        <v>27000</v>
      </c>
      <c r="I156" s="269">
        <v>126450</v>
      </c>
      <c r="J156" s="269">
        <v>77250</v>
      </c>
      <c r="K156" s="317" t="s">
        <v>708</v>
      </c>
      <c r="L156" s="318" t="s">
        <v>238</v>
      </c>
      <c r="M156" s="272">
        <v>1</v>
      </c>
      <c r="N156" s="272">
        <v>3</v>
      </c>
      <c r="O156" s="272">
        <v>18</v>
      </c>
      <c r="P156" s="272">
        <v>36</v>
      </c>
      <c r="Q156" s="272">
        <v>54</v>
      </c>
    </row>
    <row r="157" spans="1:17" s="129" customFormat="1" ht="30" customHeight="1" x14ac:dyDescent="0.25">
      <c r="A157" s="574"/>
      <c r="B157" s="604"/>
      <c r="C157" s="420" t="s">
        <v>10</v>
      </c>
      <c r="D157" s="51"/>
      <c r="E157" s="370" t="s">
        <v>540</v>
      </c>
      <c r="F157" s="269"/>
      <c r="G157" s="269"/>
      <c r="H157" s="269">
        <v>6000</v>
      </c>
      <c r="I157" s="269">
        <v>21350</v>
      </c>
      <c r="J157" s="269">
        <v>18850</v>
      </c>
      <c r="K157" s="317"/>
      <c r="L157" s="318" t="s">
        <v>238</v>
      </c>
      <c r="M157" s="272">
        <v>0</v>
      </c>
      <c r="N157" s="272">
        <v>20</v>
      </c>
      <c r="O157" s="272">
        <v>60</v>
      </c>
      <c r="P157" s="272">
        <v>100</v>
      </c>
      <c r="Q157" s="272">
        <v>100</v>
      </c>
    </row>
    <row r="158" spans="1:17" s="129" customFormat="1" ht="30" customHeight="1" x14ac:dyDescent="0.25">
      <c r="A158" s="574"/>
      <c r="B158" s="604"/>
      <c r="C158" s="420" t="s">
        <v>12</v>
      </c>
      <c r="D158" s="51"/>
      <c r="E158" s="370" t="s">
        <v>541</v>
      </c>
      <c r="F158" s="269"/>
      <c r="G158" s="269"/>
      <c r="H158" s="269">
        <v>8500</v>
      </c>
      <c r="I158" s="269">
        <v>31650</v>
      </c>
      <c r="J158" s="269">
        <v>30030</v>
      </c>
      <c r="K158" s="317"/>
      <c r="L158" s="318" t="s">
        <v>238</v>
      </c>
      <c r="M158" s="272">
        <v>0</v>
      </c>
      <c r="N158" s="272">
        <v>1</v>
      </c>
      <c r="O158" s="272">
        <v>18</v>
      </c>
      <c r="P158" s="272">
        <v>36</v>
      </c>
      <c r="Q158" s="272">
        <v>54</v>
      </c>
    </row>
    <row r="159" spans="1:17" s="129" customFormat="1" ht="33" customHeight="1" x14ac:dyDescent="0.25">
      <c r="A159" s="574"/>
      <c r="B159" s="604"/>
      <c r="C159" s="420" t="s">
        <v>14</v>
      </c>
      <c r="D159" s="51"/>
      <c r="E159" s="370" t="s">
        <v>68</v>
      </c>
      <c r="F159" s="269"/>
      <c r="G159" s="269"/>
      <c r="H159" s="269">
        <v>61815.4</v>
      </c>
      <c r="I159" s="269">
        <v>66592.5</v>
      </c>
      <c r="J159" s="269">
        <v>68509.099999999991</v>
      </c>
      <c r="K159" s="317" t="s">
        <v>542</v>
      </c>
      <c r="L159" s="318" t="s">
        <v>238</v>
      </c>
      <c r="M159" s="318">
        <v>14</v>
      </c>
      <c r="N159" s="318">
        <v>34</v>
      </c>
      <c r="O159" s="318">
        <v>70</v>
      </c>
      <c r="P159" s="318">
        <v>72</v>
      </c>
      <c r="Q159" s="318">
        <v>72</v>
      </c>
    </row>
    <row r="160" spans="1:17" s="129" customFormat="1" ht="58.5" x14ac:dyDescent="0.25">
      <c r="A160" s="574"/>
      <c r="B160" s="604"/>
      <c r="C160" s="420" t="s">
        <v>16</v>
      </c>
      <c r="D160" s="51"/>
      <c r="E160" s="370" t="s">
        <v>543</v>
      </c>
      <c r="F160" s="269"/>
      <c r="G160" s="269"/>
      <c r="H160" s="269">
        <v>6121.7</v>
      </c>
      <c r="I160" s="269">
        <v>4141.7</v>
      </c>
      <c r="J160" s="269">
        <v>4121.7</v>
      </c>
      <c r="K160" s="317" t="s">
        <v>583</v>
      </c>
      <c r="L160" s="318" t="s">
        <v>182</v>
      </c>
      <c r="M160" s="392">
        <v>100</v>
      </c>
      <c r="N160" s="392">
        <v>100</v>
      </c>
      <c r="O160" s="392">
        <v>100</v>
      </c>
      <c r="P160" s="392">
        <v>100</v>
      </c>
      <c r="Q160" s="392">
        <v>100</v>
      </c>
    </row>
    <row r="161" spans="1:17" s="129" customFormat="1" ht="45" x14ac:dyDescent="0.25">
      <c r="A161" s="574"/>
      <c r="B161" s="604"/>
      <c r="C161" s="420" t="s">
        <v>48</v>
      </c>
      <c r="D161" s="51"/>
      <c r="E161" s="370" t="s">
        <v>705</v>
      </c>
      <c r="F161" s="269"/>
      <c r="G161" s="269"/>
      <c r="H161" s="269">
        <v>144779.6</v>
      </c>
      <c r="I161" s="269">
        <v>14700</v>
      </c>
      <c r="J161" s="269">
        <v>19200</v>
      </c>
      <c r="K161" s="317" t="s">
        <v>706</v>
      </c>
      <c r="L161" s="318" t="s">
        <v>238</v>
      </c>
      <c r="M161" s="392">
        <v>0</v>
      </c>
      <c r="N161" s="392">
        <v>9</v>
      </c>
      <c r="O161" s="392">
        <v>60</v>
      </c>
      <c r="P161" s="392">
        <v>72</v>
      </c>
      <c r="Q161" s="392">
        <v>72</v>
      </c>
    </row>
    <row r="162" spans="1:17" s="129" customFormat="1" ht="89.25" x14ac:dyDescent="0.25">
      <c r="A162" s="574"/>
      <c r="B162" s="604"/>
      <c r="C162" s="420" t="s">
        <v>49</v>
      </c>
      <c r="D162" s="51"/>
      <c r="E162" s="370" t="s">
        <v>69</v>
      </c>
      <c r="F162" s="269"/>
      <c r="G162" s="269"/>
      <c r="H162" s="269">
        <v>572003.19999999995</v>
      </c>
      <c r="I162" s="269">
        <v>716559.22999999986</v>
      </c>
      <c r="J162" s="269">
        <v>567089.1</v>
      </c>
      <c r="K162" s="317" t="s">
        <v>707</v>
      </c>
      <c r="L162" s="318" t="s">
        <v>238</v>
      </c>
      <c r="M162" s="318">
        <v>30</v>
      </c>
      <c r="N162" s="318">
        <v>38</v>
      </c>
      <c r="O162" s="318">
        <v>46</v>
      </c>
      <c r="P162" s="318">
        <v>54</v>
      </c>
      <c r="Q162" s="318">
        <v>62</v>
      </c>
    </row>
    <row r="163" spans="1:17" s="129" customFormat="1" ht="27.75" customHeight="1" x14ac:dyDescent="0.25">
      <c r="A163" s="574"/>
      <c r="B163" s="604"/>
      <c r="C163" s="420" t="s">
        <v>124</v>
      </c>
      <c r="D163" s="51"/>
      <c r="E163" s="370" t="s">
        <v>70</v>
      </c>
      <c r="F163" s="269"/>
      <c r="G163" s="269"/>
      <c r="H163" s="269">
        <v>4911.5</v>
      </c>
      <c r="I163" s="269">
        <v>6482.8</v>
      </c>
      <c r="J163" s="269">
        <v>6592.8</v>
      </c>
      <c r="K163" s="317" t="s">
        <v>537</v>
      </c>
      <c r="L163" s="318" t="s">
        <v>238</v>
      </c>
      <c r="M163" s="30" t="s">
        <v>544</v>
      </c>
      <c r="N163" s="30" t="s">
        <v>545</v>
      </c>
      <c r="O163" s="30" t="s">
        <v>546</v>
      </c>
      <c r="P163" s="30" t="s">
        <v>546</v>
      </c>
      <c r="Q163" s="30" t="s">
        <v>546</v>
      </c>
    </row>
    <row r="164" spans="1:17" s="129" customFormat="1" ht="33.75" customHeight="1" x14ac:dyDescent="0.25">
      <c r="A164" s="574"/>
      <c r="B164" s="604"/>
      <c r="C164" s="420" t="s">
        <v>157</v>
      </c>
      <c r="D164" s="51"/>
      <c r="E164" s="370" t="s">
        <v>547</v>
      </c>
      <c r="F164" s="269"/>
      <c r="G164" s="269"/>
      <c r="H164" s="269">
        <v>138316.9</v>
      </c>
      <c r="I164" s="269">
        <v>117255.1</v>
      </c>
      <c r="J164" s="269">
        <v>67718.499999999985</v>
      </c>
      <c r="K164" s="317" t="s">
        <v>548</v>
      </c>
      <c r="L164" s="318" t="s">
        <v>182</v>
      </c>
      <c r="M164" s="392">
        <v>0</v>
      </c>
      <c r="N164" s="392">
        <v>10</v>
      </c>
      <c r="O164" s="392">
        <v>30</v>
      </c>
      <c r="P164" s="392">
        <v>80</v>
      </c>
      <c r="Q164" s="392">
        <v>100</v>
      </c>
    </row>
    <row r="165" spans="1:17" s="129" customFormat="1" ht="45" x14ac:dyDescent="0.25">
      <c r="A165" s="574"/>
      <c r="B165" s="604"/>
      <c r="C165" s="420" t="s">
        <v>158</v>
      </c>
      <c r="D165" s="51"/>
      <c r="E165" s="370" t="s">
        <v>71</v>
      </c>
      <c r="F165" s="269"/>
      <c r="G165" s="269"/>
      <c r="H165" s="269">
        <f>65727.7+5721</f>
        <v>71448.7</v>
      </c>
      <c r="I165" s="269">
        <v>86700.500000000015</v>
      </c>
      <c r="J165" s="269">
        <v>81771.8</v>
      </c>
      <c r="K165" s="317" t="s">
        <v>584</v>
      </c>
      <c r="L165" s="318" t="s">
        <v>182</v>
      </c>
      <c r="M165" s="392">
        <v>32.6</v>
      </c>
      <c r="N165" s="392">
        <v>40</v>
      </c>
      <c r="O165" s="392">
        <v>42</v>
      </c>
      <c r="P165" s="392">
        <v>43</v>
      </c>
      <c r="Q165" s="392">
        <v>44</v>
      </c>
    </row>
    <row r="166" spans="1:17" s="129" customFormat="1" ht="45" x14ac:dyDescent="0.25">
      <c r="A166" s="574"/>
      <c r="B166" s="604"/>
      <c r="C166" s="420" t="s">
        <v>159</v>
      </c>
      <c r="D166" s="51"/>
      <c r="E166" s="370" t="s">
        <v>72</v>
      </c>
      <c r="F166" s="269"/>
      <c r="G166" s="269"/>
      <c r="H166" s="269">
        <v>319525.90000000002</v>
      </c>
      <c r="I166" s="269">
        <v>683460.7</v>
      </c>
      <c r="J166" s="269">
        <v>702084.7</v>
      </c>
      <c r="K166" s="317" t="s">
        <v>549</v>
      </c>
      <c r="L166" s="318" t="s">
        <v>182</v>
      </c>
      <c r="M166" s="318">
        <v>19.100000000000001</v>
      </c>
      <c r="N166" s="318">
        <v>15</v>
      </c>
      <c r="O166" s="318">
        <v>11</v>
      </c>
      <c r="P166" s="318">
        <v>9</v>
      </c>
      <c r="Q166" s="318">
        <v>2</v>
      </c>
    </row>
    <row r="167" spans="1:17" s="129" customFormat="1" ht="30" x14ac:dyDescent="0.25">
      <c r="A167" s="574"/>
      <c r="B167" s="604"/>
      <c r="C167" s="420" t="s">
        <v>160</v>
      </c>
      <c r="D167" s="51"/>
      <c r="E167" s="370" t="s">
        <v>73</v>
      </c>
      <c r="F167" s="269"/>
      <c r="G167" s="269"/>
      <c r="H167" s="269">
        <v>116874.3</v>
      </c>
      <c r="I167" s="269">
        <v>153352.70000000001</v>
      </c>
      <c r="J167" s="269">
        <v>144774.79999999999</v>
      </c>
      <c r="K167" s="317" t="s">
        <v>550</v>
      </c>
      <c r="L167" s="318" t="s">
        <v>182</v>
      </c>
      <c r="M167" s="318">
        <v>60</v>
      </c>
      <c r="N167" s="318">
        <v>96</v>
      </c>
      <c r="O167" s="318">
        <v>100</v>
      </c>
      <c r="P167" s="318">
        <v>100</v>
      </c>
      <c r="Q167" s="318">
        <v>100</v>
      </c>
    </row>
    <row r="168" spans="1:17" s="129" customFormat="1" ht="45" x14ac:dyDescent="0.25">
      <c r="A168" s="574"/>
      <c r="B168" s="604"/>
      <c r="C168" s="420" t="s">
        <v>161</v>
      </c>
      <c r="D168" s="51"/>
      <c r="E168" s="370" t="s">
        <v>551</v>
      </c>
      <c r="F168" s="269"/>
      <c r="G168" s="269"/>
      <c r="H168" s="269">
        <v>25250</v>
      </c>
      <c r="I168" s="269">
        <v>14050</v>
      </c>
      <c r="J168" s="269">
        <v>13050</v>
      </c>
      <c r="K168" s="317" t="s">
        <v>552</v>
      </c>
      <c r="L168" s="318" t="s">
        <v>182</v>
      </c>
      <c r="M168" s="318">
        <v>0</v>
      </c>
      <c r="N168" s="318">
        <v>0</v>
      </c>
      <c r="O168" s="318">
        <v>100</v>
      </c>
      <c r="P168" s="318">
        <v>100</v>
      </c>
      <c r="Q168" s="318">
        <v>100</v>
      </c>
    </row>
    <row r="169" spans="1:17" s="129" customFormat="1" ht="45" x14ac:dyDescent="0.25">
      <c r="A169" s="574"/>
      <c r="B169" s="604"/>
      <c r="C169" s="420" t="s">
        <v>162</v>
      </c>
      <c r="D169" s="51"/>
      <c r="E169" s="370" t="s">
        <v>553</v>
      </c>
      <c r="F169" s="269"/>
      <c r="G169" s="269"/>
      <c r="H169" s="269">
        <v>54850</v>
      </c>
      <c r="I169" s="269">
        <v>36165</v>
      </c>
      <c r="J169" s="269">
        <v>25000</v>
      </c>
      <c r="K169" s="317" t="s">
        <v>709</v>
      </c>
      <c r="L169" s="318" t="s">
        <v>182</v>
      </c>
      <c r="M169" s="392">
        <v>0</v>
      </c>
      <c r="N169" s="392">
        <v>10</v>
      </c>
      <c r="O169" s="392">
        <v>30</v>
      </c>
      <c r="P169" s="392">
        <v>80</v>
      </c>
      <c r="Q169" s="392">
        <v>100</v>
      </c>
    </row>
    <row r="170" spans="1:17" s="129" customFormat="1" ht="45" x14ac:dyDescent="0.25">
      <c r="A170" s="574"/>
      <c r="B170" s="604"/>
      <c r="C170" s="420" t="s">
        <v>163</v>
      </c>
      <c r="D170" s="51"/>
      <c r="E170" s="370" t="s">
        <v>74</v>
      </c>
      <c r="F170" s="269"/>
      <c r="G170" s="269"/>
      <c r="H170" s="269">
        <v>139726.40000000002</v>
      </c>
      <c r="I170" s="269">
        <v>52000</v>
      </c>
      <c r="J170" s="269">
        <v>37864.800000000003</v>
      </c>
      <c r="K170" s="317" t="s">
        <v>713</v>
      </c>
      <c r="L170" s="318" t="s">
        <v>238</v>
      </c>
      <c r="M170" s="11">
        <v>0</v>
      </c>
      <c r="N170" s="11">
        <v>0</v>
      </c>
      <c r="O170" s="11">
        <v>0</v>
      </c>
      <c r="P170" s="11">
        <v>2</v>
      </c>
      <c r="Q170" s="11">
        <v>5</v>
      </c>
    </row>
    <row r="171" spans="1:17" s="142" customFormat="1" ht="39.75" customHeight="1" x14ac:dyDescent="0.25">
      <c r="A171" s="2091" t="s">
        <v>75</v>
      </c>
      <c r="B171" s="2091"/>
      <c r="C171" s="2091"/>
      <c r="D171" s="2091"/>
      <c r="E171" s="1821"/>
      <c r="F171" s="46">
        <v>0</v>
      </c>
      <c r="G171" s="46">
        <v>0</v>
      </c>
      <c r="H171" s="46">
        <f>H151+H154</f>
        <v>1835260.3</v>
      </c>
      <c r="I171" s="46">
        <v>2255936.9299999997</v>
      </c>
      <c r="J171" s="46">
        <v>1976765.0000000002</v>
      </c>
      <c r="K171" s="872"/>
      <c r="L171" s="17"/>
      <c r="M171" s="17"/>
      <c r="N171" s="870"/>
      <c r="O171" s="870"/>
      <c r="P171" s="870"/>
      <c r="Q171" s="870"/>
    </row>
    <row r="172" spans="1:17" x14ac:dyDescent="0.25">
      <c r="A172" s="1826" t="s">
        <v>76</v>
      </c>
      <c r="B172" s="1827"/>
      <c r="C172" s="1827"/>
      <c r="D172" s="1827"/>
      <c r="E172" s="1827"/>
      <c r="F172" s="1827"/>
      <c r="G172" s="1827"/>
      <c r="H172" s="1827"/>
      <c r="I172" s="1827"/>
      <c r="J172" s="1827"/>
      <c r="K172" s="1827"/>
      <c r="L172" s="1827"/>
      <c r="M172" s="1827"/>
      <c r="N172" s="1827"/>
      <c r="O172" s="1827"/>
      <c r="P172" s="1827"/>
      <c r="Q172" s="1828"/>
    </row>
    <row r="173" spans="1:17" ht="73.5" x14ac:dyDescent="0.25">
      <c r="A173" s="575">
        <v>17</v>
      </c>
      <c r="B173" s="507">
        <v>1</v>
      </c>
      <c r="C173" s="411"/>
      <c r="D173" s="216"/>
      <c r="E173" s="350" t="s">
        <v>810</v>
      </c>
      <c r="F173" s="354"/>
      <c r="G173" s="354"/>
      <c r="H173" s="294">
        <v>48680.6</v>
      </c>
      <c r="I173" s="295">
        <v>44173.600000000006</v>
      </c>
      <c r="J173" s="295">
        <v>44747.700000000004</v>
      </c>
      <c r="K173" s="377"/>
      <c r="L173" s="190"/>
      <c r="M173" s="190"/>
      <c r="N173" s="190"/>
      <c r="O173" s="190"/>
      <c r="P173" s="190"/>
      <c r="Q173" s="190"/>
    </row>
    <row r="174" spans="1:17" ht="45" x14ac:dyDescent="0.25">
      <c r="A174" s="438"/>
      <c r="B174" s="503"/>
      <c r="C174" s="427" t="s">
        <v>6</v>
      </c>
      <c r="D174" s="353"/>
      <c r="E174" s="372" t="s">
        <v>77</v>
      </c>
      <c r="F174" s="354"/>
      <c r="G174" s="354"/>
      <c r="H174" s="264">
        <v>19282.3</v>
      </c>
      <c r="I174" s="265">
        <v>18759.900000000001</v>
      </c>
      <c r="J174" s="265">
        <v>19003.7</v>
      </c>
      <c r="K174" s="380" t="s">
        <v>261</v>
      </c>
      <c r="L174" s="289" t="s">
        <v>262</v>
      </c>
      <c r="M174" s="190">
        <v>5</v>
      </c>
      <c r="N174" s="190">
        <v>5</v>
      </c>
      <c r="O174" s="190">
        <v>5</v>
      </c>
      <c r="P174" s="190">
        <v>5</v>
      </c>
      <c r="Q174" s="190">
        <v>5</v>
      </c>
    </row>
    <row r="175" spans="1:17" x14ac:dyDescent="0.25">
      <c r="A175" s="438"/>
      <c r="B175" s="503"/>
      <c r="C175" s="427" t="s">
        <v>8</v>
      </c>
      <c r="D175" s="353"/>
      <c r="E175" s="372" t="s">
        <v>9</v>
      </c>
      <c r="F175" s="354"/>
      <c r="G175" s="354"/>
      <c r="H175" s="327">
        <v>3774.8</v>
      </c>
      <c r="I175" s="265">
        <v>3293.4</v>
      </c>
      <c r="J175" s="265">
        <v>3336.2</v>
      </c>
      <c r="K175" s="380" t="s">
        <v>263</v>
      </c>
      <c r="L175" s="289" t="s">
        <v>182</v>
      </c>
      <c r="M175" s="190">
        <v>100</v>
      </c>
      <c r="N175" s="289">
        <v>100</v>
      </c>
      <c r="O175" s="289">
        <v>100</v>
      </c>
      <c r="P175" s="289">
        <v>100</v>
      </c>
      <c r="Q175" s="289">
        <v>100</v>
      </c>
    </row>
    <row r="176" spans="1:17" ht="45" x14ac:dyDescent="0.25">
      <c r="A176" s="1898"/>
      <c r="B176" s="2486"/>
      <c r="C176" s="1983" t="s">
        <v>10</v>
      </c>
      <c r="D176" s="2295"/>
      <c r="E176" s="2296" t="s">
        <v>11</v>
      </c>
      <c r="F176" s="2349"/>
      <c r="G176" s="2349"/>
      <c r="H176" s="1870">
        <v>4427.3</v>
      </c>
      <c r="I176" s="1872">
        <v>3894.6</v>
      </c>
      <c r="J176" s="1872">
        <v>3945.2</v>
      </c>
      <c r="K176" s="380" t="s">
        <v>710</v>
      </c>
      <c r="L176" s="289" t="s">
        <v>182</v>
      </c>
      <c r="M176" s="190">
        <v>99</v>
      </c>
      <c r="N176" s="190">
        <v>90</v>
      </c>
      <c r="O176" s="190">
        <v>90</v>
      </c>
      <c r="P176" s="190">
        <v>90</v>
      </c>
      <c r="Q176" s="190">
        <v>90</v>
      </c>
    </row>
    <row r="177" spans="1:17" ht="30" x14ac:dyDescent="0.25">
      <c r="A177" s="1898"/>
      <c r="B177" s="2487"/>
      <c r="C177" s="1983"/>
      <c r="D177" s="2525"/>
      <c r="E177" s="2524"/>
      <c r="F177" s="1901"/>
      <c r="G177" s="1901"/>
      <c r="H177" s="2238"/>
      <c r="I177" s="2232"/>
      <c r="J177" s="2232"/>
      <c r="K177" s="380" t="s">
        <v>711</v>
      </c>
      <c r="L177" s="289" t="s">
        <v>182</v>
      </c>
      <c r="M177" s="190">
        <v>71</v>
      </c>
      <c r="N177" s="190">
        <v>50</v>
      </c>
      <c r="O177" s="190">
        <v>50</v>
      </c>
      <c r="P177" s="190">
        <v>50</v>
      </c>
      <c r="Q177" s="190">
        <v>50</v>
      </c>
    </row>
    <row r="178" spans="1:17" ht="45" x14ac:dyDescent="0.25">
      <c r="A178" s="2094"/>
      <c r="B178" s="488"/>
      <c r="C178" s="1899" t="s">
        <v>12</v>
      </c>
      <c r="D178" s="2002"/>
      <c r="E178" s="2004" t="s">
        <v>13</v>
      </c>
      <c r="F178" s="2349"/>
      <c r="G178" s="2349"/>
      <c r="H178" s="1870">
        <v>3931.3</v>
      </c>
      <c r="I178" s="1872">
        <v>3375.5</v>
      </c>
      <c r="J178" s="1872">
        <v>3419.4</v>
      </c>
      <c r="K178" s="380" t="s">
        <v>264</v>
      </c>
      <c r="L178" s="289" t="s">
        <v>189</v>
      </c>
      <c r="M178" s="190">
        <v>8</v>
      </c>
      <c r="N178" s="190">
        <v>10</v>
      </c>
      <c r="O178" s="190">
        <v>10</v>
      </c>
      <c r="P178" s="190">
        <v>5</v>
      </c>
      <c r="Q178" s="190">
        <v>5</v>
      </c>
    </row>
    <row r="179" spans="1:17" ht="30" x14ac:dyDescent="0.25">
      <c r="A179" s="2136"/>
      <c r="B179" s="489"/>
      <c r="C179" s="1992"/>
      <c r="D179" s="2507"/>
      <c r="E179" s="2499"/>
      <c r="F179" s="1900"/>
      <c r="G179" s="1900"/>
      <c r="H179" s="2509"/>
      <c r="I179" s="2242"/>
      <c r="J179" s="2242"/>
      <c r="K179" s="380" t="s">
        <v>265</v>
      </c>
      <c r="L179" s="289" t="s">
        <v>189</v>
      </c>
      <c r="M179" s="190">
        <v>648</v>
      </c>
      <c r="N179" s="190">
        <v>650</v>
      </c>
      <c r="O179" s="190">
        <v>650</v>
      </c>
      <c r="P179" s="190">
        <v>700</v>
      </c>
      <c r="Q179" s="190">
        <v>700</v>
      </c>
    </row>
    <row r="180" spans="1:17" ht="45" x14ac:dyDescent="0.25">
      <c r="A180" s="2095"/>
      <c r="B180" s="501"/>
      <c r="C180" s="2140"/>
      <c r="D180" s="1901"/>
      <c r="E180" s="2500"/>
      <c r="F180" s="1901"/>
      <c r="G180" s="1901"/>
      <c r="H180" s="1871"/>
      <c r="I180" s="1873"/>
      <c r="J180" s="1873"/>
      <c r="K180" s="380" t="s">
        <v>712</v>
      </c>
      <c r="L180" s="289" t="s">
        <v>189</v>
      </c>
      <c r="M180" s="190">
        <v>12</v>
      </c>
      <c r="N180" s="190">
        <v>20</v>
      </c>
      <c r="O180" s="190">
        <v>20</v>
      </c>
      <c r="P180" s="190">
        <v>20</v>
      </c>
      <c r="Q180" s="190">
        <v>15</v>
      </c>
    </row>
    <row r="181" spans="1:17" ht="30" x14ac:dyDescent="0.25">
      <c r="A181" s="442"/>
      <c r="B181" s="488"/>
      <c r="C181" s="427" t="s">
        <v>16</v>
      </c>
      <c r="D181" s="281"/>
      <c r="E181" s="290" t="s">
        <v>17</v>
      </c>
      <c r="F181" s="354"/>
      <c r="G181" s="354"/>
      <c r="H181" s="327">
        <v>17264.900000000001</v>
      </c>
      <c r="I181" s="326">
        <v>14850.2</v>
      </c>
      <c r="J181" s="326">
        <v>15043.2</v>
      </c>
      <c r="K181" s="380" t="s">
        <v>266</v>
      </c>
      <c r="L181" s="289" t="s">
        <v>182</v>
      </c>
      <c r="M181" s="190">
        <v>100</v>
      </c>
      <c r="N181" s="190">
        <v>100</v>
      </c>
      <c r="O181" s="190">
        <v>100</v>
      </c>
      <c r="P181" s="190">
        <v>100</v>
      </c>
      <c r="Q181" s="190">
        <v>100</v>
      </c>
    </row>
    <row r="182" spans="1:17" ht="29.25" customHeight="1" x14ac:dyDescent="0.25">
      <c r="A182" s="576">
        <v>17</v>
      </c>
      <c r="B182" s="85">
        <v>2</v>
      </c>
      <c r="C182" s="427"/>
      <c r="D182" s="281"/>
      <c r="E182" s="350" t="s">
        <v>660</v>
      </c>
      <c r="F182" s="295">
        <v>0</v>
      </c>
      <c r="G182" s="295">
        <v>0</v>
      </c>
      <c r="H182" s="295">
        <v>206039</v>
      </c>
      <c r="I182" s="295">
        <v>213906.1</v>
      </c>
      <c r="J182" s="295">
        <v>216746.6</v>
      </c>
      <c r="K182" s="380"/>
      <c r="L182" s="289"/>
      <c r="M182" s="190"/>
      <c r="N182" s="190"/>
      <c r="O182" s="190"/>
      <c r="P182" s="190"/>
      <c r="Q182" s="190"/>
    </row>
    <row r="183" spans="1:17" ht="105" x14ac:dyDescent="0.25">
      <c r="A183" s="576"/>
      <c r="B183" s="85"/>
      <c r="C183" s="427" t="s">
        <v>6</v>
      </c>
      <c r="D183" s="371"/>
      <c r="E183" s="292" t="s">
        <v>429</v>
      </c>
      <c r="F183" s="277"/>
      <c r="G183" s="277"/>
      <c r="H183" s="263">
        <v>206039</v>
      </c>
      <c r="I183" s="323">
        <v>213906.1</v>
      </c>
      <c r="J183" s="323">
        <v>216746.6</v>
      </c>
      <c r="K183" s="380" t="s">
        <v>430</v>
      </c>
      <c r="L183" s="289" t="s">
        <v>426</v>
      </c>
      <c r="M183" s="190"/>
      <c r="N183" s="190">
        <v>100</v>
      </c>
      <c r="O183" s="190">
        <v>100</v>
      </c>
      <c r="P183" s="190">
        <v>100</v>
      </c>
      <c r="Q183" s="190"/>
    </row>
    <row r="184" spans="1:17" s="142" customFormat="1" x14ac:dyDescent="0.25">
      <c r="A184" s="1877" t="s">
        <v>78</v>
      </c>
      <c r="B184" s="2508"/>
      <c r="C184" s="2508"/>
      <c r="D184" s="2508"/>
      <c r="E184" s="2508"/>
      <c r="F184" s="46">
        <v>0</v>
      </c>
      <c r="G184" s="46">
        <v>0</v>
      </c>
      <c r="H184" s="46">
        <v>254719.59999999998</v>
      </c>
      <c r="I184" s="46">
        <v>258079.7</v>
      </c>
      <c r="J184" s="46">
        <v>261494.30000000002</v>
      </c>
      <c r="K184" s="16"/>
      <c r="L184" s="2504"/>
      <c r="M184" s="2505"/>
      <c r="N184" s="2505"/>
      <c r="O184" s="2505"/>
      <c r="P184" s="2505"/>
      <c r="Q184" s="2506"/>
    </row>
    <row r="185" spans="1:17" x14ac:dyDescent="0.25">
      <c r="A185" s="1826" t="s">
        <v>79</v>
      </c>
      <c r="B185" s="1827"/>
      <c r="C185" s="1827"/>
      <c r="D185" s="1827"/>
      <c r="E185" s="1827"/>
      <c r="F185" s="1827"/>
      <c r="G185" s="1827"/>
      <c r="H185" s="1827"/>
      <c r="I185" s="1827"/>
      <c r="J185" s="1827"/>
      <c r="K185" s="1827"/>
      <c r="L185" s="1827"/>
      <c r="M185" s="1827"/>
      <c r="N185" s="1827"/>
      <c r="O185" s="1827"/>
      <c r="P185" s="1827"/>
      <c r="Q185" s="1828"/>
    </row>
    <row r="186" spans="1:17" s="129" customFormat="1" ht="73.5" x14ac:dyDescent="0.25">
      <c r="A186" s="443">
        <v>18</v>
      </c>
      <c r="B186" s="496">
        <v>1</v>
      </c>
      <c r="C186" s="421"/>
      <c r="D186" s="12"/>
      <c r="E186" s="385" t="s">
        <v>810</v>
      </c>
      <c r="F186" s="320">
        <v>68305.5</v>
      </c>
      <c r="G186" s="320">
        <v>76900</v>
      </c>
      <c r="H186" s="320">
        <f>H187+H188+H189+H190+H191+H192+H193</f>
        <v>94474.891999999993</v>
      </c>
      <c r="I186" s="320">
        <v>77705</v>
      </c>
      <c r="J186" s="320">
        <v>78504</v>
      </c>
      <c r="K186" s="301" t="s">
        <v>181</v>
      </c>
      <c r="L186" s="274" t="s">
        <v>182</v>
      </c>
      <c r="M186" s="274">
        <v>100</v>
      </c>
      <c r="N186" s="274">
        <v>100</v>
      </c>
      <c r="O186" s="274">
        <v>100</v>
      </c>
      <c r="P186" s="274">
        <v>100</v>
      </c>
      <c r="Q186" s="274">
        <v>100</v>
      </c>
    </row>
    <row r="187" spans="1:17" s="129" customFormat="1" x14ac:dyDescent="0.25">
      <c r="A187" s="499"/>
      <c r="B187" s="485"/>
      <c r="C187" s="423" t="s">
        <v>6</v>
      </c>
      <c r="D187" s="253"/>
      <c r="E187" s="303" t="s">
        <v>7</v>
      </c>
      <c r="F187" s="272">
        <v>4201.8</v>
      </c>
      <c r="G187" s="272">
        <v>7388.6</v>
      </c>
      <c r="H187" s="322">
        <v>27129.96</v>
      </c>
      <c r="I187" s="308">
        <v>7582.5</v>
      </c>
      <c r="J187" s="308">
        <v>7637</v>
      </c>
      <c r="K187" s="317" t="s">
        <v>183</v>
      </c>
      <c r="L187" s="318" t="s">
        <v>184</v>
      </c>
      <c r="M187" s="382"/>
      <c r="N187" s="382"/>
      <c r="O187" s="382"/>
      <c r="P187" s="382"/>
      <c r="Q187" s="382"/>
    </row>
    <row r="188" spans="1:17" s="129" customFormat="1" x14ac:dyDescent="0.25">
      <c r="A188" s="499"/>
      <c r="B188" s="548"/>
      <c r="C188" s="436" t="s">
        <v>8</v>
      </c>
      <c r="D188" s="253"/>
      <c r="E188" s="384" t="s">
        <v>9</v>
      </c>
      <c r="F188" s="272">
        <v>4090.2</v>
      </c>
      <c r="G188" s="272">
        <v>5718.5</v>
      </c>
      <c r="H188" s="322">
        <v>6119.232</v>
      </c>
      <c r="I188" s="308">
        <v>5834.4</v>
      </c>
      <c r="J188" s="308">
        <v>5949.5</v>
      </c>
      <c r="K188" s="317" t="s">
        <v>185</v>
      </c>
      <c r="L188" s="318" t="s">
        <v>182</v>
      </c>
      <c r="M188" s="382">
        <v>100</v>
      </c>
      <c r="N188" s="382">
        <v>100</v>
      </c>
      <c r="O188" s="382">
        <v>100</v>
      </c>
      <c r="P188" s="382">
        <v>100</v>
      </c>
      <c r="Q188" s="382">
        <v>100</v>
      </c>
    </row>
    <row r="189" spans="1:17" s="129" customFormat="1" ht="30" x14ac:dyDescent="0.25">
      <c r="A189" s="499"/>
      <c r="B189" s="548"/>
      <c r="C189" s="436" t="s">
        <v>10</v>
      </c>
      <c r="D189" s="253"/>
      <c r="E189" s="384" t="s">
        <v>11</v>
      </c>
      <c r="F189" s="272">
        <v>992.5</v>
      </c>
      <c r="G189" s="272">
        <v>1097.5</v>
      </c>
      <c r="H189" s="322">
        <v>982.5</v>
      </c>
      <c r="I189" s="308">
        <v>1178.4000000000001</v>
      </c>
      <c r="J189" s="308">
        <v>1204.2</v>
      </c>
      <c r="K189" s="56" t="s">
        <v>186</v>
      </c>
      <c r="L189" s="318" t="s">
        <v>182</v>
      </c>
      <c r="M189" s="382">
        <v>100</v>
      </c>
      <c r="N189" s="382">
        <v>100</v>
      </c>
      <c r="O189" s="382">
        <v>100</v>
      </c>
      <c r="P189" s="382">
        <v>100</v>
      </c>
      <c r="Q189" s="382">
        <v>100</v>
      </c>
    </row>
    <row r="190" spans="1:17" s="129" customFormat="1" ht="30" x14ac:dyDescent="0.25">
      <c r="A190" s="499"/>
      <c r="B190" s="548"/>
      <c r="C190" s="436" t="s">
        <v>12</v>
      </c>
      <c r="D190" s="253"/>
      <c r="E190" s="384" t="s">
        <v>13</v>
      </c>
      <c r="F190" s="272">
        <v>934.1</v>
      </c>
      <c r="G190" s="272">
        <v>1460.2</v>
      </c>
      <c r="H190" s="322">
        <v>1155.2</v>
      </c>
      <c r="I190" s="308">
        <v>1541.1</v>
      </c>
      <c r="J190" s="308">
        <v>1554.9</v>
      </c>
      <c r="K190" s="317" t="s">
        <v>187</v>
      </c>
      <c r="L190" s="318" t="s">
        <v>258</v>
      </c>
      <c r="M190" s="382" t="s">
        <v>474</v>
      </c>
      <c r="N190" s="382">
        <v>4</v>
      </c>
      <c r="O190" s="382">
        <v>0</v>
      </c>
      <c r="P190" s="382">
        <v>0</v>
      </c>
      <c r="Q190" s="382">
        <v>0</v>
      </c>
    </row>
    <row r="191" spans="1:17" s="129" customFormat="1" ht="45" x14ac:dyDescent="0.25">
      <c r="A191" s="499"/>
      <c r="B191" s="548"/>
      <c r="C191" s="436" t="s">
        <v>14</v>
      </c>
      <c r="D191" s="253"/>
      <c r="E191" s="384" t="s">
        <v>15</v>
      </c>
      <c r="F191" s="272">
        <v>1568.8</v>
      </c>
      <c r="G191" s="272">
        <v>2311.5</v>
      </c>
      <c r="H191" s="322">
        <v>1956.5</v>
      </c>
      <c r="I191" s="308">
        <v>2392.4</v>
      </c>
      <c r="J191" s="308">
        <v>2416.5</v>
      </c>
      <c r="K191" s="317" t="s">
        <v>267</v>
      </c>
      <c r="L191" s="318" t="s">
        <v>189</v>
      </c>
      <c r="M191" s="382"/>
      <c r="N191" s="382"/>
      <c r="O191" s="382"/>
      <c r="P191" s="382"/>
      <c r="Q191" s="382"/>
    </row>
    <row r="192" spans="1:17" s="129" customFormat="1" ht="30" x14ac:dyDescent="0.25">
      <c r="A192" s="499"/>
      <c r="B192" s="485"/>
      <c r="C192" s="421" t="s">
        <v>16</v>
      </c>
      <c r="D192" s="253"/>
      <c r="E192" s="370" t="s">
        <v>17</v>
      </c>
      <c r="F192" s="272">
        <v>3211.2</v>
      </c>
      <c r="G192" s="272">
        <v>3366.2</v>
      </c>
      <c r="H192" s="322">
        <v>2654.1</v>
      </c>
      <c r="I192" s="308">
        <v>3433.5</v>
      </c>
      <c r="J192" s="308">
        <v>3543.8</v>
      </c>
      <c r="K192" s="317" t="s">
        <v>190</v>
      </c>
      <c r="L192" s="318" t="s">
        <v>182</v>
      </c>
      <c r="M192" s="382">
        <v>17</v>
      </c>
      <c r="N192" s="382">
        <v>17</v>
      </c>
      <c r="O192" s="382">
        <v>17</v>
      </c>
      <c r="P192" s="382">
        <v>17</v>
      </c>
      <c r="Q192" s="382">
        <v>17</v>
      </c>
    </row>
    <row r="193" spans="1:17" s="129" customFormat="1" ht="30" x14ac:dyDescent="0.25">
      <c r="A193" s="499"/>
      <c r="B193" s="485"/>
      <c r="C193" s="421" t="s">
        <v>49</v>
      </c>
      <c r="D193" s="253"/>
      <c r="E193" s="370" t="s">
        <v>67</v>
      </c>
      <c r="F193" s="212">
        <v>53306.9</v>
      </c>
      <c r="G193" s="212">
        <v>55557.5</v>
      </c>
      <c r="H193" s="474">
        <v>54477.4</v>
      </c>
      <c r="I193" s="212">
        <v>55742.7</v>
      </c>
      <c r="J193" s="288">
        <v>56198.1</v>
      </c>
      <c r="K193" s="317" t="s">
        <v>268</v>
      </c>
      <c r="L193" s="318" t="s">
        <v>182</v>
      </c>
      <c r="M193" s="382">
        <v>100</v>
      </c>
      <c r="N193" s="382">
        <v>100</v>
      </c>
      <c r="O193" s="382">
        <v>100</v>
      </c>
      <c r="P193" s="382">
        <v>100</v>
      </c>
      <c r="Q193" s="382">
        <v>100</v>
      </c>
    </row>
    <row r="194" spans="1:17" s="129" customFormat="1" ht="15" customHeight="1" x14ac:dyDescent="0.25">
      <c r="A194" s="1882">
        <v>18</v>
      </c>
      <c r="B194" s="1815">
        <v>2</v>
      </c>
      <c r="C194" s="2324"/>
      <c r="D194" s="1947"/>
      <c r="E194" s="2199" t="s">
        <v>811</v>
      </c>
      <c r="F194" s="2201">
        <v>486751.2</v>
      </c>
      <c r="G194" s="2201">
        <v>55844</v>
      </c>
      <c r="H194" s="2201">
        <f>H196</f>
        <v>45331</v>
      </c>
      <c r="I194" s="2201">
        <v>993562.09999999986</v>
      </c>
      <c r="J194" s="2201">
        <v>72192.700000000012</v>
      </c>
      <c r="K194" s="2199" t="s">
        <v>714</v>
      </c>
      <c r="L194" s="2078" t="s">
        <v>182</v>
      </c>
      <c r="M194" s="2058"/>
      <c r="N194" s="2058"/>
      <c r="O194" s="2058"/>
      <c r="P194" s="2058"/>
      <c r="Q194" s="2058"/>
    </row>
    <row r="195" spans="1:17" s="129" customFormat="1" ht="74.25" customHeight="1" x14ac:dyDescent="0.25">
      <c r="A195" s="1883"/>
      <c r="B195" s="1817"/>
      <c r="C195" s="2326"/>
      <c r="D195" s="1948"/>
      <c r="E195" s="2200"/>
      <c r="F195" s="2472"/>
      <c r="G195" s="2472"/>
      <c r="H195" s="2472"/>
      <c r="I195" s="2472"/>
      <c r="J195" s="2472"/>
      <c r="K195" s="2200"/>
      <c r="L195" s="2080"/>
      <c r="M195" s="1832"/>
      <c r="N195" s="1832"/>
      <c r="O195" s="1832"/>
      <c r="P195" s="1832"/>
      <c r="Q195" s="1832"/>
    </row>
    <row r="196" spans="1:17" s="129" customFormat="1" ht="69.75" customHeight="1" x14ac:dyDescent="0.25">
      <c r="A196" s="499"/>
      <c r="B196" s="1151"/>
      <c r="C196" s="1066" t="s">
        <v>6</v>
      </c>
      <c r="D196" s="1069"/>
      <c r="E196" s="317" t="s">
        <v>475</v>
      </c>
      <c r="F196" s="211">
        <v>270182.5</v>
      </c>
      <c r="G196" s="395">
        <v>29970.1</v>
      </c>
      <c r="H196" s="1202">
        <f>35882.4+9448.6</f>
        <v>45331</v>
      </c>
      <c r="I196" s="395">
        <v>600057.19999999995</v>
      </c>
      <c r="J196" s="288">
        <v>58518.3</v>
      </c>
      <c r="K196" s="314" t="s">
        <v>715</v>
      </c>
      <c r="L196" s="315" t="s">
        <v>182</v>
      </c>
      <c r="M196" s="315">
        <v>100</v>
      </c>
      <c r="N196" s="315">
        <v>100</v>
      </c>
      <c r="O196" s="315">
        <v>100</v>
      </c>
      <c r="P196" s="315">
        <v>100</v>
      </c>
      <c r="Q196" s="315">
        <v>100</v>
      </c>
    </row>
    <row r="197" spans="1:17" s="129" customFormat="1" ht="66" customHeight="1" x14ac:dyDescent="0.25">
      <c r="A197" s="478"/>
      <c r="B197" s="1151"/>
      <c r="C197" s="1066" t="s">
        <v>8</v>
      </c>
      <c r="D197" s="1069"/>
      <c r="E197" s="252" t="s">
        <v>2837</v>
      </c>
      <c r="F197" s="396">
        <v>187302.8</v>
      </c>
      <c r="G197" s="396">
        <v>22377.4</v>
      </c>
      <c r="H197" s="700"/>
      <c r="I197" s="396">
        <v>369503.7</v>
      </c>
      <c r="J197" s="397">
        <v>12500.3</v>
      </c>
      <c r="K197" s="252"/>
      <c r="L197" s="257"/>
      <c r="M197" s="257"/>
      <c r="N197" s="257"/>
      <c r="O197" s="257"/>
      <c r="P197" s="257"/>
      <c r="Q197" s="257"/>
    </row>
    <row r="198" spans="1:17" s="129" customFormat="1" ht="66" customHeight="1" x14ac:dyDescent="0.25">
      <c r="A198" s="478"/>
      <c r="B198" s="487"/>
      <c r="C198" s="419" t="s">
        <v>10</v>
      </c>
      <c r="D198" s="271"/>
      <c r="E198" s="304" t="s">
        <v>476</v>
      </c>
      <c r="F198" s="393">
        <v>29265.9</v>
      </c>
      <c r="G198" s="393">
        <v>3496.5</v>
      </c>
      <c r="H198" s="701"/>
      <c r="I198" s="393">
        <v>24001.200000000001</v>
      </c>
      <c r="J198" s="288">
        <v>1174.0999999999999</v>
      </c>
      <c r="K198" s="252" t="s">
        <v>716</v>
      </c>
      <c r="L198" s="257" t="s">
        <v>182</v>
      </c>
      <c r="M198" s="257">
        <v>100</v>
      </c>
      <c r="N198" s="257">
        <v>100</v>
      </c>
      <c r="O198" s="257">
        <v>100</v>
      </c>
      <c r="P198" s="257">
        <v>100</v>
      </c>
      <c r="Q198" s="257">
        <v>100</v>
      </c>
    </row>
    <row r="199" spans="1:17" s="129" customFormat="1" ht="66" customHeight="1" x14ac:dyDescent="0.25">
      <c r="A199" s="443">
        <v>18</v>
      </c>
      <c r="B199" s="496">
        <v>3</v>
      </c>
      <c r="C199" s="418"/>
      <c r="D199" s="299"/>
      <c r="E199" s="317" t="s">
        <v>812</v>
      </c>
      <c r="F199" s="307">
        <v>134955.70000000001</v>
      </c>
      <c r="G199" s="307">
        <v>16084</v>
      </c>
      <c r="H199" s="307"/>
      <c r="I199" s="307">
        <v>22962.1</v>
      </c>
      <c r="J199" s="307">
        <v>1181.3000000000002</v>
      </c>
      <c r="K199" s="252"/>
      <c r="L199" s="257"/>
      <c r="M199" s="257"/>
      <c r="N199" s="257"/>
      <c r="O199" s="257"/>
      <c r="P199" s="257"/>
      <c r="Q199" s="257"/>
    </row>
    <row r="200" spans="1:17" s="129" customFormat="1" ht="60" x14ac:dyDescent="0.25">
      <c r="A200" s="505"/>
      <c r="B200" s="500"/>
      <c r="C200" s="421" t="s">
        <v>6</v>
      </c>
      <c r="D200" s="329"/>
      <c r="E200" s="314" t="s">
        <v>717</v>
      </c>
      <c r="F200" s="211">
        <v>29598</v>
      </c>
      <c r="G200" s="393">
        <v>3496.5</v>
      </c>
      <c r="H200" s="701"/>
      <c r="I200" s="393">
        <v>6636.1</v>
      </c>
      <c r="J200" s="288">
        <v>507.1</v>
      </c>
      <c r="K200" s="252" t="s">
        <v>719</v>
      </c>
      <c r="L200" s="257"/>
      <c r="M200" s="257">
        <v>3800</v>
      </c>
      <c r="N200" s="257">
        <v>1650</v>
      </c>
      <c r="O200" s="257">
        <v>1850</v>
      </c>
      <c r="P200" s="257">
        <v>4800</v>
      </c>
      <c r="Q200" s="257">
        <v>1500</v>
      </c>
    </row>
    <row r="201" spans="1:17" s="129" customFormat="1" ht="60" x14ac:dyDescent="0.25">
      <c r="A201" s="499"/>
      <c r="B201" s="485"/>
      <c r="C201" s="423" t="s">
        <v>8</v>
      </c>
      <c r="D201" s="328"/>
      <c r="E201" s="314" t="s">
        <v>80</v>
      </c>
      <c r="F201" s="393">
        <v>81944.800000000003</v>
      </c>
      <c r="G201" s="393">
        <v>9790.2000000000007</v>
      </c>
      <c r="H201" s="701"/>
      <c r="I201" s="393">
        <v>8837.4</v>
      </c>
      <c r="J201" s="288">
        <v>331.8</v>
      </c>
      <c r="K201" s="252" t="s">
        <v>719</v>
      </c>
      <c r="L201" s="318"/>
      <c r="M201" s="318">
        <v>11300</v>
      </c>
      <c r="N201" s="361">
        <v>2460</v>
      </c>
      <c r="O201" s="361">
        <v>480</v>
      </c>
      <c r="P201" s="361">
        <v>44500</v>
      </c>
      <c r="Q201" s="361">
        <v>1430</v>
      </c>
    </row>
    <row r="202" spans="1:17" ht="75" x14ac:dyDescent="0.25">
      <c r="A202" s="577"/>
      <c r="B202" s="324"/>
      <c r="C202" s="411" t="s">
        <v>10</v>
      </c>
      <c r="D202" s="325"/>
      <c r="E202" s="290" t="s">
        <v>718</v>
      </c>
      <c r="F202" s="211">
        <v>23412.9</v>
      </c>
      <c r="G202" s="393">
        <v>2797.3</v>
      </c>
      <c r="H202" s="701"/>
      <c r="I202" s="393">
        <v>7488.6</v>
      </c>
      <c r="J202" s="397">
        <v>342.4</v>
      </c>
      <c r="K202" s="285" t="s">
        <v>269</v>
      </c>
      <c r="L202" s="311"/>
      <c r="M202" s="289">
        <v>65</v>
      </c>
      <c r="N202" s="289">
        <v>4</v>
      </c>
      <c r="O202" s="289">
        <v>20</v>
      </c>
      <c r="P202" s="289">
        <v>168</v>
      </c>
      <c r="Q202" s="311">
        <v>35</v>
      </c>
    </row>
    <row r="203" spans="1:17" s="142" customFormat="1" ht="45.75" customHeight="1" x14ac:dyDescent="0.25">
      <c r="A203" s="1823" t="s">
        <v>81</v>
      </c>
      <c r="B203" s="1823"/>
      <c r="C203" s="1823"/>
      <c r="D203" s="1823"/>
      <c r="E203" s="1840"/>
      <c r="F203" s="46">
        <v>555056.69999999995</v>
      </c>
      <c r="G203" s="46">
        <v>132744</v>
      </c>
      <c r="H203" s="46">
        <f>H186+H194</f>
        <v>139805.89199999999</v>
      </c>
      <c r="I203" s="46">
        <v>1071267.0999999999</v>
      </c>
      <c r="J203" s="46">
        <v>150696.70000000001</v>
      </c>
      <c r="K203" s="16"/>
      <c r="L203" s="2291"/>
      <c r="M203" s="2474"/>
      <c r="N203" s="2474"/>
      <c r="O203" s="2474"/>
      <c r="P203" s="2474"/>
      <c r="Q203" s="2291"/>
    </row>
    <row r="204" spans="1:17" ht="15.75" thickBot="1" x14ac:dyDescent="0.3">
      <c r="A204" s="1826" t="s">
        <v>82</v>
      </c>
      <c r="B204" s="1827"/>
      <c r="C204" s="1827"/>
      <c r="D204" s="1827"/>
      <c r="E204" s="1827"/>
      <c r="F204" s="1827"/>
      <c r="G204" s="1827"/>
      <c r="H204" s="1827"/>
      <c r="I204" s="1827"/>
      <c r="J204" s="1827"/>
      <c r="K204" s="1827"/>
      <c r="L204" s="1827"/>
      <c r="M204" s="1827"/>
      <c r="N204" s="1827"/>
      <c r="O204" s="1827"/>
      <c r="P204" s="1827"/>
      <c r="Q204" s="1828"/>
    </row>
    <row r="205" spans="1:17" s="129" customFormat="1" ht="73.5" x14ac:dyDescent="0.25">
      <c r="A205" s="556">
        <v>19</v>
      </c>
      <c r="B205" s="492">
        <v>1</v>
      </c>
      <c r="C205" s="413"/>
      <c r="D205" s="53"/>
      <c r="E205" s="391" t="s">
        <v>810</v>
      </c>
      <c r="F205" s="274">
        <v>219208.09999999998</v>
      </c>
      <c r="G205" s="274">
        <v>157260.79999999999</v>
      </c>
      <c r="H205" s="720">
        <f>H206+H207+H208+H209+H210+H211</f>
        <v>356863.10100000002</v>
      </c>
      <c r="I205" s="192">
        <v>255279.87411999996</v>
      </c>
      <c r="J205" s="192">
        <v>258668.54848976</v>
      </c>
      <c r="K205" s="301" t="s">
        <v>181</v>
      </c>
      <c r="L205" s="274" t="s">
        <v>182</v>
      </c>
      <c r="M205" s="274">
        <v>26</v>
      </c>
      <c r="N205" s="54">
        <v>26</v>
      </c>
      <c r="O205" s="274"/>
      <c r="P205" s="274"/>
      <c r="Q205" s="274"/>
    </row>
    <row r="206" spans="1:17" s="129" customFormat="1" ht="31.5" customHeight="1" x14ac:dyDescent="0.25">
      <c r="A206" s="557"/>
      <c r="B206" s="480"/>
      <c r="C206" s="424">
        <v>1</v>
      </c>
      <c r="D206" s="250"/>
      <c r="E206" s="55" t="s">
        <v>7</v>
      </c>
      <c r="F206" s="289">
        <v>56824.3</v>
      </c>
      <c r="G206" s="289">
        <v>39619.4</v>
      </c>
      <c r="H206" s="709">
        <v>32332.7</v>
      </c>
      <c r="I206" s="282">
        <v>32759.49164</v>
      </c>
      <c r="J206" s="282">
        <v>33191.916929648003</v>
      </c>
      <c r="K206" s="317" t="s">
        <v>183</v>
      </c>
      <c r="L206" s="318" t="s">
        <v>184</v>
      </c>
      <c r="M206" s="382"/>
      <c r="N206" s="382"/>
      <c r="O206" s="382"/>
      <c r="P206" s="382"/>
      <c r="Q206" s="382"/>
    </row>
    <row r="207" spans="1:17" s="129" customFormat="1" ht="33.75" customHeight="1" x14ac:dyDescent="0.25">
      <c r="A207" s="557"/>
      <c r="B207" s="544"/>
      <c r="C207" s="432">
        <v>2</v>
      </c>
      <c r="D207" s="250"/>
      <c r="E207" s="384" t="s">
        <v>9</v>
      </c>
      <c r="F207" s="289">
        <v>88075.199999999997</v>
      </c>
      <c r="G207" s="289">
        <v>61928.600000000006</v>
      </c>
      <c r="H207" s="1298">
        <f>18846.3+880</f>
        <v>19726.3</v>
      </c>
      <c r="I207" s="282">
        <v>19986.687159999998</v>
      </c>
      <c r="J207" s="282">
        <v>20250.524440000001</v>
      </c>
      <c r="K207" s="317" t="s">
        <v>185</v>
      </c>
      <c r="L207" s="318" t="s">
        <v>182</v>
      </c>
      <c r="M207" s="318" t="s">
        <v>500</v>
      </c>
      <c r="N207" s="318" t="s">
        <v>500</v>
      </c>
      <c r="O207" s="382"/>
      <c r="P207" s="382"/>
      <c r="Q207" s="382"/>
    </row>
    <row r="208" spans="1:17" s="129" customFormat="1" ht="39.75" customHeight="1" x14ac:dyDescent="0.25">
      <c r="A208" s="557"/>
      <c r="B208" s="544"/>
      <c r="C208" s="432">
        <v>3</v>
      </c>
      <c r="D208" s="250"/>
      <c r="E208" s="384" t="s">
        <v>11</v>
      </c>
      <c r="F208" s="289">
        <v>15298.8</v>
      </c>
      <c r="G208" s="289">
        <v>10666.7</v>
      </c>
      <c r="H208" s="1298">
        <v>8280.4</v>
      </c>
      <c r="I208" s="282">
        <v>8389.7012799999993</v>
      </c>
      <c r="J208" s="282">
        <v>8500.4453368959985</v>
      </c>
      <c r="K208" s="56" t="s">
        <v>186</v>
      </c>
      <c r="L208" s="318" t="s">
        <v>182</v>
      </c>
      <c r="M208" s="318">
        <v>9</v>
      </c>
      <c r="N208" s="318">
        <v>0</v>
      </c>
      <c r="O208" s="382"/>
      <c r="P208" s="382"/>
      <c r="Q208" s="382"/>
    </row>
    <row r="209" spans="1:17" s="129" customFormat="1" ht="54" customHeight="1" x14ac:dyDescent="0.25">
      <c r="A209" s="557"/>
      <c r="B209" s="544"/>
      <c r="C209" s="432">
        <v>5</v>
      </c>
      <c r="D209" s="250"/>
      <c r="E209" s="384" t="s">
        <v>15</v>
      </c>
      <c r="F209" s="289">
        <v>56824.299999999996</v>
      </c>
      <c r="G209" s="289">
        <v>39619.299999999996</v>
      </c>
      <c r="H209" s="1298">
        <f>47521.7-2178.1</f>
        <v>45343.6</v>
      </c>
      <c r="I209" s="282">
        <v>39537.597000000002</v>
      </c>
      <c r="J209" s="282">
        <v>40059.493280399998</v>
      </c>
      <c r="K209" s="317" t="s">
        <v>466</v>
      </c>
      <c r="L209" s="318" t="s">
        <v>189</v>
      </c>
      <c r="M209" s="318">
        <v>1482</v>
      </c>
      <c r="N209" s="318">
        <v>741</v>
      </c>
      <c r="O209" s="382"/>
      <c r="P209" s="382"/>
      <c r="Q209" s="382"/>
    </row>
    <row r="210" spans="1:17" s="129" customFormat="1" ht="47.25" customHeight="1" x14ac:dyDescent="0.25">
      <c r="A210" s="557"/>
      <c r="B210" s="480"/>
      <c r="C210" s="422">
        <v>6</v>
      </c>
      <c r="D210" s="250"/>
      <c r="E210" s="276" t="s">
        <v>17</v>
      </c>
      <c r="F210" s="289"/>
      <c r="G210" s="282">
        <v>3903</v>
      </c>
      <c r="H210" s="1298">
        <f>242696.101+5770.6</f>
        <v>248466.701</v>
      </c>
      <c r="I210" s="282">
        <v>151857.18015999999</v>
      </c>
      <c r="J210" s="282">
        <v>153880.66196</v>
      </c>
      <c r="K210" s="317" t="s">
        <v>259</v>
      </c>
      <c r="L210" s="318" t="s">
        <v>182</v>
      </c>
      <c r="M210" s="382">
        <v>16.100000000000001</v>
      </c>
      <c r="N210" s="382">
        <v>16.100000000000001</v>
      </c>
      <c r="O210" s="382"/>
      <c r="P210" s="382"/>
      <c r="Q210" s="382"/>
    </row>
    <row r="211" spans="1:17" s="129" customFormat="1" ht="48.75" customHeight="1" x14ac:dyDescent="0.25">
      <c r="A211" s="557"/>
      <c r="B211" s="480"/>
      <c r="C211" s="428">
        <v>12</v>
      </c>
      <c r="D211" s="392"/>
      <c r="E211" s="467" t="s">
        <v>83</v>
      </c>
      <c r="F211" s="289">
        <v>2185.5</v>
      </c>
      <c r="G211" s="289">
        <v>1523.8</v>
      </c>
      <c r="H211" s="709">
        <v>2713.4</v>
      </c>
      <c r="I211" s="282">
        <v>2749.2168799999999</v>
      </c>
      <c r="J211" s="282">
        <v>2785.5065428160001</v>
      </c>
      <c r="K211" s="317" t="s">
        <v>501</v>
      </c>
      <c r="L211" s="318" t="s">
        <v>189</v>
      </c>
      <c r="M211" s="318" t="s">
        <v>502</v>
      </c>
      <c r="N211" s="318" t="s">
        <v>503</v>
      </c>
      <c r="O211" s="382"/>
      <c r="P211" s="382"/>
      <c r="Q211" s="382"/>
    </row>
    <row r="212" spans="1:17" s="129" customFormat="1" ht="107.25" customHeight="1" x14ac:dyDescent="0.25">
      <c r="A212" s="578">
        <v>19</v>
      </c>
      <c r="B212" s="605">
        <v>2</v>
      </c>
      <c r="C212" s="58"/>
      <c r="D212" s="392"/>
      <c r="E212" s="448" t="s">
        <v>2838</v>
      </c>
      <c r="F212" s="382">
        <v>155103.5</v>
      </c>
      <c r="G212" s="382">
        <v>131038.6</v>
      </c>
      <c r="H212" s="706">
        <f>H213+H214+H215</f>
        <v>106189.3</v>
      </c>
      <c r="I212" s="59">
        <v>107590.99876</v>
      </c>
      <c r="J212" s="59">
        <v>109011.19994363199</v>
      </c>
      <c r="K212" s="171" t="s">
        <v>720</v>
      </c>
      <c r="L212" s="318"/>
      <c r="M212" s="382" t="s">
        <v>504</v>
      </c>
      <c r="N212" s="382" t="s">
        <v>505</v>
      </c>
      <c r="O212" s="382"/>
      <c r="P212" s="382"/>
      <c r="Q212" s="382"/>
    </row>
    <row r="213" spans="1:17" s="129" customFormat="1" ht="90" x14ac:dyDescent="0.25">
      <c r="A213" s="579"/>
      <c r="B213" s="606"/>
      <c r="C213" s="57" t="s">
        <v>6</v>
      </c>
      <c r="D213" s="392"/>
      <c r="E213" s="449" t="s">
        <v>721</v>
      </c>
      <c r="F213" s="289">
        <v>62041.4</v>
      </c>
      <c r="G213" s="289">
        <v>52415.4</v>
      </c>
      <c r="H213" s="709">
        <v>52138.9</v>
      </c>
      <c r="I213" s="282">
        <v>52827.133480000004</v>
      </c>
      <c r="J213" s="282">
        <v>53524.451641936001</v>
      </c>
      <c r="K213" s="276" t="s">
        <v>732</v>
      </c>
      <c r="L213" s="318"/>
      <c r="M213" s="318" t="s">
        <v>506</v>
      </c>
      <c r="N213" s="318" t="s">
        <v>507</v>
      </c>
      <c r="O213" s="382"/>
      <c r="P213" s="382"/>
      <c r="Q213" s="382"/>
    </row>
    <row r="214" spans="1:17" s="129" customFormat="1" ht="90" x14ac:dyDescent="0.25">
      <c r="A214" s="579"/>
      <c r="B214" s="606"/>
      <c r="C214" s="57" t="s">
        <v>8</v>
      </c>
      <c r="D214" s="392"/>
      <c r="E214" s="136" t="s">
        <v>723</v>
      </c>
      <c r="F214" s="289">
        <v>65143.5</v>
      </c>
      <c r="G214" s="289">
        <v>55036.3</v>
      </c>
      <c r="H214" s="709">
        <v>34830.1</v>
      </c>
      <c r="I214" s="282">
        <v>35289.857319999996</v>
      </c>
      <c r="J214" s="282">
        <v>35755.683436623993</v>
      </c>
      <c r="K214" s="276" t="s">
        <v>730</v>
      </c>
      <c r="L214" s="318"/>
      <c r="M214" s="318" t="s">
        <v>508</v>
      </c>
      <c r="N214" s="318" t="s">
        <v>509</v>
      </c>
      <c r="O214" s="382"/>
      <c r="P214" s="382"/>
      <c r="Q214" s="382"/>
    </row>
    <row r="215" spans="1:17" s="129" customFormat="1" ht="72" customHeight="1" x14ac:dyDescent="0.25">
      <c r="A215" s="579"/>
      <c r="B215" s="606"/>
      <c r="C215" s="57" t="s">
        <v>10</v>
      </c>
      <c r="D215" s="392"/>
      <c r="E215" s="136" t="s">
        <v>724</v>
      </c>
      <c r="F215" s="289">
        <v>27918.6</v>
      </c>
      <c r="G215" s="289">
        <v>23586.9</v>
      </c>
      <c r="H215" s="709">
        <v>19220.3</v>
      </c>
      <c r="I215" s="282">
        <v>19474.007959999999</v>
      </c>
      <c r="J215" s="282">
        <v>19731.064865072</v>
      </c>
      <c r="K215" s="276" t="s">
        <v>731</v>
      </c>
      <c r="L215" s="318"/>
      <c r="M215" s="318" t="s">
        <v>510</v>
      </c>
      <c r="N215" s="318" t="s">
        <v>511</v>
      </c>
      <c r="O215" s="382"/>
      <c r="P215" s="382"/>
      <c r="Q215" s="382"/>
    </row>
    <row r="216" spans="1:17" s="129" customFormat="1" ht="171" x14ac:dyDescent="0.25">
      <c r="A216" s="578">
        <v>19</v>
      </c>
      <c r="B216" s="607">
        <v>3</v>
      </c>
      <c r="C216" s="60"/>
      <c r="D216" s="328"/>
      <c r="E216" s="135" t="s">
        <v>722</v>
      </c>
      <c r="F216" s="286">
        <v>232655.2</v>
      </c>
      <c r="G216" s="286">
        <v>224812.1</v>
      </c>
      <c r="H216" s="706">
        <f>H217+H218+H219+H220</f>
        <v>142131.4</v>
      </c>
      <c r="I216" s="286">
        <v>149721.88116000002</v>
      </c>
      <c r="J216" s="286">
        <v>151698.209991312</v>
      </c>
      <c r="K216" s="171" t="s">
        <v>733</v>
      </c>
      <c r="L216" s="276"/>
      <c r="M216" s="382" t="s">
        <v>512</v>
      </c>
      <c r="N216" s="382" t="s">
        <v>513</v>
      </c>
      <c r="O216" s="137"/>
      <c r="P216" s="137"/>
      <c r="Q216" s="137"/>
    </row>
    <row r="217" spans="1:17" s="129" customFormat="1" ht="150" x14ac:dyDescent="0.25">
      <c r="A217" s="578"/>
      <c r="B217" s="607"/>
      <c r="C217" s="60" t="s">
        <v>6</v>
      </c>
      <c r="D217" s="313"/>
      <c r="E217" s="62" t="s">
        <v>514</v>
      </c>
      <c r="F217" s="262">
        <v>65143.5</v>
      </c>
      <c r="G217" s="262">
        <v>62947.4</v>
      </c>
      <c r="H217" s="700">
        <v>70608</v>
      </c>
      <c r="I217" s="394">
        <v>72016.229600000006</v>
      </c>
      <c r="J217" s="394">
        <v>72966.843830720012</v>
      </c>
      <c r="K217" s="276" t="s">
        <v>733</v>
      </c>
      <c r="L217" s="276"/>
      <c r="M217" s="318" t="s">
        <v>516</v>
      </c>
      <c r="N217" s="361" t="s">
        <v>517</v>
      </c>
      <c r="O217" s="43"/>
      <c r="P217" s="43"/>
      <c r="Q217" s="43"/>
    </row>
    <row r="218" spans="1:17" s="129" customFormat="1" ht="162" customHeight="1" x14ac:dyDescent="0.25">
      <c r="A218" s="578"/>
      <c r="B218" s="607"/>
      <c r="C218" s="60" t="s">
        <v>8</v>
      </c>
      <c r="D218" s="313"/>
      <c r="E218" s="62" t="s">
        <v>518</v>
      </c>
      <c r="F218" s="287">
        <v>65143.5</v>
      </c>
      <c r="G218" s="287">
        <v>62947.4</v>
      </c>
      <c r="H218" s="700">
        <v>28963.200000000001</v>
      </c>
      <c r="I218" s="394">
        <v>29345.51424</v>
      </c>
      <c r="J218" s="394">
        <v>29732.875027967999</v>
      </c>
      <c r="K218" s="276" t="s">
        <v>515</v>
      </c>
      <c r="L218" s="276"/>
      <c r="M218" s="318" t="s">
        <v>519</v>
      </c>
      <c r="N218" s="361" t="s">
        <v>520</v>
      </c>
      <c r="O218" s="43"/>
      <c r="P218" s="43"/>
      <c r="Q218" s="43"/>
    </row>
    <row r="219" spans="1:17" s="129" customFormat="1" ht="150" x14ac:dyDescent="0.25">
      <c r="A219" s="580"/>
      <c r="B219" s="605"/>
      <c r="C219" s="61" t="s">
        <v>10</v>
      </c>
      <c r="D219" s="313"/>
      <c r="E219" s="136" t="s">
        <v>725</v>
      </c>
      <c r="F219" s="262">
        <v>37224.699999999997</v>
      </c>
      <c r="G219" s="262">
        <v>35969.9</v>
      </c>
      <c r="H219" s="700">
        <v>39377.300000000003</v>
      </c>
      <c r="I219" s="394">
        <v>44617.072560000001</v>
      </c>
      <c r="J219" s="394">
        <v>45206.017917792</v>
      </c>
      <c r="K219" s="276" t="s">
        <v>733</v>
      </c>
      <c r="L219" s="276"/>
      <c r="M219" s="318" t="s">
        <v>521</v>
      </c>
      <c r="N219" s="361" t="s">
        <v>522</v>
      </c>
      <c r="O219" s="43"/>
      <c r="P219" s="43"/>
      <c r="Q219" s="43"/>
    </row>
    <row r="220" spans="1:17" s="129" customFormat="1" ht="78" customHeight="1" x14ac:dyDescent="0.25">
      <c r="A220" s="578"/>
      <c r="B220" s="607"/>
      <c r="C220" s="60" t="s">
        <v>12</v>
      </c>
      <c r="D220" s="313"/>
      <c r="E220" s="62" t="s">
        <v>726</v>
      </c>
      <c r="F220" s="394">
        <v>65143.5</v>
      </c>
      <c r="G220" s="394">
        <v>62947.4</v>
      </c>
      <c r="H220" s="700">
        <v>3182.9</v>
      </c>
      <c r="I220" s="394">
        <v>3743.0647600000002</v>
      </c>
      <c r="J220" s="394">
        <v>3792.4732148320004</v>
      </c>
      <c r="K220" s="317" t="s">
        <v>271</v>
      </c>
      <c r="L220" s="276"/>
      <c r="M220" s="318" t="s">
        <v>523</v>
      </c>
      <c r="N220" s="318" t="s">
        <v>524</v>
      </c>
      <c r="O220" s="137"/>
      <c r="P220" s="137"/>
      <c r="Q220" s="137"/>
    </row>
    <row r="221" spans="1:17" s="129" customFormat="1" ht="102.75" customHeight="1" x14ac:dyDescent="0.25">
      <c r="A221" s="578">
        <v>19</v>
      </c>
      <c r="B221" s="607">
        <v>4</v>
      </c>
      <c r="C221" s="60"/>
      <c r="D221" s="313"/>
      <c r="E221" s="63" t="s">
        <v>727</v>
      </c>
      <c r="F221" s="390">
        <v>98702.1</v>
      </c>
      <c r="G221" s="390">
        <v>82051.8</v>
      </c>
      <c r="H221" s="721">
        <f>H222+H223</f>
        <v>85624.5</v>
      </c>
      <c r="I221" s="191">
        <v>91845.837709999993</v>
      </c>
      <c r="J221" s="191">
        <v>93058.202767771989</v>
      </c>
      <c r="K221" s="383" t="s">
        <v>736</v>
      </c>
      <c r="L221" s="276"/>
      <c r="M221" s="382" t="s">
        <v>525</v>
      </c>
      <c r="N221" s="286" t="s">
        <v>526</v>
      </c>
      <c r="O221" s="43"/>
      <c r="P221" s="43"/>
      <c r="Q221" s="43"/>
    </row>
    <row r="222" spans="1:17" s="129" customFormat="1" ht="75" x14ac:dyDescent="0.25">
      <c r="A222" s="557"/>
      <c r="B222" s="480"/>
      <c r="C222" s="60" t="s">
        <v>6</v>
      </c>
      <c r="D222" s="313"/>
      <c r="E222" s="62" t="s">
        <v>728</v>
      </c>
      <c r="F222" s="262">
        <v>51325.1</v>
      </c>
      <c r="G222" s="262">
        <v>42666.9</v>
      </c>
      <c r="H222" s="700">
        <v>31594.400000000001</v>
      </c>
      <c r="I222" s="394">
        <v>37107.943399999996</v>
      </c>
      <c r="J222" s="394">
        <v>37597.76825288</v>
      </c>
      <c r="K222" s="317" t="s">
        <v>734</v>
      </c>
      <c r="L222" s="276"/>
      <c r="M222" s="318" t="s">
        <v>527</v>
      </c>
      <c r="N222" s="361" t="s">
        <v>528</v>
      </c>
      <c r="O222" s="43"/>
      <c r="P222" s="43"/>
      <c r="Q222" s="43"/>
    </row>
    <row r="223" spans="1:17" s="129" customFormat="1" ht="90" x14ac:dyDescent="0.25">
      <c r="A223" s="557"/>
      <c r="B223" s="480"/>
      <c r="C223" s="60" t="s">
        <v>8</v>
      </c>
      <c r="D223" s="313"/>
      <c r="E223" s="62" t="s">
        <v>729</v>
      </c>
      <c r="F223" s="296">
        <v>47377</v>
      </c>
      <c r="G223" s="262">
        <v>39384.9</v>
      </c>
      <c r="H223" s="700">
        <v>54030.1</v>
      </c>
      <c r="I223" s="394">
        <v>54737.894309999996</v>
      </c>
      <c r="J223" s="394">
        <v>55460.434514891997</v>
      </c>
      <c r="K223" s="314" t="s">
        <v>735</v>
      </c>
      <c r="L223" s="389"/>
      <c r="M223" s="315" t="s">
        <v>529</v>
      </c>
      <c r="N223" s="316" t="s">
        <v>530</v>
      </c>
      <c r="O223" s="88"/>
      <c r="P223" s="88"/>
      <c r="Q223" s="88"/>
    </row>
    <row r="224" spans="1:17" s="142" customFormat="1" x14ac:dyDescent="0.25">
      <c r="A224" s="1823" t="s">
        <v>84</v>
      </c>
      <c r="B224" s="1823"/>
      <c r="C224" s="1823"/>
      <c r="D224" s="1823"/>
      <c r="E224" s="1840"/>
      <c r="F224" s="46">
        <v>705668.9</v>
      </c>
      <c r="G224" s="46">
        <v>595163.30000000005</v>
      </c>
      <c r="H224" s="46">
        <f>H205+H212+H216+H221</f>
        <v>690808.30099999998</v>
      </c>
      <c r="I224" s="46">
        <v>604438.59175000002</v>
      </c>
      <c r="J224" s="46">
        <v>612436.16119247593</v>
      </c>
      <c r="K224" s="16"/>
      <c r="L224" s="17"/>
      <c r="M224" s="17"/>
      <c r="N224" s="17"/>
      <c r="O224" s="17"/>
      <c r="P224" s="17"/>
      <c r="Q224" s="17"/>
    </row>
    <row r="225" spans="1:17" x14ac:dyDescent="0.25">
      <c r="A225" s="1826" t="s">
        <v>85</v>
      </c>
      <c r="B225" s="1827"/>
      <c r="C225" s="1827"/>
      <c r="D225" s="1827"/>
      <c r="E225" s="1827"/>
      <c r="F225" s="1827"/>
      <c r="G225" s="1827"/>
      <c r="H225" s="1827"/>
      <c r="I225" s="1827"/>
      <c r="J225" s="1827"/>
      <c r="K225" s="1827"/>
      <c r="L225" s="1827"/>
      <c r="M225" s="1827"/>
      <c r="N225" s="1827"/>
      <c r="O225" s="1827"/>
      <c r="P225" s="1827"/>
      <c r="Q225" s="1828"/>
    </row>
    <row r="226" spans="1:17" s="129" customFormat="1" ht="42.75" x14ac:dyDescent="0.25">
      <c r="A226" s="443">
        <v>20</v>
      </c>
      <c r="B226" s="496">
        <v>1</v>
      </c>
      <c r="C226" s="421"/>
      <c r="D226" s="12"/>
      <c r="E226" s="385" t="s">
        <v>661</v>
      </c>
      <c r="F226" s="31">
        <v>22927.3</v>
      </c>
      <c r="G226" s="31">
        <v>15537.7</v>
      </c>
      <c r="H226" s="145">
        <f>H227+H228+H229+H230</f>
        <v>20358</v>
      </c>
      <c r="I226" s="31">
        <v>15639</v>
      </c>
      <c r="J226" s="31">
        <v>15741.9</v>
      </c>
      <c r="K226" s="383" t="s">
        <v>737</v>
      </c>
      <c r="L226" s="382" t="s">
        <v>182</v>
      </c>
      <c r="M226" s="382"/>
      <c r="N226" s="382"/>
      <c r="O226" s="382"/>
      <c r="P226" s="382"/>
      <c r="Q226" s="382"/>
    </row>
    <row r="227" spans="1:17" s="129" customFormat="1" x14ac:dyDescent="0.25">
      <c r="A227" s="443"/>
      <c r="B227" s="496"/>
      <c r="C227" s="421" t="s">
        <v>6</v>
      </c>
      <c r="D227" s="13"/>
      <c r="E227" s="370" t="s">
        <v>7</v>
      </c>
      <c r="F227" s="272">
        <v>13297.8</v>
      </c>
      <c r="G227" s="272">
        <v>8964.2000000000007</v>
      </c>
      <c r="H227" s="712">
        <v>9306</v>
      </c>
      <c r="I227" s="308">
        <v>8858</v>
      </c>
      <c r="J227" s="308">
        <v>8750.9</v>
      </c>
      <c r="K227" s="317" t="s">
        <v>272</v>
      </c>
      <c r="L227" s="318" t="s">
        <v>182</v>
      </c>
      <c r="M227" s="318">
        <v>100</v>
      </c>
      <c r="N227" s="318">
        <v>100</v>
      </c>
      <c r="O227" s="318">
        <v>100</v>
      </c>
      <c r="P227" s="318">
        <v>100</v>
      </c>
      <c r="Q227" s="318">
        <v>100</v>
      </c>
    </row>
    <row r="228" spans="1:17" s="129" customFormat="1" x14ac:dyDescent="0.25">
      <c r="A228" s="505"/>
      <c r="B228" s="500"/>
      <c r="C228" s="421" t="s">
        <v>8</v>
      </c>
      <c r="D228" s="13"/>
      <c r="E228" s="384" t="s">
        <v>86</v>
      </c>
      <c r="F228" s="272">
        <v>3209.8</v>
      </c>
      <c r="G228" s="272">
        <v>2283</v>
      </c>
      <c r="H228" s="712">
        <v>4072</v>
      </c>
      <c r="I228" s="308">
        <v>2383</v>
      </c>
      <c r="J228" s="308">
        <v>2483</v>
      </c>
      <c r="K228" s="317" t="s">
        <v>185</v>
      </c>
      <c r="L228" s="26" t="s">
        <v>182</v>
      </c>
      <c r="M228" s="318">
        <v>100</v>
      </c>
      <c r="N228" s="318">
        <v>100</v>
      </c>
      <c r="O228" s="318">
        <v>100</v>
      </c>
      <c r="P228" s="318">
        <v>100</v>
      </c>
      <c r="Q228" s="318">
        <v>100</v>
      </c>
    </row>
    <row r="229" spans="1:17" s="129" customFormat="1" x14ac:dyDescent="0.25">
      <c r="A229" s="505"/>
      <c r="B229" s="500"/>
      <c r="C229" s="421" t="s">
        <v>10</v>
      </c>
      <c r="D229" s="13"/>
      <c r="E229" s="384" t="s">
        <v>11</v>
      </c>
      <c r="F229" s="272">
        <v>5144</v>
      </c>
      <c r="G229" s="272">
        <v>3494.5</v>
      </c>
      <c r="H229" s="712">
        <v>6398</v>
      </c>
      <c r="I229" s="308">
        <v>3602</v>
      </c>
      <c r="J229" s="308">
        <v>3712</v>
      </c>
      <c r="K229" s="317" t="s">
        <v>273</v>
      </c>
      <c r="L229" s="318" t="s">
        <v>274</v>
      </c>
      <c r="M229" s="318" t="s">
        <v>487</v>
      </c>
      <c r="N229" s="318" t="s">
        <v>487</v>
      </c>
      <c r="O229" s="318" t="s">
        <v>487</v>
      </c>
      <c r="P229" s="318" t="s">
        <v>487</v>
      </c>
      <c r="Q229" s="318" t="s">
        <v>487</v>
      </c>
    </row>
    <row r="230" spans="1:17" s="129" customFormat="1" ht="45" x14ac:dyDescent="0.25">
      <c r="A230" s="505"/>
      <c r="B230" s="500"/>
      <c r="C230" s="421" t="s">
        <v>160</v>
      </c>
      <c r="D230" s="13"/>
      <c r="E230" s="461" t="s">
        <v>87</v>
      </c>
      <c r="F230" s="272">
        <v>1275.7</v>
      </c>
      <c r="G230" s="272">
        <v>796</v>
      </c>
      <c r="H230" s="712">
        <v>582</v>
      </c>
      <c r="I230" s="308">
        <v>796</v>
      </c>
      <c r="J230" s="308">
        <v>796</v>
      </c>
      <c r="K230" s="317" t="s">
        <v>275</v>
      </c>
      <c r="L230" s="318" t="s">
        <v>276</v>
      </c>
      <c r="M230" s="318" t="s">
        <v>487</v>
      </c>
      <c r="N230" s="318" t="s">
        <v>487</v>
      </c>
      <c r="O230" s="318" t="s">
        <v>487</v>
      </c>
      <c r="P230" s="318" t="s">
        <v>487</v>
      </c>
      <c r="Q230" s="318" t="s">
        <v>487</v>
      </c>
    </row>
    <row r="231" spans="1:17" s="129" customFormat="1" x14ac:dyDescent="0.25">
      <c r="A231" s="1890">
        <v>20</v>
      </c>
      <c r="B231" s="1815">
        <v>2</v>
      </c>
      <c r="C231" s="1892"/>
      <c r="D231" s="2485"/>
      <c r="E231" s="2533" t="s">
        <v>662</v>
      </c>
      <c r="F231" s="2471">
        <v>9890.2000000000007</v>
      </c>
      <c r="G231" s="2471">
        <v>6143.8</v>
      </c>
      <c r="H231" s="2201">
        <f>H233+H235+H237</f>
        <v>8143</v>
      </c>
      <c r="I231" s="2471">
        <v>6245.1</v>
      </c>
      <c r="J231" s="2471">
        <v>6348</v>
      </c>
      <c r="K231" s="2199" t="s">
        <v>277</v>
      </c>
      <c r="L231" s="2227"/>
      <c r="M231" s="2227"/>
      <c r="N231" s="272"/>
      <c r="O231" s="272"/>
      <c r="P231" s="272"/>
      <c r="Q231" s="272"/>
    </row>
    <row r="232" spans="1:17" s="129" customFormat="1" x14ac:dyDescent="0.25">
      <c r="A232" s="1890"/>
      <c r="B232" s="1817"/>
      <c r="C232" s="1892"/>
      <c r="D232" s="2485"/>
      <c r="E232" s="2533"/>
      <c r="F232" s="2472"/>
      <c r="G232" s="2472"/>
      <c r="H232" s="2202"/>
      <c r="I232" s="2472"/>
      <c r="J232" s="2472"/>
      <c r="K232" s="2200"/>
      <c r="L232" s="2227"/>
      <c r="M232" s="2068"/>
      <c r="N232" s="272"/>
      <c r="O232" s="272"/>
      <c r="P232" s="272"/>
      <c r="Q232" s="272"/>
    </row>
    <row r="233" spans="1:17" s="129" customFormat="1" x14ac:dyDescent="0.25">
      <c r="A233" s="2067"/>
      <c r="B233" s="1812"/>
      <c r="C233" s="1892" t="s">
        <v>6</v>
      </c>
      <c r="D233" s="2485"/>
      <c r="E233" s="2484" t="s">
        <v>88</v>
      </c>
      <c r="F233" s="1888">
        <v>4154</v>
      </c>
      <c r="G233" s="1888">
        <v>2645.6</v>
      </c>
      <c r="H233" s="1896">
        <v>3132</v>
      </c>
      <c r="I233" s="1897">
        <v>2650</v>
      </c>
      <c r="J233" s="1897">
        <v>2704</v>
      </c>
      <c r="K233" s="2190" t="s">
        <v>278</v>
      </c>
      <c r="L233" s="2227" t="s">
        <v>279</v>
      </c>
      <c r="M233" s="318" t="s">
        <v>487</v>
      </c>
      <c r="N233" s="318" t="s">
        <v>487</v>
      </c>
      <c r="O233" s="318" t="s">
        <v>487</v>
      </c>
      <c r="P233" s="318" t="s">
        <v>487</v>
      </c>
      <c r="Q233" s="318" t="s">
        <v>487</v>
      </c>
    </row>
    <row r="234" spans="1:17" s="129" customFormat="1" x14ac:dyDescent="0.25">
      <c r="A234" s="2067"/>
      <c r="B234" s="1814"/>
      <c r="C234" s="1892"/>
      <c r="D234" s="2485"/>
      <c r="E234" s="2484"/>
      <c r="F234" s="1889"/>
      <c r="G234" s="1889"/>
      <c r="H234" s="1896"/>
      <c r="I234" s="1897"/>
      <c r="J234" s="1897"/>
      <c r="K234" s="2190"/>
      <c r="L234" s="2227"/>
      <c r="M234" s="318"/>
      <c r="N234" s="318"/>
      <c r="O234" s="318"/>
      <c r="P234" s="318"/>
      <c r="Q234" s="318"/>
    </row>
    <row r="235" spans="1:17" s="129" customFormat="1" x14ac:dyDescent="0.25">
      <c r="A235" s="2028"/>
      <c r="B235" s="485"/>
      <c r="C235" s="1884" t="s">
        <v>8</v>
      </c>
      <c r="D235" s="1947"/>
      <c r="E235" s="2484" t="s">
        <v>89</v>
      </c>
      <c r="F235" s="1888">
        <v>3264</v>
      </c>
      <c r="G235" s="1888">
        <v>2067</v>
      </c>
      <c r="H235" s="1896">
        <v>2506</v>
      </c>
      <c r="I235" s="1897">
        <v>2067</v>
      </c>
      <c r="J235" s="1897">
        <v>2072</v>
      </c>
      <c r="K235" s="2020" t="s">
        <v>280</v>
      </c>
      <c r="L235" s="2058" t="s">
        <v>281</v>
      </c>
      <c r="M235" s="318" t="s">
        <v>487</v>
      </c>
      <c r="N235" s="318" t="s">
        <v>487</v>
      </c>
      <c r="O235" s="318" t="s">
        <v>487</v>
      </c>
      <c r="P235" s="318" t="s">
        <v>487</v>
      </c>
      <c r="Q235" s="318" t="s">
        <v>487</v>
      </c>
    </row>
    <row r="236" spans="1:17" s="129" customFormat="1" x14ac:dyDescent="0.25">
      <c r="A236" s="1820"/>
      <c r="B236" s="487"/>
      <c r="C236" s="1885"/>
      <c r="D236" s="1948"/>
      <c r="E236" s="2484"/>
      <c r="F236" s="1889"/>
      <c r="G236" s="1889"/>
      <c r="H236" s="1896"/>
      <c r="I236" s="1897"/>
      <c r="J236" s="1897"/>
      <c r="K236" s="2022"/>
      <c r="L236" s="1832"/>
      <c r="M236" s="318"/>
      <c r="N236" s="318"/>
      <c r="O236" s="318"/>
      <c r="P236" s="318"/>
      <c r="Q236" s="318"/>
    </row>
    <row r="237" spans="1:17" s="129" customFormat="1" x14ac:dyDescent="0.25">
      <c r="A237" s="2028"/>
      <c r="B237" s="485"/>
      <c r="C237" s="1884" t="s">
        <v>10</v>
      </c>
      <c r="D237" s="1947"/>
      <c r="E237" s="2484" t="s">
        <v>738</v>
      </c>
      <c r="F237" s="1888">
        <v>2472.1999999999998</v>
      </c>
      <c r="G237" s="1888">
        <v>1431.2</v>
      </c>
      <c r="H237" s="1896">
        <v>2505</v>
      </c>
      <c r="I237" s="1897">
        <v>1528.1</v>
      </c>
      <c r="J237" s="1897">
        <v>1572</v>
      </c>
      <c r="K237" s="2020" t="s">
        <v>282</v>
      </c>
      <c r="L237" s="2058" t="s">
        <v>276</v>
      </c>
      <c r="M237" s="318" t="s">
        <v>487</v>
      </c>
      <c r="N237" s="318" t="s">
        <v>487</v>
      </c>
      <c r="O237" s="318" t="s">
        <v>487</v>
      </c>
      <c r="P237" s="318" t="s">
        <v>487</v>
      </c>
      <c r="Q237" s="318" t="s">
        <v>487</v>
      </c>
    </row>
    <row r="238" spans="1:17" s="129" customFormat="1" x14ac:dyDescent="0.25">
      <c r="A238" s="1820"/>
      <c r="B238" s="487"/>
      <c r="C238" s="1885"/>
      <c r="D238" s="1948"/>
      <c r="E238" s="2484"/>
      <c r="F238" s="1889"/>
      <c r="G238" s="1889"/>
      <c r="H238" s="1896"/>
      <c r="I238" s="1897"/>
      <c r="J238" s="1897"/>
      <c r="K238" s="2022"/>
      <c r="L238" s="1832"/>
      <c r="M238" s="318"/>
      <c r="N238" s="318"/>
      <c r="O238" s="318"/>
      <c r="P238" s="318"/>
      <c r="Q238" s="318"/>
    </row>
    <row r="239" spans="1:17" s="129" customFormat="1" x14ac:dyDescent="0.25">
      <c r="A239" s="1882">
        <v>20</v>
      </c>
      <c r="B239" s="1815">
        <v>3</v>
      </c>
      <c r="C239" s="1884"/>
      <c r="D239" s="1947"/>
      <c r="E239" s="1893" t="s">
        <v>739</v>
      </c>
      <c r="F239" s="2471">
        <v>7193</v>
      </c>
      <c r="G239" s="2471">
        <v>5226.6000000000004</v>
      </c>
      <c r="H239" s="2201">
        <f>H241+H243</f>
        <v>7328</v>
      </c>
      <c r="I239" s="2471">
        <v>5327.9</v>
      </c>
      <c r="J239" s="2471">
        <v>5430.8</v>
      </c>
      <c r="K239" s="2199" t="s">
        <v>283</v>
      </c>
      <c r="L239" s="2058"/>
      <c r="M239" s="2058"/>
      <c r="N239" s="321"/>
      <c r="O239" s="321"/>
      <c r="P239" s="321"/>
      <c r="Q239" s="321"/>
    </row>
    <row r="240" spans="1:17" s="129" customFormat="1" x14ac:dyDescent="0.25">
      <c r="A240" s="1883"/>
      <c r="B240" s="1817"/>
      <c r="C240" s="1885"/>
      <c r="D240" s="1948"/>
      <c r="E240" s="1894"/>
      <c r="F240" s="2472"/>
      <c r="G240" s="2472"/>
      <c r="H240" s="2202"/>
      <c r="I240" s="2472"/>
      <c r="J240" s="2472"/>
      <c r="K240" s="2200"/>
      <c r="L240" s="1832"/>
      <c r="M240" s="1832"/>
      <c r="N240" s="250"/>
      <c r="O240" s="250"/>
      <c r="P240" s="250"/>
      <c r="Q240" s="250"/>
    </row>
    <row r="241" spans="1:17" s="129" customFormat="1" x14ac:dyDescent="0.25">
      <c r="A241" s="2028"/>
      <c r="B241" s="485"/>
      <c r="C241" s="1884" t="s">
        <v>6</v>
      </c>
      <c r="D241" s="1947"/>
      <c r="E241" s="2484" t="s">
        <v>90</v>
      </c>
      <c r="F241" s="1888">
        <v>4891</v>
      </c>
      <c r="G241" s="1888">
        <v>3522.6</v>
      </c>
      <c r="H241" s="1896">
        <v>3946</v>
      </c>
      <c r="I241" s="1897">
        <v>3536</v>
      </c>
      <c r="J241" s="1897">
        <v>3619.9</v>
      </c>
      <c r="K241" s="2020" t="s">
        <v>284</v>
      </c>
      <c r="L241" s="2058" t="s">
        <v>285</v>
      </c>
      <c r="M241" s="2058" t="s">
        <v>487</v>
      </c>
      <c r="N241" s="2058" t="s">
        <v>487</v>
      </c>
      <c r="O241" s="2058" t="s">
        <v>487</v>
      </c>
      <c r="P241" s="2058" t="s">
        <v>487</v>
      </c>
      <c r="Q241" s="2058" t="s">
        <v>487</v>
      </c>
    </row>
    <row r="242" spans="1:17" s="129" customFormat="1" x14ac:dyDescent="0.25">
      <c r="A242" s="1820"/>
      <c r="B242" s="487"/>
      <c r="C242" s="1885"/>
      <c r="D242" s="1948"/>
      <c r="E242" s="2484"/>
      <c r="F242" s="1889"/>
      <c r="G242" s="1889"/>
      <c r="H242" s="1896"/>
      <c r="I242" s="1897"/>
      <c r="J242" s="1897"/>
      <c r="K242" s="2022"/>
      <c r="L242" s="1832"/>
      <c r="M242" s="1832"/>
      <c r="N242" s="1832"/>
      <c r="O242" s="1832"/>
      <c r="P242" s="1832"/>
      <c r="Q242" s="1832"/>
    </row>
    <row r="243" spans="1:17" s="129" customFormat="1" x14ac:dyDescent="0.25">
      <c r="A243" s="2028"/>
      <c r="B243" s="485"/>
      <c r="C243" s="1884" t="s">
        <v>8</v>
      </c>
      <c r="D243" s="1947"/>
      <c r="E243" s="2484" t="s">
        <v>91</v>
      </c>
      <c r="F243" s="1888">
        <v>2302</v>
      </c>
      <c r="G243" s="1888">
        <v>1704</v>
      </c>
      <c r="H243" s="1896">
        <v>3382</v>
      </c>
      <c r="I243" s="1897">
        <v>1791.9</v>
      </c>
      <c r="J243" s="1897">
        <v>1810.9</v>
      </c>
      <c r="K243" s="2020" t="s">
        <v>286</v>
      </c>
      <c r="L243" s="2058" t="s">
        <v>182</v>
      </c>
      <c r="M243" s="2058">
        <v>100</v>
      </c>
      <c r="N243" s="1835">
        <v>100</v>
      </c>
      <c r="O243" s="1835">
        <v>100</v>
      </c>
      <c r="P243" s="1835">
        <v>100</v>
      </c>
      <c r="Q243" s="1835">
        <v>100</v>
      </c>
    </row>
    <row r="244" spans="1:17" s="129" customFormat="1" x14ac:dyDescent="0.25">
      <c r="A244" s="1820"/>
      <c r="B244" s="487"/>
      <c r="C244" s="1885"/>
      <c r="D244" s="1948"/>
      <c r="E244" s="2484"/>
      <c r="F244" s="1889"/>
      <c r="G244" s="1889"/>
      <c r="H244" s="1896"/>
      <c r="I244" s="1897"/>
      <c r="J244" s="1897"/>
      <c r="K244" s="2022"/>
      <c r="L244" s="1832"/>
      <c r="M244" s="1832"/>
      <c r="N244" s="1836"/>
      <c r="O244" s="1836"/>
      <c r="P244" s="1836"/>
      <c r="Q244" s="1836"/>
    </row>
    <row r="245" spans="1:17" s="129" customFormat="1" x14ac:dyDescent="0.25">
      <c r="A245" s="2488">
        <v>20</v>
      </c>
      <c r="B245" s="1815">
        <v>4</v>
      </c>
      <c r="C245" s="418"/>
      <c r="D245" s="90"/>
      <c r="E245" s="1893" t="s">
        <v>663</v>
      </c>
      <c r="F245" s="2471">
        <v>4945.1000000000004</v>
      </c>
      <c r="G245" s="2471">
        <v>3808.4</v>
      </c>
      <c r="H245" s="2201">
        <f>H247+H249</f>
        <v>4887.5</v>
      </c>
      <c r="I245" s="2471">
        <v>3909.7</v>
      </c>
      <c r="J245" s="2471">
        <v>4012.8</v>
      </c>
      <c r="K245" s="2199" t="s">
        <v>287</v>
      </c>
      <c r="L245" s="2058"/>
      <c r="M245" s="2058"/>
      <c r="N245" s="1835"/>
      <c r="O245" s="1835"/>
      <c r="P245" s="1835"/>
      <c r="Q245" s="1835"/>
    </row>
    <row r="246" spans="1:17" s="129" customFormat="1" x14ac:dyDescent="0.25">
      <c r="A246" s="1883"/>
      <c r="B246" s="1817"/>
      <c r="C246" s="418"/>
      <c r="D246" s="90"/>
      <c r="E246" s="1894"/>
      <c r="F246" s="2472"/>
      <c r="G246" s="2472"/>
      <c r="H246" s="2202"/>
      <c r="I246" s="2472"/>
      <c r="J246" s="2472"/>
      <c r="K246" s="2200"/>
      <c r="L246" s="1832"/>
      <c r="M246" s="1832"/>
      <c r="N246" s="1836"/>
      <c r="O246" s="1836"/>
      <c r="P246" s="1836"/>
      <c r="Q246" s="1836"/>
    </row>
    <row r="247" spans="1:17" s="129" customFormat="1" ht="30" x14ac:dyDescent="0.25">
      <c r="A247" s="2067"/>
      <c r="B247" s="1812"/>
      <c r="C247" s="1892" t="s">
        <v>6</v>
      </c>
      <c r="D247" s="2485"/>
      <c r="E247" s="2484" t="s">
        <v>92</v>
      </c>
      <c r="F247" s="1888">
        <v>2473</v>
      </c>
      <c r="G247" s="1888">
        <v>1904.7</v>
      </c>
      <c r="H247" s="1896">
        <v>2444</v>
      </c>
      <c r="I247" s="1897">
        <v>1976</v>
      </c>
      <c r="J247" s="1897">
        <v>2005</v>
      </c>
      <c r="K247" s="2190" t="s">
        <v>288</v>
      </c>
      <c r="L247" s="318" t="s">
        <v>289</v>
      </c>
      <c r="M247" s="318">
        <v>308</v>
      </c>
      <c r="N247" s="361">
        <v>308</v>
      </c>
      <c r="O247" s="361">
        <v>308</v>
      </c>
      <c r="P247" s="361">
        <v>308</v>
      </c>
      <c r="Q247" s="361">
        <v>308</v>
      </c>
    </row>
    <row r="248" spans="1:17" s="129" customFormat="1" x14ac:dyDescent="0.25">
      <c r="A248" s="2067"/>
      <c r="B248" s="1814"/>
      <c r="C248" s="1892"/>
      <c r="D248" s="2485"/>
      <c r="E248" s="2484"/>
      <c r="F248" s="1889"/>
      <c r="G248" s="1889"/>
      <c r="H248" s="1896"/>
      <c r="I248" s="1897"/>
      <c r="J248" s="1897"/>
      <c r="K248" s="2190"/>
      <c r="L248" s="318"/>
      <c r="M248" s="318"/>
      <c r="N248" s="361"/>
      <c r="O248" s="361"/>
      <c r="P248" s="361"/>
      <c r="Q248" s="361"/>
    </row>
    <row r="249" spans="1:17" s="129" customFormat="1" ht="60" x14ac:dyDescent="0.25">
      <c r="A249" s="581"/>
      <c r="B249" s="615"/>
      <c r="C249" s="525" t="s">
        <v>8</v>
      </c>
      <c r="D249" s="525"/>
      <c r="E249" s="526" t="s">
        <v>93</v>
      </c>
      <c r="F249" s="517">
        <v>2472.1</v>
      </c>
      <c r="G249" s="517">
        <v>1903.7</v>
      </c>
      <c r="H249" s="530">
        <v>2443.5</v>
      </c>
      <c r="I249" s="527">
        <v>1933.7</v>
      </c>
      <c r="J249" s="527">
        <v>2007.8</v>
      </c>
      <c r="K249" s="528" t="s">
        <v>287</v>
      </c>
      <c r="L249" s="318" t="s">
        <v>285</v>
      </c>
      <c r="M249" s="318" t="s">
        <v>487</v>
      </c>
      <c r="N249" s="318" t="s">
        <v>487</v>
      </c>
      <c r="O249" s="318" t="s">
        <v>487</v>
      </c>
      <c r="P249" s="318" t="s">
        <v>487</v>
      </c>
      <c r="Q249" s="318" t="s">
        <v>487</v>
      </c>
    </row>
    <row r="250" spans="1:17" s="142" customFormat="1" x14ac:dyDescent="0.25">
      <c r="A250" s="2091" t="s">
        <v>94</v>
      </c>
      <c r="B250" s="2091"/>
      <c r="C250" s="2091"/>
      <c r="D250" s="2091"/>
      <c r="E250" s="1821"/>
      <c r="F250" s="870">
        <v>44955.6</v>
      </c>
      <c r="G250" s="870">
        <v>30716.5</v>
      </c>
      <c r="H250" s="17">
        <f>H226+H231+H239+H245</f>
        <v>40716.5</v>
      </c>
      <c r="I250" s="870">
        <v>31121.7</v>
      </c>
      <c r="J250" s="870">
        <v>31533.5</v>
      </c>
      <c r="K250" s="16"/>
      <c r="L250" s="18"/>
      <c r="M250" s="18"/>
      <c r="N250" s="18"/>
      <c r="O250" s="18"/>
      <c r="P250" s="18"/>
      <c r="Q250" s="18"/>
    </row>
    <row r="251" spans="1:17" ht="15.75" thickBot="1" x14ac:dyDescent="0.3">
      <c r="A251" s="1826" t="s">
        <v>95</v>
      </c>
      <c r="B251" s="1827"/>
      <c r="C251" s="1827"/>
      <c r="D251" s="1827"/>
      <c r="E251" s="1827"/>
      <c r="F251" s="1827"/>
      <c r="G251" s="1827"/>
      <c r="H251" s="1827"/>
      <c r="I251" s="1827"/>
      <c r="J251" s="1827"/>
      <c r="K251" s="1827"/>
      <c r="L251" s="1827"/>
      <c r="M251" s="1827"/>
      <c r="N251" s="1827"/>
      <c r="O251" s="1827"/>
      <c r="P251" s="1827"/>
      <c r="Q251" s="1828"/>
    </row>
    <row r="252" spans="1:17" s="129" customFormat="1" ht="73.5" x14ac:dyDescent="0.25">
      <c r="A252" s="556">
        <v>21</v>
      </c>
      <c r="B252" s="492">
        <v>1</v>
      </c>
      <c r="C252" s="413"/>
      <c r="D252" s="53"/>
      <c r="E252" s="391" t="s">
        <v>810</v>
      </c>
      <c r="F252" s="192">
        <v>24733.439999999999</v>
      </c>
      <c r="G252" s="192">
        <v>24342.1</v>
      </c>
      <c r="H252" s="720">
        <f>H253+H254+H255+H256+H257+H258+H259+H260</f>
        <v>38915.5</v>
      </c>
      <c r="I252" s="192">
        <v>24341.8</v>
      </c>
      <c r="J252" s="192">
        <v>24341.8</v>
      </c>
      <c r="K252" s="301" t="s">
        <v>181</v>
      </c>
      <c r="L252" s="274" t="s">
        <v>182</v>
      </c>
      <c r="M252" s="274"/>
      <c r="N252" s="274"/>
      <c r="O252" s="274"/>
      <c r="P252" s="274"/>
      <c r="Q252" s="274"/>
    </row>
    <row r="253" spans="1:17" s="129" customFormat="1" x14ac:dyDescent="0.25">
      <c r="A253" s="568"/>
      <c r="B253" s="480"/>
      <c r="C253" s="415">
        <v>1</v>
      </c>
      <c r="D253" s="253"/>
      <c r="E253" s="76" t="s">
        <v>7</v>
      </c>
      <c r="F253" s="318">
        <v>4896.2</v>
      </c>
      <c r="G253" s="318">
        <v>4656.2</v>
      </c>
      <c r="H253" s="710">
        <v>6335</v>
      </c>
      <c r="I253" s="318">
        <v>4656.2</v>
      </c>
      <c r="J253" s="318">
        <v>4656.2</v>
      </c>
      <c r="K253" s="317" t="s">
        <v>183</v>
      </c>
      <c r="L253" s="318" t="s">
        <v>184</v>
      </c>
      <c r="M253" s="382"/>
      <c r="N253" s="382"/>
      <c r="O253" s="382"/>
      <c r="P253" s="382"/>
      <c r="Q253" s="382"/>
    </row>
    <row r="254" spans="1:17" s="129" customFormat="1" x14ac:dyDescent="0.25">
      <c r="A254" s="568"/>
      <c r="B254" s="544"/>
      <c r="C254" s="432">
        <v>2</v>
      </c>
      <c r="D254" s="253"/>
      <c r="E254" s="384" t="s">
        <v>9</v>
      </c>
      <c r="F254" s="318">
        <v>1410.27</v>
      </c>
      <c r="G254" s="318">
        <v>1510.3</v>
      </c>
      <c r="H254" s="710">
        <v>2629.9</v>
      </c>
      <c r="I254" s="318">
        <v>1510.3</v>
      </c>
      <c r="J254" s="318">
        <v>1510.3</v>
      </c>
      <c r="K254" s="317" t="s">
        <v>185</v>
      </c>
      <c r="L254" s="318" t="s">
        <v>182</v>
      </c>
      <c r="M254" s="382">
        <v>100</v>
      </c>
      <c r="N254" s="382">
        <v>100</v>
      </c>
      <c r="O254" s="382">
        <v>100</v>
      </c>
      <c r="P254" s="382">
        <v>100</v>
      </c>
      <c r="Q254" s="382">
        <v>100</v>
      </c>
    </row>
    <row r="255" spans="1:17" s="129" customFormat="1" ht="30" x14ac:dyDescent="0.25">
      <c r="A255" s="568"/>
      <c r="B255" s="544"/>
      <c r="C255" s="432">
        <v>3</v>
      </c>
      <c r="D255" s="253"/>
      <c r="E255" s="384" t="s">
        <v>11</v>
      </c>
      <c r="F255" s="318">
        <v>815.7</v>
      </c>
      <c r="G255" s="318">
        <v>815.7</v>
      </c>
      <c r="H255" s="1298">
        <f>3334+23.6</f>
        <v>3357.6</v>
      </c>
      <c r="I255" s="318">
        <v>815.7</v>
      </c>
      <c r="J255" s="318">
        <v>815.7</v>
      </c>
      <c r="K255" s="56" t="s">
        <v>186</v>
      </c>
      <c r="L255" s="318" t="s">
        <v>182</v>
      </c>
      <c r="M255" s="382">
        <v>91.2</v>
      </c>
      <c r="N255" s="382">
        <v>92.2</v>
      </c>
      <c r="O255" s="382">
        <v>92.3</v>
      </c>
      <c r="P255" s="382">
        <v>93.1</v>
      </c>
      <c r="Q255" s="382">
        <v>93.2</v>
      </c>
    </row>
    <row r="256" spans="1:17" s="129" customFormat="1" ht="30" x14ac:dyDescent="0.25">
      <c r="A256" s="568"/>
      <c r="B256" s="544"/>
      <c r="C256" s="432">
        <v>4</v>
      </c>
      <c r="D256" s="253"/>
      <c r="E256" s="384" t="s">
        <v>13</v>
      </c>
      <c r="F256" s="318">
        <v>1348.97</v>
      </c>
      <c r="G256" s="87">
        <v>1349</v>
      </c>
      <c r="H256" s="710">
        <v>2468.1999999999998</v>
      </c>
      <c r="I256" s="87">
        <v>1349</v>
      </c>
      <c r="J256" s="87">
        <v>1349</v>
      </c>
      <c r="K256" s="317" t="s">
        <v>187</v>
      </c>
      <c r="L256" s="318" t="s">
        <v>423</v>
      </c>
      <c r="M256" s="382">
        <v>78.3</v>
      </c>
      <c r="N256" s="382">
        <v>78.400000000000006</v>
      </c>
      <c r="O256" s="382">
        <v>78.5</v>
      </c>
      <c r="P256" s="382">
        <v>78.599999999999994</v>
      </c>
      <c r="Q256" s="382">
        <v>79.099999999999994</v>
      </c>
    </row>
    <row r="257" spans="1:17" s="129" customFormat="1" ht="30" x14ac:dyDescent="0.25">
      <c r="A257" s="568"/>
      <c r="B257" s="544"/>
      <c r="C257" s="432">
        <v>5</v>
      </c>
      <c r="D257" s="253"/>
      <c r="E257" s="384" t="s">
        <v>15</v>
      </c>
      <c r="F257" s="318">
        <v>1337.2</v>
      </c>
      <c r="G257" s="318">
        <v>1337.3</v>
      </c>
      <c r="H257" s="710">
        <v>2176.6999999999998</v>
      </c>
      <c r="I257" s="318">
        <v>1337.3</v>
      </c>
      <c r="J257" s="318">
        <v>1337.3</v>
      </c>
      <c r="K257" s="317" t="s">
        <v>466</v>
      </c>
      <c r="L257" s="318" t="s">
        <v>189</v>
      </c>
      <c r="M257" s="382">
        <v>100</v>
      </c>
      <c r="N257" s="382">
        <v>100</v>
      </c>
      <c r="O257" s="382">
        <v>100</v>
      </c>
      <c r="P257" s="382">
        <v>100</v>
      </c>
      <c r="Q257" s="382">
        <v>100</v>
      </c>
    </row>
    <row r="258" spans="1:17" s="129" customFormat="1" ht="30" x14ac:dyDescent="0.25">
      <c r="A258" s="568"/>
      <c r="B258" s="480"/>
      <c r="C258" s="422">
        <v>6</v>
      </c>
      <c r="D258" s="253"/>
      <c r="E258" s="276" t="s">
        <v>17</v>
      </c>
      <c r="F258" s="360">
        <v>3720</v>
      </c>
      <c r="G258" s="360">
        <v>3720</v>
      </c>
      <c r="H258" s="710">
        <v>3719.7</v>
      </c>
      <c r="I258" s="318">
        <v>3719.7</v>
      </c>
      <c r="J258" s="318">
        <v>3719.7</v>
      </c>
      <c r="K258" s="317" t="s">
        <v>467</v>
      </c>
      <c r="L258" s="318" t="s">
        <v>182</v>
      </c>
      <c r="M258" s="382">
        <v>7.5</v>
      </c>
      <c r="N258" s="382">
        <v>8.5</v>
      </c>
      <c r="O258" s="382">
        <v>8.9</v>
      </c>
      <c r="P258" s="382">
        <v>9.5</v>
      </c>
      <c r="Q258" s="382">
        <v>9.9</v>
      </c>
    </row>
    <row r="259" spans="1:17" s="129" customFormat="1" ht="30" x14ac:dyDescent="0.25">
      <c r="A259" s="568"/>
      <c r="B259" s="480"/>
      <c r="C259" s="422">
        <v>7</v>
      </c>
      <c r="D259" s="253"/>
      <c r="E259" s="276" t="s">
        <v>66</v>
      </c>
      <c r="F259" s="318">
        <v>3731.8</v>
      </c>
      <c r="G259" s="318">
        <v>3731.8</v>
      </c>
      <c r="H259" s="710">
        <v>5130</v>
      </c>
      <c r="I259" s="318">
        <v>3731.8</v>
      </c>
      <c r="J259" s="318">
        <v>3731.8</v>
      </c>
      <c r="K259" s="138" t="s">
        <v>290</v>
      </c>
      <c r="L259" s="318">
        <v>98.9</v>
      </c>
      <c r="M259" s="382">
        <v>99.9</v>
      </c>
      <c r="N259" s="382">
        <v>100</v>
      </c>
      <c r="O259" s="382">
        <v>100</v>
      </c>
      <c r="P259" s="382">
        <v>100</v>
      </c>
      <c r="Q259" s="382">
        <v>100</v>
      </c>
    </row>
    <row r="260" spans="1:17" s="129" customFormat="1" ht="30" x14ac:dyDescent="0.25">
      <c r="A260" s="568"/>
      <c r="B260" s="480"/>
      <c r="C260" s="422">
        <v>8</v>
      </c>
      <c r="D260" s="253"/>
      <c r="E260" s="276" t="s">
        <v>67</v>
      </c>
      <c r="F260" s="318">
        <v>7473.3</v>
      </c>
      <c r="G260" s="318">
        <v>7221.8</v>
      </c>
      <c r="H260" s="710">
        <v>13098.4</v>
      </c>
      <c r="I260" s="318">
        <v>7221.8</v>
      </c>
      <c r="J260" s="318">
        <v>7221.8</v>
      </c>
      <c r="K260" s="317" t="s">
        <v>468</v>
      </c>
      <c r="L260" s="318">
        <v>89.2</v>
      </c>
      <c r="M260" s="382">
        <v>89.9</v>
      </c>
      <c r="N260" s="382">
        <v>90</v>
      </c>
      <c r="O260" s="382">
        <v>90.1</v>
      </c>
      <c r="P260" s="382">
        <v>90.6</v>
      </c>
      <c r="Q260" s="382">
        <v>90.7</v>
      </c>
    </row>
    <row r="261" spans="1:17" s="129" customFormat="1" ht="57.75" x14ac:dyDescent="0.25">
      <c r="A261" s="568">
        <v>21</v>
      </c>
      <c r="B261" s="480">
        <v>2</v>
      </c>
      <c r="C261" s="417"/>
      <c r="D261" s="270"/>
      <c r="E261" s="383" t="s">
        <v>805</v>
      </c>
      <c r="F261" s="286">
        <v>6813.2999999999993</v>
      </c>
      <c r="G261" s="286">
        <v>7262.3</v>
      </c>
      <c r="H261" s="706">
        <f>H262+H263+H264+H265+H266+H267</f>
        <v>17129.2</v>
      </c>
      <c r="I261" s="286">
        <v>7678.9</v>
      </c>
      <c r="J261" s="286">
        <v>8102.5999999999995</v>
      </c>
      <c r="K261" s="276" t="s">
        <v>2839</v>
      </c>
      <c r="L261" s="276">
        <v>88.5</v>
      </c>
      <c r="M261" s="276">
        <v>88.6</v>
      </c>
      <c r="N261" s="339">
        <v>90.1</v>
      </c>
      <c r="O261" s="339">
        <v>90.5</v>
      </c>
      <c r="P261" s="339">
        <v>90.9</v>
      </c>
      <c r="Q261" s="339">
        <v>100</v>
      </c>
    </row>
    <row r="262" spans="1:17" s="129" customFormat="1" ht="30" x14ac:dyDescent="0.25">
      <c r="A262" s="568"/>
      <c r="B262" s="480"/>
      <c r="C262" s="415">
        <v>1</v>
      </c>
      <c r="D262" s="270"/>
      <c r="E262" s="447" t="s">
        <v>740</v>
      </c>
      <c r="F262" s="363">
        <v>1265</v>
      </c>
      <c r="G262" s="363">
        <v>1247</v>
      </c>
      <c r="H262" s="695">
        <v>2388.6</v>
      </c>
      <c r="I262" s="363">
        <v>1269</v>
      </c>
      <c r="J262" s="363">
        <v>1269</v>
      </c>
      <c r="K262" s="276" t="s">
        <v>741</v>
      </c>
      <c r="L262" s="276">
        <v>90</v>
      </c>
      <c r="M262" s="276">
        <v>91.2</v>
      </c>
      <c r="N262" s="43">
        <v>92</v>
      </c>
      <c r="O262" s="43">
        <v>93</v>
      </c>
      <c r="P262" s="43">
        <v>95</v>
      </c>
      <c r="Q262" s="43">
        <v>96</v>
      </c>
    </row>
    <row r="263" spans="1:17" s="129" customFormat="1" ht="45" x14ac:dyDescent="0.25">
      <c r="A263" s="568"/>
      <c r="B263" s="544"/>
      <c r="C263" s="432">
        <v>2</v>
      </c>
      <c r="D263" s="270"/>
      <c r="E263" s="447" t="s">
        <v>96</v>
      </c>
      <c r="F263" s="256">
        <v>1089.3</v>
      </c>
      <c r="G263" s="256">
        <v>1560.2</v>
      </c>
      <c r="H263" s="695">
        <v>2896.7</v>
      </c>
      <c r="I263" s="256">
        <v>1498.4</v>
      </c>
      <c r="J263" s="256">
        <v>1498.4</v>
      </c>
      <c r="K263" s="276" t="s">
        <v>470</v>
      </c>
      <c r="L263" s="276">
        <v>50.6</v>
      </c>
      <c r="M263" s="276">
        <v>50.7</v>
      </c>
      <c r="N263" s="43">
        <v>50.8</v>
      </c>
      <c r="O263" s="43">
        <v>50.9</v>
      </c>
      <c r="P263" s="43">
        <v>61.2</v>
      </c>
      <c r="Q263" s="43">
        <v>61.3</v>
      </c>
    </row>
    <row r="264" spans="1:17" s="129" customFormat="1" ht="45" x14ac:dyDescent="0.25">
      <c r="A264" s="568"/>
      <c r="B264" s="544"/>
      <c r="C264" s="432">
        <v>3</v>
      </c>
      <c r="D264" s="270"/>
      <c r="E264" s="276" t="s">
        <v>97</v>
      </c>
      <c r="F264" s="256">
        <v>1156.7</v>
      </c>
      <c r="G264" s="256">
        <v>1508.8</v>
      </c>
      <c r="H264" s="1067">
        <f>3174.2+2312</f>
        <v>5486.2</v>
      </c>
      <c r="I264" s="256">
        <v>1495.3</v>
      </c>
      <c r="J264" s="256">
        <v>1919</v>
      </c>
      <c r="K264" s="276" t="s">
        <v>471</v>
      </c>
      <c r="L264" s="276">
        <v>62.3</v>
      </c>
      <c r="M264" s="276">
        <v>64.7</v>
      </c>
      <c r="N264" s="43">
        <v>64.900000000000006</v>
      </c>
      <c r="O264" s="43">
        <v>65</v>
      </c>
      <c r="P264" s="43">
        <v>65.599999999999994</v>
      </c>
      <c r="Q264" s="43">
        <v>65.900000000000006</v>
      </c>
    </row>
    <row r="265" spans="1:17" s="129" customFormat="1" ht="45" x14ac:dyDescent="0.25">
      <c r="A265" s="568"/>
      <c r="B265" s="544"/>
      <c r="C265" s="432">
        <v>4</v>
      </c>
      <c r="D265" s="270"/>
      <c r="E265" s="317" t="s">
        <v>469</v>
      </c>
      <c r="F265" s="361">
        <v>1316.4</v>
      </c>
      <c r="G265" s="361">
        <v>1123.4000000000001</v>
      </c>
      <c r="H265" s="710">
        <v>2182.5</v>
      </c>
      <c r="I265" s="361">
        <v>1278.8</v>
      </c>
      <c r="J265" s="361">
        <v>1278.8</v>
      </c>
      <c r="K265" s="276" t="s">
        <v>472</v>
      </c>
      <c r="L265" s="276">
        <v>48.6</v>
      </c>
      <c r="M265" s="276">
        <v>50.8</v>
      </c>
      <c r="N265" s="11">
        <v>52</v>
      </c>
      <c r="O265" s="11">
        <v>54.8</v>
      </c>
      <c r="P265" s="11">
        <v>55.2</v>
      </c>
      <c r="Q265" s="11">
        <v>59.5</v>
      </c>
    </row>
    <row r="266" spans="1:17" ht="30" x14ac:dyDescent="0.25">
      <c r="A266" s="472"/>
      <c r="B266" s="555"/>
      <c r="C266" s="437">
        <v>5</v>
      </c>
      <c r="D266" s="86"/>
      <c r="E266" s="365" t="s">
        <v>742</v>
      </c>
      <c r="F266" s="260">
        <v>993.2</v>
      </c>
      <c r="G266" s="260">
        <v>1064.3</v>
      </c>
      <c r="H266" s="708">
        <v>2537.4</v>
      </c>
      <c r="I266" s="260">
        <v>1139.2</v>
      </c>
      <c r="J266" s="260">
        <v>1139.2</v>
      </c>
      <c r="K266" s="365" t="s">
        <v>473</v>
      </c>
      <c r="L266" s="365">
        <v>50.8</v>
      </c>
      <c r="M266" s="365">
        <v>51.2</v>
      </c>
      <c r="N266" s="38">
        <v>52.4</v>
      </c>
      <c r="O266" s="38">
        <v>53.7</v>
      </c>
      <c r="P266" s="38">
        <v>54.8</v>
      </c>
      <c r="Q266" s="38">
        <v>54.9</v>
      </c>
    </row>
    <row r="267" spans="1:17" x14ac:dyDescent="0.25">
      <c r="A267" s="472"/>
      <c r="B267" s="482"/>
      <c r="C267" s="438">
        <v>6</v>
      </c>
      <c r="D267" s="86"/>
      <c r="E267" s="365" t="s">
        <v>98</v>
      </c>
      <c r="F267" s="260">
        <v>992.7</v>
      </c>
      <c r="G267" s="407">
        <v>758.6</v>
      </c>
      <c r="H267" s="708">
        <v>1637.8</v>
      </c>
      <c r="I267" s="407">
        <v>998.2</v>
      </c>
      <c r="J267" s="407">
        <v>998.2</v>
      </c>
      <c r="K267" s="365" t="s">
        <v>185</v>
      </c>
      <c r="L267" s="365">
        <v>100</v>
      </c>
      <c r="M267" s="365">
        <v>100</v>
      </c>
      <c r="N267" s="37">
        <v>100</v>
      </c>
      <c r="O267" s="37">
        <v>100</v>
      </c>
      <c r="P267" s="37">
        <v>100</v>
      </c>
      <c r="Q267" s="37">
        <v>100</v>
      </c>
    </row>
    <row r="268" spans="1:17" s="142" customFormat="1" x14ac:dyDescent="0.25">
      <c r="A268" s="1821" t="s">
        <v>99</v>
      </c>
      <c r="B268" s="1822"/>
      <c r="C268" s="1822"/>
      <c r="D268" s="1822"/>
      <c r="E268" s="1822"/>
      <c r="F268" s="873">
        <v>31546.739999999998</v>
      </c>
      <c r="G268" s="873">
        <v>31604.399999999998</v>
      </c>
      <c r="H268" s="795">
        <f>H252+H261</f>
        <v>56044.7</v>
      </c>
      <c r="I268" s="873">
        <v>32020.699999999997</v>
      </c>
      <c r="J268" s="873">
        <v>32444.399999999998</v>
      </c>
      <c r="K268" s="791"/>
      <c r="L268" s="2317"/>
      <c r="M268" s="2318"/>
      <c r="N268" s="2318"/>
      <c r="O268" s="2318"/>
      <c r="P268" s="2318"/>
      <c r="Q268" s="2319"/>
    </row>
    <row r="269" spans="1:17" x14ac:dyDescent="0.25">
      <c r="A269" s="1826" t="s">
        <v>100</v>
      </c>
      <c r="B269" s="1827"/>
      <c r="C269" s="1827"/>
      <c r="D269" s="1827"/>
      <c r="E269" s="1827"/>
      <c r="F269" s="1827"/>
      <c r="G269" s="1827"/>
      <c r="H269" s="1827"/>
      <c r="I269" s="1827"/>
      <c r="J269" s="1827"/>
      <c r="K269" s="1827"/>
      <c r="L269" s="1827"/>
      <c r="M269" s="1827"/>
      <c r="N269" s="1827"/>
      <c r="O269" s="1827"/>
      <c r="P269" s="1827"/>
      <c r="Q269" s="1828"/>
    </row>
    <row r="270" spans="1:17" s="129" customFormat="1" ht="73.5" x14ac:dyDescent="0.25">
      <c r="A270" s="443">
        <v>22</v>
      </c>
      <c r="B270" s="496">
        <v>1</v>
      </c>
      <c r="C270" s="421"/>
      <c r="D270" s="12"/>
      <c r="E270" s="385" t="s">
        <v>810</v>
      </c>
      <c r="F270" s="31"/>
      <c r="G270" s="31">
        <v>41492.9</v>
      </c>
      <c r="H270" s="367">
        <f>H271+H272+H273+H275+H279+H280</f>
        <v>62447.899999999994</v>
      </c>
      <c r="I270" s="320">
        <v>54361.826746734914</v>
      </c>
      <c r="J270" s="320">
        <v>54897.274800248699</v>
      </c>
      <c r="K270" s="383" t="s">
        <v>181</v>
      </c>
      <c r="L270" s="382" t="s">
        <v>182</v>
      </c>
      <c r="M270" s="382"/>
      <c r="N270" s="382"/>
      <c r="O270" s="382"/>
      <c r="P270" s="382"/>
      <c r="Q270" s="382"/>
    </row>
    <row r="271" spans="1:17" s="129" customFormat="1" x14ac:dyDescent="0.25">
      <c r="A271" s="476"/>
      <c r="B271" s="485"/>
      <c r="C271" s="417" t="s">
        <v>6</v>
      </c>
      <c r="D271" s="253"/>
      <c r="E271" s="303" t="s">
        <v>7</v>
      </c>
      <c r="F271" s="272"/>
      <c r="G271" s="664">
        <v>26615.8</v>
      </c>
      <c r="H271" s="676">
        <f>19007.2+6457.3</f>
        <v>25464.5</v>
      </c>
      <c r="I271" s="663">
        <v>9956.7067424978941</v>
      </c>
      <c r="J271" s="663">
        <v>10046.965223974385</v>
      </c>
      <c r="K271" s="317" t="s">
        <v>881</v>
      </c>
      <c r="L271" s="318" t="s">
        <v>566</v>
      </c>
      <c r="M271" s="318">
        <v>100</v>
      </c>
      <c r="N271" s="318">
        <v>100</v>
      </c>
      <c r="O271" s="318">
        <v>100</v>
      </c>
      <c r="P271" s="318">
        <v>100</v>
      </c>
      <c r="Q271" s="318">
        <v>100</v>
      </c>
    </row>
    <row r="272" spans="1:17" s="129" customFormat="1" x14ac:dyDescent="0.25">
      <c r="A272" s="476"/>
      <c r="B272" s="548"/>
      <c r="C272" s="436" t="s">
        <v>8</v>
      </c>
      <c r="D272" s="253"/>
      <c r="E272" s="384" t="s">
        <v>9</v>
      </c>
      <c r="F272" s="272"/>
      <c r="G272" s="664">
        <v>2750.8</v>
      </c>
      <c r="H272" s="676">
        <f>5028.4+1437.3</f>
        <v>6465.7</v>
      </c>
      <c r="I272" s="663">
        <v>6590.8247359672714</v>
      </c>
      <c r="J272" s="663">
        <v>6658.2357720675109</v>
      </c>
      <c r="K272" s="317" t="s">
        <v>185</v>
      </c>
      <c r="L272" s="318" t="s">
        <v>182</v>
      </c>
      <c r="M272" s="318">
        <v>100</v>
      </c>
      <c r="N272" s="318">
        <v>100</v>
      </c>
      <c r="O272" s="318">
        <v>100</v>
      </c>
      <c r="P272" s="318">
        <v>100</v>
      </c>
      <c r="Q272" s="318">
        <v>100</v>
      </c>
    </row>
    <row r="273" spans="1:17" s="129" customFormat="1" ht="30.75" customHeight="1" x14ac:dyDescent="0.25">
      <c r="A273" s="1818"/>
      <c r="B273" s="1812"/>
      <c r="C273" s="2359" t="s">
        <v>10</v>
      </c>
      <c r="D273" s="2360"/>
      <c r="E273" s="2469" t="s">
        <v>11</v>
      </c>
      <c r="F273" s="2360"/>
      <c r="G273" s="2360">
        <v>3921.3</v>
      </c>
      <c r="H273" s="2466">
        <f>2980.1+996.2</f>
        <v>3976.3</v>
      </c>
      <c r="I273" s="2466">
        <v>3859.46414254518</v>
      </c>
      <c r="J273" s="2466">
        <v>3899.4</v>
      </c>
      <c r="K273" s="669" t="s">
        <v>2840</v>
      </c>
      <c r="L273" s="668" t="s">
        <v>182</v>
      </c>
      <c r="M273" s="668">
        <v>55</v>
      </c>
      <c r="N273" s="668">
        <v>79</v>
      </c>
      <c r="O273" s="668">
        <v>77</v>
      </c>
      <c r="P273" s="668">
        <v>75</v>
      </c>
      <c r="Q273" s="668">
        <v>75</v>
      </c>
    </row>
    <row r="274" spans="1:17" s="129" customFormat="1" ht="15" customHeight="1" x14ac:dyDescent="0.25">
      <c r="A274" s="1820"/>
      <c r="B274" s="1814"/>
      <c r="C274" s="1885"/>
      <c r="D274" s="1889"/>
      <c r="E274" s="1987"/>
      <c r="F274" s="1889"/>
      <c r="G274" s="1889"/>
      <c r="H274" s="1910"/>
      <c r="I274" s="1910"/>
      <c r="J274" s="1910"/>
      <c r="K274" s="317" t="s">
        <v>880</v>
      </c>
      <c r="L274" s="318" t="s">
        <v>426</v>
      </c>
      <c r="M274" s="318" t="s">
        <v>311</v>
      </c>
      <c r="N274" s="318">
        <v>10</v>
      </c>
      <c r="O274" s="318">
        <v>15</v>
      </c>
      <c r="P274" s="318">
        <v>20</v>
      </c>
      <c r="Q274" s="318">
        <v>22</v>
      </c>
    </row>
    <row r="275" spans="1:17" s="129" customFormat="1" ht="30" x14ac:dyDescent="0.25">
      <c r="A275" s="1818"/>
      <c r="B275" s="1812"/>
      <c r="C275" s="2359" t="s">
        <v>14</v>
      </c>
      <c r="D275" s="2360"/>
      <c r="E275" s="2469" t="s">
        <v>15</v>
      </c>
      <c r="F275" s="2360"/>
      <c r="G275" s="2360">
        <v>1801.9</v>
      </c>
      <c r="H275" s="2466">
        <f>5672.4+1909.6</f>
        <v>7582</v>
      </c>
      <c r="I275" s="2466">
        <v>7357.5895534364799</v>
      </c>
      <c r="J275" s="2466">
        <v>7433.6341291435056</v>
      </c>
      <c r="K275" s="317" t="s">
        <v>746</v>
      </c>
      <c r="L275" s="318" t="s">
        <v>270</v>
      </c>
      <c r="M275" s="318">
        <v>480</v>
      </c>
      <c r="N275" s="318">
        <v>490</v>
      </c>
      <c r="O275" s="318">
        <v>490</v>
      </c>
      <c r="P275" s="318">
        <v>490</v>
      </c>
      <c r="Q275" s="318">
        <v>490</v>
      </c>
    </row>
    <row r="276" spans="1:17" s="129" customFormat="1" ht="75" x14ac:dyDescent="0.25">
      <c r="A276" s="1819"/>
      <c r="B276" s="1813"/>
      <c r="C276" s="2016"/>
      <c r="D276" s="2212"/>
      <c r="E276" s="1986"/>
      <c r="F276" s="2212"/>
      <c r="G276" s="2212"/>
      <c r="H276" s="2355"/>
      <c r="I276" s="2355"/>
      <c r="J276" s="2355"/>
      <c r="K276" s="317" t="s">
        <v>743</v>
      </c>
      <c r="L276" s="318" t="s">
        <v>567</v>
      </c>
      <c r="M276" s="318">
        <v>6</v>
      </c>
      <c r="N276" s="318">
        <v>6</v>
      </c>
      <c r="O276" s="318">
        <v>6</v>
      </c>
      <c r="P276" s="318">
        <v>6</v>
      </c>
      <c r="Q276" s="318">
        <v>6</v>
      </c>
    </row>
    <row r="277" spans="1:17" s="129" customFormat="1" ht="60" x14ac:dyDescent="0.25">
      <c r="A277" s="1819"/>
      <c r="B277" s="1813"/>
      <c r="C277" s="2016"/>
      <c r="D277" s="2212"/>
      <c r="E277" s="1986"/>
      <c r="F277" s="2212"/>
      <c r="G277" s="2212"/>
      <c r="H277" s="2355"/>
      <c r="I277" s="2355"/>
      <c r="J277" s="2355"/>
      <c r="K277" s="317" t="s">
        <v>744</v>
      </c>
      <c r="L277" s="318" t="s">
        <v>567</v>
      </c>
      <c r="M277" s="318">
        <v>0</v>
      </c>
      <c r="N277" s="318">
        <v>1</v>
      </c>
      <c r="O277" s="318">
        <v>0</v>
      </c>
      <c r="P277" s="318">
        <v>0</v>
      </c>
      <c r="Q277" s="318">
        <v>0</v>
      </c>
    </row>
    <row r="278" spans="1:17" s="129" customFormat="1" ht="30" x14ac:dyDescent="0.25">
      <c r="A278" s="1820"/>
      <c r="B278" s="1814"/>
      <c r="C278" s="1885"/>
      <c r="D278" s="1889"/>
      <c r="E278" s="1987"/>
      <c r="F278" s="1889"/>
      <c r="G278" s="1889"/>
      <c r="H278" s="1910"/>
      <c r="I278" s="1910"/>
      <c r="J278" s="1910"/>
      <c r="K278" s="317" t="s">
        <v>295</v>
      </c>
      <c r="L278" s="318" t="s">
        <v>567</v>
      </c>
      <c r="M278" s="318">
        <v>1854</v>
      </c>
      <c r="N278" s="318">
        <v>1500</v>
      </c>
      <c r="O278" s="318">
        <v>1677</v>
      </c>
      <c r="P278" s="318">
        <v>1677</v>
      </c>
      <c r="Q278" s="318">
        <v>1677</v>
      </c>
    </row>
    <row r="279" spans="1:17" s="129" customFormat="1" ht="30" x14ac:dyDescent="0.25">
      <c r="A279" s="476"/>
      <c r="B279" s="548"/>
      <c r="C279" s="436" t="s">
        <v>16</v>
      </c>
      <c r="D279" s="253"/>
      <c r="E279" s="384" t="s">
        <v>101</v>
      </c>
      <c r="F279" s="272"/>
      <c r="G279" s="664">
        <v>6403.1</v>
      </c>
      <c r="H279" s="676">
        <f>3730.3+1257.4</f>
        <v>4987.7000000000007</v>
      </c>
      <c r="I279" s="663">
        <v>4839.9676385304765</v>
      </c>
      <c r="J279" s="663">
        <v>4889.9764042817033</v>
      </c>
      <c r="K279" s="317" t="s">
        <v>292</v>
      </c>
      <c r="L279" s="318" t="s">
        <v>182</v>
      </c>
      <c r="M279" s="318">
        <v>21</v>
      </c>
      <c r="N279" s="318">
        <v>21</v>
      </c>
      <c r="O279" s="318">
        <v>21</v>
      </c>
      <c r="P279" s="318">
        <v>21</v>
      </c>
      <c r="Q279" s="318">
        <v>21</v>
      </c>
    </row>
    <row r="280" spans="1:17" s="129" customFormat="1" x14ac:dyDescent="0.25">
      <c r="A280" s="476"/>
      <c r="B280" s="548"/>
      <c r="C280" s="436" t="s">
        <v>49</v>
      </c>
      <c r="D280" s="253"/>
      <c r="E280" s="667" t="s">
        <v>67</v>
      </c>
      <c r="F280" s="272"/>
      <c r="G280" s="77"/>
      <c r="H280" s="272">
        <f>9171.2+4800.5</f>
        <v>13971.7</v>
      </c>
      <c r="I280" s="665">
        <v>21757.273933757613</v>
      </c>
      <c r="J280" s="663">
        <v>21969.063270781597</v>
      </c>
      <c r="K280" s="317" t="s">
        <v>291</v>
      </c>
      <c r="L280" s="318" t="s">
        <v>426</v>
      </c>
      <c r="M280" s="318">
        <v>100</v>
      </c>
      <c r="N280" s="318">
        <v>100</v>
      </c>
      <c r="O280" s="318">
        <v>100</v>
      </c>
      <c r="P280" s="318">
        <v>100</v>
      </c>
      <c r="Q280" s="318">
        <v>100</v>
      </c>
    </row>
    <row r="281" spans="1:17" s="129" customFormat="1" ht="117" x14ac:dyDescent="0.25">
      <c r="A281" s="568">
        <v>22</v>
      </c>
      <c r="B281" s="544">
        <v>2</v>
      </c>
      <c r="C281" s="436"/>
      <c r="D281" s="253"/>
      <c r="E281" s="14" t="s">
        <v>814</v>
      </c>
      <c r="F281" s="31"/>
      <c r="G281" s="31">
        <v>21734</v>
      </c>
      <c r="H281" s="145">
        <f>H282+H283+H284</f>
        <v>41605.800000000003</v>
      </c>
      <c r="I281" s="31">
        <v>40559.699999999997</v>
      </c>
      <c r="J281" s="31">
        <v>40967</v>
      </c>
      <c r="K281" s="383" t="s">
        <v>293</v>
      </c>
      <c r="L281" s="318" t="s">
        <v>182</v>
      </c>
      <c r="M281" s="382"/>
      <c r="N281" s="382"/>
      <c r="O281" s="382"/>
      <c r="P281" s="382"/>
      <c r="Q281" s="382"/>
    </row>
    <row r="282" spans="1:17" s="129" customFormat="1" ht="45" x14ac:dyDescent="0.25">
      <c r="A282" s="476"/>
      <c r="B282" s="548"/>
      <c r="C282" s="436" t="s">
        <v>6</v>
      </c>
      <c r="D282" s="253"/>
      <c r="E282" s="384" t="s">
        <v>745</v>
      </c>
      <c r="F282" s="272"/>
      <c r="G282" s="272">
        <v>10537.1</v>
      </c>
      <c r="H282" s="322">
        <f>12197.6+4210.9</f>
        <v>16408.5</v>
      </c>
      <c r="I282" s="308">
        <v>16062</v>
      </c>
      <c r="J282" s="308">
        <v>16227.5</v>
      </c>
      <c r="K282" s="317" t="s">
        <v>294</v>
      </c>
      <c r="L282" s="318" t="s">
        <v>238</v>
      </c>
      <c r="M282" s="318"/>
      <c r="N282" s="318"/>
      <c r="O282" s="318"/>
      <c r="P282" s="34"/>
      <c r="Q282" s="34"/>
    </row>
    <row r="283" spans="1:17" s="129" customFormat="1" ht="45" x14ac:dyDescent="0.25">
      <c r="A283" s="476"/>
      <c r="B283" s="548"/>
      <c r="C283" s="436" t="s">
        <v>8</v>
      </c>
      <c r="D283" s="253"/>
      <c r="E283" s="384" t="s">
        <v>102</v>
      </c>
      <c r="F283" s="272"/>
      <c r="G283" s="272">
        <v>9101.1</v>
      </c>
      <c r="H283" s="308">
        <f>11403.7+3947.6</f>
        <v>15351.300000000001</v>
      </c>
      <c r="I283" s="308">
        <v>15025.7</v>
      </c>
      <c r="J283" s="308">
        <v>15180.5</v>
      </c>
      <c r="K283" s="317" t="s">
        <v>294</v>
      </c>
      <c r="L283" s="318" t="s">
        <v>238</v>
      </c>
      <c r="M283" s="318"/>
      <c r="N283" s="318"/>
      <c r="O283" s="318"/>
      <c r="P283" s="48"/>
      <c r="Q283" s="318"/>
    </row>
    <row r="284" spans="1:17" s="129" customFormat="1" ht="45" x14ac:dyDescent="0.25">
      <c r="A284" s="476"/>
      <c r="B284" s="485"/>
      <c r="C284" s="417" t="s">
        <v>10</v>
      </c>
      <c r="D284" s="513"/>
      <c r="E284" s="522" t="s">
        <v>103</v>
      </c>
      <c r="F284" s="248"/>
      <c r="G284" s="2360">
        <v>2095.8000000000002</v>
      </c>
      <c r="H284" s="2466">
        <f>6409+3437</f>
        <v>9846</v>
      </c>
      <c r="I284" s="2466">
        <v>9472</v>
      </c>
      <c r="J284" s="2466">
        <v>9559</v>
      </c>
      <c r="K284" s="256" t="s">
        <v>568</v>
      </c>
      <c r="L284" s="256" t="s">
        <v>238</v>
      </c>
      <c r="M284" s="280">
        <v>8395</v>
      </c>
      <c r="N284" s="280">
        <v>10670</v>
      </c>
      <c r="O284" s="280">
        <v>10670</v>
      </c>
      <c r="P284" s="280">
        <v>10670</v>
      </c>
      <c r="Q284" s="280">
        <v>10670</v>
      </c>
    </row>
    <row r="285" spans="1:17" s="129" customFormat="1" ht="30" x14ac:dyDescent="0.25">
      <c r="A285" s="476"/>
      <c r="B285" s="548"/>
      <c r="C285" s="436" t="s">
        <v>12</v>
      </c>
      <c r="D285" s="13"/>
      <c r="E285" s="370" t="s">
        <v>569</v>
      </c>
      <c r="F285" s="272"/>
      <c r="G285" s="1889"/>
      <c r="H285" s="1910"/>
      <c r="I285" s="1910"/>
      <c r="J285" s="1910"/>
      <c r="K285" s="318" t="s">
        <v>570</v>
      </c>
      <c r="L285" s="318" t="s">
        <v>567</v>
      </c>
      <c r="M285" s="48">
        <v>8643</v>
      </c>
      <c r="N285" s="48">
        <v>12643</v>
      </c>
      <c r="O285" s="48">
        <v>12643</v>
      </c>
      <c r="P285" s="48">
        <v>12643</v>
      </c>
      <c r="Q285" s="48">
        <v>12643</v>
      </c>
    </row>
    <row r="286" spans="1:17" s="129" customFormat="1" ht="102" x14ac:dyDescent="0.25">
      <c r="A286" s="568">
        <v>22</v>
      </c>
      <c r="B286" s="544">
        <v>3</v>
      </c>
      <c r="C286" s="436"/>
      <c r="D286" s="253"/>
      <c r="E286" s="14" t="s">
        <v>815</v>
      </c>
      <c r="F286" s="31"/>
      <c r="G286" s="31">
        <v>77636.5</v>
      </c>
      <c r="H286" s="145">
        <f>H287+H289</f>
        <v>45949.569999999992</v>
      </c>
      <c r="I286" s="31">
        <v>55842.600000000006</v>
      </c>
      <c r="J286" s="31">
        <v>56403.5</v>
      </c>
      <c r="K286" s="383" t="s">
        <v>296</v>
      </c>
      <c r="L286" s="318" t="s">
        <v>182</v>
      </c>
      <c r="M286" s="382"/>
      <c r="N286" s="382"/>
      <c r="O286" s="382"/>
      <c r="P286" s="382"/>
      <c r="Q286" s="382"/>
    </row>
    <row r="287" spans="1:17" s="129" customFormat="1" x14ac:dyDescent="0.25">
      <c r="A287" s="1818"/>
      <c r="B287" s="485"/>
      <c r="C287" s="2359" t="s">
        <v>6</v>
      </c>
      <c r="D287" s="2360"/>
      <c r="E287" s="2469" t="s">
        <v>104</v>
      </c>
      <c r="F287" s="2360"/>
      <c r="G287" s="2360">
        <v>77636.5</v>
      </c>
      <c r="H287" s="2466">
        <f>5550+1864.2</f>
        <v>7414.2</v>
      </c>
      <c r="I287" s="2466">
        <v>7264.8</v>
      </c>
      <c r="J287" s="2466">
        <v>7340.1</v>
      </c>
      <c r="K287" s="317" t="s">
        <v>571</v>
      </c>
      <c r="L287" s="318" t="s">
        <v>238</v>
      </c>
      <c r="M287" s="48">
        <v>6300</v>
      </c>
      <c r="N287" s="48">
        <v>6300</v>
      </c>
      <c r="O287" s="48">
        <v>6300</v>
      </c>
      <c r="P287" s="48">
        <v>6300</v>
      </c>
      <c r="Q287" s="48">
        <v>6300</v>
      </c>
    </row>
    <row r="288" spans="1:17" s="129" customFormat="1" ht="30" x14ac:dyDescent="0.25">
      <c r="A288" s="1820"/>
      <c r="B288" s="487"/>
      <c r="C288" s="1885"/>
      <c r="D288" s="1889"/>
      <c r="E288" s="1987"/>
      <c r="F288" s="1889"/>
      <c r="G288" s="1889"/>
      <c r="H288" s="1910"/>
      <c r="I288" s="1910"/>
      <c r="J288" s="1910"/>
      <c r="K288" s="317" t="s">
        <v>572</v>
      </c>
      <c r="L288" s="318" t="s">
        <v>567</v>
      </c>
      <c r="M288" s="48">
        <v>6000</v>
      </c>
      <c r="N288" s="48">
        <v>6000</v>
      </c>
      <c r="O288" s="48">
        <v>6000</v>
      </c>
      <c r="P288" s="48">
        <v>6000</v>
      </c>
      <c r="Q288" s="48">
        <v>6000</v>
      </c>
    </row>
    <row r="289" spans="1:17" s="129" customFormat="1" x14ac:dyDescent="0.25">
      <c r="A289" s="505"/>
      <c r="B289" s="500"/>
      <c r="C289" s="421" t="s">
        <v>8</v>
      </c>
      <c r="D289" s="13"/>
      <c r="E289" s="291" t="s">
        <v>573</v>
      </c>
      <c r="F289" s="272"/>
      <c r="G289" s="272"/>
      <c r="H289" s="308">
        <f>28072.37+10463</f>
        <v>38535.369999999995</v>
      </c>
      <c r="I289" s="308">
        <v>48577.8</v>
      </c>
      <c r="J289" s="308">
        <v>49063.4</v>
      </c>
      <c r="K289" s="317" t="s">
        <v>574</v>
      </c>
      <c r="L289" s="318" t="s">
        <v>567</v>
      </c>
      <c r="M289" s="48">
        <v>441000</v>
      </c>
      <c r="N289" s="48">
        <v>441100</v>
      </c>
      <c r="O289" s="48">
        <v>441200</v>
      </c>
      <c r="P289" s="48">
        <v>441200</v>
      </c>
      <c r="Q289" s="48">
        <v>441200</v>
      </c>
    </row>
    <row r="290" spans="1:17" s="129" customFormat="1" ht="87.75" x14ac:dyDescent="0.25">
      <c r="A290" s="568">
        <v>22</v>
      </c>
      <c r="B290" s="480">
        <v>4</v>
      </c>
      <c r="C290" s="417"/>
      <c r="D290" s="248"/>
      <c r="E290" s="348" t="s">
        <v>816</v>
      </c>
      <c r="F290" s="31"/>
      <c r="G290" s="31">
        <v>17383.900000000001</v>
      </c>
      <c r="H290" s="373">
        <f>H291+H301</f>
        <v>30435.199999999997</v>
      </c>
      <c r="I290" s="309">
        <v>10431.4</v>
      </c>
      <c r="J290" s="309">
        <v>10539.4</v>
      </c>
      <c r="K290" s="300" t="s">
        <v>297</v>
      </c>
      <c r="L290" s="256" t="s">
        <v>182</v>
      </c>
      <c r="M290" s="273"/>
      <c r="N290" s="273"/>
      <c r="O290" s="273"/>
      <c r="P290" s="273"/>
      <c r="Q290" s="273"/>
    </row>
    <row r="291" spans="1:17" s="129" customFormat="1" ht="30" x14ac:dyDescent="0.25">
      <c r="A291" s="476"/>
      <c r="B291" s="485"/>
      <c r="C291" s="417" t="s">
        <v>6</v>
      </c>
      <c r="D291" s="270"/>
      <c r="E291" s="312" t="s">
        <v>105</v>
      </c>
      <c r="F291" s="2360"/>
      <c r="G291" s="2360">
        <v>5367</v>
      </c>
      <c r="H291" s="1897">
        <f>24725.8+1671.5</f>
        <v>26397.3</v>
      </c>
      <c r="I291" s="2466">
        <v>6475.5</v>
      </c>
      <c r="J291" s="2466">
        <v>6542.5</v>
      </c>
      <c r="K291" s="251" t="s">
        <v>748</v>
      </c>
      <c r="L291" s="256" t="s">
        <v>238</v>
      </c>
      <c r="M291" s="256">
        <v>5300</v>
      </c>
      <c r="N291" s="248">
        <v>5400</v>
      </c>
      <c r="O291" s="248">
        <v>5400</v>
      </c>
      <c r="P291" s="248">
        <v>5400</v>
      </c>
      <c r="Q291" s="248">
        <v>5400</v>
      </c>
    </row>
    <row r="292" spans="1:17" s="129" customFormat="1" ht="45" x14ac:dyDescent="0.25">
      <c r="A292" s="476"/>
      <c r="B292" s="485"/>
      <c r="C292" s="417" t="s">
        <v>8</v>
      </c>
      <c r="D292" s="270"/>
      <c r="E292" s="312" t="s">
        <v>2841</v>
      </c>
      <c r="F292" s="2212"/>
      <c r="G292" s="2212"/>
      <c r="H292" s="1897"/>
      <c r="I292" s="2355"/>
      <c r="J292" s="2355"/>
      <c r="K292" s="251" t="s">
        <v>749</v>
      </c>
      <c r="L292" s="256" t="s">
        <v>426</v>
      </c>
      <c r="M292" s="256">
        <v>0</v>
      </c>
      <c r="N292" s="248">
        <v>80</v>
      </c>
      <c r="O292" s="248">
        <v>100</v>
      </c>
      <c r="P292" s="248">
        <v>100</v>
      </c>
      <c r="Q292" s="248">
        <v>100</v>
      </c>
    </row>
    <row r="293" spans="1:17" s="129" customFormat="1" ht="75" x14ac:dyDescent="0.25">
      <c r="A293" s="476"/>
      <c r="B293" s="485"/>
      <c r="C293" s="417" t="s">
        <v>10</v>
      </c>
      <c r="D293" s="270"/>
      <c r="E293" s="312" t="s">
        <v>747</v>
      </c>
      <c r="F293" s="2212"/>
      <c r="G293" s="2212"/>
      <c r="H293" s="1897"/>
      <c r="I293" s="2355"/>
      <c r="J293" s="2355"/>
      <c r="K293" s="251" t="s">
        <v>750</v>
      </c>
      <c r="L293" s="256" t="s">
        <v>426</v>
      </c>
      <c r="M293" s="256"/>
      <c r="N293" s="248">
        <v>50</v>
      </c>
      <c r="O293" s="248">
        <v>100</v>
      </c>
      <c r="P293" s="248">
        <v>100</v>
      </c>
      <c r="Q293" s="248">
        <v>100</v>
      </c>
    </row>
    <row r="294" spans="1:17" s="129" customFormat="1" ht="45" x14ac:dyDescent="0.25">
      <c r="A294" s="1818"/>
      <c r="B294" s="485"/>
      <c r="C294" s="2359"/>
      <c r="D294" s="2359"/>
      <c r="E294" s="2361" t="s">
        <v>575</v>
      </c>
      <c r="F294" s="2212"/>
      <c r="G294" s="2212"/>
      <c r="H294" s="1897"/>
      <c r="I294" s="2355"/>
      <c r="J294" s="2355"/>
      <c r="K294" s="276" t="s">
        <v>751</v>
      </c>
      <c r="L294" s="272" t="s">
        <v>567</v>
      </c>
      <c r="M294" s="272"/>
      <c r="N294" s="272">
        <v>1</v>
      </c>
      <c r="O294" s="272">
        <v>1</v>
      </c>
      <c r="P294" s="272">
        <v>1</v>
      </c>
      <c r="Q294" s="272">
        <v>1</v>
      </c>
    </row>
    <row r="295" spans="1:17" s="129" customFormat="1" ht="30" x14ac:dyDescent="0.25">
      <c r="A295" s="1820"/>
      <c r="B295" s="487"/>
      <c r="C295" s="1885"/>
      <c r="D295" s="1885"/>
      <c r="E295" s="2021"/>
      <c r="F295" s="2212"/>
      <c r="G295" s="2212"/>
      <c r="H295" s="1897"/>
      <c r="I295" s="2355"/>
      <c r="J295" s="2355"/>
      <c r="K295" s="251" t="s">
        <v>576</v>
      </c>
      <c r="L295" s="256" t="s">
        <v>426</v>
      </c>
      <c r="M295" s="256"/>
      <c r="N295" s="280">
        <v>100</v>
      </c>
      <c r="O295" s="280">
        <v>100</v>
      </c>
      <c r="P295" s="280">
        <v>100</v>
      </c>
      <c r="Q295" s="280">
        <v>100</v>
      </c>
    </row>
    <row r="296" spans="1:17" s="129" customFormat="1" ht="60" x14ac:dyDescent="0.25">
      <c r="A296" s="477"/>
      <c r="B296" s="486"/>
      <c r="C296" s="2359" t="s">
        <v>12</v>
      </c>
      <c r="D296" s="254"/>
      <c r="E296" s="2021"/>
      <c r="F296" s="2212"/>
      <c r="G296" s="2212"/>
      <c r="H296" s="1897"/>
      <c r="I296" s="2355"/>
      <c r="J296" s="2355"/>
      <c r="K296" s="276" t="s">
        <v>752</v>
      </c>
      <c r="L296" s="272" t="s">
        <v>577</v>
      </c>
      <c r="M296" s="272"/>
      <c r="N296" s="272">
        <v>15</v>
      </c>
      <c r="O296" s="272">
        <v>15</v>
      </c>
      <c r="P296" s="272">
        <v>15</v>
      </c>
      <c r="Q296" s="272">
        <v>15</v>
      </c>
    </row>
    <row r="297" spans="1:17" s="129" customFormat="1" ht="45" x14ac:dyDescent="0.25">
      <c r="A297" s="477"/>
      <c r="B297" s="486"/>
      <c r="C297" s="2016"/>
      <c r="D297" s="254"/>
      <c r="E297" s="2021"/>
      <c r="F297" s="2212"/>
      <c r="G297" s="2212"/>
      <c r="H297" s="1897"/>
      <c r="I297" s="2355"/>
      <c r="J297" s="2355"/>
      <c r="K297" s="251" t="s">
        <v>753</v>
      </c>
      <c r="L297" s="256" t="s">
        <v>567</v>
      </c>
      <c r="M297" s="256"/>
      <c r="N297" s="280">
        <v>8</v>
      </c>
      <c r="O297" s="280">
        <v>8</v>
      </c>
      <c r="P297" s="280">
        <v>8</v>
      </c>
      <c r="Q297" s="280">
        <v>8</v>
      </c>
    </row>
    <row r="298" spans="1:17" s="129" customFormat="1" ht="45" x14ac:dyDescent="0.25">
      <c r="A298" s="477"/>
      <c r="B298" s="486"/>
      <c r="C298" s="2016"/>
      <c r="D298" s="254"/>
      <c r="E298" s="2021"/>
      <c r="F298" s="2212"/>
      <c r="G298" s="2212"/>
      <c r="H298" s="1897"/>
      <c r="I298" s="2355"/>
      <c r="J298" s="2355"/>
      <c r="K298" s="251" t="s">
        <v>578</v>
      </c>
      <c r="L298" s="256" t="s">
        <v>426</v>
      </c>
      <c r="M298" s="256"/>
      <c r="N298" s="280">
        <v>100</v>
      </c>
      <c r="O298" s="280">
        <v>100</v>
      </c>
      <c r="P298" s="280">
        <v>100</v>
      </c>
      <c r="Q298" s="280">
        <v>100</v>
      </c>
    </row>
    <row r="299" spans="1:17" s="129" customFormat="1" x14ac:dyDescent="0.25">
      <c r="A299" s="477"/>
      <c r="B299" s="486"/>
      <c r="C299" s="1885"/>
      <c r="D299" s="254"/>
      <c r="E299" s="2022"/>
      <c r="F299" s="2212"/>
      <c r="G299" s="2212"/>
      <c r="H299" s="1897"/>
      <c r="I299" s="2355"/>
      <c r="J299" s="2355"/>
      <c r="K299" s="2361" t="s">
        <v>754</v>
      </c>
      <c r="L299" s="2427" t="s">
        <v>426</v>
      </c>
      <c r="M299" s="2427"/>
      <c r="N299" s="2467">
        <v>100</v>
      </c>
      <c r="O299" s="2467">
        <v>100</v>
      </c>
      <c r="P299" s="2467">
        <v>100</v>
      </c>
      <c r="Q299" s="2467">
        <v>100</v>
      </c>
    </row>
    <row r="300" spans="1:17" s="129" customFormat="1" ht="45" x14ac:dyDescent="0.25">
      <c r="A300" s="476"/>
      <c r="B300" s="485"/>
      <c r="C300" s="417" t="s">
        <v>14</v>
      </c>
      <c r="D300" s="270"/>
      <c r="E300" s="312" t="s">
        <v>579</v>
      </c>
      <c r="F300" s="1889"/>
      <c r="G300" s="1889"/>
      <c r="H300" s="1897"/>
      <c r="I300" s="1910"/>
      <c r="J300" s="1910"/>
      <c r="K300" s="2022"/>
      <c r="L300" s="1832"/>
      <c r="M300" s="1832"/>
      <c r="N300" s="2088"/>
      <c r="O300" s="2088"/>
      <c r="P300" s="2088"/>
      <c r="Q300" s="2088"/>
    </row>
    <row r="301" spans="1:17" s="129" customFormat="1" ht="30" x14ac:dyDescent="0.25">
      <c r="A301" s="476"/>
      <c r="B301" s="485"/>
      <c r="C301" s="417" t="s">
        <v>16</v>
      </c>
      <c r="D301" s="270"/>
      <c r="E301" s="312" t="s">
        <v>580</v>
      </c>
      <c r="F301" s="248"/>
      <c r="G301" s="248">
        <v>12016.9</v>
      </c>
      <c r="H301" s="347">
        <f>3019.1+1018.8</f>
        <v>4037.8999999999996</v>
      </c>
      <c r="I301" s="267">
        <v>3955.9</v>
      </c>
      <c r="J301" s="267">
        <v>3996.9</v>
      </c>
      <c r="K301" s="251" t="s">
        <v>298</v>
      </c>
      <c r="L301" s="256" t="s">
        <v>238</v>
      </c>
      <c r="M301" s="256">
        <v>61469</v>
      </c>
      <c r="N301" s="280">
        <v>61550</v>
      </c>
      <c r="O301" s="280">
        <v>61600</v>
      </c>
      <c r="P301" s="280">
        <v>61650</v>
      </c>
      <c r="Q301" s="280">
        <v>61650</v>
      </c>
    </row>
    <row r="302" spans="1:17" s="129" customFormat="1" ht="58.5" x14ac:dyDescent="0.25">
      <c r="A302" s="568">
        <v>22</v>
      </c>
      <c r="B302" s="480">
        <v>5</v>
      </c>
      <c r="C302" s="417"/>
      <c r="D302" s="270"/>
      <c r="E302" s="348" t="s">
        <v>879</v>
      </c>
      <c r="F302" s="139"/>
      <c r="G302" s="139">
        <v>29319.5</v>
      </c>
      <c r="H302" s="373">
        <f>H303</f>
        <v>72971.199999999997</v>
      </c>
      <c r="I302" s="309">
        <v>2561.6</v>
      </c>
      <c r="J302" s="309">
        <v>2561.6</v>
      </c>
      <c r="K302" s="251" t="s">
        <v>755</v>
      </c>
      <c r="L302" s="256"/>
      <c r="M302" s="256"/>
      <c r="N302" s="280"/>
      <c r="O302" s="280"/>
      <c r="P302" s="280"/>
      <c r="Q302" s="280"/>
    </row>
    <row r="303" spans="1:17" s="129" customFormat="1" ht="30" x14ac:dyDescent="0.25">
      <c r="A303" s="476"/>
      <c r="B303" s="485"/>
      <c r="C303" s="417" t="s">
        <v>6</v>
      </c>
      <c r="D303" s="270"/>
      <c r="E303" s="312" t="s">
        <v>758</v>
      </c>
      <c r="F303" s="248"/>
      <c r="G303" s="248">
        <v>29319.5</v>
      </c>
      <c r="H303" s="347">
        <v>72971.199999999997</v>
      </c>
      <c r="I303" s="267">
        <v>2561.6</v>
      </c>
      <c r="J303" s="267">
        <v>2561.6</v>
      </c>
      <c r="K303" s="251" t="s">
        <v>581</v>
      </c>
      <c r="L303" s="256" t="s">
        <v>567</v>
      </c>
      <c r="M303" s="256">
        <v>6800</v>
      </c>
      <c r="N303" s="280">
        <v>6850</v>
      </c>
      <c r="O303" s="280">
        <v>6900</v>
      </c>
      <c r="P303" s="280">
        <v>6900</v>
      </c>
      <c r="Q303" s="280">
        <v>6900</v>
      </c>
    </row>
    <row r="304" spans="1:17" s="129" customFormat="1" ht="75" x14ac:dyDescent="0.25">
      <c r="A304" s="443">
        <v>22</v>
      </c>
      <c r="B304" s="496">
        <v>6</v>
      </c>
      <c r="C304" s="421"/>
      <c r="D304" s="329"/>
      <c r="E304" s="383" t="s">
        <v>817</v>
      </c>
      <c r="F304" s="31"/>
      <c r="G304" s="31">
        <v>0</v>
      </c>
      <c r="H304" s="320">
        <f>H305</f>
        <v>43384.1</v>
      </c>
      <c r="I304" s="320">
        <v>27632.5</v>
      </c>
      <c r="J304" s="320">
        <v>27990.799999999999</v>
      </c>
      <c r="K304" s="317" t="s">
        <v>756</v>
      </c>
      <c r="L304" s="318"/>
      <c r="M304" s="318"/>
      <c r="N304" s="272"/>
      <c r="O304" s="272"/>
      <c r="P304" s="272"/>
      <c r="Q304" s="272"/>
    </row>
    <row r="305" spans="1:17" s="129" customFormat="1" ht="30" x14ac:dyDescent="0.25">
      <c r="A305" s="582"/>
      <c r="B305" s="608"/>
      <c r="C305" s="446" t="s">
        <v>6</v>
      </c>
      <c r="D305" s="11"/>
      <c r="E305" s="137" t="s">
        <v>582</v>
      </c>
      <c r="F305" s="272"/>
      <c r="G305" s="272"/>
      <c r="H305" s="272">
        <f>42636.5+747.6</f>
        <v>43384.1</v>
      </c>
      <c r="I305" s="272">
        <v>27632.5</v>
      </c>
      <c r="J305" s="272">
        <v>27990.799999999999</v>
      </c>
      <c r="K305" s="137" t="s">
        <v>757</v>
      </c>
      <c r="L305" s="272" t="s">
        <v>426</v>
      </c>
      <c r="M305" s="272">
        <v>100</v>
      </c>
      <c r="N305" s="272">
        <v>100</v>
      </c>
      <c r="O305" s="272">
        <v>100</v>
      </c>
      <c r="P305" s="272">
        <v>100</v>
      </c>
      <c r="Q305" s="272">
        <v>100</v>
      </c>
    </row>
    <row r="306" spans="1:17" s="142" customFormat="1" x14ac:dyDescent="0.25">
      <c r="A306" s="1840" t="s">
        <v>106</v>
      </c>
      <c r="B306" s="1841"/>
      <c r="C306" s="1841"/>
      <c r="D306" s="1841"/>
      <c r="E306" s="1841"/>
      <c r="F306" s="46">
        <v>0</v>
      </c>
      <c r="G306" s="46">
        <v>187566.8</v>
      </c>
      <c r="H306" s="46">
        <f>H270+H281+H286+H290+H302+H304</f>
        <v>296793.76999999996</v>
      </c>
      <c r="I306" s="46">
        <v>191389.6267467349</v>
      </c>
      <c r="J306" s="46">
        <v>193359.57480024869</v>
      </c>
      <c r="K306" s="16"/>
      <c r="L306" s="2317"/>
      <c r="M306" s="2318"/>
      <c r="N306" s="2318"/>
      <c r="O306" s="2318"/>
      <c r="P306" s="2318"/>
      <c r="Q306" s="2319"/>
    </row>
    <row r="307" spans="1:17" x14ac:dyDescent="0.25">
      <c r="A307" s="1826" t="s">
        <v>107</v>
      </c>
      <c r="B307" s="1827"/>
      <c r="C307" s="1827"/>
      <c r="D307" s="1827"/>
      <c r="E307" s="1827"/>
      <c r="F307" s="1827"/>
      <c r="G307" s="1827"/>
      <c r="H307" s="1827"/>
      <c r="I307" s="1827"/>
      <c r="J307" s="1827"/>
      <c r="K307" s="1827"/>
      <c r="L307" s="1827"/>
      <c r="M307" s="1827"/>
      <c r="N307" s="1827"/>
      <c r="O307" s="1827"/>
      <c r="P307" s="1827"/>
      <c r="Q307" s="1828"/>
    </row>
    <row r="308" spans="1:17" s="129" customFormat="1" ht="73.5" x14ac:dyDescent="0.25">
      <c r="A308" s="443">
        <v>23</v>
      </c>
      <c r="B308" s="496">
        <v>1</v>
      </c>
      <c r="C308" s="421"/>
      <c r="D308" s="4"/>
      <c r="E308" s="385" t="s">
        <v>810</v>
      </c>
      <c r="F308" s="192">
        <v>111043.2</v>
      </c>
      <c r="G308" s="192">
        <v>153301.4</v>
      </c>
      <c r="H308" s="720">
        <f>H309+H310+H311+H312+H313+H314+H315+H316+H317</f>
        <v>414299.10800000001</v>
      </c>
      <c r="I308" s="192">
        <v>192391.49999999997</v>
      </c>
      <c r="J308" s="192">
        <v>195615.2</v>
      </c>
      <c r="K308" s="301" t="s">
        <v>181</v>
      </c>
      <c r="L308" s="257" t="s">
        <v>182</v>
      </c>
      <c r="M308" s="257">
        <v>11.7</v>
      </c>
      <c r="N308" s="364">
        <v>8.4600000000000009</v>
      </c>
      <c r="O308" s="257">
        <v>7.6</v>
      </c>
      <c r="P308" s="364">
        <v>7.6</v>
      </c>
      <c r="Q308" s="257">
        <v>7.6</v>
      </c>
    </row>
    <row r="309" spans="1:17" s="129" customFormat="1" x14ac:dyDescent="0.25">
      <c r="A309" s="505"/>
      <c r="B309" s="500"/>
      <c r="C309" s="421" t="s">
        <v>6</v>
      </c>
      <c r="D309" s="91"/>
      <c r="E309" s="370" t="s">
        <v>7</v>
      </c>
      <c r="F309" s="318">
        <v>9362.9</v>
      </c>
      <c r="G309" s="318">
        <v>12625.6</v>
      </c>
      <c r="H309" s="710">
        <f>12648+47376.469</f>
        <v>60024.468999999997</v>
      </c>
      <c r="I309" s="360">
        <v>22569.200000000001</v>
      </c>
      <c r="J309" s="360">
        <v>22990.7</v>
      </c>
      <c r="K309" s="317" t="s">
        <v>183</v>
      </c>
      <c r="L309" s="318" t="s">
        <v>184</v>
      </c>
      <c r="M309" s="318">
        <v>39.700000000000003</v>
      </c>
      <c r="N309" s="318">
        <v>44.8</v>
      </c>
      <c r="O309" s="318">
        <v>45.3</v>
      </c>
      <c r="P309" s="318">
        <v>46.1</v>
      </c>
      <c r="Q309" s="318">
        <v>47.5</v>
      </c>
    </row>
    <row r="310" spans="1:17" s="129" customFormat="1" x14ac:dyDescent="0.25">
      <c r="A310" s="505"/>
      <c r="B310" s="500"/>
      <c r="C310" s="421" t="s">
        <v>8</v>
      </c>
      <c r="D310" s="91"/>
      <c r="E310" s="370" t="s">
        <v>9</v>
      </c>
      <c r="F310" s="318">
        <v>5461.5</v>
      </c>
      <c r="G310" s="360">
        <v>12565</v>
      </c>
      <c r="H310" s="710">
        <f>4618.9+39795.069</f>
        <v>44413.969000000005</v>
      </c>
      <c r="I310" s="360">
        <v>14786.2</v>
      </c>
      <c r="J310" s="360">
        <v>15115.8</v>
      </c>
      <c r="K310" s="317" t="s">
        <v>185</v>
      </c>
      <c r="L310" s="318" t="s">
        <v>182</v>
      </c>
      <c r="M310" s="318">
        <v>89</v>
      </c>
      <c r="N310" s="318">
        <v>92</v>
      </c>
      <c r="O310" s="318">
        <v>92</v>
      </c>
      <c r="P310" s="318">
        <v>92</v>
      </c>
      <c r="Q310" s="318">
        <v>92</v>
      </c>
    </row>
    <row r="311" spans="1:17" s="129" customFormat="1" ht="30" x14ac:dyDescent="0.25">
      <c r="A311" s="505"/>
      <c r="B311" s="500"/>
      <c r="C311" s="421" t="s">
        <v>10</v>
      </c>
      <c r="D311" s="91"/>
      <c r="E311" s="370" t="s">
        <v>11</v>
      </c>
      <c r="F311" s="360">
        <v>5275</v>
      </c>
      <c r="G311" s="318">
        <v>13133.7</v>
      </c>
      <c r="H311" s="710">
        <f>3337.1+38645.569</f>
        <v>41982.669000000002</v>
      </c>
      <c r="I311" s="360">
        <v>12427.5</v>
      </c>
      <c r="J311" s="360">
        <v>12729.2</v>
      </c>
      <c r="K311" s="56" t="s">
        <v>186</v>
      </c>
      <c r="L311" s="318" t="s">
        <v>182</v>
      </c>
      <c r="M311" s="318">
        <v>0</v>
      </c>
      <c r="N311" s="318">
        <v>100</v>
      </c>
      <c r="O311" s="318">
        <v>100</v>
      </c>
      <c r="P311" s="318">
        <v>100</v>
      </c>
      <c r="Q311" s="318">
        <v>100</v>
      </c>
    </row>
    <row r="312" spans="1:17" s="129" customFormat="1" ht="30" x14ac:dyDescent="0.25">
      <c r="A312" s="505"/>
      <c r="B312" s="500"/>
      <c r="C312" s="421" t="s">
        <v>12</v>
      </c>
      <c r="D312" s="91"/>
      <c r="E312" s="370" t="s">
        <v>13</v>
      </c>
      <c r="F312" s="360">
        <v>5444</v>
      </c>
      <c r="G312" s="318">
        <v>12751.8</v>
      </c>
      <c r="H312" s="710">
        <f>5135.3+42476.869</f>
        <v>47612.169000000002</v>
      </c>
      <c r="I312" s="360">
        <v>16120.6</v>
      </c>
      <c r="J312" s="360">
        <v>16465.900000000001</v>
      </c>
      <c r="K312" s="317" t="s">
        <v>187</v>
      </c>
      <c r="L312" s="318" t="s">
        <v>423</v>
      </c>
      <c r="M312" s="318">
        <v>0</v>
      </c>
      <c r="N312" s="318">
        <v>100</v>
      </c>
      <c r="O312" s="318">
        <v>100</v>
      </c>
      <c r="P312" s="318">
        <v>100</v>
      </c>
      <c r="Q312" s="318">
        <v>100</v>
      </c>
    </row>
    <row r="313" spans="1:17" s="129" customFormat="1" ht="30" x14ac:dyDescent="0.25">
      <c r="A313" s="505"/>
      <c r="B313" s="500"/>
      <c r="C313" s="421" t="s">
        <v>14</v>
      </c>
      <c r="D313" s="91"/>
      <c r="E313" s="370" t="s">
        <v>15</v>
      </c>
      <c r="F313" s="318">
        <v>5425.8</v>
      </c>
      <c r="G313" s="318">
        <v>11004.5</v>
      </c>
      <c r="H313" s="710">
        <f>1715.1+38856.969</f>
        <v>40572.068999999996</v>
      </c>
      <c r="I313" s="360">
        <v>12354.3</v>
      </c>
      <c r="J313" s="360">
        <v>12654.5</v>
      </c>
      <c r="K313" s="317" t="s">
        <v>466</v>
      </c>
      <c r="L313" s="318" t="s">
        <v>189</v>
      </c>
      <c r="M313" s="318">
        <v>0</v>
      </c>
      <c r="N313" s="318">
        <v>270</v>
      </c>
      <c r="O313" s="318">
        <v>278</v>
      </c>
      <c r="P313" s="318">
        <v>286</v>
      </c>
      <c r="Q313" s="318">
        <v>295</v>
      </c>
    </row>
    <row r="314" spans="1:17" s="129" customFormat="1" ht="30" x14ac:dyDescent="0.25">
      <c r="A314" s="505"/>
      <c r="B314" s="500"/>
      <c r="C314" s="421" t="s">
        <v>16</v>
      </c>
      <c r="D314" s="91"/>
      <c r="E314" s="370" t="s">
        <v>17</v>
      </c>
      <c r="F314" s="318">
        <v>53912.7</v>
      </c>
      <c r="G314" s="318">
        <v>57550.5</v>
      </c>
      <c r="H314" s="710">
        <f>61065.5+43510.794</f>
        <v>104576.29399999999</v>
      </c>
      <c r="I314" s="360">
        <v>74118</v>
      </c>
      <c r="J314" s="360">
        <v>75222</v>
      </c>
      <c r="K314" s="317" t="s">
        <v>259</v>
      </c>
      <c r="L314" s="318" t="s">
        <v>182</v>
      </c>
      <c r="M314" s="318">
        <v>37</v>
      </c>
      <c r="N314" s="318">
        <v>37</v>
      </c>
      <c r="O314" s="318">
        <v>20.6</v>
      </c>
      <c r="P314" s="318">
        <v>20.6</v>
      </c>
      <c r="Q314" s="318">
        <v>20.6</v>
      </c>
    </row>
    <row r="315" spans="1:17" s="129" customFormat="1" ht="60" x14ac:dyDescent="0.25">
      <c r="A315" s="505"/>
      <c r="B315" s="500"/>
      <c r="C315" s="421" t="s">
        <v>48</v>
      </c>
      <c r="D315" s="91"/>
      <c r="E315" s="370" t="s">
        <v>479</v>
      </c>
      <c r="F315" s="318">
        <v>5507.8</v>
      </c>
      <c r="G315" s="318">
        <v>10642.2</v>
      </c>
      <c r="H315" s="710">
        <f>4906.4+42225.669</f>
        <v>47132.069000000003</v>
      </c>
      <c r="I315" s="360">
        <v>19004.900000000001</v>
      </c>
      <c r="J315" s="360">
        <v>19383.5</v>
      </c>
      <c r="K315" s="317" t="s">
        <v>299</v>
      </c>
      <c r="L315" s="318" t="s">
        <v>182</v>
      </c>
      <c r="M315" s="318">
        <v>75</v>
      </c>
      <c r="N315" s="318">
        <v>49.2</v>
      </c>
      <c r="O315" s="318">
        <v>50.7</v>
      </c>
      <c r="P315" s="318">
        <v>52.2</v>
      </c>
      <c r="Q315" s="318">
        <v>53.8</v>
      </c>
    </row>
    <row r="316" spans="1:17" s="129" customFormat="1" x14ac:dyDescent="0.25">
      <c r="A316" s="505"/>
      <c r="B316" s="500"/>
      <c r="C316" s="421" t="s">
        <v>49</v>
      </c>
      <c r="D316" s="91"/>
      <c r="E316" s="370" t="s">
        <v>67</v>
      </c>
      <c r="F316" s="318"/>
      <c r="G316" s="318"/>
      <c r="H316" s="710"/>
      <c r="I316" s="318"/>
      <c r="J316" s="318"/>
      <c r="K316" s="317"/>
      <c r="L316" s="318"/>
      <c r="M316" s="318"/>
      <c r="N316" s="318"/>
      <c r="O316" s="318"/>
      <c r="P316" s="318"/>
      <c r="Q316" s="318"/>
    </row>
    <row r="317" spans="1:17" s="129" customFormat="1" ht="45" x14ac:dyDescent="0.25">
      <c r="A317" s="443"/>
      <c r="B317" s="496"/>
      <c r="C317" s="421" t="s">
        <v>161</v>
      </c>
      <c r="D317" s="91"/>
      <c r="E317" s="453" t="s">
        <v>108</v>
      </c>
      <c r="F317" s="318">
        <v>20653.5</v>
      </c>
      <c r="G317" s="318">
        <v>23028.1</v>
      </c>
      <c r="H317" s="318">
        <f>3557.6+24427.8</f>
        <v>27985.399999999998</v>
      </c>
      <c r="I317" s="360">
        <v>21010.799999999999</v>
      </c>
      <c r="J317" s="318">
        <v>21053.599999999999</v>
      </c>
      <c r="K317" s="317" t="s">
        <v>300</v>
      </c>
      <c r="L317" s="318" t="s">
        <v>222</v>
      </c>
      <c r="M317" s="318">
        <v>29</v>
      </c>
      <c r="N317" s="318">
        <v>49</v>
      </c>
      <c r="O317" s="318">
        <v>50</v>
      </c>
      <c r="P317" s="318">
        <v>51</v>
      </c>
      <c r="Q317" s="318">
        <v>53</v>
      </c>
    </row>
    <row r="318" spans="1:17" s="129" customFormat="1" ht="117.75" x14ac:dyDescent="0.25">
      <c r="A318" s="557">
        <v>23</v>
      </c>
      <c r="B318" s="480">
        <v>2</v>
      </c>
      <c r="C318" s="423"/>
      <c r="D318" s="514"/>
      <c r="E318" s="140" t="s">
        <v>760</v>
      </c>
      <c r="F318" s="286">
        <v>181542.00000000003</v>
      </c>
      <c r="G318" s="286">
        <v>70708.099999999991</v>
      </c>
      <c r="H318" s="706">
        <f>H319+H320+H321+H322+H323+H324+H325</f>
        <v>325036.283</v>
      </c>
      <c r="I318" s="286">
        <v>116537.4</v>
      </c>
      <c r="J318" s="286">
        <v>118990.20000000001</v>
      </c>
      <c r="K318" s="171" t="s">
        <v>759</v>
      </c>
      <c r="L318" s="276" t="s">
        <v>465</v>
      </c>
      <c r="M318" s="276"/>
      <c r="N318" s="11">
        <v>585</v>
      </c>
      <c r="O318" s="11">
        <v>603</v>
      </c>
      <c r="P318" s="11">
        <v>621</v>
      </c>
      <c r="Q318" s="11">
        <v>640</v>
      </c>
    </row>
    <row r="319" spans="1:17" s="129" customFormat="1" ht="45" x14ac:dyDescent="0.25">
      <c r="A319" s="499"/>
      <c r="B319" s="485"/>
      <c r="C319" s="424">
        <v>1</v>
      </c>
      <c r="D319" s="13"/>
      <c r="E319" s="389" t="s">
        <v>109</v>
      </c>
      <c r="F319" s="315">
        <v>23326.400000000001</v>
      </c>
      <c r="G319" s="200">
        <v>250.2</v>
      </c>
      <c r="H319" s="361">
        <f>3609+42165.269</f>
        <v>45774.269</v>
      </c>
      <c r="I319" s="361">
        <v>16648.2</v>
      </c>
      <c r="J319" s="361">
        <v>16998.599999999999</v>
      </c>
      <c r="K319" s="389" t="s">
        <v>301</v>
      </c>
      <c r="L319" s="276" t="s">
        <v>222</v>
      </c>
      <c r="M319" s="276"/>
      <c r="N319" s="43">
        <v>70</v>
      </c>
      <c r="O319" s="43">
        <v>72</v>
      </c>
      <c r="P319" s="43">
        <v>74</v>
      </c>
      <c r="Q319" s="43">
        <v>76</v>
      </c>
    </row>
    <row r="320" spans="1:17" s="129" customFormat="1" ht="75" x14ac:dyDescent="0.25">
      <c r="A320" s="505"/>
      <c r="B320" s="500"/>
      <c r="C320" s="422">
        <v>2</v>
      </c>
      <c r="D320" s="344"/>
      <c r="E320" s="276" t="s">
        <v>761</v>
      </c>
      <c r="F320" s="318">
        <v>23319.7</v>
      </c>
      <c r="G320" s="201">
        <v>250.2</v>
      </c>
      <c r="H320" s="361">
        <f>3609+42165.169</f>
        <v>45774.169000000002</v>
      </c>
      <c r="I320" s="361">
        <v>16648.2</v>
      </c>
      <c r="J320" s="361">
        <v>16998.599999999999</v>
      </c>
      <c r="K320" s="276" t="s">
        <v>302</v>
      </c>
      <c r="L320" s="276" t="s">
        <v>222</v>
      </c>
      <c r="M320" s="276">
        <v>39</v>
      </c>
      <c r="N320" s="43">
        <v>26</v>
      </c>
      <c r="O320" s="43">
        <v>40</v>
      </c>
      <c r="P320" s="43">
        <v>41</v>
      </c>
      <c r="Q320" s="43">
        <v>42</v>
      </c>
    </row>
    <row r="321" spans="1:17" s="129" customFormat="1" ht="75" x14ac:dyDescent="0.25">
      <c r="A321" s="499"/>
      <c r="B321" s="485"/>
      <c r="C321" s="422">
        <v>3</v>
      </c>
      <c r="D321" s="344"/>
      <c r="E321" s="276" t="s">
        <v>762</v>
      </c>
      <c r="F321" s="315">
        <v>19209.8</v>
      </c>
      <c r="G321" s="200">
        <v>250.2</v>
      </c>
      <c r="H321" s="361">
        <f>7529+42862.169</f>
        <v>50391.169000000002</v>
      </c>
      <c r="I321" s="361">
        <v>16648.2</v>
      </c>
      <c r="J321" s="361">
        <v>16998.599999999999</v>
      </c>
      <c r="K321" s="389" t="s">
        <v>303</v>
      </c>
      <c r="L321" s="276" t="s">
        <v>222</v>
      </c>
      <c r="M321" s="276">
        <v>62</v>
      </c>
      <c r="N321" s="43">
        <v>70</v>
      </c>
      <c r="O321" s="43">
        <v>72</v>
      </c>
      <c r="P321" s="43">
        <v>74</v>
      </c>
      <c r="Q321" s="43">
        <v>76</v>
      </c>
    </row>
    <row r="322" spans="1:17" s="129" customFormat="1" ht="45" x14ac:dyDescent="0.25">
      <c r="A322" s="499"/>
      <c r="B322" s="485"/>
      <c r="C322" s="424">
        <v>4</v>
      </c>
      <c r="D322" s="313"/>
      <c r="E322" s="276" t="s">
        <v>110</v>
      </c>
      <c r="F322" s="315">
        <v>12816.1</v>
      </c>
      <c r="G322" s="315">
        <v>15712.9</v>
      </c>
      <c r="H322" s="361">
        <f>3609+42165.169</f>
        <v>45774.169000000002</v>
      </c>
      <c r="I322" s="361">
        <v>16648.2</v>
      </c>
      <c r="J322" s="361">
        <v>16998.599999999999</v>
      </c>
      <c r="K322" s="276" t="s">
        <v>304</v>
      </c>
      <c r="L322" s="276" t="s">
        <v>465</v>
      </c>
      <c r="M322" s="276"/>
      <c r="N322" s="43">
        <v>53</v>
      </c>
      <c r="O322" s="43">
        <v>55</v>
      </c>
      <c r="P322" s="43">
        <v>57</v>
      </c>
      <c r="Q322" s="43">
        <v>59</v>
      </c>
    </row>
    <row r="323" spans="1:17" s="129" customFormat="1" ht="60" x14ac:dyDescent="0.25">
      <c r="A323" s="499"/>
      <c r="B323" s="485"/>
      <c r="C323" s="424">
        <v>5</v>
      </c>
      <c r="D323" s="313"/>
      <c r="E323" s="276" t="s">
        <v>763</v>
      </c>
      <c r="F323" s="315">
        <v>71558.899999999994</v>
      </c>
      <c r="G323" s="315">
        <v>29332.6</v>
      </c>
      <c r="H323" s="361">
        <f>3609+42165.169</f>
        <v>45774.169000000002</v>
      </c>
      <c r="I323" s="361">
        <v>16648.2</v>
      </c>
      <c r="J323" s="361">
        <v>16998.599999999999</v>
      </c>
      <c r="K323" s="276" t="s">
        <v>765</v>
      </c>
      <c r="L323" s="276" t="s">
        <v>222</v>
      </c>
      <c r="M323" s="276"/>
      <c r="N323" s="43">
        <v>1</v>
      </c>
      <c r="O323" s="43">
        <v>1</v>
      </c>
      <c r="P323" s="43">
        <v>1</v>
      </c>
      <c r="Q323" s="43">
        <v>1</v>
      </c>
    </row>
    <row r="324" spans="1:17" s="129" customFormat="1" ht="45" x14ac:dyDescent="0.25">
      <c r="A324" s="499"/>
      <c r="B324" s="485"/>
      <c r="C324" s="424">
        <v>6</v>
      </c>
      <c r="D324" s="313"/>
      <c r="E324" s="276" t="s">
        <v>764</v>
      </c>
      <c r="F324" s="315">
        <v>19864.2</v>
      </c>
      <c r="G324" s="376">
        <v>13465.1</v>
      </c>
      <c r="H324" s="361">
        <f>3609+42165.169</f>
        <v>45774.169000000002</v>
      </c>
      <c r="I324" s="361">
        <v>16648.2</v>
      </c>
      <c r="J324" s="361">
        <v>16998.599999999999</v>
      </c>
      <c r="K324" s="276" t="s">
        <v>480</v>
      </c>
      <c r="L324" s="276" t="s">
        <v>222</v>
      </c>
      <c r="M324" s="276">
        <v>1249</v>
      </c>
      <c r="N324" s="44">
        <v>1261</v>
      </c>
      <c r="O324" s="44">
        <v>1274</v>
      </c>
      <c r="P324" s="44">
        <v>1287</v>
      </c>
      <c r="Q324" s="44">
        <v>1300</v>
      </c>
    </row>
    <row r="325" spans="1:17" s="129" customFormat="1" ht="45" x14ac:dyDescent="0.25">
      <c r="A325" s="499"/>
      <c r="B325" s="485"/>
      <c r="C325" s="424">
        <v>7</v>
      </c>
      <c r="D325" s="313"/>
      <c r="E325" s="276" t="s">
        <v>111</v>
      </c>
      <c r="F325" s="315">
        <v>11446.9</v>
      </c>
      <c r="G325" s="315">
        <v>11446.9</v>
      </c>
      <c r="H325" s="361">
        <f>3609+42165.169</f>
        <v>45774.169000000002</v>
      </c>
      <c r="I325" s="361">
        <v>16648.2</v>
      </c>
      <c r="J325" s="361">
        <v>16998.599999999999</v>
      </c>
      <c r="K325" s="276" t="s">
        <v>305</v>
      </c>
      <c r="L325" s="276" t="s">
        <v>222</v>
      </c>
      <c r="M325" s="276">
        <v>636</v>
      </c>
      <c r="N325" s="43">
        <v>642</v>
      </c>
      <c r="O325" s="43">
        <v>661</v>
      </c>
      <c r="P325" s="43">
        <v>667</v>
      </c>
      <c r="Q325" s="43">
        <v>674</v>
      </c>
    </row>
    <row r="326" spans="1:17" s="129" customFormat="1" ht="117.75" x14ac:dyDescent="0.25">
      <c r="A326" s="557">
        <v>23</v>
      </c>
      <c r="B326" s="480">
        <v>3</v>
      </c>
      <c r="C326" s="423"/>
      <c r="D326" s="328"/>
      <c r="E326" s="140" t="s">
        <v>818</v>
      </c>
      <c r="F326" s="286">
        <v>24256.400000000001</v>
      </c>
      <c r="G326" s="286">
        <v>53253.599999999999</v>
      </c>
      <c r="H326" s="286">
        <f>H327+H328</f>
        <v>83120.138999999996</v>
      </c>
      <c r="I326" s="286">
        <v>33296.199999999997</v>
      </c>
      <c r="J326" s="286">
        <v>33997</v>
      </c>
      <c r="K326" s="171" t="s">
        <v>306</v>
      </c>
      <c r="L326" s="276" t="s">
        <v>222</v>
      </c>
      <c r="M326" s="276">
        <v>8</v>
      </c>
      <c r="N326" s="276">
        <v>9</v>
      </c>
      <c r="O326" s="276">
        <v>10</v>
      </c>
      <c r="P326" s="276">
        <v>11</v>
      </c>
      <c r="Q326" s="276">
        <v>12</v>
      </c>
    </row>
    <row r="327" spans="1:17" s="129" customFormat="1" ht="45" x14ac:dyDescent="0.25">
      <c r="A327" s="499"/>
      <c r="B327" s="485"/>
      <c r="C327" s="423" t="s">
        <v>6</v>
      </c>
      <c r="D327" s="328"/>
      <c r="E327" s="317" t="s">
        <v>112</v>
      </c>
      <c r="F327" s="315">
        <v>12128.2</v>
      </c>
      <c r="G327" s="315">
        <v>26289.3</v>
      </c>
      <c r="H327" s="361">
        <f>3609+42165.169</f>
        <v>45774.169000000002</v>
      </c>
      <c r="I327" s="376">
        <v>16648.099999999999</v>
      </c>
      <c r="J327" s="376">
        <v>16998.5</v>
      </c>
      <c r="K327" s="178" t="s">
        <v>307</v>
      </c>
      <c r="L327" s="276" t="s">
        <v>222</v>
      </c>
      <c r="M327" s="276">
        <v>2</v>
      </c>
      <c r="N327" s="43">
        <v>2</v>
      </c>
      <c r="O327" s="43">
        <v>3</v>
      </c>
      <c r="P327" s="43">
        <v>3</v>
      </c>
      <c r="Q327" s="43">
        <v>3</v>
      </c>
    </row>
    <row r="328" spans="1:17" s="129" customFormat="1" ht="30" x14ac:dyDescent="0.25">
      <c r="A328" s="499"/>
      <c r="B328" s="485"/>
      <c r="C328" s="423" t="s">
        <v>8</v>
      </c>
      <c r="D328" s="328"/>
      <c r="E328" s="389" t="s">
        <v>113</v>
      </c>
      <c r="F328" s="315">
        <v>12128.2</v>
      </c>
      <c r="G328" s="200">
        <v>26964.3</v>
      </c>
      <c r="H328" s="361">
        <f>3609+33736.97</f>
        <v>37345.97</v>
      </c>
      <c r="I328" s="376">
        <v>16648.099999999999</v>
      </c>
      <c r="J328" s="376">
        <v>16998.5</v>
      </c>
      <c r="K328" s="317" t="s">
        <v>308</v>
      </c>
      <c r="L328" s="276" t="s">
        <v>222</v>
      </c>
      <c r="M328" s="276"/>
      <c r="N328" s="43">
        <v>6</v>
      </c>
      <c r="O328" s="43">
        <v>7</v>
      </c>
      <c r="P328" s="43">
        <v>8</v>
      </c>
      <c r="Q328" s="43">
        <v>9</v>
      </c>
    </row>
    <row r="329" spans="1:17" s="129" customFormat="1" ht="88.5" x14ac:dyDescent="0.25">
      <c r="A329" s="557">
        <v>23</v>
      </c>
      <c r="B329" s="480">
        <v>4</v>
      </c>
      <c r="C329" s="423"/>
      <c r="D329" s="328"/>
      <c r="E329" s="140" t="s">
        <v>819</v>
      </c>
      <c r="F329" s="390">
        <v>1011367.8</v>
      </c>
      <c r="G329" s="191">
        <v>926420.9</v>
      </c>
      <c r="H329" s="721">
        <f>H331+H332+H333</f>
        <v>1204521.1000000001</v>
      </c>
      <c r="I329" s="191">
        <v>1187857.7</v>
      </c>
      <c r="J329" s="191">
        <v>1203656.3</v>
      </c>
      <c r="K329" s="171" t="s">
        <v>309</v>
      </c>
      <c r="L329" s="276" t="s">
        <v>222</v>
      </c>
      <c r="M329" s="276">
        <v>3259</v>
      </c>
      <c r="N329" s="43">
        <v>3292</v>
      </c>
      <c r="O329" s="43">
        <v>3325</v>
      </c>
      <c r="P329" s="43">
        <v>3358</v>
      </c>
      <c r="Q329" s="43">
        <v>3392</v>
      </c>
    </row>
    <row r="330" spans="1:17" s="129" customFormat="1" hidden="1" x14ac:dyDescent="0.25">
      <c r="A330" s="499"/>
      <c r="B330" s="485"/>
      <c r="C330" s="423"/>
      <c r="D330" s="328"/>
      <c r="E330" s="314"/>
      <c r="F330" s="315"/>
      <c r="G330" s="315"/>
      <c r="H330" s="361"/>
      <c r="I330" s="361"/>
      <c r="J330" s="361"/>
      <c r="K330" s="276"/>
      <c r="L330" s="276"/>
      <c r="M330" s="276"/>
      <c r="N330" s="43"/>
      <c r="O330" s="43"/>
      <c r="P330" s="43"/>
      <c r="Q330" s="43"/>
    </row>
    <row r="331" spans="1:17" s="129" customFormat="1" ht="75" x14ac:dyDescent="0.25">
      <c r="A331" s="499"/>
      <c r="B331" s="485"/>
      <c r="C331" s="423" t="s">
        <v>6</v>
      </c>
      <c r="D331" s="328"/>
      <c r="E331" s="317" t="s">
        <v>114</v>
      </c>
      <c r="F331" s="376">
        <v>426004.7</v>
      </c>
      <c r="G331" s="376">
        <v>361454.5</v>
      </c>
      <c r="H331" s="361">
        <f>436637.9+100468.5</f>
        <v>537106.4</v>
      </c>
      <c r="I331" s="361">
        <v>574184.69999999995</v>
      </c>
      <c r="J331" s="361">
        <v>581729.1</v>
      </c>
      <c r="K331" s="276" t="s">
        <v>481</v>
      </c>
      <c r="L331" s="276" t="s">
        <v>222</v>
      </c>
      <c r="M331" s="276">
        <v>202</v>
      </c>
      <c r="N331" s="43">
        <v>202</v>
      </c>
      <c r="O331" s="43">
        <v>202</v>
      </c>
      <c r="P331" s="43">
        <v>208</v>
      </c>
      <c r="Q331" s="43">
        <v>208</v>
      </c>
    </row>
    <row r="332" spans="1:17" s="129" customFormat="1" ht="75" x14ac:dyDescent="0.25">
      <c r="A332" s="499"/>
      <c r="B332" s="485"/>
      <c r="C332" s="423" t="s">
        <v>8</v>
      </c>
      <c r="D332" s="328"/>
      <c r="E332" s="317" t="s">
        <v>115</v>
      </c>
      <c r="F332" s="315">
        <v>436198.2</v>
      </c>
      <c r="G332" s="376">
        <v>343101.8</v>
      </c>
      <c r="H332" s="361">
        <f>363736.8+104237.7</f>
        <v>467974.5</v>
      </c>
      <c r="I332" s="361">
        <v>407739</v>
      </c>
      <c r="J332" s="361">
        <v>413192.4</v>
      </c>
      <c r="K332" s="276" t="s">
        <v>766</v>
      </c>
      <c r="L332" s="276" t="s">
        <v>222</v>
      </c>
      <c r="M332" s="276"/>
      <c r="N332" s="43">
        <v>32</v>
      </c>
      <c r="O332" s="43">
        <v>33</v>
      </c>
      <c r="P332" s="43">
        <v>35</v>
      </c>
      <c r="Q332" s="43">
        <v>36</v>
      </c>
    </row>
    <row r="333" spans="1:17" s="129" customFormat="1" ht="60" x14ac:dyDescent="0.25">
      <c r="A333" s="499"/>
      <c r="B333" s="485"/>
      <c r="C333" s="423" t="s">
        <v>10</v>
      </c>
      <c r="D333" s="328"/>
      <c r="E333" s="317" t="s">
        <v>116</v>
      </c>
      <c r="F333" s="315">
        <v>149164.9</v>
      </c>
      <c r="G333" s="376">
        <v>221864.6</v>
      </c>
      <c r="H333" s="361">
        <f>158202.7+41237.5</f>
        <v>199440.2</v>
      </c>
      <c r="I333" s="361">
        <v>205934</v>
      </c>
      <c r="J333" s="361">
        <v>208734.8</v>
      </c>
      <c r="K333" s="317" t="s">
        <v>768</v>
      </c>
      <c r="L333" s="276" t="s">
        <v>222</v>
      </c>
      <c r="M333" s="276"/>
      <c r="N333" s="43">
        <v>1220</v>
      </c>
      <c r="O333" s="43">
        <v>1232</v>
      </c>
      <c r="P333" s="43">
        <v>1244</v>
      </c>
      <c r="Q333" s="43">
        <v>1256</v>
      </c>
    </row>
    <row r="334" spans="1:17" s="129" customFormat="1" ht="78.75" customHeight="1" x14ac:dyDescent="0.25">
      <c r="A334" s="443">
        <v>23</v>
      </c>
      <c r="B334" s="496">
        <v>5</v>
      </c>
      <c r="C334" s="421"/>
      <c r="D334" s="329"/>
      <c r="E334" s="140" t="s">
        <v>585</v>
      </c>
      <c r="F334" s="191">
        <v>104270.59999999999</v>
      </c>
      <c r="G334" s="191">
        <v>414717.7</v>
      </c>
      <c r="H334" s="721">
        <f>H335+H336+H339</f>
        <v>475372.17</v>
      </c>
      <c r="I334" s="191">
        <v>255009.19999999998</v>
      </c>
      <c r="J334" s="191">
        <v>258707.5</v>
      </c>
      <c r="K334" s="171" t="s">
        <v>483</v>
      </c>
      <c r="L334" s="276"/>
      <c r="M334" s="276"/>
      <c r="N334" s="43"/>
      <c r="O334" s="43"/>
      <c r="P334" s="43"/>
      <c r="Q334" s="43"/>
    </row>
    <row r="335" spans="1:17" s="129" customFormat="1" ht="45" x14ac:dyDescent="0.25">
      <c r="A335" s="505"/>
      <c r="B335" s="500"/>
      <c r="C335" s="421" t="s">
        <v>6</v>
      </c>
      <c r="D335" s="329"/>
      <c r="E335" s="317" t="s">
        <v>117</v>
      </c>
      <c r="F335" s="376">
        <v>83497.7</v>
      </c>
      <c r="G335" s="315">
        <v>351180.6</v>
      </c>
      <c r="H335" s="361">
        <f>146626.4+68464.2</f>
        <v>215090.59999999998</v>
      </c>
      <c r="I335" s="361">
        <v>201017.8</v>
      </c>
      <c r="J335" s="361">
        <v>203770</v>
      </c>
      <c r="K335" s="178" t="s">
        <v>484</v>
      </c>
      <c r="L335" s="276" t="s">
        <v>222</v>
      </c>
      <c r="M335" s="276">
        <v>42796</v>
      </c>
      <c r="N335" s="44">
        <v>43224</v>
      </c>
      <c r="O335" s="44">
        <v>44521</v>
      </c>
      <c r="P335" s="44">
        <v>45857</v>
      </c>
      <c r="Q335" s="44">
        <v>47233</v>
      </c>
    </row>
    <row r="336" spans="1:17" s="129" customFormat="1" ht="30" x14ac:dyDescent="0.25">
      <c r="A336" s="1818"/>
      <c r="B336" s="1812"/>
      <c r="C336" s="2359" t="s">
        <v>8</v>
      </c>
      <c r="D336" s="2359"/>
      <c r="E336" s="2020" t="s">
        <v>482</v>
      </c>
      <c r="F336" s="2652">
        <v>16069</v>
      </c>
      <c r="G336" s="2427">
        <v>35951.199999999997</v>
      </c>
      <c r="H336" s="2468">
        <f>18686.3+217665.37</f>
        <v>236351.66999999998</v>
      </c>
      <c r="I336" s="2468">
        <v>38402.400000000001</v>
      </c>
      <c r="J336" s="2468">
        <v>38995.1</v>
      </c>
      <c r="K336" s="141" t="s">
        <v>485</v>
      </c>
      <c r="L336" s="276" t="s">
        <v>222</v>
      </c>
      <c r="M336" s="276">
        <v>18930</v>
      </c>
      <c r="N336" s="44">
        <v>19947</v>
      </c>
      <c r="O336" s="44">
        <v>20545</v>
      </c>
      <c r="P336" s="44">
        <v>21161</v>
      </c>
      <c r="Q336" s="44">
        <v>21796</v>
      </c>
    </row>
    <row r="337" spans="1:17" s="129" customFormat="1" ht="30" x14ac:dyDescent="0.25">
      <c r="A337" s="1819"/>
      <c r="B337" s="1813"/>
      <c r="C337" s="2016"/>
      <c r="D337" s="2016"/>
      <c r="E337" s="2021"/>
      <c r="F337" s="2653"/>
      <c r="G337" s="2084"/>
      <c r="H337" s="1911"/>
      <c r="I337" s="1911"/>
      <c r="J337" s="1911"/>
      <c r="K337" s="141" t="s">
        <v>767</v>
      </c>
      <c r="L337" s="276" t="s">
        <v>222</v>
      </c>
      <c r="M337" s="276">
        <v>44170</v>
      </c>
      <c r="N337" s="44">
        <v>45495</v>
      </c>
      <c r="O337" s="44">
        <v>46860</v>
      </c>
      <c r="P337" s="44">
        <v>48266</v>
      </c>
      <c r="Q337" s="44">
        <v>49714</v>
      </c>
    </row>
    <row r="338" spans="1:17" s="129" customFormat="1" ht="30" x14ac:dyDescent="0.25">
      <c r="A338" s="1820"/>
      <c r="B338" s="1814"/>
      <c r="C338" s="1885"/>
      <c r="D338" s="1885"/>
      <c r="E338" s="2022"/>
      <c r="F338" s="2654"/>
      <c r="G338" s="1832"/>
      <c r="H338" s="1836"/>
      <c r="I338" s="1836"/>
      <c r="J338" s="1836"/>
      <c r="K338" s="370" t="s">
        <v>310</v>
      </c>
      <c r="L338" s="276" t="s">
        <v>182</v>
      </c>
      <c r="M338" s="276">
        <v>90</v>
      </c>
      <c r="N338" s="43">
        <v>93</v>
      </c>
      <c r="O338" s="43">
        <v>96</v>
      </c>
      <c r="P338" s="43">
        <v>99</v>
      </c>
      <c r="Q338" s="43">
        <v>100</v>
      </c>
    </row>
    <row r="339" spans="1:17" s="129" customFormat="1" ht="30" x14ac:dyDescent="0.25">
      <c r="A339" s="505"/>
      <c r="B339" s="500"/>
      <c r="C339" s="421" t="s">
        <v>10</v>
      </c>
      <c r="D339" s="329"/>
      <c r="E339" s="317" t="s">
        <v>118</v>
      </c>
      <c r="F339" s="200">
        <v>4703.8999999999996</v>
      </c>
      <c r="G339" s="315">
        <v>27585.9</v>
      </c>
      <c r="H339" s="361">
        <v>23929.9</v>
      </c>
      <c r="I339" s="361">
        <v>15589</v>
      </c>
      <c r="J339" s="361">
        <v>15942.4</v>
      </c>
      <c r="K339" s="312" t="s">
        <v>769</v>
      </c>
      <c r="L339" s="276" t="s">
        <v>222</v>
      </c>
      <c r="M339" s="276">
        <v>0</v>
      </c>
      <c r="N339" s="43">
        <v>0</v>
      </c>
      <c r="O339" s="43">
        <v>1</v>
      </c>
      <c r="P339" s="43">
        <v>1</v>
      </c>
      <c r="Q339" s="43">
        <v>1</v>
      </c>
    </row>
    <row r="340" spans="1:17" s="142" customFormat="1" ht="15" customHeight="1" x14ac:dyDescent="0.25">
      <c r="A340" s="1840" t="s">
        <v>119</v>
      </c>
      <c r="B340" s="1841"/>
      <c r="C340" s="1841"/>
      <c r="D340" s="1841"/>
      <c r="E340" s="1842"/>
      <c r="F340" s="46">
        <v>1432480.0000000002</v>
      </c>
      <c r="G340" s="46">
        <v>1618401.7</v>
      </c>
      <c r="H340" s="46">
        <f>H308+H318+H326+H329+H334</f>
        <v>2502348.8000000003</v>
      </c>
      <c r="I340" s="46">
        <v>1785091.9999999998</v>
      </c>
      <c r="J340" s="46">
        <v>1810966.2000000002</v>
      </c>
      <c r="K340" s="16"/>
      <c r="L340" s="2380"/>
      <c r="M340" s="2381"/>
      <c r="N340" s="2381"/>
      <c r="O340" s="2381"/>
      <c r="P340" s="2381"/>
      <c r="Q340" s="2382"/>
    </row>
    <row r="341" spans="1:17" s="129" customFormat="1" ht="15" customHeight="1" x14ac:dyDescent="0.25">
      <c r="A341" s="1826" t="s">
        <v>869</v>
      </c>
      <c r="B341" s="1827"/>
      <c r="C341" s="1827"/>
      <c r="D341" s="1827"/>
      <c r="E341" s="1827"/>
      <c r="F341" s="1827"/>
      <c r="G341" s="1827"/>
      <c r="H341" s="1827"/>
      <c r="I341" s="1827"/>
      <c r="J341" s="1827"/>
      <c r="K341" s="1827"/>
      <c r="L341" s="1827"/>
      <c r="M341" s="1827"/>
      <c r="N341" s="1827"/>
      <c r="O341" s="1827"/>
      <c r="P341" s="1827"/>
      <c r="Q341" s="1828"/>
    </row>
    <row r="342" spans="1:17" s="247" customFormat="1" ht="15" customHeight="1" x14ac:dyDescent="0.2">
      <c r="A342" s="640">
        <v>24</v>
      </c>
      <c r="B342" s="662">
        <v>2</v>
      </c>
      <c r="C342" s="171"/>
      <c r="D342" s="171"/>
      <c r="E342" s="171" t="s">
        <v>870</v>
      </c>
      <c r="F342" s="199">
        <v>944837.4</v>
      </c>
      <c r="G342" s="199">
        <v>943222.20000000007</v>
      </c>
      <c r="H342" s="199">
        <f>H343+H344+H345+H346+H347+H348+H349</f>
        <v>1845478.7999999998</v>
      </c>
      <c r="I342" s="199">
        <v>1033571.9000000001</v>
      </c>
      <c r="J342" s="199">
        <v>1037990.6000000001</v>
      </c>
      <c r="K342" s="666"/>
      <c r="L342" s="78"/>
      <c r="M342" s="78"/>
      <c r="N342" s="78"/>
      <c r="O342" s="78"/>
      <c r="P342" s="78"/>
      <c r="Q342" s="78"/>
    </row>
    <row r="343" spans="1:17" s="129" customFormat="1" ht="15" customHeight="1" x14ac:dyDescent="0.25">
      <c r="A343" s="640"/>
      <c r="B343" s="662"/>
      <c r="C343" s="659" t="s">
        <v>6</v>
      </c>
      <c r="D343" s="660"/>
      <c r="E343" s="660" t="s">
        <v>871</v>
      </c>
      <c r="F343" s="73">
        <v>457104.5</v>
      </c>
      <c r="G343" s="73">
        <v>434400</v>
      </c>
      <c r="H343" s="73">
        <f>621899.2</f>
        <v>621899.19999999995</v>
      </c>
      <c r="I343" s="73">
        <v>440000</v>
      </c>
      <c r="J343" s="73">
        <v>440000</v>
      </c>
      <c r="K343" s="72"/>
      <c r="L343" s="661"/>
      <c r="M343" s="661"/>
      <c r="N343" s="661"/>
      <c r="O343" s="661"/>
      <c r="P343" s="661"/>
      <c r="Q343" s="661"/>
    </row>
    <row r="344" spans="1:17" s="129" customFormat="1" ht="15" customHeight="1" x14ac:dyDescent="0.25">
      <c r="A344" s="640"/>
      <c r="B344" s="662"/>
      <c r="C344" s="659" t="s">
        <v>8</v>
      </c>
      <c r="D344" s="660"/>
      <c r="E344" s="660" t="s">
        <v>872</v>
      </c>
      <c r="F344" s="73">
        <v>325841.40000000002</v>
      </c>
      <c r="G344" s="73">
        <v>251867.4</v>
      </c>
      <c r="H344" s="73">
        <f>601631.4+7980.6</f>
        <v>609612</v>
      </c>
      <c r="I344" s="73">
        <v>281417.10000000003</v>
      </c>
      <c r="J344" s="73">
        <v>283535.80000000005</v>
      </c>
      <c r="K344" s="72"/>
      <c r="L344" s="661"/>
      <c r="M344" s="661"/>
      <c r="N344" s="661"/>
      <c r="O344" s="661"/>
      <c r="P344" s="661"/>
      <c r="Q344" s="661"/>
    </row>
    <row r="345" spans="1:17" s="129" customFormat="1" ht="15" customHeight="1" x14ac:dyDescent="0.25">
      <c r="A345" s="640"/>
      <c r="B345" s="662"/>
      <c r="C345" s="659" t="s">
        <v>10</v>
      </c>
      <c r="D345" s="660"/>
      <c r="E345" s="660" t="s">
        <v>873</v>
      </c>
      <c r="F345" s="73">
        <v>101892</v>
      </c>
      <c r="G345" s="73">
        <v>40954.800000000003</v>
      </c>
      <c r="H345" s="73">
        <f>420230.8+1004.7</f>
        <v>421235.5</v>
      </c>
      <c r="I345" s="73">
        <v>96154.8</v>
      </c>
      <c r="J345" s="73">
        <v>98454.8</v>
      </c>
      <c r="K345" s="72"/>
      <c r="L345" s="661"/>
      <c r="M345" s="661"/>
      <c r="N345" s="661"/>
      <c r="O345" s="661"/>
      <c r="P345" s="661"/>
      <c r="Q345" s="661"/>
    </row>
    <row r="346" spans="1:17" s="129" customFormat="1" ht="15" customHeight="1" x14ac:dyDescent="0.25">
      <c r="A346" s="640"/>
      <c r="B346" s="662"/>
      <c r="C346" s="659" t="s">
        <v>12</v>
      </c>
      <c r="D346" s="660"/>
      <c r="E346" s="660" t="s">
        <v>874</v>
      </c>
      <c r="F346" s="73">
        <v>29999.5</v>
      </c>
      <c r="G346" s="73">
        <v>30000</v>
      </c>
      <c r="H346" s="73">
        <v>30000</v>
      </c>
      <c r="I346" s="73">
        <v>30000</v>
      </c>
      <c r="J346" s="73">
        <v>30000</v>
      </c>
      <c r="K346" s="72"/>
      <c r="L346" s="661"/>
      <c r="M346" s="661"/>
      <c r="N346" s="661"/>
      <c r="O346" s="661"/>
      <c r="P346" s="661"/>
      <c r="Q346" s="661"/>
    </row>
    <row r="347" spans="1:17" s="129" customFormat="1" ht="15" customHeight="1" x14ac:dyDescent="0.25">
      <c r="A347" s="171"/>
      <c r="B347" s="171"/>
      <c r="C347" s="659" t="s">
        <v>14</v>
      </c>
      <c r="D347" s="660"/>
      <c r="E347" s="660" t="s">
        <v>875</v>
      </c>
      <c r="F347" s="73">
        <v>30000</v>
      </c>
      <c r="G347" s="73">
        <v>30000</v>
      </c>
      <c r="H347" s="73">
        <f>29945.2</f>
        <v>29945.200000000001</v>
      </c>
      <c r="I347" s="73">
        <v>30000</v>
      </c>
      <c r="J347" s="73">
        <v>30000</v>
      </c>
      <c r="K347" s="72"/>
      <c r="L347" s="661"/>
      <c r="M347" s="661"/>
      <c r="N347" s="661"/>
      <c r="O347" s="661"/>
      <c r="P347" s="661"/>
      <c r="Q347" s="661"/>
    </row>
    <row r="348" spans="1:17" s="129" customFormat="1" ht="15" customHeight="1" x14ac:dyDescent="0.25">
      <c r="A348" s="171"/>
      <c r="B348" s="171"/>
      <c r="C348" s="659" t="s">
        <v>16</v>
      </c>
      <c r="D348" s="660"/>
      <c r="E348" s="660" t="s">
        <v>876</v>
      </c>
      <c r="F348" s="73"/>
      <c r="G348" s="73">
        <v>156000</v>
      </c>
      <c r="H348" s="73">
        <f>130870.4</f>
        <v>130870.39999999999</v>
      </c>
      <c r="I348" s="73">
        <v>156000</v>
      </c>
      <c r="J348" s="73">
        <v>156000</v>
      </c>
      <c r="K348" s="72"/>
      <c r="L348" s="661"/>
      <c r="M348" s="661"/>
      <c r="N348" s="661"/>
      <c r="O348" s="661"/>
      <c r="P348" s="661"/>
      <c r="Q348" s="661"/>
    </row>
    <row r="349" spans="1:17" s="129" customFormat="1" ht="15" customHeight="1" x14ac:dyDescent="0.25">
      <c r="A349" s="171"/>
      <c r="B349" s="140"/>
      <c r="C349" s="715" t="s">
        <v>48</v>
      </c>
      <c r="D349" s="728"/>
      <c r="E349" s="146" t="s">
        <v>894</v>
      </c>
      <c r="F349" s="73"/>
      <c r="G349" s="73"/>
      <c r="H349" s="73">
        <v>1916.5</v>
      </c>
      <c r="I349" s="73"/>
      <c r="J349" s="73"/>
      <c r="K349" s="72"/>
      <c r="L349" s="711"/>
      <c r="M349" s="711"/>
      <c r="N349" s="711"/>
      <c r="O349" s="711"/>
      <c r="P349" s="711"/>
      <c r="Q349" s="711"/>
    </row>
    <row r="350" spans="1:17" s="142" customFormat="1" ht="15" customHeight="1" x14ac:dyDescent="0.25">
      <c r="A350" s="811" t="s">
        <v>877</v>
      </c>
      <c r="B350" s="2624" t="s">
        <v>1127</v>
      </c>
      <c r="C350" s="2625"/>
      <c r="D350" s="2625"/>
      <c r="E350" s="2626"/>
      <c r="F350" s="17">
        <f>F342</f>
        <v>944837.4</v>
      </c>
      <c r="G350" s="17">
        <f t="shared" ref="G350:J350" si="0">G342</f>
        <v>943222.20000000007</v>
      </c>
      <c r="H350" s="17">
        <f t="shared" si="0"/>
        <v>1845478.7999999998</v>
      </c>
      <c r="I350" s="17">
        <f t="shared" si="0"/>
        <v>1033571.9000000001</v>
      </c>
      <c r="J350" s="17">
        <f t="shared" si="0"/>
        <v>1037990.6000000001</v>
      </c>
      <c r="K350" s="817"/>
      <c r="L350" s="817"/>
      <c r="M350" s="817"/>
      <c r="N350" s="817"/>
      <c r="O350" s="817"/>
      <c r="P350" s="817"/>
      <c r="Q350" s="817"/>
    </row>
    <row r="351" spans="1:17" s="142" customFormat="1" x14ac:dyDescent="0.25">
      <c r="A351" s="1826" t="s">
        <v>896</v>
      </c>
      <c r="B351" s="1827"/>
      <c r="C351" s="1827"/>
      <c r="D351" s="1827"/>
      <c r="E351" s="1827"/>
      <c r="F351" s="1827"/>
      <c r="G351" s="1827"/>
      <c r="H351" s="1827"/>
      <c r="I351" s="1827"/>
      <c r="J351" s="1827"/>
      <c r="K351" s="1827"/>
      <c r="L351" s="1827"/>
      <c r="M351" s="1827"/>
      <c r="N351" s="1827"/>
      <c r="O351" s="1827"/>
      <c r="P351" s="1827"/>
      <c r="Q351" s="1828"/>
    </row>
    <row r="352" spans="1:17" s="142" customFormat="1" ht="88.5" x14ac:dyDescent="0.25">
      <c r="A352" s="792">
        <v>25</v>
      </c>
      <c r="B352" s="507">
        <v>1</v>
      </c>
      <c r="C352" s="786"/>
      <c r="D352" s="454"/>
      <c r="E352" s="821" t="s">
        <v>2842</v>
      </c>
      <c r="F352" s="193">
        <v>154765.69999999998</v>
      </c>
      <c r="G352" s="193">
        <v>128349.09999999999</v>
      </c>
      <c r="H352" s="193">
        <f>H353+H354+H355+H356+H357+H358+H360</f>
        <v>154183.03000000003</v>
      </c>
      <c r="I352" s="193">
        <v>147013.4</v>
      </c>
      <c r="J352" s="193">
        <v>148348.6</v>
      </c>
      <c r="K352" s="822"/>
      <c r="L352" s="19"/>
      <c r="M352" s="31"/>
      <c r="N352" s="31"/>
      <c r="O352" s="31"/>
      <c r="P352" s="31"/>
      <c r="Q352" s="31"/>
    </row>
    <row r="353" spans="1:17" s="142" customFormat="1" x14ac:dyDescent="0.25">
      <c r="A353" s="577"/>
      <c r="B353" s="324"/>
      <c r="C353" s="806" t="s">
        <v>6</v>
      </c>
      <c r="D353" s="736"/>
      <c r="E353" s="777" t="s">
        <v>7</v>
      </c>
      <c r="F353" s="803">
        <v>4184.3</v>
      </c>
      <c r="G353" s="803">
        <v>3259.2</v>
      </c>
      <c r="H353" s="803">
        <v>23674.400000000001</v>
      </c>
      <c r="I353" s="803">
        <v>3578</v>
      </c>
      <c r="J353" s="803">
        <v>3610.7</v>
      </c>
      <c r="K353" s="755" t="s">
        <v>183</v>
      </c>
      <c r="L353" s="823"/>
      <c r="M353" s="823"/>
      <c r="N353" s="823"/>
      <c r="O353" s="823"/>
      <c r="P353" s="823"/>
      <c r="Q353" s="823"/>
    </row>
    <row r="354" spans="1:17" s="142" customFormat="1" x14ac:dyDescent="0.25">
      <c r="A354" s="577"/>
      <c r="B354" s="324"/>
      <c r="C354" s="806" t="s">
        <v>8</v>
      </c>
      <c r="D354" s="737"/>
      <c r="E354" s="777" t="s">
        <v>9</v>
      </c>
      <c r="F354" s="803">
        <v>5021.2</v>
      </c>
      <c r="G354" s="803">
        <v>3911.1</v>
      </c>
      <c r="H354" s="803">
        <v>8965.19</v>
      </c>
      <c r="I354" s="803">
        <v>4293.6000000000004</v>
      </c>
      <c r="J354" s="803">
        <v>4332.8</v>
      </c>
      <c r="K354" s="784" t="s">
        <v>185</v>
      </c>
      <c r="L354" s="816" t="s">
        <v>182</v>
      </c>
      <c r="M354" s="750">
        <v>99</v>
      </c>
      <c r="N354" s="750">
        <v>99</v>
      </c>
      <c r="O354" s="750">
        <v>99</v>
      </c>
      <c r="P354" s="750">
        <v>99</v>
      </c>
      <c r="Q354" s="750">
        <v>99</v>
      </c>
    </row>
    <row r="355" spans="1:17" s="142" customFormat="1" ht="30" x14ac:dyDescent="0.25">
      <c r="A355" s="781"/>
      <c r="B355" s="495"/>
      <c r="C355" s="765" t="s">
        <v>10</v>
      </c>
      <c r="D355" s="737"/>
      <c r="E355" s="777" t="s">
        <v>11</v>
      </c>
      <c r="F355" s="803">
        <v>5021.2</v>
      </c>
      <c r="G355" s="803">
        <v>3911.1</v>
      </c>
      <c r="H355" s="803">
        <v>6815.03</v>
      </c>
      <c r="I355" s="803">
        <v>4293.6000000000004</v>
      </c>
      <c r="J355" s="803">
        <v>4332.8</v>
      </c>
      <c r="K355" s="36" t="s">
        <v>186</v>
      </c>
      <c r="L355" s="749" t="s">
        <v>182</v>
      </c>
      <c r="M355" s="750">
        <v>90</v>
      </c>
      <c r="N355" s="750">
        <v>90</v>
      </c>
      <c r="O355" s="750">
        <v>91</v>
      </c>
      <c r="P355" s="750">
        <v>92</v>
      </c>
      <c r="Q355" s="750">
        <v>93</v>
      </c>
    </row>
    <row r="356" spans="1:17" s="142" customFormat="1" ht="30" x14ac:dyDescent="0.25">
      <c r="A356" s="781"/>
      <c r="B356" s="495"/>
      <c r="C356" s="765" t="s">
        <v>12</v>
      </c>
      <c r="D356" s="737"/>
      <c r="E356" s="777" t="s">
        <v>13</v>
      </c>
      <c r="F356" s="803">
        <v>7531.8</v>
      </c>
      <c r="G356" s="803">
        <v>5866.6</v>
      </c>
      <c r="H356" s="803">
        <v>6593.73</v>
      </c>
      <c r="I356" s="803">
        <v>6440.5</v>
      </c>
      <c r="J356" s="803">
        <v>6499.2</v>
      </c>
      <c r="K356" s="784" t="s">
        <v>187</v>
      </c>
      <c r="L356" s="749" t="s">
        <v>182</v>
      </c>
      <c r="M356" s="750">
        <v>90</v>
      </c>
      <c r="N356" s="750">
        <v>95</v>
      </c>
      <c r="O356" s="750">
        <v>95</v>
      </c>
      <c r="P356" s="750">
        <v>95</v>
      </c>
      <c r="Q356" s="750">
        <v>95</v>
      </c>
    </row>
    <row r="357" spans="1:17" s="142" customFormat="1" ht="30" x14ac:dyDescent="0.25">
      <c r="A357" s="781"/>
      <c r="B357" s="495"/>
      <c r="C357" s="765" t="s">
        <v>14</v>
      </c>
      <c r="D357" s="737"/>
      <c r="E357" s="777" t="s">
        <v>15</v>
      </c>
      <c r="F357" s="803">
        <v>1673.7</v>
      </c>
      <c r="G357" s="803">
        <v>1303.7</v>
      </c>
      <c r="H357" s="803">
        <v>1453.63</v>
      </c>
      <c r="I357" s="803">
        <v>1431.2</v>
      </c>
      <c r="J357" s="803">
        <v>1444.2</v>
      </c>
      <c r="K357" s="784" t="s">
        <v>188</v>
      </c>
      <c r="L357" s="749"/>
      <c r="M357" s="750">
        <v>1420</v>
      </c>
      <c r="N357" s="750">
        <v>1450</v>
      </c>
      <c r="O357" s="750">
        <v>1450</v>
      </c>
      <c r="P357" s="750">
        <v>1500</v>
      </c>
      <c r="Q357" s="750">
        <v>1500</v>
      </c>
    </row>
    <row r="358" spans="1:17" s="142" customFormat="1" x14ac:dyDescent="0.25">
      <c r="A358" s="2646"/>
      <c r="B358" s="549"/>
      <c r="C358" s="2642" t="s">
        <v>16</v>
      </c>
      <c r="D358" s="2515"/>
      <c r="E358" s="2495" t="s">
        <v>17</v>
      </c>
      <c r="F358" s="2584">
        <v>112207.2</v>
      </c>
      <c r="G358" s="2584">
        <v>97465.4</v>
      </c>
      <c r="H358" s="2584">
        <v>90979.91</v>
      </c>
      <c r="I358" s="2584">
        <v>107331.4</v>
      </c>
      <c r="J358" s="2584">
        <v>108469.5</v>
      </c>
      <c r="K358" s="2517" t="s">
        <v>897</v>
      </c>
      <c r="L358" s="2510" t="s">
        <v>182</v>
      </c>
      <c r="M358" s="801">
        <v>16.8</v>
      </c>
      <c r="N358" s="801">
        <v>16.8</v>
      </c>
      <c r="O358" s="801">
        <v>16.8</v>
      </c>
      <c r="P358" s="801">
        <v>16.8</v>
      </c>
      <c r="Q358" s="801">
        <v>16.8</v>
      </c>
    </row>
    <row r="359" spans="1:17" s="142" customFormat="1" x14ac:dyDescent="0.25">
      <c r="A359" s="2009"/>
      <c r="B359" s="495"/>
      <c r="C359" s="1956"/>
      <c r="D359" s="2518"/>
      <c r="E359" s="1875"/>
      <c r="F359" s="1905"/>
      <c r="G359" s="1905"/>
      <c r="H359" s="1905"/>
      <c r="I359" s="1905"/>
      <c r="J359" s="1905"/>
      <c r="K359" s="2331"/>
      <c r="L359" s="2514"/>
      <c r="M359" s="810">
        <v>20.7</v>
      </c>
      <c r="N359" s="810">
        <v>20.7</v>
      </c>
      <c r="O359" s="810">
        <v>20.7</v>
      </c>
      <c r="P359" s="810">
        <v>20.7</v>
      </c>
      <c r="Q359" s="810">
        <v>20.7</v>
      </c>
    </row>
    <row r="360" spans="1:17" s="142" customFormat="1" ht="60" x14ac:dyDescent="0.25">
      <c r="A360" s="577"/>
      <c r="B360" s="324"/>
      <c r="C360" s="806" t="s">
        <v>162</v>
      </c>
      <c r="D360" s="736"/>
      <c r="E360" s="777" t="s">
        <v>898</v>
      </c>
      <c r="F360" s="803">
        <v>19126.3</v>
      </c>
      <c r="G360" s="803">
        <v>12632</v>
      </c>
      <c r="H360" s="1804">
        <f>3321.34+12379.8</f>
        <v>15701.14</v>
      </c>
      <c r="I360" s="803">
        <v>19645.099999999999</v>
      </c>
      <c r="J360" s="803">
        <v>19659.400000000001</v>
      </c>
      <c r="K360" s="784" t="s">
        <v>899</v>
      </c>
      <c r="L360" s="749" t="s">
        <v>225</v>
      </c>
      <c r="M360" s="801">
        <v>4725</v>
      </c>
      <c r="N360" s="801">
        <v>4950</v>
      </c>
      <c r="O360" s="801">
        <v>5200</v>
      </c>
      <c r="P360" s="801">
        <v>5250</v>
      </c>
      <c r="Q360" s="801"/>
    </row>
    <row r="361" spans="1:17" s="142" customFormat="1" ht="103.5" x14ac:dyDescent="0.25">
      <c r="A361" s="805">
        <v>25</v>
      </c>
      <c r="B361" s="816">
        <v>2</v>
      </c>
      <c r="C361" s="786"/>
      <c r="D361" s="454"/>
      <c r="E361" s="807" t="s">
        <v>2843</v>
      </c>
      <c r="F361" s="193">
        <v>74613.2</v>
      </c>
      <c r="G361" s="193">
        <v>58014.1</v>
      </c>
      <c r="H361" s="193">
        <f>H362+H366+H367+H368</f>
        <v>68012.2</v>
      </c>
      <c r="I361" s="193">
        <v>64404.5</v>
      </c>
      <c r="J361" s="193">
        <v>64991.999999999993</v>
      </c>
      <c r="K361" s="769" t="s">
        <v>900</v>
      </c>
      <c r="L361" s="216"/>
      <c r="M361" s="804" t="s">
        <v>901</v>
      </c>
      <c r="N361" s="804" t="s">
        <v>901</v>
      </c>
      <c r="O361" s="454" t="s">
        <v>901</v>
      </c>
      <c r="P361" s="454" t="s">
        <v>901</v>
      </c>
      <c r="Q361" s="454" t="s">
        <v>901</v>
      </c>
    </row>
    <row r="362" spans="1:17" s="142" customFormat="1" ht="45" x14ac:dyDescent="0.25">
      <c r="A362" s="800"/>
      <c r="B362" s="787"/>
      <c r="C362" s="798" t="s">
        <v>6</v>
      </c>
      <c r="D362" s="824"/>
      <c r="E362" s="774" t="s">
        <v>902</v>
      </c>
      <c r="F362" s="2517">
        <v>44486</v>
      </c>
      <c r="G362" s="2517">
        <v>34547.699999999997</v>
      </c>
      <c r="H362" s="2496">
        <v>41693.1</v>
      </c>
      <c r="I362" s="2496">
        <v>38642.699999999997</v>
      </c>
      <c r="J362" s="2496">
        <v>38995.199999999997</v>
      </c>
      <c r="K362" s="784" t="s">
        <v>903</v>
      </c>
      <c r="L362" s="810" t="s">
        <v>182</v>
      </c>
      <c r="M362" s="810" t="s">
        <v>904</v>
      </c>
      <c r="N362" s="810" t="s">
        <v>904</v>
      </c>
      <c r="O362" s="810" t="s">
        <v>904</v>
      </c>
      <c r="P362" s="810" t="s">
        <v>904</v>
      </c>
      <c r="Q362" s="810" t="s">
        <v>904</v>
      </c>
    </row>
    <row r="363" spans="1:17" s="142" customFormat="1" x14ac:dyDescent="0.25">
      <c r="A363" s="815"/>
      <c r="B363" s="549"/>
      <c r="C363" s="764" t="s">
        <v>8</v>
      </c>
      <c r="D363" s="825"/>
      <c r="E363" s="777" t="s">
        <v>905</v>
      </c>
      <c r="F363" s="2330"/>
      <c r="G363" s="2330"/>
      <c r="H363" s="2242"/>
      <c r="I363" s="2242"/>
      <c r="J363" s="2242"/>
      <c r="K363" s="784" t="s">
        <v>906</v>
      </c>
      <c r="L363" s="771" t="s">
        <v>182</v>
      </c>
      <c r="M363" s="771">
        <v>54</v>
      </c>
      <c r="N363" s="771">
        <v>54</v>
      </c>
      <c r="O363" s="771">
        <v>54</v>
      </c>
      <c r="P363" s="771">
        <v>54</v>
      </c>
      <c r="Q363" s="771">
        <v>54</v>
      </c>
    </row>
    <row r="364" spans="1:17" s="142" customFormat="1" ht="60" x14ac:dyDescent="0.25">
      <c r="A364" s="2646"/>
      <c r="B364" s="549"/>
      <c r="C364" s="2642" t="s">
        <v>10</v>
      </c>
      <c r="D364" s="2515"/>
      <c r="E364" s="2497" t="s">
        <v>907</v>
      </c>
      <c r="F364" s="2330"/>
      <c r="G364" s="2330"/>
      <c r="H364" s="2242"/>
      <c r="I364" s="2242"/>
      <c r="J364" s="2242"/>
      <c r="K364" s="784" t="s">
        <v>908</v>
      </c>
      <c r="L364" s="771"/>
      <c r="M364" s="810" t="s">
        <v>901</v>
      </c>
      <c r="N364" s="810" t="s">
        <v>901</v>
      </c>
      <c r="O364" s="810" t="s">
        <v>901</v>
      </c>
      <c r="P364" s="810" t="s">
        <v>901</v>
      </c>
      <c r="Q364" s="810" t="s">
        <v>901</v>
      </c>
    </row>
    <row r="365" spans="1:17" s="142" customFormat="1" ht="60" x14ac:dyDescent="0.25">
      <c r="A365" s="2095"/>
      <c r="B365" s="780"/>
      <c r="C365" s="1956"/>
      <c r="D365" s="2518"/>
      <c r="E365" s="1867"/>
      <c r="F365" s="2331"/>
      <c r="G365" s="2331"/>
      <c r="H365" s="2232"/>
      <c r="I365" s="2232"/>
      <c r="J365" s="2232"/>
      <c r="K365" s="784" t="s">
        <v>909</v>
      </c>
      <c r="L365" s="771" t="s">
        <v>270</v>
      </c>
      <c r="M365" s="810">
        <v>20</v>
      </c>
      <c r="N365" s="810">
        <v>20</v>
      </c>
      <c r="O365" s="810">
        <v>20</v>
      </c>
      <c r="P365" s="810">
        <v>20</v>
      </c>
      <c r="Q365" s="810">
        <v>20</v>
      </c>
    </row>
    <row r="366" spans="1:17" s="142" customFormat="1" ht="30" x14ac:dyDescent="0.25">
      <c r="A366" s="577"/>
      <c r="B366" s="324"/>
      <c r="C366" s="806" t="s">
        <v>12</v>
      </c>
      <c r="D366" s="826"/>
      <c r="E366" s="774" t="s">
        <v>910</v>
      </c>
      <c r="F366" s="772">
        <v>13389.8</v>
      </c>
      <c r="G366" s="772">
        <v>10429.5</v>
      </c>
      <c r="H366" s="746">
        <v>12330.2</v>
      </c>
      <c r="I366" s="746">
        <v>11449.7</v>
      </c>
      <c r="J366" s="746">
        <v>11554.1</v>
      </c>
      <c r="K366" s="784" t="s">
        <v>911</v>
      </c>
      <c r="L366" s="810" t="s">
        <v>488</v>
      </c>
      <c r="M366" s="803">
        <v>134707.29999999999</v>
      </c>
      <c r="N366" s="803">
        <v>140882.20000000001</v>
      </c>
      <c r="O366" s="803">
        <v>142129.79999999999</v>
      </c>
      <c r="P366" s="803">
        <v>144559</v>
      </c>
      <c r="Q366" s="803">
        <v>164762.70000000001</v>
      </c>
    </row>
    <row r="367" spans="1:17" s="142" customFormat="1" ht="30" x14ac:dyDescent="0.25">
      <c r="A367" s="815"/>
      <c r="B367" s="549"/>
      <c r="C367" s="764" t="s">
        <v>14</v>
      </c>
      <c r="D367" s="827"/>
      <c r="E367" s="774" t="s">
        <v>912</v>
      </c>
      <c r="F367" s="772">
        <v>3347.5</v>
      </c>
      <c r="G367" s="772">
        <v>2607.4</v>
      </c>
      <c r="H367" s="746">
        <v>3081.2</v>
      </c>
      <c r="I367" s="746">
        <v>2862.4</v>
      </c>
      <c r="J367" s="746">
        <v>2888.6</v>
      </c>
      <c r="K367" s="784" t="s">
        <v>913</v>
      </c>
      <c r="L367" s="810" t="s">
        <v>465</v>
      </c>
      <c r="M367" s="810">
        <v>99</v>
      </c>
      <c r="N367" s="810">
        <v>60</v>
      </c>
      <c r="O367" s="810">
        <v>60</v>
      </c>
      <c r="P367" s="810">
        <v>60</v>
      </c>
      <c r="Q367" s="810">
        <v>50</v>
      </c>
    </row>
    <row r="368" spans="1:17" s="142" customFormat="1" x14ac:dyDescent="0.25">
      <c r="A368" s="2646"/>
      <c r="B368" s="549"/>
      <c r="C368" s="2642" t="s">
        <v>16</v>
      </c>
      <c r="D368" s="2515"/>
      <c r="E368" s="2012" t="s">
        <v>914</v>
      </c>
      <c r="F368" s="2517">
        <v>13389.9</v>
      </c>
      <c r="G368" s="2517">
        <v>10429.5</v>
      </c>
      <c r="H368" s="2496">
        <v>10907.7</v>
      </c>
      <c r="I368" s="2510">
        <v>11449.7</v>
      </c>
      <c r="J368" s="2510">
        <v>11554.1</v>
      </c>
      <c r="K368" s="784" t="s">
        <v>915</v>
      </c>
      <c r="L368" s="810" t="s">
        <v>488</v>
      </c>
      <c r="M368" s="810">
        <v>5666.6</v>
      </c>
      <c r="N368" s="810">
        <v>10304.6</v>
      </c>
      <c r="O368" s="810">
        <v>9748.1</v>
      </c>
      <c r="P368" s="810">
        <v>7607.4</v>
      </c>
      <c r="Q368" s="810"/>
    </row>
    <row r="369" spans="1:17" s="142" customFormat="1" ht="30" x14ac:dyDescent="0.25">
      <c r="A369" s="2009"/>
      <c r="B369" s="495"/>
      <c r="C369" s="1956"/>
      <c r="D369" s="2518"/>
      <c r="E369" s="2060"/>
      <c r="F369" s="2331"/>
      <c r="G369" s="2331"/>
      <c r="H369" s="2232"/>
      <c r="I369" s="2514"/>
      <c r="J369" s="2514"/>
      <c r="K369" s="784" t="s">
        <v>916</v>
      </c>
      <c r="L369" s="810" t="s">
        <v>488</v>
      </c>
      <c r="M369" s="810">
        <v>22222.9</v>
      </c>
      <c r="N369" s="810">
        <v>27336.1</v>
      </c>
      <c r="O369" s="810">
        <v>34278.199999999997</v>
      </c>
      <c r="P369" s="458">
        <v>21034</v>
      </c>
      <c r="Q369" s="810"/>
    </row>
    <row r="370" spans="1:17" s="142" customFormat="1" ht="44.25" x14ac:dyDescent="0.25">
      <c r="A370" s="809">
        <v>25</v>
      </c>
      <c r="B370" s="782">
        <v>3</v>
      </c>
      <c r="C370" s="798"/>
      <c r="D370" s="785"/>
      <c r="E370" s="778" t="s">
        <v>917</v>
      </c>
      <c r="F370" s="193">
        <v>105751.29999999999</v>
      </c>
      <c r="G370" s="193">
        <v>100558.9</v>
      </c>
      <c r="H370" s="193">
        <f>H371+H374+H375</f>
        <v>109913.5</v>
      </c>
      <c r="I370" s="193">
        <v>111133.9</v>
      </c>
      <c r="J370" s="193">
        <v>112432</v>
      </c>
      <c r="K370" s="769" t="s">
        <v>918</v>
      </c>
      <c r="L370" s="454" t="s">
        <v>182</v>
      </c>
      <c r="M370" s="454">
        <v>22.5</v>
      </c>
      <c r="N370" s="454">
        <v>22.5</v>
      </c>
      <c r="O370" s="454">
        <v>22.5</v>
      </c>
      <c r="P370" s="454">
        <v>22.5</v>
      </c>
      <c r="Q370" s="454">
        <v>22.5</v>
      </c>
    </row>
    <row r="371" spans="1:17" s="142" customFormat="1" ht="30" x14ac:dyDescent="0.25">
      <c r="A371" s="2646"/>
      <c r="B371" s="549"/>
      <c r="C371" s="2642" t="s">
        <v>6</v>
      </c>
      <c r="D371" s="2627"/>
      <c r="E371" s="2497" t="s">
        <v>919</v>
      </c>
      <c r="F371" s="2517">
        <v>10042.4</v>
      </c>
      <c r="G371" s="2517">
        <v>7822.1</v>
      </c>
      <c r="H371" s="2496">
        <v>8965.5</v>
      </c>
      <c r="I371" s="2510">
        <v>8587.2999999999993</v>
      </c>
      <c r="J371" s="2510">
        <v>8665.6</v>
      </c>
      <c r="K371" s="784" t="s">
        <v>920</v>
      </c>
      <c r="L371" s="810" t="s">
        <v>182</v>
      </c>
      <c r="M371" s="810">
        <v>22.5</v>
      </c>
      <c r="N371" s="810">
        <v>22.5</v>
      </c>
      <c r="O371" s="810">
        <v>22.5</v>
      </c>
      <c r="P371" s="810">
        <v>22.5</v>
      </c>
      <c r="Q371" s="810">
        <v>22.5</v>
      </c>
    </row>
    <row r="372" spans="1:17" s="142" customFormat="1" ht="45" x14ac:dyDescent="0.25">
      <c r="A372" s="2095"/>
      <c r="B372" s="780"/>
      <c r="C372" s="2140"/>
      <c r="D372" s="2627"/>
      <c r="E372" s="1867"/>
      <c r="F372" s="2330"/>
      <c r="G372" s="2330"/>
      <c r="H372" s="2242"/>
      <c r="I372" s="2511"/>
      <c r="J372" s="2511"/>
      <c r="K372" s="784" t="s">
        <v>921</v>
      </c>
      <c r="L372" s="810" t="s">
        <v>182</v>
      </c>
      <c r="M372" s="810">
        <v>0.5</v>
      </c>
      <c r="N372" s="810">
        <v>0.5</v>
      </c>
      <c r="O372" s="810">
        <v>0.5</v>
      </c>
      <c r="P372" s="810">
        <v>0.5</v>
      </c>
      <c r="Q372" s="810">
        <v>0.5</v>
      </c>
    </row>
    <row r="373" spans="1:17" s="142" customFormat="1" ht="45" x14ac:dyDescent="0.25">
      <c r="A373" s="815"/>
      <c r="B373" s="549"/>
      <c r="C373" s="806" t="s">
        <v>8</v>
      </c>
      <c r="D373" s="827"/>
      <c r="E373" s="777" t="s">
        <v>922</v>
      </c>
      <c r="F373" s="2331"/>
      <c r="G373" s="2331"/>
      <c r="H373" s="2232"/>
      <c r="I373" s="2514"/>
      <c r="J373" s="2514"/>
      <c r="K373" s="784" t="s">
        <v>923</v>
      </c>
      <c r="L373" s="810" t="s">
        <v>924</v>
      </c>
      <c r="M373" s="810">
        <v>2</v>
      </c>
      <c r="N373" s="810">
        <v>3</v>
      </c>
      <c r="O373" s="810">
        <v>4</v>
      </c>
      <c r="P373" s="810">
        <v>5</v>
      </c>
      <c r="Q373" s="810">
        <v>5</v>
      </c>
    </row>
    <row r="374" spans="1:17" s="142" customFormat="1" ht="30" x14ac:dyDescent="0.25">
      <c r="A374" s="815"/>
      <c r="B374" s="549"/>
      <c r="C374" s="806" t="s">
        <v>10</v>
      </c>
      <c r="D374" s="827"/>
      <c r="E374" s="777" t="s">
        <v>925</v>
      </c>
      <c r="F374" s="772">
        <v>3347.5</v>
      </c>
      <c r="G374" s="761">
        <v>2607.4</v>
      </c>
      <c r="H374" s="746">
        <v>3023.5</v>
      </c>
      <c r="I374" s="746">
        <v>2862.4</v>
      </c>
      <c r="J374" s="746">
        <v>2888.6</v>
      </c>
      <c r="K374" s="784" t="s">
        <v>926</v>
      </c>
      <c r="L374" s="810" t="s">
        <v>488</v>
      </c>
      <c r="M374" s="803">
        <v>500</v>
      </c>
      <c r="N374" s="803">
        <v>500</v>
      </c>
      <c r="O374" s="803">
        <v>700</v>
      </c>
      <c r="P374" s="803">
        <v>800</v>
      </c>
      <c r="Q374" s="803">
        <v>900</v>
      </c>
    </row>
    <row r="375" spans="1:17" s="142" customFormat="1" ht="45" x14ac:dyDescent="0.25">
      <c r="A375" s="815"/>
      <c r="B375" s="549"/>
      <c r="C375" s="806" t="s">
        <v>12</v>
      </c>
      <c r="D375" s="827"/>
      <c r="E375" s="777" t="s">
        <v>927</v>
      </c>
      <c r="F375" s="772">
        <v>92361.4</v>
      </c>
      <c r="G375" s="772">
        <v>90129.4</v>
      </c>
      <c r="H375" s="746">
        <v>97924.5</v>
      </c>
      <c r="I375" s="746">
        <v>99684.2</v>
      </c>
      <c r="J375" s="746">
        <v>100877.8</v>
      </c>
      <c r="K375" s="784" t="s">
        <v>928</v>
      </c>
      <c r="L375" s="810" t="s">
        <v>929</v>
      </c>
      <c r="M375" s="810">
        <v>71</v>
      </c>
      <c r="N375" s="810">
        <v>71</v>
      </c>
      <c r="O375" s="810">
        <v>71</v>
      </c>
      <c r="P375" s="810">
        <v>71</v>
      </c>
      <c r="Q375" s="810">
        <v>71</v>
      </c>
    </row>
    <row r="376" spans="1:17" s="142" customFormat="1" ht="60" x14ac:dyDescent="0.25">
      <c r="A376" s="763">
        <v>25</v>
      </c>
      <c r="B376" s="748">
        <v>4</v>
      </c>
      <c r="C376" s="798"/>
      <c r="D376" s="785"/>
      <c r="E376" s="778" t="s">
        <v>930</v>
      </c>
      <c r="F376" s="193">
        <v>7531.8</v>
      </c>
      <c r="G376" s="193">
        <v>5866.6</v>
      </c>
      <c r="H376" s="193">
        <f>H377</f>
        <v>6599.6</v>
      </c>
      <c r="I376" s="193">
        <v>6440.5</v>
      </c>
      <c r="J376" s="193">
        <v>6499.2</v>
      </c>
      <c r="K376" s="769" t="s">
        <v>931</v>
      </c>
      <c r="L376" s="216" t="s">
        <v>182</v>
      </c>
      <c r="M376" s="750" t="s">
        <v>932</v>
      </c>
      <c r="N376" s="750" t="s">
        <v>932</v>
      </c>
      <c r="O376" s="750" t="s">
        <v>932</v>
      </c>
      <c r="P376" s="750" t="s">
        <v>932</v>
      </c>
      <c r="Q376" s="750" t="s">
        <v>932</v>
      </c>
    </row>
    <row r="377" spans="1:17" s="142" customFormat="1" ht="30" x14ac:dyDescent="0.25">
      <c r="A377" s="2646"/>
      <c r="B377" s="549"/>
      <c r="C377" s="2642" t="s">
        <v>6</v>
      </c>
      <c r="D377" s="2515"/>
      <c r="E377" s="2012" t="s">
        <v>933</v>
      </c>
      <c r="F377" s="2517">
        <v>7531.8</v>
      </c>
      <c r="G377" s="2517">
        <v>5866.6</v>
      </c>
      <c r="H377" s="2496">
        <v>6599.6</v>
      </c>
      <c r="I377" s="2510">
        <v>6440.5</v>
      </c>
      <c r="J377" s="2510">
        <v>6499.2</v>
      </c>
      <c r="K377" s="36" t="s">
        <v>934</v>
      </c>
      <c r="L377" s="810" t="s">
        <v>203</v>
      </c>
      <c r="M377" s="810">
        <v>0</v>
      </c>
      <c r="N377" s="810">
        <v>0</v>
      </c>
      <c r="O377" s="810">
        <v>0</v>
      </c>
      <c r="P377" s="810">
        <v>0</v>
      </c>
      <c r="Q377" s="810">
        <v>0</v>
      </c>
    </row>
    <row r="378" spans="1:17" s="142" customFormat="1" ht="30" x14ac:dyDescent="0.25">
      <c r="A378" s="1977"/>
      <c r="B378" s="504"/>
      <c r="C378" s="1978"/>
      <c r="D378" s="2516"/>
      <c r="E378" s="2012"/>
      <c r="F378" s="2330"/>
      <c r="G378" s="2330"/>
      <c r="H378" s="2242"/>
      <c r="I378" s="2511"/>
      <c r="J378" s="2511"/>
      <c r="K378" s="784" t="s">
        <v>935</v>
      </c>
      <c r="L378" s="810" t="s">
        <v>182</v>
      </c>
      <c r="M378" s="810" t="s">
        <v>936</v>
      </c>
      <c r="N378" s="810" t="s">
        <v>936</v>
      </c>
      <c r="O378" s="810" t="s">
        <v>936</v>
      </c>
      <c r="P378" s="810" t="s">
        <v>936</v>
      </c>
      <c r="Q378" s="810" t="s">
        <v>936</v>
      </c>
    </row>
    <row r="379" spans="1:17" s="142" customFormat="1" x14ac:dyDescent="0.25">
      <c r="A379" s="2646"/>
      <c r="B379" s="549"/>
      <c r="C379" s="2642" t="s">
        <v>8</v>
      </c>
      <c r="D379" s="2515"/>
      <c r="E379" s="2462" t="s">
        <v>937</v>
      </c>
      <c r="F379" s="2330"/>
      <c r="G379" s="2330"/>
      <c r="H379" s="2242"/>
      <c r="I379" s="2511"/>
      <c r="J379" s="2511"/>
      <c r="K379" s="784" t="s">
        <v>938</v>
      </c>
      <c r="L379" s="810" t="s">
        <v>182</v>
      </c>
      <c r="M379" s="810">
        <v>100</v>
      </c>
      <c r="N379" s="810">
        <v>100</v>
      </c>
      <c r="O379" s="810">
        <v>100</v>
      </c>
      <c r="P379" s="810">
        <v>100</v>
      </c>
      <c r="Q379" s="810">
        <v>100</v>
      </c>
    </row>
    <row r="380" spans="1:17" s="142" customFormat="1" ht="45" x14ac:dyDescent="0.25">
      <c r="A380" s="1977"/>
      <c r="B380" s="504"/>
      <c r="C380" s="1978"/>
      <c r="D380" s="2516"/>
      <c r="E380" s="2129"/>
      <c r="F380" s="2330"/>
      <c r="G380" s="2330"/>
      <c r="H380" s="2242"/>
      <c r="I380" s="2511"/>
      <c r="J380" s="2511"/>
      <c r="K380" s="784" t="s">
        <v>939</v>
      </c>
      <c r="L380" s="810" t="s">
        <v>940</v>
      </c>
      <c r="M380" s="810" t="s">
        <v>941</v>
      </c>
      <c r="N380" s="810" t="s">
        <v>941</v>
      </c>
      <c r="O380" s="810" t="s">
        <v>941</v>
      </c>
      <c r="P380" s="810" t="s">
        <v>941</v>
      </c>
      <c r="Q380" s="810" t="s">
        <v>941</v>
      </c>
    </row>
    <row r="381" spans="1:17" s="142" customFormat="1" ht="30" x14ac:dyDescent="0.25">
      <c r="A381" s="2009"/>
      <c r="B381" s="495"/>
      <c r="C381" s="1956"/>
      <c r="D381" s="2518"/>
      <c r="E381" s="2463"/>
      <c r="F381" s="2331"/>
      <c r="G381" s="2330"/>
      <c r="H381" s="2232"/>
      <c r="I381" s="2511"/>
      <c r="J381" s="2511"/>
      <c r="K381" s="755" t="s">
        <v>942</v>
      </c>
      <c r="L381" s="760" t="s">
        <v>203</v>
      </c>
      <c r="M381" s="760">
        <v>0</v>
      </c>
      <c r="N381" s="760">
        <v>0</v>
      </c>
      <c r="O381" s="760">
        <v>0</v>
      </c>
      <c r="P381" s="760">
        <v>0</v>
      </c>
      <c r="Q381" s="760">
        <v>0</v>
      </c>
    </row>
    <row r="382" spans="1:17" s="142" customFormat="1" ht="99.75" x14ac:dyDescent="0.25">
      <c r="A382" s="809">
        <v>25</v>
      </c>
      <c r="B382" s="49">
        <v>5</v>
      </c>
      <c r="C382" s="806"/>
      <c r="D382" s="736"/>
      <c r="E382" s="762" t="s">
        <v>943</v>
      </c>
      <c r="F382" s="193">
        <v>141831.4</v>
      </c>
      <c r="G382" s="804">
        <v>131647.20000000001</v>
      </c>
      <c r="H382" s="804">
        <f>H383+H389</f>
        <v>143231.5</v>
      </c>
      <c r="I382" s="804">
        <v>143264.70000000001</v>
      </c>
      <c r="J382" s="804">
        <v>144896.5</v>
      </c>
      <c r="K382" s="769" t="s">
        <v>944</v>
      </c>
      <c r="L382" s="454" t="s">
        <v>182</v>
      </c>
      <c r="M382" s="810">
        <v>100</v>
      </c>
      <c r="N382" s="810">
        <v>100</v>
      </c>
      <c r="O382" s="810">
        <v>100</v>
      </c>
      <c r="P382" s="810">
        <v>100</v>
      </c>
      <c r="Q382" s="810">
        <v>100</v>
      </c>
    </row>
    <row r="383" spans="1:17" s="142" customFormat="1" ht="60" x14ac:dyDescent="0.25">
      <c r="A383" s="2646"/>
      <c r="B383" s="549"/>
      <c r="C383" s="2642" t="s">
        <v>6</v>
      </c>
      <c r="D383" s="2515"/>
      <c r="E383" s="2497" t="s">
        <v>945</v>
      </c>
      <c r="F383" s="2517">
        <v>141831.4</v>
      </c>
      <c r="G383" s="2517">
        <v>131647.20000000001</v>
      </c>
      <c r="H383" s="2014">
        <v>31092.1</v>
      </c>
      <c r="I383" s="2510">
        <v>143264.70000000001</v>
      </c>
      <c r="J383" s="2510">
        <v>144896.5</v>
      </c>
      <c r="K383" s="784" t="s">
        <v>946</v>
      </c>
      <c r="L383" s="810" t="s">
        <v>182</v>
      </c>
      <c r="M383" s="810">
        <v>100</v>
      </c>
      <c r="N383" s="810">
        <v>100</v>
      </c>
      <c r="O383" s="810">
        <v>100</v>
      </c>
      <c r="P383" s="810">
        <v>100</v>
      </c>
      <c r="Q383" s="810">
        <v>100</v>
      </c>
    </row>
    <row r="384" spans="1:17" s="142" customFormat="1" ht="45" x14ac:dyDescent="0.25">
      <c r="A384" s="1977"/>
      <c r="B384" s="504"/>
      <c r="C384" s="1978"/>
      <c r="D384" s="2516"/>
      <c r="E384" s="2582"/>
      <c r="F384" s="2330"/>
      <c r="G384" s="2330"/>
      <c r="H384" s="2014"/>
      <c r="I384" s="2511"/>
      <c r="J384" s="2511"/>
      <c r="K384" s="784" t="s">
        <v>947</v>
      </c>
      <c r="L384" s="810" t="s">
        <v>182</v>
      </c>
      <c r="M384" s="810">
        <v>100</v>
      </c>
      <c r="N384" s="810">
        <v>100</v>
      </c>
      <c r="O384" s="810">
        <v>100</v>
      </c>
      <c r="P384" s="810">
        <v>100</v>
      </c>
      <c r="Q384" s="810">
        <v>100</v>
      </c>
    </row>
    <row r="385" spans="1:17" s="142" customFormat="1" ht="45" x14ac:dyDescent="0.25">
      <c r="A385" s="815"/>
      <c r="B385" s="549"/>
      <c r="C385" s="764" t="s">
        <v>8</v>
      </c>
      <c r="D385" s="808"/>
      <c r="E385" s="807" t="s">
        <v>948</v>
      </c>
      <c r="F385" s="2330"/>
      <c r="G385" s="2330"/>
      <c r="H385" s="828"/>
      <c r="I385" s="2511"/>
      <c r="J385" s="2511"/>
      <c r="K385" s="755" t="s">
        <v>949</v>
      </c>
      <c r="L385" s="810" t="s">
        <v>182</v>
      </c>
      <c r="M385" s="760">
        <v>101</v>
      </c>
      <c r="N385" s="760">
        <v>102</v>
      </c>
      <c r="O385" s="760">
        <v>103</v>
      </c>
      <c r="P385" s="760">
        <v>104</v>
      </c>
      <c r="Q385" s="760">
        <v>104</v>
      </c>
    </row>
    <row r="386" spans="1:17" s="142" customFormat="1" ht="60" x14ac:dyDescent="0.25">
      <c r="A386" s="2646"/>
      <c r="B386" s="549"/>
      <c r="C386" s="2642" t="s">
        <v>10</v>
      </c>
      <c r="D386" s="2515"/>
      <c r="E386" s="2497" t="s">
        <v>950</v>
      </c>
      <c r="F386" s="2330"/>
      <c r="G386" s="2330"/>
      <c r="H386" s="829"/>
      <c r="I386" s="2511"/>
      <c r="J386" s="2511"/>
      <c r="K386" s="784" t="s">
        <v>951</v>
      </c>
      <c r="L386" s="810" t="s">
        <v>952</v>
      </c>
      <c r="M386" s="830" t="s">
        <v>953</v>
      </c>
      <c r="N386" s="830" t="s">
        <v>953</v>
      </c>
      <c r="O386" s="830" t="s">
        <v>953</v>
      </c>
      <c r="P386" s="830" t="s">
        <v>953</v>
      </c>
      <c r="Q386" s="830" t="s">
        <v>953</v>
      </c>
    </row>
    <row r="387" spans="1:17" s="142" customFormat="1" ht="30" x14ac:dyDescent="0.25">
      <c r="A387" s="1977"/>
      <c r="B387" s="504"/>
      <c r="C387" s="1978"/>
      <c r="D387" s="2516"/>
      <c r="E387" s="2582"/>
      <c r="F387" s="2330"/>
      <c r="G387" s="2330"/>
      <c r="H387" s="829"/>
      <c r="I387" s="2511"/>
      <c r="J387" s="2511"/>
      <c r="K387" s="784" t="s">
        <v>954</v>
      </c>
      <c r="L387" s="810" t="s">
        <v>952</v>
      </c>
      <c r="M387" s="830" t="s">
        <v>955</v>
      </c>
      <c r="N387" s="830" t="s">
        <v>955</v>
      </c>
      <c r="O387" s="830" t="s">
        <v>955</v>
      </c>
      <c r="P387" s="830" t="s">
        <v>955</v>
      </c>
      <c r="Q387" s="830" t="s">
        <v>955</v>
      </c>
    </row>
    <row r="388" spans="1:17" s="142" customFormat="1" ht="45" x14ac:dyDescent="0.25">
      <c r="A388" s="2009"/>
      <c r="B388" s="495"/>
      <c r="C388" s="1956"/>
      <c r="D388" s="2518"/>
      <c r="E388" s="2071"/>
      <c r="F388" s="2330"/>
      <c r="G388" s="2330"/>
      <c r="H388" s="829"/>
      <c r="I388" s="2511"/>
      <c r="J388" s="2511"/>
      <c r="K388" s="784" t="s">
        <v>956</v>
      </c>
      <c r="L388" s="810" t="s">
        <v>952</v>
      </c>
      <c r="M388" s="830" t="s">
        <v>957</v>
      </c>
      <c r="N388" s="830" t="s">
        <v>957</v>
      </c>
      <c r="O388" s="830" t="s">
        <v>957</v>
      </c>
      <c r="P388" s="830" t="s">
        <v>957</v>
      </c>
      <c r="Q388" s="830" t="s">
        <v>957</v>
      </c>
    </row>
    <row r="389" spans="1:17" s="142" customFormat="1" ht="90" x14ac:dyDescent="0.25">
      <c r="A389" s="815"/>
      <c r="B389" s="549"/>
      <c r="C389" s="764" t="s">
        <v>12</v>
      </c>
      <c r="D389" s="736"/>
      <c r="E389" s="777" t="s">
        <v>958</v>
      </c>
      <c r="F389" s="2331"/>
      <c r="G389" s="2331"/>
      <c r="H389" s="746">
        <v>112139.4</v>
      </c>
      <c r="I389" s="2514"/>
      <c r="J389" s="2514"/>
      <c r="K389" s="784" t="s">
        <v>944</v>
      </c>
      <c r="L389" s="810" t="s">
        <v>182</v>
      </c>
      <c r="M389" s="830">
        <v>100</v>
      </c>
      <c r="N389" s="830">
        <v>100</v>
      </c>
      <c r="O389" s="830">
        <v>100</v>
      </c>
      <c r="P389" s="830">
        <v>100</v>
      </c>
      <c r="Q389" s="830">
        <v>100</v>
      </c>
    </row>
    <row r="390" spans="1:17" s="142" customFormat="1" ht="118.5" x14ac:dyDescent="0.25">
      <c r="A390" s="809">
        <v>25</v>
      </c>
      <c r="B390" s="49">
        <v>6</v>
      </c>
      <c r="C390" s="806"/>
      <c r="D390" s="737"/>
      <c r="E390" s="768" t="s">
        <v>959</v>
      </c>
      <c r="F390" s="193">
        <v>10575.1</v>
      </c>
      <c r="G390" s="193">
        <v>12590.1</v>
      </c>
      <c r="H390" s="804"/>
      <c r="I390" s="193">
        <v>12653</v>
      </c>
      <c r="J390" s="193">
        <v>12765.2</v>
      </c>
      <c r="K390" s="769" t="s">
        <v>960</v>
      </c>
      <c r="L390" s="454" t="s">
        <v>182</v>
      </c>
      <c r="M390" s="454">
        <v>100</v>
      </c>
      <c r="N390" s="454">
        <v>100</v>
      </c>
      <c r="O390" s="454">
        <v>100</v>
      </c>
      <c r="P390" s="454">
        <v>100</v>
      </c>
      <c r="Q390" s="454">
        <v>100</v>
      </c>
    </row>
    <row r="391" spans="1:17" s="142" customFormat="1" x14ac:dyDescent="0.25">
      <c r="A391" s="1919"/>
      <c r="B391" s="2620"/>
      <c r="C391" s="1922" t="s">
        <v>6</v>
      </c>
      <c r="D391" s="2583"/>
      <c r="E391" s="2497" t="s">
        <v>961</v>
      </c>
      <c r="F391" s="2517">
        <v>10575.1</v>
      </c>
      <c r="G391" s="2517">
        <v>12590.1</v>
      </c>
      <c r="H391" s="2584"/>
      <c r="I391" s="2510">
        <v>12653</v>
      </c>
      <c r="J391" s="2510">
        <v>12765.2</v>
      </c>
      <c r="K391" s="802" t="s">
        <v>962</v>
      </c>
      <c r="L391" s="760" t="s">
        <v>189</v>
      </c>
      <c r="M391" s="760">
        <v>436</v>
      </c>
      <c r="N391" s="760">
        <v>438</v>
      </c>
      <c r="O391" s="760">
        <v>440</v>
      </c>
      <c r="P391" s="760">
        <v>440</v>
      </c>
      <c r="Q391" s="760">
        <v>442</v>
      </c>
    </row>
    <row r="392" spans="1:17" s="142" customFormat="1" ht="45" x14ac:dyDescent="0.25">
      <c r="A392" s="1919"/>
      <c r="B392" s="2216"/>
      <c r="C392" s="1922"/>
      <c r="D392" s="2583"/>
      <c r="E392" s="2144"/>
      <c r="F392" s="2330"/>
      <c r="G392" s="2330"/>
      <c r="H392" s="1904"/>
      <c r="I392" s="2511"/>
      <c r="J392" s="2511"/>
      <c r="K392" s="801" t="s">
        <v>963</v>
      </c>
      <c r="L392" s="810" t="s">
        <v>182</v>
      </c>
      <c r="M392" s="810">
        <v>80</v>
      </c>
      <c r="N392" s="810">
        <v>80</v>
      </c>
      <c r="O392" s="810">
        <v>80</v>
      </c>
      <c r="P392" s="810">
        <v>80</v>
      </c>
      <c r="Q392" s="810">
        <v>80</v>
      </c>
    </row>
    <row r="393" spans="1:17" s="142" customFormat="1" x14ac:dyDescent="0.25">
      <c r="A393" s="1919"/>
      <c r="B393" s="1921"/>
      <c r="C393" s="1922"/>
      <c r="D393" s="2583"/>
      <c r="E393" s="1867"/>
      <c r="F393" s="2330"/>
      <c r="G393" s="2330"/>
      <c r="H393" s="1904"/>
      <c r="I393" s="2511"/>
      <c r="J393" s="2511"/>
      <c r="K393" s="801" t="s">
        <v>964</v>
      </c>
      <c r="L393" s="810" t="s">
        <v>420</v>
      </c>
      <c r="M393" s="810">
        <v>1440</v>
      </c>
      <c r="N393" s="810">
        <v>1460</v>
      </c>
      <c r="O393" s="810">
        <v>1480</v>
      </c>
      <c r="P393" s="810">
        <v>1480</v>
      </c>
      <c r="Q393" s="810">
        <v>1500</v>
      </c>
    </row>
    <row r="394" spans="1:17" s="142" customFormat="1" ht="45" x14ac:dyDescent="0.25">
      <c r="A394" s="747"/>
      <c r="B394" s="493"/>
      <c r="C394" s="786" t="s">
        <v>8</v>
      </c>
      <c r="D394" s="831"/>
      <c r="E394" s="777" t="s">
        <v>965</v>
      </c>
      <c r="F394" s="2330"/>
      <c r="G394" s="2330"/>
      <c r="H394" s="1904"/>
      <c r="I394" s="2511"/>
      <c r="J394" s="2511"/>
      <c r="K394" s="801" t="s">
        <v>966</v>
      </c>
      <c r="L394" s="810" t="s">
        <v>420</v>
      </c>
      <c r="M394" s="810">
        <v>2260</v>
      </c>
      <c r="N394" s="810">
        <v>2300</v>
      </c>
      <c r="O394" s="810">
        <v>2340</v>
      </c>
      <c r="P394" s="810">
        <v>2340</v>
      </c>
      <c r="Q394" s="810">
        <v>2380</v>
      </c>
    </row>
    <row r="395" spans="1:17" s="142" customFormat="1" ht="60" x14ac:dyDescent="0.25">
      <c r="A395" s="779"/>
      <c r="B395" s="776"/>
      <c r="C395" s="799" t="s">
        <v>10</v>
      </c>
      <c r="D395" s="832"/>
      <c r="E395" s="777" t="s">
        <v>967</v>
      </c>
      <c r="F395" s="2331"/>
      <c r="G395" s="2331"/>
      <c r="H395" s="1905"/>
      <c r="I395" s="2514"/>
      <c r="J395" s="2514"/>
      <c r="K395" s="802" t="s">
        <v>960</v>
      </c>
      <c r="L395" s="810" t="s">
        <v>182</v>
      </c>
      <c r="M395" s="810">
        <v>100</v>
      </c>
      <c r="N395" s="810">
        <v>100</v>
      </c>
      <c r="O395" s="810">
        <v>100</v>
      </c>
      <c r="P395" s="810">
        <v>100</v>
      </c>
      <c r="Q395" s="810">
        <v>100</v>
      </c>
    </row>
    <row r="396" spans="1:17" s="142" customFormat="1" ht="59.25" x14ac:dyDescent="0.25">
      <c r="A396" s="809">
        <v>25</v>
      </c>
      <c r="B396" s="783">
        <v>7</v>
      </c>
      <c r="C396" s="765"/>
      <c r="D396" s="737"/>
      <c r="E396" s="768" t="s">
        <v>968</v>
      </c>
      <c r="F396" s="193">
        <v>24282.3</v>
      </c>
      <c r="G396" s="193">
        <v>23465</v>
      </c>
      <c r="H396" s="193">
        <f>H397+H398+H399+H400</f>
        <v>29661.920000000002</v>
      </c>
      <c r="I396" s="193">
        <v>22343</v>
      </c>
      <c r="J396" s="193">
        <v>23539.4</v>
      </c>
      <c r="K396" s="784" t="s">
        <v>969</v>
      </c>
      <c r="L396" s="810" t="s">
        <v>238</v>
      </c>
      <c r="M396" s="810" t="s">
        <v>970</v>
      </c>
      <c r="N396" s="810" t="s">
        <v>970</v>
      </c>
      <c r="O396" s="810" t="s">
        <v>970</v>
      </c>
      <c r="P396" s="810" t="s">
        <v>970</v>
      </c>
      <c r="Q396" s="810" t="s">
        <v>970</v>
      </c>
    </row>
    <row r="397" spans="1:17" s="142" customFormat="1" x14ac:dyDescent="0.25">
      <c r="A397" s="815"/>
      <c r="B397" s="549"/>
      <c r="C397" s="806" t="s">
        <v>6</v>
      </c>
      <c r="D397" s="827"/>
      <c r="E397" s="774" t="s">
        <v>971</v>
      </c>
      <c r="F397" s="810">
        <v>5021.2</v>
      </c>
      <c r="G397" s="810">
        <v>3911.1</v>
      </c>
      <c r="H397" s="775">
        <v>4579.1000000000004</v>
      </c>
      <c r="I397" s="833">
        <v>4293.6000000000004</v>
      </c>
      <c r="J397" s="833">
        <v>4332.8</v>
      </c>
      <c r="K397" s="784" t="s">
        <v>972</v>
      </c>
      <c r="L397" s="810" t="s">
        <v>973</v>
      </c>
      <c r="M397" s="810">
        <v>1469</v>
      </c>
      <c r="N397" s="810">
        <v>1508</v>
      </c>
      <c r="O397" s="810">
        <v>1460</v>
      </c>
      <c r="P397" s="810"/>
      <c r="Q397" s="810"/>
    </row>
    <row r="398" spans="1:17" s="142" customFormat="1" ht="45" x14ac:dyDescent="0.25">
      <c r="A398" s="815"/>
      <c r="B398" s="834"/>
      <c r="C398" s="439" t="s">
        <v>8</v>
      </c>
      <c r="D398" s="827"/>
      <c r="E398" s="774" t="s">
        <v>974</v>
      </c>
      <c r="F398" s="810">
        <v>3347.5</v>
      </c>
      <c r="G398" s="810">
        <v>2607.4</v>
      </c>
      <c r="H398" s="775">
        <v>715.17</v>
      </c>
      <c r="I398" s="833">
        <v>715.6</v>
      </c>
      <c r="J398" s="833">
        <v>722.1</v>
      </c>
      <c r="K398" s="784" t="s">
        <v>969</v>
      </c>
      <c r="L398" s="810" t="s">
        <v>238</v>
      </c>
      <c r="M398" s="810" t="s">
        <v>970</v>
      </c>
      <c r="N398" s="810" t="s">
        <v>970</v>
      </c>
      <c r="O398" s="810" t="s">
        <v>970</v>
      </c>
      <c r="P398" s="810" t="s">
        <v>970</v>
      </c>
      <c r="Q398" s="810" t="s">
        <v>970</v>
      </c>
    </row>
    <row r="399" spans="1:17" s="142" customFormat="1" ht="45" x14ac:dyDescent="0.25">
      <c r="A399" s="815"/>
      <c r="B399" s="834"/>
      <c r="C399" s="439" t="s">
        <v>10</v>
      </c>
      <c r="D399" s="827"/>
      <c r="E399" s="774" t="s">
        <v>975</v>
      </c>
      <c r="F399" s="810">
        <v>11729.3</v>
      </c>
      <c r="G399" s="810">
        <v>13687.3</v>
      </c>
      <c r="H399" s="775">
        <v>20600.900000000001</v>
      </c>
      <c r="I399" s="833">
        <v>13755.8</v>
      </c>
      <c r="J399" s="833">
        <v>14873.8</v>
      </c>
      <c r="K399" s="784" t="s">
        <v>976</v>
      </c>
      <c r="L399" s="810"/>
      <c r="M399" s="810">
        <v>4</v>
      </c>
      <c r="N399" s="810">
        <v>4</v>
      </c>
      <c r="O399" s="810">
        <v>5</v>
      </c>
      <c r="P399" s="810">
        <v>5</v>
      </c>
      <c r="Q399" s="810">
        <v>5</v>
      </c>
    </row>
    <row r="400" spans="1:17" s="142" customFormat="1" ht="45" x14ac:dyDescent="0.25">
      <c r="A400" s="815"/>
      <c r="B400" s="549"/>
      <c r="C400" s="806" t="s">
        <v>12</v>
      </c>
      <c r="D400" s="827"/>
      <c r="E400" s="774" t="s">
        <v>977</v>
      </c>
      <c r="F400" s="810">
        <v>4184.3</v>
      </c>
      <c r="G400" s="810">
        <v>3259.2</v>
      </c>
      <c r="H400" s="775">
        <v>3766.75</v>
      </c>
      <c r="I400" s="833">
        <v>3578</v>
      </c>
      <c r="J400" s="833">
        <v>3610.7</v>
      </c>
      <c r="K400" s="784" t="s">
        <v>978</v>
      </c>
      <c r="L400" s="810" t="s">
        <v>465</v>
      </c>
      <c r="M400" s="810">
        <v>17</v>
      </c>
      <c r="N400" s="810">
        <v>17</v>
      </c>
      <c r="O400" s="810">
        <v>11</v>
      </c>
      <c r="P400" s="810">
        <v>11</v>
      </c>
      <c r="Q400" s="810">
        <v>11</v>
      </c>
    </row>
    <row r="401" spans="1:17" s="142" customFormat="1" ht="74.25" x14ac:dyDescent="0.25">
      <c r="A401" s="809">
        <v>25</v>
      </c>
      <c r="B401" s="49">
        <v>8</v>
      </c>
      <c r="C401" s="765"/>
      <c r="D401" s="737"/>
      <c r="E401" s="777" t="s">
        <v>979</v>
      </c>
      <c r="F401" s="193">
        <v>16887.199999999997</v>
      </c>
      <c r="G401" s="193">
        <v>14340.199999999999</v>
      </c>
      <c r="H401" s="193">
        <f>H402+H403+H405+H410</f>
        <v>17381.169999999998</v>
      </c>
      <c r="I401" s="193">
        <v>15440.600000000002</v>
      </c>
      <c r="J401" s="193">
        <v>15817.599999999999</v>
      </c>
      <c r="K401" s="769" t="s">
        <v>980</v>
      </c>
      <c r="L401" s="454"/>
      <c r="M401" s="454"/>
      <c r="N401" s="454"/>
      <c r="O401" s="454" t="s">
        <v>981</v>
      </c>
      <c r="P401" s="454" t="s">
        <v>981</v>
      </c>
      <c r="Q401" s="454" t="s">
        <v>981</v>
      </c>
    </row>
    <row r="402" spans="1:17" s="142" customFormat="1" ht="45" x14ac:dyDescent="0.25">
      <c r="A402" s="747"/>
      <c r="B402" s="493"/>
      <c r="C402" s="806" t="s">
        <v>6</v>
      </c>
      <c r="D402" s="825"/>
      <c r="E402" s="777" t="s">
        <v>982</v>
      </c>
      <c r="F402" s="759">
        <v>2378.5</v>
      </c>
      <c r="G402" s="759">
        <v>1955.5</v>
      </c>
      <c r="H402" s="770">
        <v>2681.1</v>
      </c>
      <c r="I402" s="746">
        <v>2146.8000000000002</v>
      </c>
      <c r="J402" s="746">
        <v>2166.4</v>
      </c>
      <c r="K402" s="784" t="s">
        <v>983</v>
      </c>
      <c r="L402" s="810" t="s">
        <v>312</v>
      </c>
      <c r="M402" s="810">
        <v>3</v>
      </c>
      <c r="N402" s="810">
        <v>4</v>
      </c>
      <c r="O402" s="810">
        <v>4</v>
      </c>
      <c r="P402" s="810">
        <v>4</v>
      </c>
      <c r="Q402" s="810">
        <v>4</v>
      </c>
    </row>
    <row r="403" spans="1:17" s="142" customFormat="1" x14ac:dyDescent="0.25">
      <c r="A403" s="2641"/>
      <c r="B403" s="787"/>
      <c r="C403" s="2642" t="s">
        <v>8</v>
      </c>
      <c r="D403" s="2515"/>
      <c r="E403" s="2497" t="s">
        <v>984</v>
      </c>
      <c r="F403" s="2523">
        <v>3347.4</v>
      </c>
      <c r="G403" s="2523">
        <v>2607.4</v>
      </c>
      <c r="H403" s="2496">
        <v>3230.6</v>
      </c>
      <c r="I403" s="2496">
        <v>2862.4</v>
      </c>
      <c r="J403" s="2496">
        <v>2888.5</v>
      </c>
      <c r="K403" s="784" t="s">
        <v>421</v>
      </c>
      <c r="L403" s="810" t="s">
        <v>312</v>
      </c>
      <c r="M403" s="810">
        <v>5</v>
      </c>
      <c r="N403" s="810">
        <v>3</v>
      </c>
      <c r="O403" s="810">
        <v>3</v>
      </c>
      <c r="P403" s="810">
        <v>3</v>
      </c>
      <c r="Q403" s="810">
        <v>3</v>
      </c>
    </row>
    <row r="404" spans="1:17" s="142" customFormat="1" ht="45" x14ac:dyDescent="0.25">
      <c r="A404" s="2215"/>
      <c r="B404" s="776"/>
      <c r="C404" s="1956"/>
      <c r="D404" s="2518"/>
      <c r="E404" s="1867"/>
      <c r="F404" s="1901"/>
      <c r="G404" s="1901"/>
      <c r="H404" s="2232"/>
      <c r="I404" s="2232"/>
      <c r="J404" s="2232"/>
      <c r="K404" s="756" t="s">
        <v>985</v>
      </c>
      <c r="L404" s="750" t="s">
        <v>182</v>
      </c>
      <c r="M404" s="835">
        <v>1</v>
      </c>
      <c r="N404" s="835">
        <v>1</v>
      </c>
      <c r="O404" s="835">
        <v>1</v>
      </c>
      <c r="P404" s="835">
        <v>1</v>
      </c>
      <c r="Q404" s="835">
        <v>1</v>
      </c>
    </row>
    <row r="405" spans="1:17" s="142" customFormat="1" x14ac:dyDescent="0.25">
      <c r="A405" s="747"/>
      <c r="B405" s="493"/>
      <c r="C405" s="806" t="s">
        <v>10</v>
      </c>
      <c r="D405" s="825"/>
      <c r="E405" s="777" t="s">
        <v>986</v>
      </c>
      <c r="F405" s="2523">
        <v>2792.7</v>
      </c>
      <c r="G405" s="2523">
        <v>3258.9</v>
      </c>
      <c r="H405" s="2496">
        <v>3258.9</v>
      </c>
      <c r="I405" s="2496">
        <v>3275.2</v>
      </c>
      <c r="J405" s="2496">
        <v>3541.4</v>
      </c>
      <c r="K405" s="2495" t="s">
        <v>987</v>
      </c>
      <c r="L405" s="2522"/>
      <c r="M405" s="760" t="s">
        <v>988</v>
      </c>
      <c r="N405" s="760" t="s">
        <v>988</v>
      </c>
      <c r="O405" s="760" t="s">
        <v>988</v>
      </c>
      <c r="P405" s="2517" t="s">
        <v>988</v>
      </c>
      <c r="Q405" s="2517" t="s">
        <v>988</v>
      </c>
    </row>
    <row r="406" spans="1:17" s="142" customFormat="1" ht="30" x14ac:dyDescent="0.25">
      <c r="A406" s="747"/>
      <c r="B406" s="493"/>
      <c r="C406" s="806" t="s">
        <v>12</v>
      </c>
      <c r="D406" s="825"/>
      <c r="E406" s="762" t="s">
        <v>989</v>
      </c>
      <c r="F406" s="1900"/>
      <c r="G406" s="1900"/>
      <c r="H406" s="2242"/>
      <c r="I406" s="2242"/>
      <c r="J406" s="2242"/>
      <c r="K406" s="1875"/>
      <c r="L406" s="2240"/>
      <c r="M406" s="750"/>
      <c r="N406" s="750"/>
      <c r="O406" s="750"/>
      <c r="P406" s="2331"/>
      <c r="Q406" s="2331"/>
    </row>
    <row r="407" spans="1:17" s="142" customFormat="1" ht="45" x14ac:dyDescent="0.25">
      <c r="A407" s="2641"/>
      <c r="B407" s="787"/>
      <c r="C407" s="2642" t="s">
        <v>14</v>
      </c>
      <c r="D407" s="2515"/>
      <c r="E407" s="2632" t="s">
        <v>990</v>
      </c>
      <c r="F407" s="1900"/>
      <c r="G407" s="1900"/>
      <c r="H407" s="2242"/>
      <c r="I407" s="2242"/>
      <c r="J407" s="2242"/>
      <c r="K407" s="36" t="s">
        <v>991</v>
      </c>
      <c r="L407" s="810"/>
      <c r="M407" s="810" t="s">
        <v>992</v>
      </c>
      <c r="N407" s="810">
        <v>100</v>
      </c>
      <c r="O407" s="810">
        <v>100</v>
      </c>
      <c r="P407" s="810">
        <v>100</v>
      </c>
      <c r="Q407" s="810">
        <v>100</v>
      </c>
    </row>
    <row r="408" spans="1:17" s="142" customFormat="1" ht="60" x14ac:dyDescent="0.25">
      <c r="A408" s="2214"/>
      <c r="B408" s="788"/>
      <c r="C408" s="1978"/>
      <c r="D408" s="2516"/>
      <c r="E408" s="2499"/>
      <c r="F408" s="1900"/>
      <c r="G408" s="1900"/>
      <c r="H408" s="2242"/>
      <c r="I408" s="2242"/>
      <c r="J408" s="2242"/>
      <c r="K408" s="784" t="s">
        <v>993</v>
      </c>
      <c r="L408" s="810"/>
      <c r="M408" s="810" t="s">
        <v>994</v>
      </c>
      <c r="N408" s="810" t="s">
        <v>995</v>
      </c>
      <c r="O408" s="810" t="s">
        <v>996</v>
      </c>
      <c r="P408" s="810" t="s">
        <v>997</v>
      </c>
      <c r="Q408" s="810" t="s">
        <v>997</v>
      </c>
    </row>
    <row r="409" spans="1:17" s="142" customFormat="1" ht="30" x14ac:dyDescent="0.25">
      <c r="A409" s="2215"/>
      <c r="B409" s="776"/>
      <c r="C409" s="1956"/>
      <c r="D409" s="2518"/>
      <c r="E409" s="2098"/>
      <c r="F409" s="1901"/>
      <c r="G409" s="1901"/>
      <c r="H409" s="2232"/>
      <c r="I409" s="2232"/>
      <c r="J409" s="2232"/>
      <c r="K409" s="755" t="s">
        <v>998</v>
      </c>
      <c r="L409" s="810"/>
      <c r="M409" s="810" t="s">
        <v>999</v>
      </c>
      <c r="N409" s="810">
        <v>100</v>
      </c>
      <c r="O409" s="810">
        <v>100</v>
      </c>
      <c r="P409" s="810">
        <v>100</v>
      </c>
      <c r="Q409" s="810">
        <v>100</v>
      </c>
    </row>
    <row r="410" spans="1:17" s="142" customFormat="1" ht="75" x14ac:dyDescent="0.25">
      <c r="A410" s="747"/>
      <c r="B410" s="493"/>
      <c r="C410" s="786" t="s">
        <v>16</v>
      </c>
      <c r="D410" s="831"/>
      <c r="E410" s="766" t="s">
        <v>1000</v>
      </c>
      <c r="F410" s="2523">
        <v>8368.6</v>
      </c>
      <c r="G410" s="2523">
        <v>6518.4</v>
      </c>
      <c r="H410" s="2496">
        <v>8210.57</v>
      </c>
      <c r="I410" s="2496">
        <v>7156.2</v>
      </c>
      <c r="J410" s="2496">
        <v>7221.3</v>
      </c>
      <c r="K410" s="836" t="s">
        <v>1001</v>
      </c>
      <c r="L410" s="25" t="s">
        <v>191</v>
      </c>
      <c r="M410" s="810">
        <v>40</v>
      </c>
      <c r="N410" s="810">
        <v>40</v>
      </c>
      <c r="O410" s="810">
        <v>40</v>
      </c>
      <c r="P410" s="810">
        <v>40</v>
      </c>
      <c r="Q410" s="810">
        <v>40</v>
      </c>
    </row>
    <row r="411" spans="1:17" s="142" customFormat="1" ht="60" x14ac:dyDescent="0.25">
      <c r="A411" s="800"/>
      <c r="B411" s="787"/>
      <c r="C411" s="798" t="s">
        <v>48</v>
      </c>
      <c r="D411" s="831"/>
      <c r="E411" s="740" t="s">
        <v>1002</v>
      </c>
      <c r="F411" s="1901"/>
      <c r="G411" s="1901"/>
      <c r="H411" s="2232"/>
      <c r="I411" s="2232"/>
      <c r="J411" s="2232"/>
      <c r="K411" s="836" t="s">
        <v>1003</v>
      </c>
      <c r="L411" s="25" t="s">
        <v>222</v>
      </c>
      <c r="M411" s="810">
        <v>3</v>
      </c>
      <c r="N411" s="810">
        <v>4</v>
      </c>
      <c r="O411" s="810">
        <v>4</v>
      </c>
      <c r="P411" s="810">
        <v>4</v>
      </c>
      <c r="Q411" s="810">
        <v>4</v>
      </c>
    </row>
    <row r="412" spans="1:17" s="142" customFormat="1" ht="59.25" x14ac:dyDescent="0.25">
      <c r="A412" s="809">
        <v>25</v>
      </c>
      <c r="B412" s="49">
        <v>9</v>
      </c>
      <c r="C412" s="806"/>
      <c r="D412" s="736"/>
      <c r="E412" s="777" t="s">
        <v>1004</v>
      </c>
      <c r="F412" s="193">
        <v>100422.1</v>
      </c>
      <c r="G412" s="193">
        <v>92666.4</v>
      </c>
      <c r="H412" s="193">
        <f>H413</f>
        <v>76688.099999999991</v>
      </c>
      <c r="I412" s="193">
        <v>93129.600000000006</v>
      </c>
      <c r="J412" s="193">
        <v>94028.7</v>
      </c>
      <c r="K412" s="769"/>
      <c r="L412" s="454"/>
      <c r="M412" s="454"/>
      <c r="N412" s="454"/>
      <c r="O412" s="454"/>
      <c r="P412" s="454"/>
      <c r="Q412" s="454"/>
    </row>
    <row r="413" spans="1:17" s="142" customFormat="1" ht="30" x14ac:dyDescent="0.25">
      <c r="A413" s="747"/>
      <c r="B413" s="787"/>
      <c r="C413" s="764" t="s">
        <v>6</v>
      </c>
      <c r="D413" s="827"/>
      <c r="E413" s="814" t="s">
        <v>1005</v>
      </c>
      <c r="F413" s="772">
        <v>100422.1</v>
      </c>
      <c r="G413" s="772">
        <v>92666.4</v>
      </c>
      <c r="H413" s="746">
        <f>76663.2+24.9</f>
        <v>76688.099999999991</v>
      </c>
      <c r="I413" s="773">
        <v>93129.600000000006</v>
      </c>
      <c r="J413" s="773">
        <v>94028.7</v>
      </c>
      <c r="K413" s="784" t="s">
        <v>1006</v>
      </c>
      <c r="L413" s="810" t="s">
        <v>488</v>
      </c>
      <c r="M413" s="810">
        <v>3623.1</v>
      </c>
      <c r="N413" s="810">
        <v>3190.8</v>
      </c>
      <c r="O413" s="810">
        <v>3063.8</v>
      </c>
      <c r="P413" s="810">
        <v>3114.5</v>
      </c>
      <c r="Q413" s="810">
        <v>2932.6</v>
      </c>
    </row>
    <row r="414" spans="1:17" s="142" customFormat="1" x14ac:dyDescent="0.25">
      <c r="A414" s="809">
        <v>25</v>
      </c>
      <c r="B414" s="49">
        <v>10</v>
      </c>
      <c r="C414" s="806"/>
      <c r="D414" s="736"/>
      <c r="E414" s="778" t="s">
        <v>867</v>
      </c>
      <c r="F414" s="193">
        <v>0</v>
      </c>
      <c r="G414" s="193">
        <v>0</v>
      </c>
      <c r="H414" s="804">
        <f>H415</f>
        <v>351719.8</v>
      </c>
      <c r="I414" s="804">
        <v>1042814.5</v>
      </c>
      <c r="J414" s="804">
        <v>629130.1</v>
      </c>
      <c r="K414" s="769"/>
      <c r="L414" s="454"/>
      <c r="M414" s="454"/>
      <c r="N414" s="454"/>
      <c r="O414" s="454"/>
      <c r="P414" s="454"/>
      <c r="Q414" s="454"/>
    </row>
    <row r="415" spans="1:17" s="142" customFormat="1" x14ac:dyDescent="0.25">
      <c r="A415" s="747"/>
      <c r="B415" s="787"/>
      <c r="C415" s="764" t="s">
        <v>6</v>
      </c>
      <c r="D415" s="827"/>
      <c r="E415" s="814" t="s">
        <v>868</v>
      </c>
      <c r="F415" s="772"/>
      <c r="G415" s="772"/>
      <c r="H415" s="746">
        <v>351719.8</v>
      </c>
      <c r="I415" s="773">
        <v>1042814.5</v>
      </c>
      <c r="J415" s="773">
        <v>629130.1</v>
      </c>
      <c r="K415" s="784"/>
      <c r="L415" s="810"/>
      <c r="M415" s="810"/>
      <c r="N415" s="810"/>
      <c r="O415" s="810"/>
      <c r="P415" s="810"/>
      <c r="Q415" s="810"/>
    </row>
    <row r="416" spans="1:17" s="142" customFormat="1" ht="15" customHeight="1" x14ac:dyDescent="0.25">
      <c r="A416" s="1821" t="s">
        <v>1007</v>
      </c>
      <c r="B416" s="1822"/>
      <c r="C416" s="1822"/>
      <c r="D416" s="1822"/>
      <c r="E416" s="1822"/>
      <c r="F416" s="46">
        <v>636660.1</v>
      </c>
      <c r="G416" s="46">
        <v>567497.6</v>
      </c>
      <c r="H416" s="46">
        <f>H352+H361+H370+H376+H382+H396+H401+H412+H414</f>
        <v>957390.82000000007</v>
      </c>
      <c r="I416" s="46">
        <v>1658637.7000000002</v>
      </c>
      <c r="J416" s="46">
        <v>1252449.3</v>
      </c>
      <c r="K416" s="16"/>
      <c r="L416" s="18"/>
      <c r="M416" s="24"/>
      <c r="N416" s="24"/>
      <c r="O416" s="24"/>
      <c r="P416" s="24"/>
      <c r="Q416" s="24"/>
    </row>
    <row r="417" spans="1:17" s="142" customFormat="1" ht="15" customHeight="1" x14ac:dyDescent="0.25">
      <c r="A417" s="1826" t="s">
        <v>1008</v>
      </c>
      <c r="B417" s="1827"/>
      <c r="C417" s="1827"/>
      <c r="D417" s="1827"/>
      <c r="E417" s="1827"/>
      <c r="F417" s="1827"/>
      <c r="G417" s="1827"/>
      <c r="H417" s="1827"/>
      <c r="I417" s="1827"/>
      <c r="J417" s="1827"/>
      <c r="K417" s="1827"/>
      <c r="L417" s="1827"/>
      <c r="M417" s="1827"/>
      <c r="N417" s="1827"/>
      <c r="O417" s="1827"/>
      <c r="P417" s="1827"/>
      <c r="Q417" s="1828"/>
    </row>
    <row r="418" spans="1:17" s="142" customFormat="1" ht="28.5" x14ac:dyDescent="0.25">
      <c r="A418" s="2658">
        <v>26</v>
      </c>
      <c r="B418" s="2644">
        <v>1</v>
      </c>
      <c r="C418" s="2522"/>
      <c r="D418" s="2522"/>
      <c r="E418" s="2633" t="s">
        <v>1009</v>
      </c>
      <c r="F418" s="2628">
        <v>136552.50000000003</v>
      </c>
      <c r="G418" s="2628">
        <v>144000</v>
      </c>
      <c r="H418" s="2628"/>
      <c r="I418" s="2628">
        <v>158000</v>
      </c>
      <c r="J418" s="2628">
        <v>169000</v>
      </c>
      <c r="K418" s="22" t="s">
        <v>1010</v>
      </c>
      <c r="L418" s="81" t="s">
        <v>182</v>
      </c>
      <c r="M418" s="837">
        <v>0.64800000000000002</v>
      </c>
      <c r="N418" s="837">
        <v>0.65</v>
      </c>
      <c r="O418" s="837">
        <v>0.66</v>
      </c>
      <c r="P418" s="837">
        <v>0.67</v>
      </c>
      <c r="Q418" s="837">
        <v>0.68</v>
      </c>
    </row>
    <row r="419" spans="1:17" s="142" customFormat="1" ht="71.25" customHeight="1" x14ac:dyDescent="0.25">
      <c r="A419" s="2221"/>
      <c r="B419" s="2162"/>
      <c r="C419" s="2240"/>
      <c r="D419" s="2240"/>
      <c r="E419" s="2237"/>
      <c r="F419" s="2240"/>
      <c r="G419" s="2240"/>
      <c r="H419" s="2240"/>
      <c r="I419" s="2240"/>
      <c r="J419" s="2240"/>
      <c r="K419" s="22" t="s">
        <v>183</v>
      </c>
      <c r="L419" s="81" t="s">
        <v>184</v>
      </c>
      <c r="M419" s="837">
        <v>0.35199999999999998</v>
      </c>
      <c r="N419" s="838" t="s">
        <v>1011</v>
      </c>
      <c r="O419" s="838" t="s">
        <v>1011</v>
      </c>
      <c r="P419" s="838" t="s">
        <v>1011</v>
      </c>
      <c r="Q419" s="838" t="s">
        <v>1011</v>
      </c>
    </row>
    <row r="420" spans="1:17" s="142" customFormat="1" ht="45" x14ac:dyDescent="0.25">
      <c r="A420" s="752"/>
      <c r="B420" s="753"/>
      <c r="C420" s="751" t="s">
        <v>6</v>
      </c>
      <c r="D420" s="751"/>
      <c r="E420" s="740" t="s">
        <v>7</v>
      </c>
      <c r="F420" s="839">
        <v>2920.9</v>
      </c>
      <c r="G420" s="839">
        <v>2920.9</v>
      </c>
      <c r="H420" s="839"/>
      <c r="I420" s="839">
        <v>2920.9</v>
      </c>
      <c r="J420" s="839">
        <v>2920.9</v>
      </c>
      <c r="K420" s="738" t="s">
        <v>1012</v>
      </c>
      <c r="L420" s="657" t="s">
        <v>182</v>
      </c>
      <c r="M420" s="840">
        <v>0.72</v>
      </c>
      <c r="N420" s="840" t="s">
        <v>1013</v>
      </c>
      <c r="O420" s="840" t="s">
        <v>1013</v>
      </c>
      <c r="P420" s="840" t="s">
        <v>1013</v>
      </c>
      <c r="Q420" s="840" t="s">
        <v>1013</v>
      </c>
    </row>
    <row r="421" spans="1:17" s="142" customFormat="1" ht="45" x14ac:dyDescent="0.25">
      <c r="A421" s="752"/>
      <c r="B421" s="753"/>
      <c r="C421" s="751" t="s">
        <v>16</v>
      </c>
      <c r="D421" s="751"/>
      <c r="E421" s="784" t="s">
        <v>17</v>
      </c>
      <c r="F421" s="839">
        <v>14649.2</v>
      </c>
      <c r="G421" s="839">
        <v>18439.099999999999</v>
      </c>
      <c r="H421" s="839"/>
      <c r="I421" s="839">
        <v>27429.200000000001</v>
      </c>
      <c r="J421" s="839">
        <v>37429.199999999997</v>
      </c>
      <c r="K421" s="740" t="s">
        <v>1014</v>
      </c>
      <c r="L421" s="657" t="s">
        <v>182</v>
      </c>
      <c r="M421" s="33">
        <v>0.2</v>
      </c>
      <c r="N421" s="841">
        <v>0.2</v>
      </c>
      <c r="O421" s="841">
        <v>0.2</v>
      </c>
      <c r="P421" s="841">
        <v>0.2</v>
      </c>
      <c r="Q421" s="841">
        <v>0.2</v>
      </c>
    </row>
    <row r="422" spans="1:17" s="142" customFormat="1" ht="30" x14ac:dyDescent="0.25">
      <c r="A422" s="752"/>
      <c r="B422" s="1812"/>
      <c r="C422" s="2359" t="s">
        <v>49</v>
      </c>
      <c r="D422" s="2359"/>
      <c r="E422" s="2469" t="s">
        <v>67</v>
      </c>
      <c r="F422" s="2519">
        <v>85951.1</v>
      </c>
      <c r="G422" s="2519">
        <v>87271.1</v>
      </c>
      <c r="H422" s="2519"/>
      <c r="I422" s="2519">
        <v>88281</v>
      </c>
      <c r="J422" s="2519">
        <v>88281</v>
      </c>
      <c r="K422" s="740" t="s">
        <v>1015</v>
      </c>
      <c r="L422" s="657" t="s">
        <v>182</v>
      </c>
      <c r="M422" s="842">
        <v>0.37455555555555547</v>
      </c>
      <c r="N422" s="843" t="s">
        <v>1011</v>
      </c>
      <c r="O422" s="843" t="s">
        <v>1011</v>
      </c>
      <c r="P422" s="843" t="s">
        <v>1011</v>
      </c>
      <c r="Q422" s="843" t="s">
        <v>1011</v>
      </c>
    </row>
    <row r="423" spans="1:17" s="142" customFormat="1" ht="45" x14ac:dyDescent="0.25">
      <c r="A423" s="752"/>
      <c r="B423" s="1813"/>
      <c r="C423" s="2016"/>
      <c r="D423" s="2016"/>
      <c r="E423" s="1986"/>
      <c r="F423" s="2520"/>
      <c r="G423" s="2520"/>
      <c r="H423" s="2520"/>
      <c r="I423" s="2520"/>
      <c r="J423" s="2520"/>
      <c r="K423" s="740" t="s">
        <v>1016</v>
      </c>
      <c r="L423" s="657" t="s">
        <v>182</v>
      </c>
      <c r="M423" s="842">
        <v>0.79100000000000004</v>
      </c>
      <c r="N423" s="843">
        <v>79.099999999999994</v>
      </c>
      <c r="O423" s="843" t="s">
        <v>1013</v>
      </c>
      <c r="P423" s="843" t="s">
        <v>1013</v>
      </c>
      <c r="Q423" s="843" t="s">
        <v>1013</v>
      </c>
    </row>
    <row r="424" spans="1:17" s="142" customFormat="1" ht="45" x14ac:dyDescent="0.25">
      <c r="A424" s="752"/>
      <c r="B424" s="1814"/>
      <c r="C424" s="1885"/>
      <c r="D424" s="1885"/>
      <c r="E424" s="1987"/>
      <c r="F424" s="2521"/>
      <c r="G424" s="2521"/>
      <c r="H424" s="2521"/>
      <c r="I424" s="2521"/>
      <c r="J424" s="2521"/>
      <c r="K424" s="740" t="s">
        <v>1017</v>
      </c>
      <c r="L424" s="657" t="s">
        <v>182</v>
      </c>
      <c r="M424" s="842">
        <v>0.65400000000000003</v>
      </c>
      <c r="N424" s="843">
        <v>73.7</v>
      </c>
      <c r="O424" s="843" t="s">
        <v>1018</v>
      </c>
      <c r="P424" s="843" t="s">
        <v>1019</v>
      </c>
      <c r="Q424" s="843" t="s">
        <v>1020</v>
      </c>
    </row>
    <row r="425" spans="1:17" s="142" customFormat="1" ht="60" x14ac:dyDescent="0.25">
      <c r="A425" s="752"/>
      <c r="B425" s="753"/>
      <c r="C425" s="751" t="s">
        <v>163</v>
      </c>
      <c r="D425" s="751"/>
      <c r="E425" s="740" t="s">
        <v>1021</v>
      </c>
      <c r="F425" s="839">
        <v>6756.4</v>
      </c>
      <c r="G425" s="839">
        <v>6756.4</v>
      </c>
      <c r="H425" s="839"/>
      <c r="I425" s="839">
        <v>6756.4</v>
      </c>
      <c r="J425" s="839">
        <v>6756.4</v>
      </c>
      <c r="K425" s="738" t="s">
        <v>1022</v>
      </c>
      <c r="L425" s="657" t="s">
        <v>182</v>
      </c>
      <c r="M425" s="844">
        <v>0.95699999999999996</v>
      </c>
      <c r="N425" s="841" t="s">
        <v>1023</v>
      </c>
      <c r="O425" s="841" t="s">
        <v>1023</v>
      </c>
      <c r="P425" s="841" t="s">
        <v>1023</v>
      </c>
      <c r="Q425" s="841" t="s">
        <v>1023</v>
      </c>
    </row>
    <row r="426" spans="1:17" s="142" customFormat="1" ht="30" x14ac:dyDescent="0.25">
      <c r="A426" s="752"/>
      <c r="B426" s="753"/>
      <c r="C426" s="751" t="s">
        <v>164</v>
      </c>
      <c r="D426" s="751"/>
      <c r="E426" s="845" t="s">
        <v>1024</v>
      </c>
      <c r="F426" s="839">
        <v>1841.6</v>
      </c>
      <c r="G426" s="839">
        <v>1841.6</v>
      </c>
      <c r="H426" s="839"/>
      <c r="I426" s="839">
        <v>1841.6</v>
      </c>
      <c r="J426" s="839">
        <v>1841.6</v>
      </c>
      <c r="K426" s="738" t="s">
        <v>1025</v>
      </c>
      <c r="L426" s="657" t="s">
        <v>182</v>
      </c>
      <c r="M426" s="844">
        <v>0.67</v>
      </c>
      <c r="N426" s="841">
        <v>0.75</v>
      </c>
      <c r="O426" s="841">
        <v>0.8</v>
      </c>
      <c r="P426" s="841">
        <v>0.85</v>
      </c>
      <c r="Q426" s="841">
        <v>0.9</v>
      </c>
    </row>
    <row r="427" spans="1:17" s="142" customFormat="1" ht="45" x14ac:dyDescent="0.25">
      <c r="A427" s="2067"/>
      <c r="B427" s="1812"/>
      <c r="C427" s="1892" t="s">
        <v>165</v>
      </c>
      <c r="D427" s="1892"/>
      <c r="E427" s="2635" t="s">
        <v>1026</v>
      </c>
      <c r="F427" s="2519">
        <v>3254.1</v>
      </c>
      <c r="G427" s="2519">
        <v>3254.1</v>
      </c>
      <c r="H427" s="2519"/>
      <c r="I427" s="2519">
        <v>3254.1</v>
      </c>
      <c r="J427" s="2519">
        <v>3254.1</v>
      </c>
      <c r="K427" s="846" t="s">
        <v>1027</v>
      </c>
      <c r="L427" s="847" t="s">
        <v>182</v>
      </c>
      <c r="M427" s="848">
        <v>7.0000000000000007E-2</v>
      </c>
      <c r="N427" s="848">
        <v>0.95</v>
      </c>
      <c r="O427" s="848">
        <v>1</v>
      </c>
      <c r="P427" s="848">
        <v>1</v>
      </c>
      <c r="Q427" s="848">
        <v>1</v>
      </c>
    </row>
    <row r="428" spans="1:17" s="142" customFormat="1" ht="45" x14ac:dyDescent="0.25">
      <c r="A428" s="2067"/>
      <c r="B428" s="1814"/>
      <c r="C428" s="1892"/>
      <c r="D428" s="1892"/>
      <c r="E428" s="2635"/>
      <c r="F428" s="2521"/>
      <c r="G428" s="2521"/>
      <c r="H428" s="2521"/>
      <c r="I428" s="2521"/>
      <c r="J428" s="2521"/>
      <c r="K428" s="846" t="s">
        <v>1028</v>
      </c>
      <c r="L428" s="657" t="s">
        <v>182</v>
      </c>
      <c r="M428" s="849">
        <v>0</v>
      </c>
      <c r="N428" s="849">
        <v>0.7</v>
      </c>
      <c r="O428" s="849">
        <v>0.75</v>
      </c>
      <c r="P428" s="849">
        <v>0.8</v>
      </c>
      <c r="Q428" s="849">
        <v>0.9</v>
      </c>
    </row>
    <row r="429" spans="1:17" s="142" customFormat="1" ht="45" x14ac:dyDescent="0.25">
      <c r="A429" s="752"/>
      <c r="B429" s="753"/>
      <c r="C429" s="751" t="s">
        <v>166</v>
      </c>
      <c r="D429" s="751"/>
      <c r="E429" s="740" t="s">
        <v>1029</v>
      </c>
      <c r="F429" s="839">
        <v>4962.7</v>
      </c>
      <c r="G429" s="839">
        <v>4962.7</v>
      </c>
      <c r="H429" s="839"/>
      <c r="I429" s="839">
        <v>4962.7</v>
      </c>
      <c r="J429" s="839">
        <v>4962.7</v>
      </c>
      <c r="K429" s="846" t="s">
        <v>1030</v>
      </c>
      <c r="L429" s="657" t="s">
        <v>182</v>
      </c>
      <c r="M429" s="844">
        <v>0.91800000000000004</v>
      </c>
      <c r="N429" s="841">
        <v>0.9</v>
      </c>
      <c r="O429" s="841">
        <v>0.9</v>
      </c>
      <c r="P429" s="841">
        <v>0.9</v>
      </c>
      <c r="Q429" s="841">
        <v>0.9</v>
      </c>
    </row>
    <row r="430" spans="1:17" s="142" customFormat="1" ht="30" x14ac:dyDescent="0.25">
      <c r="A430" s="2067"/>
      <c r="B430" s="1812"/>
      <c r="C430" s="1892" t="s">
        <v>167</v>
      </c>
      <c r="D430" s="1892"/>
      <c r="E430" s="2635" t="s">
        <v>1031</v>
      </c>
      <c r="F430" s="2519">
        <v>3824.8</v>
      </c>
      <c r="G430" s="2519">
        <v>3824.8</v>
      </c>
      <c r="H430" s="2519"/>
      <c r="I430" s="2519">
        <v>3824.8</v>
      </c>
      <c r="J430" s="2519">
        <v>3824.8</v>
      </c>
      <c r="K430" s="82" t="s">
        <v>1032</v>
      </c>
      <c r="L430" s="847" t="s">
        <v>189</v>
      </c>
      <c r="M430" s="850">
        <v>1920</v>
      </c>
      <c r="N430" s="850">
        <v>1950</v>
      </c>
      <c r="O430" s="850">
        <v>2000</v>
      </c>
      <c r="P430" s="850">
        <v>2020</v>
      </c>
      <c r="Q430" s="850">
        <v>2050</v>
      </c>
    </row>
    <row r="431" spans="1:17" s="142" customFormat="1" x14ac:dyDescent="0.25">
      <c r="A431" s="2067"/>
      <c r="B431" s="1813"/>
      <c r="C431" s="1892"/>
      <c r="D431" s="1892"/>
      <c r="E431" s="2635"/>
      <c r="F431" s="2520"/>
      <c r="G431" s="2520"/>
      <c r="H431" s="2520"/>
      <c r="I431" s="2520"/>
      <c r="J431" s="2520"/>
      <c r="K431" s="82" t="s">
        <v>1033</v>
      </c>
      <c r="L431" s="847" t="s">
        <v>189</v>
      </c>
      <c r="M431" s="850">
        <v>4000</v>
      </c>
      <c r="N431" s="850">
        <v>5800</v>
      </c>
      <c r="O431" s="850">
        <v>6750</v>
      </c>
      <c r="P431" s="850">
        <v>8700</v>
      </c>
      <c r="Q431" s="850">
        <v>9600</v>
      </c>
    </row>
    <row r="432" spans="1:17" s="142" customFormat="1" ht="30" x14ac:dyDescent="0.25">
      <c r="A432" s="2067"/>
      <c r="B432" s="1814"/>
      <c r="C432" s="1892"/>
      <c r="D432" s="1892"/>
      <c r="E432" s="2635"/>
      <c r="F432" s="2521"/>
      <c r="G432" s="2521"/>
      <c r="H432" s="2521"/>
      <c r="I432" s="2521"/>
      <c r="J432" s="2521"/>
      <c r="K432" s="851" t="s">
        <v>1034</v>
      </c>
      <c r="L432" s="847" t="s">
        <v>189</v>
      </c>
      <c r="M432" s="852">
        <v>1000</v>
      </c>
      <c r="N432" s="852">
        <v>1200</v>
      </c>
      <c r="O432" s="852">
        <v>1250</v>
      </c>
      <c r="P432" s="852">
        <v>1300</v>
      </c>
      <c r="Q432" s="852">
        <v>1400</v>
      </c>
    </row>
    <row r="433" spans="1:17" s="142" customFormat="1" ht="60" x14ac:dyDescent="0.25">
      <c r="A433" s="752"/>
      <c r="B433" s="753"/>
      <c r="C433" s="751" t="s">
        <v>168</v>
      </c>
      <c r="D433" s="751"/>
      <c r="E433" s="853" t="s">
        <v>1035</v>
      </c>
      <c r="F433" s="839">
        <v>2729.3</v>
      </c>
      <c r="G433" s="839">
        <v>2729.3</v>
      </c>
      <c r="H433" s="839"/>
      <c r="I433" s="839">
        <v>2729.3</v>
      </c>
      <c r="J433" s="839">
        <v>2729.3</v>
      </c>
      <c r="K433" s="738" t="s">
        <v>1036</v>
      </c>
      <c r="L433" s="657" t="s">
        <v>189</v>
      </c>
      <c r="M433" s="852">
        <v>8</v>
      </c>
      <c r="N433" s="852">
        <v>9</v>
      </c>
      <c r="O433" s="852">
        <v>10</v>
      </c>
      <c r="P433" s="852">
        <v>11</v>
      </c>
      <c r="Q433" s="852">
        <v>12</v>
      </c>
    </row>
    <row r="434" spans="1:17" s="142" customFormat="1" ht="30" x14ac:dyDescent="0.25">
      <c r="A434" s="1818"/>
      <c r="B434" s="743"/>
      <c r="C434" s="2359" t="s">
        <v>169</v>
      </c>
      <c r="D434" s="2359"/>
      <c r="E434" s="2462" t="s">
        <v>1037</v>
      </c>
      <c r="F434" s="2519">
        <v>9662.4</v>
      </c>
      <c r="G434" s="2519">
        <v>12000</v>
      </c>
      <c r="H434" s="2519"/>
      <c r="I434" s="2519">
        <v>16000</v>
      </c>
      <c r="J434" s="2519">
        <v>17000</v>
      </c>
      <c r="K434" s="740" t="s">
        <v>1038</v>
      </c>
      <c r="L434" s="657" t="s">
        <v>182</v>
      </c>
      <c r="M434" s="854">
        <v>0.85</v>
      </c>
      <c r="N434" s="854">
        <v>0.9</v>
      </c>
      <c r="O434" s="854">
        <v>0.95</v>
      </c>
      <c r="P434" s="854">
        <v>0.98</v>
      </c>
      <c r="Q434" s="854">
        <v>1</v>
      </c>
    </row>
    <row r="435" spans="1:17" s="142" customFormat="1" ht="30" x14ac:dyDescent="0.25">
      <c r="A435" s="1820"/>
      <c r="B435" s="745"/>
      <c r="C435" s="1885"/>
      <c r="D435" s="1885"/>
      <c r="E435" s="2463"/>
      <c r="F435" s="2521"/>
      <c r="G435" s="2521"/>
      <c r="H435" s="2521"/>
      <c r="I435" s="2521"/>
      <c r="J435" s="2521"/>
      <c r="K435" s="740" t="s">
        <v>2844</v>
      </c>
      <c r="L435" s="657" t="s">
        <v>182</v>
      </c>
      <c r="M435" s="33">
        <v>0.03</v>
      </c>
      <c r="N435" s="33">
        <v>0.04</v>
      </c>
      <c r="O435" s="33">
        <v>0.05</v>
      </c>
      <c r="P435" s="33">
        <v>0.06</v>
      </c>
      <c r="Q435" s="33">
        <v>7.0000000000000007E-2</v>
      </c>
    </row>
    <row r="436" spans="1:17" s="142" customFormat="1" ht="28.5" x14ac:dyDescent="0.25">
      <c r="A436" s="2658">
        <v>26</v>
      </c>
      <c r="B436" s="2644">
        <v>2</v>
      </c>
      <c r="C436" s="2522"/>
      <c r="D436" s="2522"/>
      <c r="E436" s="2633" t="s">
        <v>1039</v>
      </c>
      <c r="F436" s="2628">
        <v>4478680.5195000004</v>
      </c>
      <c r="G436" s="2628">
        <v>4619022.8209221205</v>
      </c>
      <c r="H436" s="2634">
        <f>H440</f>
        <v>11129175.1</v>
      </c>
      <c r="I436" s="2628">
        <v>5001161.8</v>
      </c>
      <c r="J436" s="2628">
        <v>5089790.2000000011</v>
      </c>
      <c r="K436" s="22" t="s">
        <v>1040</v>
      </c>
      <c r="L436" s="81" t="s">
        <v>182</v>
      </c>
      <c r="M436" s="837">
        <v>0.34280283535048139</v>
      </c>
      <c r="N436" s="837">
        <v>0.32459008711424486</v>
      </c>
      <c r="O436" s="837">
        <v>0.34117516592638675</v>
      </c>
      <c r="P436" s="837">
        <v>0.34173861964531832</v>
      </c>
      <c r="Q436" s="837">
        <v>0.34125148756414581</v>
      </c>
    </row>
    <row r="437" spans="1:17" s="142" customFormat="1" ht="28.5" x14ac:dyDescent="0.25">
      <c r="A437" s="2220"/>
      <c r="B437" s="2222"/>
      <c r="C437" s="2241"/>
      <c r="D437" s="2241"/>
      <c r="E437" s="2526"/>
      <c r="F437" s="2241"/>
      <c r="G437" s="2241"/>
      <c r="H437" s="2079"/>
      <c r="I437" s="2241"/>
      <c r="J437" s="2241"/>
      <c r="K437" s="22" t="s">
        <v>1041</v>
      </c>
      <c r="L437" s="81" t="s">
        <v>189</v>
      </c>
      <c r="M437" s="837">
        <v>3.5000000000000003E-2</v>
      </c>
      <c r="N437" s="837">
        <v>3.7999999999999999E-2</v>
      </c>
      <c r="O437" s="837">
        <v>0.04</v>
      </c>
      <c r="P437" s="837">
        <v>4.4999999999999998E-2</v>
      </c>
      <c r="Q437" s="837">
        <v>0.05</v>
      </c>
    </row>
    <row r="438" spans="1:17" s="142" customFormat="1" ht="28.5" x14ac:dyDescent="0.25">
      <c r="A438" s="2220"/>
      <c r="B438" s="2222"/>
      <c r="C438" s="2241"/>
      <c r="D438" s="2241"/>
      <c r="E438" s="2526"/>
      <c r="F438" s="2241"/>
      <c r="G438" s="2241"/>
      <c r="H438" s="2079"/>
      <c r="I438" s="2241"/>
      <c r="J438" s="2241"/>
      <c r="K438" s="22" t="s">
        <v>1042</v>
      </c>
      <c r="L438" s="81" t="s">
        <v>182</v>
      </c>
      <c r="M438" s="837">
        <v>0.1</v>
      </c>
      <c r="N438" s="837">
        <v>0.15</v>
      </c>
      <c r="O438" s="837">
        <v>0.5</v>
      </c>
      <c r="P438" s="837">
        <v>0.6</v>
      </c>
      <c r="Q438" s="837">
        <v>0.7</v>
      </c>
    </row>
    <row r="439" spans="1:17" s="142" customFormat="1" ht="28.5" x14ac:dyDescent="0.25">
      <c r="A439" s="2221"/>
      <c r="B439" s="2162"/>
      <c r="C439" s="2240"/>
      <c r="D439" s="2240"/>
      <c r="E439" s="2237"/>
      <c r="F439" s="2240"/>
      <c r="G439" s="2240"/>
      <c r="H439" s="2080"/>
      <c r="I439" s="2240"/>
      <c r="J439" s="2240"/>
      <c r="K439" s="22" t="s">
        <v>1043</v>
      </c>
      <c r="L439" s="81" t="s">
        <v>182</v>
      </c>
      <c r="M439" s="837"/>
      <c r="N439" s="837">
        <v>0.58899999999999997</v>
      </c>
      <c r="O439" s="837">
        <v>0.62</v>
      </c>
      <c r="P439" s="837">
        <v>0.65</v>
      </c>
      <c r="Q439" s="837">
        <v>0.7</v>
      </c>
    </row>
    <row r="440" spans="1:17" s="142" customFormat="1" ht="45" x14ac:dyDescent="0.25">
      <c r="A440" s="1818"/>
      <c r="B440" s="743"/>
      <c r="C440" s="2359" t="s">
        <v>6</v>
      </c>
      <c r="D440" s="2359"/>
      <c r="E440" s="2469" t="s">
        <v>1044</v>
      </c>
      <c r="F440" s="2638">
        <v>439156.3</v>
      </c>
      <c r="G440" s="2638">
        <v>447250</v>
      </c>
      <c r="H440" s="2639">
        <v>11129175.1</v>
      </c>
      <c r="I440" s="2638">
        <v>452984</v>
      </c>
      <c r="J440" s="2638">
        <v>454796</v>
      </c>
      <c r="K440" s="738" t="s">
        <v>1045</v>
      </c>
      <c r="L440" s="657" t="s">
        <v>182</v>
      </c>
      <c r="M440" s="842">
        <v>0.95599999999999996</v>
      </c>
      <c r="N440" s="842">
        <v>0.95599999999999996</v>
      </c>
      <c r="O440" s="842">
        <v>1</v>
      </c>
      <c r="P440" s="842">
        <v>1</v>
      </c>
      <c r="Q440" s="842">
        <v>1</v>
      </c>
    </row>
    <row r="441" spans="1:17" s="142" customFormat="1" ht="30" x14ac:dyDescent="0.25">
      <c r="A441" s="1820"/>
      <c r="B441" s="745"/>
      <c r="C441" s="1885"/>
      <c r="D441" s="1885"/>
      <c r="E441" s="1987"/>
      <c r="F441" s="2083"/>
      <c r="G441" s="2083"/>
      <c r="H441" s="2640"/>
      <c r="I441" s="2083"/>
      <c r="J441" s="2083"/>
      <c r="K441" s="740" t="s">
        <v>1046</v>
      </c>
      <c r="L441" s="83" t="s">
        <v>1047</v>
      </c>
      <c r="M441" s="84">
        <v>101.8</v>
      </c>
      <c r="N441" s="84">
        <v>102</v>
      </c>
      <c r="O441" s="84">
        <v>105</v>
      </c>
      <c r="P441" s="84">
        <v>120</v>
      </c>
      <c r="Q441" s="84">
        <v>130</v>
      </c>
    </row>
    <row r="442" spans="1:17" s="142" customFormat="1" ht="75" x14ac:dyDescent="0.25">
      <c r="A442" s="1818"/>
      <c r="B442" s="743"/>
      <c r="C442" s="2359" t="s">
        <v>8</v>
      </c>
      <c r="D442" s="2359"/>
      <c r="E442" s="2469" t="s">
        <v>1048</v>
      </c>
      <c r="F442" s="2638">
        <v>3532949</v>
      </c>
      <c r="G442" s="2638">
        <v>3467193.4209221206</v>
      </c>
      <c r="H442" s="2638"/>
      <c r="I442" s="2638">
        <v>3738015.6</v>
      </c>
      <c r="J442" s="2638">
        <v>3797823.9</v>
      </c>
      <c r="K442" s="738" t="s">
        <v>1049</v>
      </c>
      <c r="L442" s="657" t="s">
        <v>182</v>
      </c>
      <c r="M442" s="842"/>
      <c r="N442" s="33">
        <v>0.7</v>
      </c>
      <c r="O442" s="33">
        <v>0.75</v>
      </c>
      <c r="P442" s="33">
        <v>0.8</v>
      </c>
      <c r="Q442" s="33">
        <v>0.85</v>
      </c>
    </row>
    <row r="443" spans="1:17" s="142" customFormat="1" ht="30" x14ac:dyDescent="0.25">
      <c r="A443" s="1819"/>
      <c r="B443" s="744"/>
      <c r="C443" s="2016"/>
      <c r="D443" s="2016"/>
      <c r="E443" s="1986"/>
      <c r="F443" s="2082"/>
      <c r="G443" s="2082"/>
      <c r="H443" s="2082"/>
      <c r="I443" s="2082"/>
      <c r="J443" s="2082"/>
      <c r="K443" s="738" t="s">
        <v>1050</v>
      </c>
      <c r="L443" s="657" t="s">
        <v>182</v>
      </c>
      <c r="M443" s="842"/>
      <c r="N443" s="33">
        <v>0.75</v>
      </c>
      <c r="O443" s="33">
        <v>0.85</v>
      </c>
      <c r="P443" s="33">
        <v>0.9</v>
      </c>
      <c r="Q443" s="33">
        <v>0.95</v>
      </c>
    </row>
    <row r="444" spans="1:17" s="142" customFormat="1" ht="30" x14ac:dyDescent="0.25">
      <c r="A444" s="1819"/>
      <c r="B444" s="744"/>
      <c r="C444" s="2016"/>
      <c r="D444" s="2016"/>
      <c r="E444" s="1986"/>
      <c r="F444" s="2082"/>
      <c r="G444" s="2082"/>
      <c r="H444" s="2082"/>
      <c r="I444" s="2082"/>
      <c r="J444" s="2082"/>
      <c r="K444" s="738" t="s">
        <v>1051</v>
      </c>
      <c r="L444" s="657" t="s">
        <v>182</v>
      </c>
      <c r="M444" s="842">
        <v>0.73</v>
      </c>
      <c r="N444" s="33">
        <v>0.75</v>
      </c>
      <c r="O444" s="33">
        <v>0.8</v>
      </c>
      <c r="P444" s="33">
        <v>0.85</v>
      </c>
      <c r="Q444" s="33">
        <v>0.9</v>
      </c>
    </row>
    <row r="445" spans="1:17" s="142" customFormat="1" ht="30" x14ac:dyDescent="0.25">
      <c r="A445" s="1820"/>
      <c r="B445" s="745"/>
      <c r="C445" s="1885"/>
      <c r="D445" s="1885"/>
      <c r="E445" s="1987"/>
      <c r="F445" s="2083"/>
      <c r="G445" s="2083"/>
      <c r="H445" s="2083"/>
      <c r="I445" s="2083"/>
      <c r="J445" s="2083"/>
      <c r="K445" s="738" t="s">
        <v>1052</v>
      </c>
      <c r="L445" s="657" t="s">
        <v>1047</v>
      </c>
      <c r="M445" s="84">
        <v>678</v>
      </c>
      <c r="N445" s="84">
        <v>700</v>
      </c>
      <c r="O445" s="84">
        <v>750</v>
      </c>
      <c r="P445" s="84">
        <v>800</v>
      </c>
      <c r="Q445" s="84">
        <v>850</v>
      </c>
    </row>
    <row r="446" spans="1:17" s="142" customFormat="1" ht="45" x14ac:dyDescent="0.25">
      <c r="A446" s="742"/>
      <c r="B446" s="743"/>
      <c r="C446" s="741" t="s">
        <v>10</v>
      </c>
      <c r="D446" s="741"/>
      <c r="E446" s="758" t="s">
        <v>1053</v>
      </c>
      <c r="F446" s="767">
        <v>456</v>
      </c>
      <c r="G446" s="767">
        <v>30000</v>
      </c>
      <c r="H446" s="767"/>
      <c r="I446" s="767">
        <v>35000</v>
      </c>
      <c r="J446" s="767">
        <v>35000</v>
      </c>
      <c r="K446" s="738" t="s">
        <v>1054</v>
      </c>
      <c r="L446" s="657" t="s">
        <v>189</v>
      </c>
      <c r="M446" s="84"/>
      <c r="N446" s="84">
        <v>2000</v>
      </c>
      <c r="O446" s="84">
        <v>2263</v>
      </c>
      <c r="P446" s="84">
        <v>2300</v>
      </c>
      <c r="Q446" s="84">
        <v>2500</v>
      </c>
    </row>
    <row r="447" spans="1:17" s="142" customFormat="1" ht="105" x14ac:dyDescent="0.25">
      <c r="A447" s="752"/>
      <c r="B447" s="753"/>
      <c r="C447" s="751" t="s">
        <v>12</v>
      </c>
      <c r="D447" s="751"/>
      <c r="E447" s="738" t="s">
        <v>1055</v>
      </c>
      <c r="F447" s="739">
        <v>35855.599999999999</v>
      </c>
      <c r="G447" s="739">
        <v>55000</v>
      </c>
      <c r="H447" s="739"/>
      <c r="I447" s="739">
        <v>55000</v>
      </c>
      <c r="J447" s="739">
        <v>55000</v>
      </c>
      <c r="K447" s="738" t="s">
        <v>1056</v>
      </c>
      <c r="L447" s="657" t="s">
        <v>182</v>
      </c>
      <c r="M447" s="842">
        <v>0.94</v>
      </c>
      <c r="N447" s="33" t="s">
        <v>1057</v>
      </c>
      <c r="O447" s="33" t="s">
        <v>1057</v>
      </c>
      <c r="P447" s="33" t="s">
        <v>1057</v>
      </c>
      <c r="Q447" s="33" t="s">
        <v>1057</v>
      </c>
    </row>
    <row r="448" spans="1:17" s="142" customFormat="1" ht="45" x14ac:dyDescent="0.25">
      <c r="A448" s="752"/>
      <c r="B448" s="753"/>
      <c r="C448" s="751" t="s">
        <v>14</v>
      </c>
      <c r="D448" s="751"/>
      <c r="E448" s="738" t="s">
        <v>1058</v>
      </c>
      <c r="F448" s="739">
        <v>228560</v>
      </c>
      <c r="G448" s="739">
        <v>264435.40000000002</v>
      </c>
      <c r="H448" s="739"/>
      <c r="I448" s="739">
        <v>280000</v>
      </c>
      <c r="J448" s="739">
        <v>290000</v>
      </c>
      <c r="K448" s="738" t="s">
        <v>1059</v>
      </c>
      <c r="L448" s="657" t="s">
        <v>182</v>
      </c>
      <c r="M448" s="842">
        <v>0.57399999999999995</v>
      </c>
      <c r="N448" s="33" t="s">
        <v>1060</v>
      </c>
      <c r="O448" s="33" t="s">
        <v>1060</v>
      </c>
      <c r="P448" s="33" t="s">
        <v>1060</v>
      </c>
      <c r="Q448" s="33" t="s">
        <v>1060</v>
      </c>
    </row>
    <row r="449" spans="1:17" s="142" customFormat="1" ht="45" x14ac:dyDescent="0.25">
      <c r="A449" s="752"/>
      <c r="B449" s="753"/>
      <c r="C449" s="751" t="s">
        <v>16</v>
      </c>
      <c r="D449" s="751"/>
      <c r="E449" s="738" t="s">
        <v>1061</v>
      </c>
      <c r="F449" s="739">
        <v>57196.309500000018</v>
      </c>
      <c r="G449" s="739">
        <v>75538.5</v>
      </c>
      <c r="H449" s="739"/>
      <c r="I449" s="739">
        <v>73280.399999999994</v>
      </c>
      <c r="J449" s="739">
        <v>76944.399999999994</v>
      </c>
      <c r="K449" s="738" t="s">
        <v>1062</v>
      </c>
      <c r="L449" s="83" t="s">
        <v>182</v>
      </c>
      <c r="M449" s="840">
        <v>0.2</v>
      </c>
      <c r="N449" s="842" t="s">
        <v>1063</v>
      </c>
      <c r="O449" s="842" t="s">
        <v>1063</v>
      </c>
      <c r="P449" s="842" t="s">
        <v>1063</v>
      </c>
      <c r="Q449" s="842" t="s">
        <v>1063</v>
      </c>
    </row>
    <row r="450" spans="1:17" s="142" customFormat="1" ht="60" x14ac:dyDescent="0.25">
      <c r="A450" s="752"/>
      <c r="B450" s="753"/>
      <c r="C450" s="751" t="s">
        <v>48</v>
      </c>
      <c r="D450" s="751"/>
      <c r="E450" s="738" t="s">
        <v>2845</v>
      </c>
      <c r="F450" s="739">
        <v>181007.30999999997</v>
      </c>
      <c r="G450" s="739">
        <v>275105.5</v>
      </c>
      <c r="H450" s="739"/>
      <c r="I450" s="739">
        <v>266881.8</v>
      </c>
      <c r="J450" s="739">
        <v>280225.90000000002</v>
      </c>
      <c r="K450" s="738" t="s">
        <v>1065</v>
      </c>
      <c r="L450" s="657" t="s">
        <v>182</v>
      </c>
      <c r="M450" s="842">
        <v>0.3</v>
      </c>
      <c r="N450" s="842" t="s">
        <v>1063</v>
      </c>
      <c r="O450" s="842" t="s">
        <v>1063</v>
      </c>
      <c r="P450" s="842" t="s">
        <v>1063</v>
      </c>
      <c r="Q450" s="842" t="s">
        <v>1063</v>
      </c>
    </row>
    <row r="451" spans="1:17" s="142" customFormat="1" ht="75" x14ac:dyDescent="0.25">
      <c r="A451" s="752"/>
      <c r="B451" s="753"/>
      <c r="C451" s="751" t="s">
        <v>49</v>
      </c>
      <c r="D451" s="751"/>
      <c r="E451" s="738" t="s">
        <v>1066</v>
      </c>
      <c r="F451" s="739">
        <v>3500</v>
      </c>
      <c r="G451" s="739">
        <v>4500</v>
      </c>
      <c r="H451" s="739"/>
      <c r="I451" s="739">
        <v>100000</v>
      </c>
      <c r="J451" s="739">
        <v>100000</v>
      </c>
      <c r="K451" s="757" t="s">
        <v>1067</v>
      </c>
      <c r="L451" s="789" t="s">
        <v>182</v>
      </c>
      <c r="M451" s="855"/>
      <c r="N451" s="855">
        <v>0.85</v>
      </c>
      <c r="O451" s="855">
        <v>0.9</v>
      </c>
      <c r="P451" s="855">
        <v>1</v>
      </c>
      <c r="Q451" s="855">
        <v>1</v>
      </c>
    </row>
    <row r="452" spans="1:17" s="142" customFormat="1" ht="28.5" x14ac:dyDescent="0.25">
      <c r="A452" s="2645">
        <v>26</v>
      </c>
      <c r="B452" s="2643">
        <v>3</v>
      </c>
      <c r="C452" s="2642"/>
      <c r="D452" s="2642"/>
      <c r="E452" s="2462" t="s">
        <v>2846</v>
      </c>
      <c r="F452" s="2629">
        <v>8260452.8999999985</v>
      </c>
      <c r="G452" s="2629">
        <v>9181303.3790778797</v>
      </c>
      <c r="H452" s="2629"/>
      <c r="I452" s="2629">
        <v>9195303</v>
      </c>
      <c r="J452" s="2629">
        <v>9387280.9000000004</v>
      </c>
      <c r="K452" s="22" t="s">
        <v>1068</v>
      </c>
      <c r="L452" s="81" t="s">
        <v>182</v>
      </c>
      <c r="M452" s="837">
        <v>0.13800000000000001</v>
      </c>
      <c r="N452" s="837" t="s">
        <v>1069</v>
      </c>
      <c r="O452" s="837" t="s">
        <v>1070</v>
      </c>
      <c r="P452" s="837" t="s">
        <v>1071</v>
      </c>
      <c r="Q452" s="837" t="s">
        <v>1072</v>
      </c>
    </row>
    <row r="453" spans="1:17" s="142" customFormat="1" ht="28.5" x14ac:dyDescent="0.25">
      <c r="A453" s="1991"/>
      <c r="B453" s="1967"/>
      <c r="C453" s="1978"/>
      <c r="D453" s="1978"/>
      <c r="E453" s="2129"/>
      <c r="F453" s="2630"/>
      <c r="G453" s="2630"/>
      <c r="H453" s="2630"/>
      <c r="I453" s="2630"/>
      <c r="J453" s="2630"/>
      <c r="K453" s="22" t="s">
        <v>1073</v>
      </c>
      <c r="L453" s="837" t="s">
        <v>182</v>
      </c>
      <c r="M453" s="856"/>
      <c r="N453" s="837">
        <v>0.6</v>
      </c>
      <c r="O453" s="837">
        <v>0.65</v>
      </c>
      <c r="P453" s="837">
        <v>0.7</v>
      </c>
      <c r="Q453" s="837">
        <v>0.8</v>
      </c>
    </row>
    <row r="454" spans="1:17" s="142" customFormat="1" ht="28.5" x14ac:dyDescent="0.25">
      <c r="A454" s="1991"/>
      <c r="B454" s="1967"/>
      <c r="C454" s="1978"/>
      <c r="D454" s="1978"/>
      <c r="E454" s="2129"/>
      <c r="F454" s="2630"/>
      <c r="G454" s="2630"/>
      <c r="H454" s="2630"/>
      <c r="I454" s="2630"/>
      <c r="J454" s="2630"/>
      <c r="K454" s="22" t="s">
        <v>1074</v>
      </c>
      <c r="L454" s="856"/>
      <c r="M454" s="837"/>
      <c r="N454" s="837"/>
      <c r="O454" s="837"/>
      <c r="P454" s="837"/>
      <c r="Q454" s="837"/>
    </row>
    <row r="455" spans="1:17" s="142" customFormat="1" x14ac:dyDescent="0.25">
      <c r="A455" s="1991"/>
      <c r="B455" s="1967"/>
      <c r="C455" s="1978"/>
      <c r="D455" s="1978"/>
      <c r="E455" s="2129"/>
      <c r="F455" s="2630"/>
      <c r="G455" s="2630"/>
      <c r="H455" s="2630"/>
      <c r="I455" s="2630"/>
      <c r="J455" s="2630"/>
      <c r="K455" s="22" t="s">
        <v>1075</v>
      </c>
      <c r="L455" s="2647" t="s">
        <v>182</v>
      </c>
      <c r="M455" s="837">
        <v>3.6999999999999998E-2</v>
      </c>
      <c r="N455" s="837">
        <v>3.9E-2</v>
      </c>
      <c r="O455" s="837">
        <v>4.1000000000000002E-2</v>
      </c>
      <c r="P455" s="837">
        <v>4.2999999999999997E-2</v>
      </c>
      <c r="Q455" s="837">
        <v>4.4999999999999998E-2</v>
      </c>
    </row>
    <row r="456" spans="1:17" s="142" customFormat="1" x14ac:dyDescent="0.25">
      <c r="A456" s="1954"/>
      <c r="B456" s="1863"/>
      <c r="C456" s="1956"/>
      <c r="D456" s="1956"/>
      <c r="E456" s="2463"/>
      <c r="F456" s="2631"/>
      <c r="G456" s="2631"/>
      <c r="H456" s="2631"/>
      <c r="I456" s="2631"/>
      <c r="J456" s="2631"/>
      <c r="K456" s="22" t="s">
        <v>1076</v>
      </c>
      <c r="L456" s="2648"/>
      <c r="M456" s="837">
        <v>3.7999999999999999E-2</v>
      </c>
      <c r="N456" s="837">
        <v>0.04</v>
      </c>
      <c r="O456" s="837">
        <v>4.2999999999999997E-2</v>
      </c>
      <c r="P456" s="837">
        <v>4.4999999999999998E-2</v>
      </c>
      <c r="Q456" s="837">
        <v>4.7E-2</v>
      </c>
    </row>
    <row r="457" spans="1:17" s="142" customFormat="1" ht="31.5" x14ac:dyDescent="0.25">
      <c r="A457" s="1818"/>
      <c r="B457" s="1812"/>
      <c r="C457" s="2359" t="s">
        <v>6</v>
      </c>
      <c r="D457" s="2359"/>
      <c r="E457" s="2636" t="s">
        <v>1077</v>
      </c>
      <c r="F457" s="2637">
        <v>6156932.1999999993</v>
      </c>
      <c r="G457" s="2637">
        <v>6589132.7239211434</v>
      </c>
      <c r="H457" s="2637"/>
      <c r="I457" s="2637">
        <v>6570871.5999999996</v>
      </c>
      <c r="J457" s="2637">
        <v>6677963.9000000004</v>
      </c>
      <c r="K457" s="857" t="s">
        <v>1078</v>
      </c>
      <c r="L457" s="858" t="s">
        <v>182</v>
      </c>
      <c r="M457" s="859">
        <v>0.52741307147628025</v>
      </c>
      <c r="N457" s="859" t="s">
        <v>1060</v>
      </c>
      <c r="O457" s="859" t="s">
        <v>1060</v>
      </c>
      <c r="P457" s="859" t="s">
        <v>1060</v>
      </c>
      <c r="Q457" s="859" t="s">
        <v>1060</v>
      </c>
    </row>
    <row r="458" spans="1:17" s="142" customFormat="1" ht="31.5" x14ac:dyDescent="0.25">
      <c r="A458" s="1819"/>
      <c r="B458" s="1813"/>
      <c r="C458" s="2016"/>
      <c r="D458" s="2016"/>
      <c r="E458" s="2636"/>
      <c r="F458" s="2637"/>
      <c r="G458" s="2637"/>
      <c r="H458" s="2637"/>
      <c r="I458" s="2637"/>
      <c r="J458" s="2637"/>
      <c r="K458" s="860" t="s">
        <v>1079</v>
      </c>
      <c r="L458" s="861" t="s">
        <v>182</v>
      </c>
      <c r="M458" s="859">
        <v>0.21066205334648583</v>
      </c>
      <c r="N458" s="859" t="s">
        <v>1080</v>
      </c>
      <c r="O458" s="859" t="s">
        <v>1080</v>
      </c>
      <c r="P458" s="859" t="s">
        <v>1080</v>
      </c>
      <c r="Q458" s="859" t="s">
        <v>1080</v>
      </c>
    </row>
    <row r="459" spans="1:17" s="142" customFormat="1" ht="31.5" x14ac:dyDescent="0.25">
      <c r="A459" s="1820"/>
      <c r="B459" s="1814"/>
      <c r="C459" s="1885"/>
      <c r="D459" s="1885"/>
      <c r="E459" s="2636"/>
      <c r="F459" s="2637"/>
      <c r="G459" s="2637"/>
      <c r="H459" s="2637"/>
      <c r="I459" s="2637"/>
      <c r="J459" s="2637"/>
      <c r="K459" s="857" t="s">
        <v>1081</v>
      </c>
      <c r="L459" s="858" t="s">
        <v>182</v>
      </c>
      <c r="M459" s="859">
        <v>1.049372593493151</v>
      </c>
      <c r="N459" s="859">
        <v>1.03</v>
      </c>
      <c r="O459" s="859">
        <v>1.02</v>
      </c>
      <c r="P459" s="859">
        <v>1.01</v>
      </c>
      <c r="Q459" s="859">
        <v>1</v>
      </c>
    </row>
    <row r="460" spans="1:17" s="142" customFormat="1" ht="60" x14ac:dyDescent="0.25">
      <c r="A460" s="752"/>
      <c r="B460" s="753"/>
      <c r="C460" s="751" t="s">
        <v>8</v>
      </c>
      <c r="D460" s="751"/>
      <c r="E460" s="738" t="s">
        <v>1082</v>
      </c>
      <c r="F460" s="739">
        <v>656719</v>
      </c>
      <c r="G460" s="739">
        <v>706569.37426503911</v>
      </c>
      <c r="H460" s="739"/>
      <c r="I460" s="739">
        <v>705187.5</v>
      </c>
      <c r="J460" s="739">
        <v>716470.5</v>
      </c>
      <c r="K460" s="860" t="s">
        <v>1081</v>
      </c>
      <c r="L460" s="862" t="s">
        <v>182</v>
      </c>
      <c r="M460" s="863">
        <v>0.94357026587086268</v>
      </c>
      <c r="N460" s="863">
        <v>1</v>
      </c>
      <c r="O460" s="863">
        <v>1</v>
      </c>
      <c r="P460" s="863">
        <v>1</v>
      </c>
      <c r="Q460" s="863">
        <v>1</v>
      </c>
    </row>
    <row r="461" spans="1:17" s="142" customFormat="1" ht="45" x14ac:dyDescent="0.25">
      <c r="A461" s="742"/>
      <c r="B461" s="743"/>
      <c r="C461" s="741" t="s">
        <v>10</v>
      </c>
      <c r="D461" s="741"/>
      <c r="E461" s="757" t="s">
        <v>1083</v>
      </c>
      <c r="F461" s="739">
        <v>174502.3</v>
      </c>
      <c r="G461" s="739">
        <v>171180.39401429941</v>
      </c>
      <c r="H461" s="739"/>
      <c r="I461" s="739">
        <v>176513.9</v>
      </c>
      <c r="J461" s="739">
        <v>179338.2</v>
      </c>
      <c r="K461" s="860" t="s">
        <v>1081</v>
      </c>
      <c r="L461" s="862" t="s">
        <v>182</v>
      </c>
      <c r="M461" s="863">
        <v>1.0696800308404009</v>
      </c>
      <c r="N461" s="863">
        <v>1.06</v>
      </c>
      <c r="O461" s="863">
        <v>1.04</v>
      </c>
      <c r="P461" s="863">
        <v>1.02</v>
      </c>
      <c r="Q461" s="863">
        <v>1</v>
      </c>
    </row>
    <row r="462" spans="1:17" s="142" customFormat="1" ht="45" x14ac:dyDescent="0.25">
      <c r="A462" s="742"/>
      <c r="B462" s="743"/>
      <c r="C462" s="741" t="s">
        <v>12</v>
      </c>
      <c r="D462" s="741"/>
      <c r="E462" s="757" t="s">
        <v>1084</v>
      </c>
      <c r="F462" s="739">
        <v>50287.4</v>
      </c>
      <c r="G462" s="739">
        <v>50610.937109906699</v>
      </c>
      <c r="H462" s="739"/>
      <c r="I462" s="739">
        <v>56318.2</v>
      </c>
      <c r="J462" s="739">
        <v>57219.3</v>
      </c>
      <c r="K462" s="860" t="s">
        <v>1081</v>
      </c>
      <c r="L462" s="862" t="s">
        <v>182</v>
      </c>
      <c r="M462" s="863">
        <v>0.97793263646922179</v>
      </c>
      <c r="N462" s="863">
        <v>1</v>
      </c>
      <c r="O462" s="863">
        <v>1</v>
      </c>
      <c r="P462" s="863">
        <v>1</v>
      </c>
      <c r="Q462" s="863">
        <v>1</v>
      </c>
    </row>
    <row r="463" spans="1:17" s="142" customFormat="1" ht="45" x14ac:dyDescent="0.25">
      <c r="A463" s="742"/>
      <c r="B463" s="743"/>
      <c r="C463" s="741" t="s">
        <v>14</v>
      </c>
      <c r="D463" s="741"/>
      <c r="E463" s="757" t="s">
        <v>1085</v>
      </c>
      <c r="F463" s="739">
        <v>277500.5</v>
      </c>
      <c r="G463" s="739">
        <v>314814.04976749048</v>
      </c>
      <c r="H463" s="739"/>
      <c r="I463" s="739">
        <v>277741.2</v>
      </c>
      <c r="J463" s="739">
        <v>282185</v>
      </c>
      <c r="K463" s="860" t="s">
        <v>1081</v>
      </c>
      <c r="L463" s="862" t="s">
        <v>182</v>
      </c>
      <c r="M463" s="863">
        <v>1.0065547720726984</v>
      </c>
      <c r="N463" s="863">
        <v>1</v>
      </c>
      <c r="O463" s="863">
        <v>1</v>
      </c>
      <c r="P463" s="863">
        <v>1</v>
      </c>
      <c r="Q463" s="863">
        <v>1</v>
      </c>
    </row>
    <row r="464" spans="1:17" s="142" customFormat="1" ht="45" x14ac:dyDescent="0.25">
      <c r="A464" s="752"/>
      <c r="B464" s="753"/>
      <c r="C464" s="751" t="s">
        <v>16</v>
      </c>
      <c r="D464" s="751"/>
      <c r="E464" s="738" t="s">
        <v>1061</v>
      </c>
      <c r="F464" s="739">
        <v>393852.1</v>
      </c>
      <c r="G464" s="739">
        <v>510900.5</v>
      </c>
      <c r="H464" s="739"/>
      <c r="I464" s="739">
        <v>495628.2</v>
      </c>
      <c r="J464" s="739">
        <v>520409.59999999998</v>
      </c>
      <c r="K464" s="738" t="s">
        <v>1086</v>
      </c>
      <c r="L464" s="657" t="s">
        <v>182</v>
      </c>
      <c r="M464" s="840">
        <v>0.2</v>
      </c>
      <c r="N464" s="842" t="s">
        <v>1063</v>
      </c>
      <c r="O464" s="842" t="s">
        <v>1063</v>
      </c>
      <c r="P464" s="842" t="s">
        <v>1063</v>
      </c>
      <c r="Q464" s="842" t="s">
        <v>1063</v>
      </c>
    </row>
    <row r="465" spans="1:17" s="142" customFormat="1" ht="45" x14ac:dyDescent="0.25">
      <c r="A465" s="752"/>
      <c r="B465" s="753"/>
      <c r="C465" s="751" t="s">
        <v>48</v>
      </c>
      <c r="D465" s="751"/>
      <c r="E465" s="738" t="s">
        <v>1064</v>
      </c>
      <c r="F465" s="739">
        <v>437998.60000000003</v>
      </c>
      <c r="G465" s="739">
        <v>658095.4</v>
      </c>
      <c r="H465" s="739"/>
      <c r="I465" s="739">
        <v>813042.4</v>
      </c>
      <c r="J465" s="739">
        <v>853694.4</v>
      </c>
      <c r="K465" s="738" t="s">
        <v>1087</v>
      </c>
      <c r="L465" s="657" t="s">
        <v>182</v>
      </c>
      <c r="M465" s="842">
        <v>0.3</v>
      </c>
      <c r="N465" s="842" t="s">
        <v>1063</v>
      </c>
      <c r="O465" s="842" t="s">
        <v>1063</v>
      </c>
      <c r="P465" s="842" t="s">
        <v>1063</v>
      </c>
      <c r="Q465" s="842" t="s">
        <v>1063</v>
      </c>
    </row>
    <row r="466" spans="1:17" s="142" customFormat="1" ht="75" x14ac:dyDescent="0.25">
      <c r="A466" s="752"/>
      <c r="B466" s="753"/>
      <c r="C466" s="751" t="s">
        <v>49</v>
      </c>
      <c r="D466" s="751"/>
      <c r="E466" s="738" t="s">
        <v>1088</v>
      </c>
      <c r="F466" s="739">
        <v>112660.8</v>
      </c>
      <c r="G466" s="739">
        <v>180000</v>
      </c>
      <c r="H466" s="739"/>
      <c r="I466" s="739">
        <v>100000</v>
      </c>
      <c r="J466" s="739">
        <v>100000</v>
      </c>
      <c r="K466" s="860" t="s">
        <v>1089</v>
      </c>
      <c r="L466" s="864" t="s">
        <v>182</v>
      </c>
      <c r="M466" s="865">
        <v>0.22</v>
      </c>
      <c r="N466" s="865">
        <v>0.42</v>
      </c>
      <c r="O466" s="865">
        <v>0.61</v>
      </c>
      <c r="P466" s="865">
        <v>0.7</v>
      </c>
      <c r="Q466" s="865">
        <v>0.8</v>
      </c>
    </row>
    <row r="467" spans="1:17" s="142" customFormat="1" ht="118.5" x14ac:dyDescent="0.25">
      <c r="A467" s="809">
        <v>26</v>
      </c>
      <c r="B467" s="49">
        <v>4</v>
      </c>
      <c r="C467" s="454"/>
      <c r="D467" s="769"/>
      <c r="E467" s="769" t="s">
        <v>2847</v>
      </c>
      <c r="F467" s="804">
        <v>189201.7</v>
      </c>
      <c r="G467" s="804">
        <v>286000</v>
      </c>
      <c r="H467" s="804"/>
      <c r="I467" s="804">
        <v>286000</v>
      </c>
      <c r="J467" s="804">
        <v>286000</v>
      </c>
      <c r="K467" s="22" t="s">
        <v>1090</v>
      </c>
      <c r="L467" s="81" t="s">
        <v>182</v>
      </c>
      <c r="M467" s="837">
        <v>0.42694663167104113</v>
      </c>
      <c r="N467" s="837">
        <v>0.52930883639545057</v>
      </c>
      <c r="O467" s="837">
        <v>0.52930883639545057</v>
      </c>
      <c r="P467" s="837">
        <v>0.52930883639545057</v>
      </c>
      <c r="Q467" s="837">
        <v>0.52930883639545057</v>
      </c>
    </row>
    <row r="468" spans="1:17" s="142" customFormat="1" ht="150" x14ac:dyDescent="0.25">
      <c r="A468" s="752"/>
      <c r="B468" s="753"/>
      <c r="C468" s="751" t="s">
        <v>6</v>
      </c>
      <c r="D468" s="751"/>
      <c r="E468" s="738" t="s">
        <v>1091</v>
      </c>
      <c r="F468" s="739">
        <v>189201.7</v>
      </c>
      <c r="G468" s="739">
        <v>286000</v>
      </c>
      <c r="H468" s="739"/>
      <c r="I468" s="739">
        <v>286000</v>
      </c>
      <c r="J468" s="739">
        <v>286000</v>
      </c>
      <c r="K468" s="738" t="s">
        <v>1092</v>
      </c>
      <c r="L468" s="657" t="s">
        <v>424</v>
      </c>
      <c r="M468" s="69">
        <v>488</v>
      </c>
      <c r="N468" s="69">
        <v>488</v>
      </c>
      <c r="O468" s="69">
        <v>584</v>
      </c>
      <c r="P468" s="69">
        <v>584</v>
      </c>
      <c r="Q468" s="69">
        <v>584</v>
      </c>
    </row>
    <row r="469" spans="1:17" s="142" customFormat="1" ht="60" x14ac:dyDescent="0.25">
      <c r="A469" s="805">
        <v>26</v>
      </c>
      <c r="B469" s="816">
        <v>5</v>
      </c>
      <c r="C469" s="806"/>
      <c r="D469" s="1"/>
      <c r="E469" s="778" t="s">
        <v>1093</v>
      </c>
      <c r="F469" s="804">
        <v>17560055.199999999</v>
      </c>
      <c r="G469" s="804">
        <v>20381377.912999999</v>
      </c>
      <c r="H469" s="795">
        <f>H470+H471+H472+H473</f>
        <v>21038980.092999998</v>
      </c>
      <c r="I469" s="804">
        <v>22242969.401000001</v>
      </c>
      <c r="J469" s="804">
        <v>23571626.044</v>
      </c>
      <c r="K469" s="802" t="s">
        <v>1094</v>
      </c>
      <c r="L469" s="810" t="s">
        <v>222</v>
      </c>
      <c r="M469" s="810">
        <v>0</v>
      </c>
      <c r="N469" s="810">
        <v>0</v>
      </c>
      <c r="O469" s="810">
        <v>0</v>
      </c>
      <c r="P469" s="810">
        <v>0</v>
      </c>
      <c r="Q469" s="810">
        <v>0</v>
      </c>
    </row>
    <row r="470" spans="1:17" s="142" customFormat="1" ht="45" x14ac:dyDescent="0.25">
      <c r="A470" s="577"/>
      <c r="B470" s="324"/>
      <c r="C470" s="806" t="s">
        <v>6</v>
      </c>
      <c r="D470" s="1"/>
      <c r="E470" s="814" t="s">
        <v>1095</v>
      </c>
      <c r="F470" s="803">
        <v>9673937.5999999996</v>
      </c>
      <c r="G470" s="803">
        <v>12100156</v>
      </c>
      <c r="H470" s="1298">
        <v>12382200.6</v>
      </c>
      <c r="I470" s="803">
        <v>12978408.040999999</v>
      </c>
      <c r="J470" s="803">
        <v>13622112.173</v>
      </c>
      <c r="K470" s="802" t="s">
        <v>1096</v>
      </c>
      <c r="L470" s="810" t="s">
        <v>222</v>
      </c>
      <c r="M470" s="810">
        <v>0</v>
      </c>
      <c r="N470" s="810">
        <v>0</v>
      </c>
      <c r="O470" s="810">
        <v>0</v>
      </c>
      <c r="P470" s="810">
        <v>0</v>
      </c>
      <c r="Q470" s="810">
        <v>0</v>
      </c>
    </row>
    <row r="471" spans="1:17" s="142" customFormat="1" ht="45" x14ac:dyDescent="0.25">
      <c r="A471" s="577"/>
      <c r="B471" s="324"/>
      <c r="C471" s="806" t="s">
        <v>8</v>
      </c>
      <c r="D471" s="1"/>
      <c r="E471" s="762" t="s">
        <v>1097</v>
      </c>
      <c r="F471" s="803">
        <v>1833237.4</v>
      </c>
      <c r="G471" s="803">
        <v>1858396.689</v>
      </c>
      <c r="H471" s="1298">
        <v>1882616.2</v>
      </c>
      <c r="I471" s="803">
        <v>1908890.105</v>
      </c>
      <c r="J471" s="803">
        <v>1937525.936</v>
      </c>
      <c r="K471" s="802" t="s">
        <v>1096</v>
      </c>
      <c r="L471" s="810" t="s">
        <v>222</v>
      </c>
      <c r="M471" s="810">
        <v>0</v>
      </c>
      <c r="N471" s="810">
        <v>0</v>
      </c>
      <c r="O471" s="810">
        <v>0</v>
      </c>
      <c r="P471" s="810">
        <v>0</v>
      </c>
      <c r="Q471" s="810">
        <v>0</v>
      </c>
    </row>
    <row r="472" spans="1:17" s="142" customFormat="1" ht="45" x14ac:dyDescent="0.25">
      <c r="A472" s="577"/>
      <c r="B472" s="324"/>
      <c r="C472" s="806" t="s">
        <v>10</v>
      </c>
      <c r="D472" s="1"/>
      <c r="E472" s="802" t="s">
        <v>1098</v>
      </c>
      <c r="F472" s="803">
        <v>2311347.6999999997</v>
      </c>
      <c r="G472" s="803">
        <v>2502068.622</v>
      </c>
      <c r="H472" s="1298">
        <v>2760914.4</v>
      </c>
      <c r="I472" s="803">
        <v>3202810.0410000002</v>
      </c>
      <c r="J472" s="803">
        <v>3512980.5219999999</v>
      </c>
      <c r="K472" s="802" t="s">
        <v>1096</v>
      </c>
      <c r="L472" s="810" t="s">
        <v>222</v>
      </c>
      <c r="M472" s="810">
        <v>0</v>
      </c>
      <c r="N472" s="810">
        <v>0</v>
      </c>
      <c r="O472" s="810">
        <v>0</v>
      </c>
      <c r="P472" s="810">
        <v>0</v>
      </c>
      <c r="Q472" s="810">
        <v>0</v>
      </c>
    </row>
    <row r="473" spans="1:17" s="142" customFormat="1" ht="45" x14ac:dyDescent="0.25">
      <c r="A473" s="577"/>
      <c r="B473" s="324"/>
      <c r="C473" s="806" t="s">
        <v>12</v>
      </c>
      <c r="D473" s="1"/>
      <c r="E473" s="762" t="s">
        <v>1099</v>
      </c>
      <c r="F473" s="803">
        <v>3741532.5</v>
      </c>
      <c r="G473" s="803">
        <v>3920756.602</v>
      </c>
      <c r="H473" s="1298">
        <v>4013248.8930000002</v>
      </c>
      <c r="I473" s="803">
        <v>4152861.2140000002</v>
      </c>
      <c r="J473" s="803">
        <v>4499007.4129999997</v>
      </c>
      <c r="K473" s="802" t="s">
        <v>1096</v>
      </c>
      <c r="L473" s="810" t="s">
        <v>222</v>
      </c>
      <c r="M473" s="810">
        <v>0</v>
      </c>
      <c r="N473" s="810">
        <v>0</v>
      </c>
      <c r="O473" s="810">
        <v>0</v>
      </c>
      <c r="P473" s="810">
        <v>0</v>
      </c>
      <c r="Q473" s="810">
        <v>0</v>
      </c>
    </row>
    <row r="474" spans="1:17" s="142" customFormat="1" x14ac:dyDescent="0.25">
      <c r="A474" s="805">
        <v>26</v>
      </c>
      <c r="B474" s="816">
        <v>6</v>
      </c>
      <c r="C474" s="806"/>
      <c r="D474" s="1"/>
      <c r="E474" s="769" t="s">
        <v>1100</v>
      </c>
      <c r="F474" s="804">
        <v>9949132.8460000008</v>
      </c>
      <c r="G474" s="804">
        <v>9948427</v>
      </c>
      <c r="H474" s="1302">
        <f>H475+H476+H477+H478+H479+H480+H481+H482+H483+H484+H485+H486+H487+H488+H489+H490+H491</f>
        <v>12013156.9</v>
      </c>
      <c r="I474" s="794"/>
      <c r="J474" s="794"/>
      <c r="K474" s="802"/>
      <c r="L474" s="810"/>
      <c r="M474" s="810"/>
      <c r="N474" s="810"/>
      <c r="O474" s="810"/>
      <c r="P474" s="810"/>
      <c r="Q474" s="810"/>
    </row>
    <row r="475" spans="1:17" s="142" customFormat="1" ht="30" x14ac:dyDescent="0.25">
      <c r="A475" s="577"/>
      <c r="B475" s="324"/>
      <c r="C475" s="806" t="s">
        <v>6</v>
      </c>
      <c r="D475" s="1"/>
      <c r="E475" s="784" t="s">
        <v>1101</v>
      </c>
      <c r="F475" s="803">
        <v>64100</v>
      </c>
      <c r="G475" s="803">
        <v>100000</v>
      </c>
      <c r="H475" s="1298"/>
      <c r="I475" s="793"/>
      <c r="J475" s="793"/>
      <c r="K475" s="802"/>
      <c r="L475" s="810"/>
      <c r="M475" s="810"/>
      <c r="N475" s="810"/>
      <c r="O475" s="810"/>
      <c r="P475" s="810"/>
      <c r="Q475" s="810"/>
    </row>
    <row r="476" spans="1:17" s="142" customFormat="1" ht="30" x14ac:dyDescent="0.25">
      <c r="A476" s="577"/>
      <c r="B476" s="324"/>
      <c r="C476" s="806" t="s">
        <v>8</v>
      </c>
      <c r="D476" s="1"/>
      <c r="E476" s="784" t="s">
        <v>1128</v>
      </c>
      <c r="F476" s="803"/>
      <c r="G476" s="803"/>
      <c r="H476" s="1802">
        <v>37868</v>
      </c>
      <c r="I476" s="793"/>
      <c r="J476" s="793"/>
      <c r="K476" s="802"/>
      <c r="L476" s="810"/>
      <c r="M476" s="810"/>
      <c r="N476" s="810"/>
      <c r="O476" s="810"/>
      <c r="P476" s="810"/>
      <c r="Q476" s="810"/>
    </row>
    <row r="477" spans="1:17" s="142" customFormat="1" ht="45" x14ac:dyDescent="0.25">
      <c r="A477" s="577"/>
      <c r="B477" s="324"/>
      <c r="C477" s="806" t="s">
        <v>10</v>
      </c>
      <c r="D477" s="1"/>
      <c r="E477" s="784" t="s">
        <v>1102</v>
      </c>
      <c r="F477" s="803"/>
      <c r="G477" s="803"/>
      <c r="H477" s="1298">
        <v>0</v>
      </c>
      <c r="I477" s="793"/>
      <c r="J477" s="793"/>
      <c r="K477" s="802"/>
      <c r="L477" s="810"/>
      <c r="M477" s="810"/>
      <c r="N477" s="810"/>
      <c r="O477" s="810"/>
      <c r="P477" s="810"/>
      <c r="Q477" s="810"/>
    </row>
    <row r="478" spans="1:17" s="142" customFormat="1" x14ac:dyDescent="0.25">
      <c r="A478" s="577"/>
      <c r="B478" s="324"/>
      <c r="C478" s="806" t="s">
        <v>12</v>
      </c>
      <c r="D478" s="1"/>
      <c r="E478" s="784" t="s">
        <v>1103</v>
      </c>
      <c r="F478" s="803"/>
      <c r="G478" s="803"/>
      <c r="H478" s="1802">
        <v>0</v>
      </c>
      <c r="I478" s="793"/>
      <c r="J478" s="793"/>
      <c r="K478" s="802"/>
      <c r="L478" s="810"/>
      <c r="M478" s="810"/>
      <c r="N478" s="810"/>
      <c r="O478" s="810"/>
      <c r="P478" s="810"/>
      <c r="Q478" s="810"/>
    </row>
    <row r="479" spans="1:17" s="142" customFormat="1" x14ac:dyDescent="0.25">
      <c r="A479" s="577"/>
      <c r="B479" s="324"/>
      <c r="C479" s="806" t="s">
        <v>14</v>
      </c>
      <c r="D479" s="1"/>
      <c r="E479" s="784" t="s">
        <v>1104</v>
      </c>
      <c r="F479" s="803"/>
      <c r="G479" s="803"/>
      <c r="H479" s="812">
        <v>1000000</v>
      </c>
      <c r="I479" s="793"/>
      <c r="J479" s="793"/>
      <c r="K479" s="802"/>
      <c r="L479" s="810"/>
      <c r="M479" s="810"/>
      <c r="N479" s="810"/>
      <c r="O479" s="810"/>
      <c r="P479" s="810"/>
      <c r="Q479" s="810"/>
    </row>
    <row r="480" spans="1:17" s="142" customFormat="1" x14ac:dyDescent="0.25">
      <c r="A480" s="577"/>
      <c r="B480" s="324"/>
      <c r="C480" s="806" t="s">
        <v>16</v>
      </c>
      <c r="D480" s="1"/>
      <c r="E480" s="784" t="s">
        <v>1105</v>
      </c>
      <c r="F480" s="803"/>
      <c r="G480" s="803"/>
      <c r="H480" s="1802">
        <v>0</v>
      </c>
      <c r="I480" s="793"/>
      <c r="J480" s="793"/>
      <c r="K480" s="802"/>
      <c r="L480" s="810"/>
      <c r="M480" s="810"/>
      <c r="N480" s="810"/>
      <c r="O480" s="810"/>
      <c r="P480" s="810"/>
      <c r="Q480" s="810"/>
    </row>
    <row r="481" spans="1:17" s="142" customFormat="1" x14ac:dyDescent="0.25">
      <c r="A481" s="577"/>
      <c r="B481" s="324"/>
      <c r="C481" s="806" t="s">
        <v>48</v>
      </c>
      <c r="D481" s="1"/>
      <c r="E481" s="784" t="s">
        <v>1106</v>
      </c>
      <c r="F481" s="803">
        <v>478800</v>
      </c>
      <c r="G481" s="803">
        <v>450000</v>
      </c>
      <c r="H481" s="812">
        <v>478406.40000000002</v>
      </c>
      <c r="I481" s="793"/>
      <c r="J481" s="793"/>
      <c r="K481" s="802"/>
      <c r="L481" s="810"/>
      <c r="M481" s="810"/>
      <c r="N481" s="810"/>
      <c r="O481" s="810"/>
      <c r="P481" s="810"/>
      <c r="Q481" s="810"/>
    </row>
    <row r="482" spans="1:17" s="142" customFormat="1" x14ac:dyDescent="0.25">
      <c r="A482" s="577"/>
      <c r="B482" s="324"/>
      <c r="C482" s="806" t="s">
        <v>49</v>
      </c>
      <c r="D482" s="1"/>
      <c r="E482" s="740" t="s">
        <v>1107</v>
      </c>
      <c r="F482" s="803">
        <v>5867800</v>
      </c>
      <c r="G482" s="803">
        <v>6980264.8000000007</v>
      </c>
      <c r="H482" s="812">
        <f>4034041.5+4028290.7</f>
        <v>8062332.2000000002</v>
      </c>
      <c r="I482" s="793">
        <v>9236300</v>
      </c>
      <c r="J482" s="793">
        <v>9052400</v>
      </c>
      <c r="K482" s="802"/>
      <c r="L482" s="810"/>
      <c r="M482" s="810"/>
      <c r="N482" s="810"/>
      <c r="O482" s="810"/>
      <c r="P482" s="810"/>
      <c r="Q482" s="810"/>
    </row>
    <row r="483" spans="1:17" s="142" customFormat="1" x14ac:dyDescent="0.25">
      <c r="A483" s="577"/>
      <c r="B483" s="324"/>
      <c r="C483" s="806" t="s">
        <v>124</v>
      </c>
      <c r="D483" s="1"/>
      <c r="E483" s="740" t="s">
        <v>1108</v>
      </c>
      <c r="F483" s="803">
        <v>1068400</v>
      </c>
      <c r="G483" s="803">
        <v>500000</v>
      </c>
      <c r="H483" s="812">
        <v>500000</v>
      </c>
      <c r="I483" s="793">
        <v>500000</v>
      </c>
      <c r="J483" s="793">
        <v>500000</v>
      </c>
      <c r="K483" s="802"/>
      <c r="L483" s="810"/>
      <c r="M483" s="810"/>
      <c r="N483" s="810"/>
      <c r="O483" s="810"/>
      <c r="P483" s="810"/>
      <c r="Q483" s="810"/>
    </row>
    <row r="484" spans="1:17" s="142" customFormat="1" x14ac:dyDescent="0.25">
      <c r="A484" s="577"/>
      <c r="B484" s="324"/>
      <c r="C484" s="806" t="s">
        <v>157</v>
      </c>
      <c r="D484" s="1"/>
      <c r="E484" s="740" t="s">
        <v>1109</v>
      </c>
      <c r="F484" s="803">
        <v>190283.1</v>
      </c>
      <c r="G484" s="803">
        <v>190300.79999999999</v>
      </c>
      <c r="H484" s="812">
        <v>268515.20000000001</v>
      </c>
      <c r="I484" s="793">
        <v>190300.79999999999</v>
      </c>
      <c r="J484" s="793">
        <v>190300.79999999999</v>
      </c>
      <c r="K484" s="802"/>
      <c r="L484" s="810"/>
      <c r="M484" s="810"/>
      <c r="N484" s="810"/>
      <c r="O484" s="810"/>
      <c r="P484" s="810"/>
      <c r="Q484" s="810"/>
    </row>
    <row r="485" spans="1:17" s="142" customFormat="1" x14ac:dyDescent="0.25">
      <c r="A485" s="577"/>
      <c r="B485" s="324"/>
      <c r="C485" s="806" t="s">
        <v>158</v>
      </c>
      <c r="D485" s="1"/>
      <c r="E485" s="740" t="s">
        <v>1110</v>
      </c>
      <c r="F485" s="803">
        <v>29449.745999999999</v>
      </c>
      <c r="G485" s="803">
        <v>77861.399999999994</v>
      </c>
      <c r="H485" s="812">
        <v>32861.4</v>
      </c>
      <c r="I485" s="793">
        <v>77861.399999999994</v>
      </c>
      <c r="J485" s="793">
        <v>77861.399999999994</v>
      </c>
      <c r="K485" s="802"/>
      <c r="L485" s="810"/>
      <c r="M485" s="810"/>
      <c r="N485" s="810"/>
      <c r="O485" s="810"/>
      <c r="P485" s="810"/>
      <c r="Q485" s="810"/>
    </row>
    <row r="486" spans="1:17" s="142" customFormat="1" x14ac:dyDescent="0.25">
      <c r="A486" s="577"/>
      <c r="B486" s="324"/>
      <c r="C486" s="806" t="s">
        <v>159</v>
      </c>
      <c r="D486" s="1"/>
      <c r="E486" s="740" t="s">
        <v>1111</v>
      </c>
      <c r="F486" s="803"/>
      <c r="G486" s="803"/>
      <c r="H486" s="1802">
        <v>105500</v>
      </c>
      <c r="I486" s="793"/>
      <c r="J486" s="793"/>
      <c r="K486" s="802"/>
      <c r="L486" s="810"/>
      <c r="M486" s="810"/>
      <c r="N486" s="810"/>
      <c r="O486" s="810"/>
      <c r="P486" s="810"/>
      <c r="Q486" s="810"/>
    </row>
    <row r="487" spans="1:17" s="142" customFormat="1" ht="30" x14ac:dyDescent="0.25">
      <c r="A487" s="577"/>
      <c r="B487" s="324"/>
      <c r="C487" s="806" t="s">
        <v>160</v>
      </c>
      <c r="D487" s="1"/>
      <c r="E487" s="740" t="s">
        <v>1112</v>
      </c>
      <c r="F487" s="803">
        <v>950300</v>
      </c>
      <c r="G487" s="803">
        <v>1050000</v>
      </c>
      <c r="H487" s="812">
        <v>984900</v>
      </c>
      <c r="I487" s="793"/>
      <c r="J487" s="793"/>
      <c r="K487" s="802"/>
      <c r="L487" s="810"/>
      <c r="M487" s="810"/>
      <c r="N487" s="810"/>
      <c r="O487" s="810"/>
      <c r="P487" s="810"/>
      <c r="Q487" s="810"/>
    </row>
    <row r="488" spans="1:17" s="142" customFormat="1" x14ac:dyDescent="0.25">
      <c r="A488" s="577"/>
      <c r="B488" s="324"/>
      <c r="C488" s="806" t="s">
        <v>161</v>
      </c>
      <c r="D488" s="1"/>
      <c r="E488" s="740" t="s">
        <v>1113</v>
      </c>
      <c r="F488" s="803"/>
      <c r="G488" s="803">
        <v>100000</v>
      </c>
      <c r="H488" s="1808">
        <v>3563</v>
      </c>
      <c r="I488" s="793">
        <v>100000</v>
      </c>
      <c r="J488" s="793">
        <v>100000</v>
      </c>
      <c r="K488" s="802"/>
      <c r="L488" s="810"/>
      <c r="M488" s="810"/>
      <c r="N488" s="810"/>
      <c r="O488" s="810"/>
      <c r="P488" s="810"/>
      <c r="Q488" s="810"/>
    </row>
    <row r="489" spans="1:17" s="142" customFormat="1" x14ac:dyDescent="0.25">
      <c r="A489" s="577"/>
      <c r="B489" s="324"/>
      <c r="C489" s="806" t="s">
        <v>162</v>
      </c>
      <c r="D489" s="1"/>
      <c r="E489" s="784" t="s">
        <v>1114</v>
      </c>
      <c r="F489" s="803">
        <v>1300000</v>
      </c>
      <c r="G489" s="803">
        <v>500000</v>
      </c>
      <c r="H489" s="1802">
        <v>500000</v>
      </c>
      <c r="I489" s="793">
        <v>500000</v>
      </c>
      <c r="J489" s="793">
        <v>500000</v>
      </c>
      <c r="K489" s="802"/>
      <c r="L489" s="810"/>
      <c r="M489" s="810"/>
      <c r="N489" s="810"/>
      <c r="O489" s="810"/>
      <c r="P489" s="810"/>
      <c r="Q489" s="810"/>
    </row>
    <row r="490" spans="1:17" s="142" customFormat="1" x14ac:dyDescent="0.25">
      <c r="A490" s="577"/>
      <c r="B490" s="324"/>
      <c r="C490" s="806" t="s">
        <v>163</v>
      </c>
      <c r="D490" s="1"/>
      <c r="E490" s="784" t="s">
        <v>1115</v>
      </c>
      <c r="F490" s="803"/>
      <c r="G490" s="803"/>
      <c r="H490" s="1802">
        <v>9861.2999999999993</v>
      </c>
      <c r="I490" s="793"/>
      <c r="J490" s="793"/>
      <c r="K490" s="802"/>
      <c r="L490" s="810"/>
      <c r="M490" s="810"/>
      <c r="N490" s="810"/>
      <c r="O490" s="810"/>
      <c r="P490" s="810"/>
      <c r="Q490" s="810"/>
    </row>
    <row r="491" spans="1:17" s="142" customFormat="1" ht="30" x14ac:dyDescent="0.25">
      <c r="A491" s="577"/>
      <c r="B491" s="324"/>
      <c r="C491" s="896" t="s">
        <v>164</v>
      </c>
      <c r="D491" s="1"/>
      <c r="E491" s="901" t="s">
        <v>1129</v>
      </c>
      <c r="F491" s="895"/>
      <c r="G491" s="895"/>
      <c r="H491" s="812">
        <v>29349.4</v>
      </c>
      <c r="I491" s="900"/>
      <c r="J491" s="900"/>
      <c r="K491" s="898"/>
      <c r="L491" s="897"/>
      <c r="M491" s="897"/>
      <c r="N491" s="897"/>
      <c r="O491" s="897"/>
      <c r="P491" s="897"/>
      <c r="Q491" s="897"/>
    </row>
    <row r="492" spans="1:17" s="142" customFormat="1" ht="28.5" x14ac:dyDescent="0.25">
      <c r="A492" s="805">
        <v>26</v>
      </c>
      <c r="B492" s="816">
        <v>7</v>
      </c>
      <c r="C492" s="806"/>
      <c r="D492" s="1"/>
      <c r="E492" s="769" t="s">
        <v>1116</v>
      </c>
      <c r="F492" s="804">
        <v>15146089.308999998</v>
      </c>
      <c r="G492" s="804">
        <v>11008584.799999999</v>
      </c>
      <c r="H492" s="1803">
        <f>H493+H494+H495+H496+H497+H498+H499+H500</f>
        <v>10559014.6</v>
      </c>
      <c r="I492" s="794"/>
      <c r="J492" s="794"/>
      <c r="K492" s="802"/>
      <c r="L492" s="810"/>
      <c r="M492" s="810"/>
      <c r="N492" s="810"/>
      <c r="O492" s="810"/>
      <c r="P492" s="810"/>
      <c r="Q492" s="810"/>
    </row>
    <row r="493" spans="1:17" s="142" customFormat="1" x14ac:dyDescent="0.25">
      <c r="A493" s="805"/>
      <c r="B493" s="816"/>
      <c r="C493" s="806" t="s">
        <v>6</v>
      </c>
      <c r="D493" s="1"/>
      <c r="E493" s="740" t="s">
        <v>1117</v>
      </c>
      <c r="F493" s="803">
        <v>8703660.9000000004</v>
      </c>
      <c r="G493" s="803">
        <v>2900000</v>
      </c>
      <c r="H493" s="812">
        <v>6359094.2000000002</v>
      </c>
      <c r="I493" s="793">
        <v>3800000</v>
      </c>
      <c r="J493" s="793">
        <v>9500000</v>
      </c>
      <c r="K493" s="802"/>
      <c r="L493" s="810"/>
      <c r="M493" s="810"/>
      <c r="N493" s="810"/>
      <c r="O493" s="810"/>
      <c r="P493" s="810"/>
      <c r="Q493" s="810"/>
    </row>
    <row r="494" spans="1:17" s="142" customFormat="1" x14ac:dyDescent="0.25">
      <c r="A494" s="805"/>
      <c r="B494" s="816"/>
      <c r="C494" s="806" t="s">
        <v>8</v>
      </c>
      <c r="D494" s="1"/>
      <c r="E494" s="740" t="s">
        <v>1118</v>
      </c>
      <c r="F494" s="803">
        <v>77800</v>
      </c>
      <c r="G494" s="803">
        <v>350000</v>
      </c>
      <c r="H494" s="1808">
        <f>130090+40000</f>
        <v>170090</v>
      </c>
      <c r="I494" s="793">
        <v>350000</v>
      </c>
      <c r="J494" s="793">
        <v>350000</v>
      </c>
      <c r="K494" s="802"/>
      <c r="L494" s="810"/>
      <c r="M494" s="810"/>
      <c r="N494" s="810"/>
      <c r="O494" s="810"/>
      <c r="P494" s="810"/>
      <c r="Q494" s="810"/>
    </row>
    <row r="495" spans="1:17" s="142" customFormat="1" x14ac:dyDescent="0.25">
      <c r="A495" s="805"/>
      <c r="B495" s="816"/>
      <c r="C495" s="806" t="s">
        <v>10</v>
      </c>
      <c r="D495" s="1"/>
      <c r="E495" s="740" t="s">
        <v>1119</v>
      </c>
      <c r="F495" s="803"/>
      <c r="G495" s="803">
        <v>2018601.2</v>
      </c>
      <c r="H495" s="1806"/>
      <c r="I495" s="793"/>
      <c r="J495" s="793"/>
      <c r="K495" s="802"/>
      <c r="L495" s="810"/>
      <c r="M495" s="810"/>
      <c r="N495" s="810"/>
      <c r="O495" s="810"/>
      <c r="P495" s="810"/>
      <c r="Q495" s="810"/>
    </row>
    <row r="496" spans="1:17" s="142" customFormat="1" x14ac:dyDescent="0.25">
      <c r="A496" s="805"/>
      <c r="B496" s="816"/>
      <c r="C496" s="806" t="s">
        <v>12</v>
      </c>
      <c r="D496" s="1"/>
      <c r="E496" s="740" t="s">
        <v>1120</v>
      </c>
      <c r="F496" s="803">
        <v>1818161.0000000002</v>
      </c>
      <c r="G496" s="803">
        <v>1850000</v>
      </c>
      <c r="H496" s="812">
        <v>2000300</v>
      </c>
      <c r="I496" s="793">
        <v>1967289.1000000003</v>
      </c>
      <c r="J496" s="793">
        <v>1917384.5</v>
      </c>
      <c r="K496" s="802"/>
      <c r="L496" s="810"/>
      <c r="M496" s="810"/>
      <c r="N496" s="810"/>
      <c r="O496" s="810"/>
      <c r="P496" s="810"/>
      <c r="Q496" s="810"/>
    </row>
    <row r="497" spans="1:17" s="142" customFormat="1" x14ac:dyDescent="0.25">
      <c r="A497" s="805"/>
      <c r="B497" s="816"/>
      <c r="C497" s="806" t="s">
        <v>14</v>
      </c>
      <c r="D497" s="1"/>
      <c r="E497" s="740" t="s">
        <v>1121</v>
      </c>
      <c r="F497" s="803">
        <v>3637319.1089999997</v>
      </c>
      <c r="G497" s="803">
        <v>2407000</v>
      </c>
      <c r="H497" s="812">
        <v>1049583.2</v>
      </c>
      <c r="I497" s="793"/>
      <c r="J497" s="793"/>
      <c r="K497" s="802"/>
      <c r="L497" s="810"/>
      <c r="M497" s="810"/>
      <c r="N497" s="810"/>
      <c r="O497" s="810"/>
      <c r="P497" s="810"/>
      <c r="Q497" s="810"/>
    </row>
    <row r="498" spans="1:17" s="142" customFormat="1" x14ac:dyDescent="0.25">
      <c r="A498" s="805"/>
      <c r="B498" s="816"/>
      <c r="C498" s="806" t="s">
        <v>16</v>
      </c>
      <c r="D498" s="1"/>
      <c r="E498" s="740" t="s">
        <v>1122</v>
      </c>
      <c r="F498" s="803">
        <v>370635</v>
      </c>
      <c r="G498" s="803">
        <v>500000</v>
      </c>
      <c r="H498" s="812">
        <v>420000</v>
      </c>
      <c r="I498" s="793">
        <v>700000</v>
      </c>
      <c r="J498" s="793">
        <v>800000</v>
      </c>
      <c r="K498" s="802"/>
      <c r="L498" s="810"/>
      <c r="M498" s="810"/>
      <c r="N498" s="810"/>
      <c r="O498" s="810"/>
      <c r="P498" s="810"/>
      <c r="Q498" s="810"/>
    </row>
    <row r="499" spans="1:17" s="142" customFormat="1" ht="30" x14ac:dyDescent="0.25">
      <c r="A499" s="444"/>
      <c r="B499" s="866"/>
      <c r="C499" s="806" t="s">
        <v>48</v>
      </c>
      <c r="D499" s="1"/>
      <c r="E499" s="740" t="s">
        <v>1123</v>
      </c>
      <c r="F499" s="803">
        <v>176191.2</v>
      </c>
      <c r="G499" s="803">
        <v>174675.4</v>
      </c>
      <c r="H499" s="812">
        <v>196905.9</v>
      </c>
      <c r="I499" s="793">
        <v>176966.39999999999</v>
      </c>
      <c r="J499" s="793">
        <v>179294.7</v>
      </c>
      <c r="K499" s="802"/>
      <c r="L499" s="810"/>
      <c r="M499" s="810"/>
      <c r="N499" s="810"/>
      <c r="O499" s="810"/>
      <c r="P499" s="810"/>
      <c r="Q499" s="810"/>
    </row>
    <row r="500" spans="1:17" s="142" customFormat="1" ht="30" x14ac:dyDescent="0.25">
      <c r="A500" s="444"/>
      <c r="B500" s="866"/>
      <c r="C500" s="806" t="s">
        <v>49</v>
      </c>
      <c r="D500" s="1"/>
      <c r="E500" s="740" t="s">
        <v>1124</v>
      </c>
      <c r="F500" s="803">
        <v>362322.1</v>
      </c>
      <c r="G500" s="803">
        <v>308308.2</v>
      </c>
      <c r="H500" s="812">
        <v>363041.3</v>
      </c>
      <c r="I500" s="793"/>
      <c r="J500" s="793"/>
      <c r="K500" s="802"/>
      <c r="L500" s="810"/>
      <c r="M500" s="810"/>
      <c r="N500" s="810"/>
      <c r="O500" s="810"/>
      <c r="P500" s="810"/>
      <c r="Q500" s="810"/>
    </row>
    <row r="501" spans="1:17" s="142" customFormat="1" x14ac:dyDescent="0.25">
      <c r="A501" s="577"/>
      <c r="B501" s="324"/>
      <c r="C501" s="806" t="s">
        <v>124</v>
      </c>
      <c r="D501" s="1"/>
      <c r="E501" s="740" t="s">
        <v>1125</v>
      </c>
      <c r="F501" s="803"/>
      <c r="G501" s="803">
        <v>500000</v>
      </c>
      <c r="H501" s="1298"/>
      <c r="I501" s="793"/>
      <c r="J501" s="793"/>
      <c r="K501" s="802"/>
      <c r="L501" s="810"/>
      <c r="M501" s="810"/>
      <c r="N501" s="810"/>
      <c r="O501" s="810"/>
      <c r="P501" s="810"/>
      <c r="Q501" s="810"/>
    </row>
    <row r="502" spans="1:17" s="142" customFormat="1" ht="37.5" customHeight="1" x14ac:dyDescent="0.25">
      <c r="A502" s="1821" t="s">
        <v>1126</v>
      </c>
      <c r="B502" s="1822"/>
      <c r="C502" s="1822"/>
      <c r="D502" s="1822"/>
      <c r="E502" s="1822"/>
      <c r="F502" s="80">
        <v>30624942.819499999</v>
      </c>
      <c r="G502" s="80">
        <v>34611704.112999998</v>
      </c>
      <c r="H502" s="80">
        <f>H492+H474+H469+H436</f>
        <v>54740326.692999996</v>
      </c>
      <c r="I502" s="80">
        <v>36883434.201000005</v>
      </c>
      <c r="J502" s="80">
        <v>38503697.144000001</v>
      </c>
      <c r="K502" s="2649"/>
      <c r="L502" s="2650"/>
      <c r="M502" s="2650"/>
      <c r="N502" s="2650"/>
      <c r="O502" s="2650"/>
      <c r="P502" s="2650"/>
      <c r="Q502" s="2651"/>
    </row>
    <row r="503" spans="1:17" s="142" customFormat="1" ht="16.5" hidden="1" customHeight="1" x14ac:dyDescent="0.25">
      <c r="A503" s="2147"/>
      <c r="B503" s="2148"/>
      <c r="C503" s="2148"/>
      <c r="D503" s="2148"/>
      <c r="E503" s="2148"/>
      <c r="F503" s="2148"/>
      <c r="G503" s="2148"/>
      <c r="H503" s="2148"/>
      <c r="I503" s="2148"/>
      <c r="J503" s="2148"/>
      <c r="K503" s="2148"/>
      <c r="L503" s="2148"/>
      <c r="M503" s="2148"/>
      <c r="N503" s="2148"/>
      <c r="O503" s="2148"/>
      <c r="P503" s="2148"/>
      <c r="Q503" s="2149"/>
    </row>
    <row r="504" spans="1:17" x14ac:dyDescent="0.25">
      <c r="A504" s="2464" t="s">
        <v>120</v>
      </c>
      <c r="B504" s="2391"/>
      <c r="C504" s="1827"/>
      <c r="D504" s="1827"/>
      <c r="E504" s="1827"/>
      <c r="F504" s="1827"/>
      <c r="G504" s="1827"/>
      <c r="H504" s="1827"/>
      <c r="I504" s="1827"/>
      <c r="J504" s="1827"/>
      <c r="K504" s="1827"/>
      <c r="L504" s="1827"/>
      <c r="M504" s="1827"/>
      <c r="N504" s="1827"/>
      <c r="O504" s="1827"/>
      <c r="P504" s="1827"/>
      <c r="Q504" s="1828"/>
    </row>
    <row r="505" spans="1:17" s="129" customFormat="1" ht="45" x14ac:dyDescent="0.25">
      <c r="A505" s="600">
        <v>27</v>
      </c>
      <c r="B505" s="614">
        <v>1</v>
      </c>
      <c r="C505" s="617"/>
      <c r="D505" s="618"/>
      <c r="E505" s="469" t="s">
        <v>654</v>
      </c>
      <c r="F505" s="401">
        <v>728.59999999999991</v>
      </c>
      <c r="G505" s="401">
        <v>782.7</v>
      </c>
      <c r="H505" s="671">
        <f>H506+H507</f>
        <v>1005.5</v>
      </c>
      <c r="I505" s="401">
        <v>782.7</v>
      </c>
      <c r="J505" s="401">
        <v>782.7</v>
      </c>
      <c r="K505" s="470" t="s">
        <v>655</v>
      </c>
      <c r="L505" s="470" t="s">
        <v>182</v>
      </c>
      <c r="M505" s="470">
        <v>6</v>
      </c>
      <c r="N505" s="470">
        <v>6</v>
      </c>
      <c r="O505" s="470">
        <v>6</v>
      </c>
      <c r="P505" s="470">
        <v>6</v>
      </c>
      <c r="Q505" s="470">
        <v>6</v>
      </c>
    </row>
    <row r="506" spans="1:17" s="129" customFormat="1" x14ac:dyDescent="0.25">
      <c r="A506" s="677"/>
      <c r="B506" s="614"/>
      <c r="C506" s="617" t="s">
        <v>8</v>
      </c>
      <c r="D506" s="618"/>
      <c r="E506" s="470" t="s">
        <v>9</v>
      </c>
      <c r="F506" s="400">
        <v>224.7</v>
      </c>
      <c r="G506" s="400">
        <v>224.7</v>
      </c>
      <c r="H506" s="450">
        <v>916.5</v>
      </c>
      <c r="I506" s="450">
        <v>224.7</v>
      </c>
      <c r="J506" s="450">
        <v>224.7</v>
      </c>
      <c r="K506" s="470" t="s">
        <v>185</v>
      </c>
      <c r="L506" s="470" t="s">
        <v>182</v>
      </c>
      <c r="M506" s="470">
        <v>100</v>
      </c>
      <c r="N506" s="470">
        <v>100</v>
      </c>
      <c r="O506" s="470">
        <v>100</v>
      </c>
      <c r="P506" s="470">
        <v>100</v>
      </c>
      <c r="Q506" s="470">
        <v>100</v>
      </c>
    </row>
    <row r="507" spans="1:17" s="129" customFormat="1" ht="30" x14ac:dyDescent="0.25">
      <c r="A507" s="600"/>
      <c r="B507" s="614"/>
      <c r="C507" s="617" t="s">
        <v>48</v>
      </c>
      <c r="D507" s="618"/>
      <c r="E507" s="399" t="s">
        <v>66</v>
      </c>
      <c r="F507" s="473">
        <v>503.9</v>
      </c>
      <c r="G507" s="473">
        <v>558</v>
      </c>
      <c r="H507" s="473">
        <f>558-469</f>
        <v>89</v>
      </c>
      <c r="I507" s="473">
        <v>558</v>
      </c>
      <c r="J507" s="473">
        <v>558</v>
      </c>
      <c r="K507" s="470" t="s">
        <v>656</v>
      </c>
      <c r="L507" s="470" t="s">
        <v>182</v>
      </c>
      <c r="M507" s="470">
        <v>1</v>
      </c>
      <c r="N507" s="470">
        <v>1</v>
      </c>
      <c r="O507" s="470">
        <v>1</v>
      </c>
      <c r="P507" s="470">
        <v>1</v>
      </c>
      <c r="Q507" s="470">
        <v>1</v>
      </c>
    </row>
    <row r="508" spans="1:17" s="222" customFormat="1" ht="147" customHeight="1" x14ac:dyDescent="0.25">
      <c r="A508" s="616">
        <v>27</v>
      </c>
      <c r="B508" s="550">
        <v>2</v>
      </c>
      <c r="C508" s="440"/>
      <c r="D508" s="218"/>
      <c r="E508" s="219" t="s">
        <v>2848</v>
      </c>
      <c r="F508" s="241">
        <v>953.6</v>
      </c>
      <c r="G508" s="241">
        <v>2006.9</v>
      </c>
      <c r="H508" s="241">
        <f>H509+H510+H511+H512+H513</f>
        <v>692</v>
      </c>
      <c r="I508" s="241">
        <v>1970.9</v>
      </c>
      <c r="J508" s="241">
        <v>1970.9</v>
      </c>
      <c r="K508" s="220" t="s">
        <v>627</v>
      </c>
      <c r="L508" s="221" t="s">
        <v>182</v>
      </c>
      <c r="M508" s="221">
        <v>40</v>
      </c>
      <c r="N508" s="221">
        <v>40</v>
      </c>
      <c r="O508" s="221">
        <v>40</v>
      </c>
      <c r="P508" s="221">
        <v>40</v>
      </c>
      <c r="Q508" s="221">
        <v>40</v>
      </c>
    </row>
    <row r="509" spans="1:17" s="222" customFormat="1" ht="53.45" customHeight="1" x14ac:dyDescent="0.25">
      <c r="A509" s="583"/>
      <c r="B509" s="551"/>
      <c r="C509" s="441">
        <v>1</v>
      </c>
      <c r="D509" s="217"/>
      <c r="E509" s="468" t="s">
        <v>628</v>
      </c>
      <c r="F509" s="169">
        <v>114.4</v>
      </c>
      <c r="G509" s="169">
        <v>1116.7</v>
      </c>
      <c r="H509" s="169">
        <v>570</v>
      </c>
      <c r="I509" s="169">
        <v>1075.7</v>
      </c>
      <c r="J509" s="169">
        <v>1075.7</v>
      </c>
      <c r="K509" s="225" t="s">
        <v>629</v>
      </c>
      <c r="L509" s="169" t="s">
        <v>182</v>
      </c>
      <c r="M509" s="226">
        <v>25</v>
      </c>
      <c r="N509" s="226">
        <v>25</v>
      </c>
      <c r="O509" s="226">
        <v>25</v>
      </c>
      <c r="P509" s="226">
        <v>25</v>
      </c>
      <c r="Q509" s="226">
        <v>25</v>
      </c>
    </row>
    <row r="510" spans="1:17" s="222" customFormat="1" ht="87.75" customHeight="1" x14ac:dyDescent="0.25">
      <c r="A510" s="583"/>
      <c r="B510" s="551"/>
      <c r="C510" s="441">
        <v>2</v>
      </c>
      <c r="D510" s="217"/>
      <c r="E510" s="468" t="s">
        <v>630</v>
      </c>
      <c r="F510" s="169">
        <v>266.5</v>
      </c>
      <c r="G510" s="227">
        <v>279.2</v>
      </c>
      <c r="H510" s="227">
        <f>276.2-276.2</f>
        <v>0</v>
      </c>
      <c r="I510" s="227">
        <v>279.2</v>
      </c>
      <c r="J510" s="227">
        <v>279.2</v>
      </c>
      <c r="K510" s="228" t="s">
        <v>631</v>
      </c>
      <c r="L510" s="169" t="s">
        <v>189</v>
      </c>
      <c r="M510" s="226">
        <v>188</v>
      </c>
      <c r="N510" s="226">
        <v>190</v>
      </c>
      <c r="O510" s="226">
        <v>192</v>
      </c>
      <c r="P510" s="226">
        <v>194</v>
      </c>
      <c r="Q510" s="226">
        <v>196</v>
      </c>
    </row>
    <row r="511" spans="1:17" s="222" customFormat="1" ht="45" x14ac:dyDescent="0.25">
      <c r="A511" s="584"/>
      <c r="B511" s="609"/>
      <c r="C511" s="416" t="s">
        <v>10</v>
      </c>
      <c r="D511" s="217"/>
      <c r="E511" s="468" t="s">
        <v>632</v>
      </c>
      <c r="F511" s="230">
        <v>139.5</v>
      </c>
      <c r="G511" s="231">
        <v>143</v>
      </c>
      <c r="H511" s="167">
        <v>122</v>
      </c>
      <c r="I511" s="167">
        <v>143</v>
      </c>
      <c r="J511" s="167">
        <v>143</v>
      </c>
      <c r="K511" s="224" t="s">
        <v>633</v>
      </c>
      <c r="L511" s="224" t="s">
        <v>182</v>
      </c>
      <c r="M511" s="224">
        <v>100</v>
      </c>
      <c r="N511" s="224">
        <v>100</v>
      </c>
      <c r="O511" s="224">
        <v>100</v>
      </c>
      <c r="P511" s="224">
        <v>100</v>
      </c>
      <c r="Q511" s="224">
        <v>100</v>
      </c>
    </row>
    <row r="512" spans="1:17" s="222" customFormat="1" ht="45" x14ac:dyDescent="0.25">
      <c r="A512" s="584"/>
      <c r="B512" s="609"/>
      <c r="C512" s="416" t="s">
        <v>12</v>
      </c>
      <c r="D512" s="217"/>
      <c r="E512" s="468" t="s">
        <v>634</v>
      </c>
      <c r="F512" s="230">
        <v>425.3</v>
      </c>
      <c r="G512" s="231">
        <v>438</v>
      </c>
      <c r="H512" s="167">
        <f>40-40</f>
        <v>0</v>
      </c>
      <c r="I512" s="167">
        <v>438</v>
      </c>
      <c r="J512" s="167">
        <v>438</v>
      </c>
      <c r="K512" s="224" t="s">
        <v>635</v>
      </c>
      <c r="L512" s="224" t="s">
        <v>189</v>
      </c>
      <c r="M512" s="224">
        <v>0</v>
      </c>
      <c r="N512" s="224">
        <v>0</v>
      </c>
      <c r="O512" s="224">
        <v>0</v>
      </c>
      <c r="P512" s="224">
        <v>0</v>
      </c>
      <c r="Q512" s="224">
        <v>0</v>
      </c>
    </row>
    <row r="513" spans="1:17" s="222" customFormat="1" ht="61.9" customHeight="1" x14ac:dyDescent="0.25">
      <c r="A513" s="583"/>
      <c r="B513" s="551"/>
      <c r="C513" s="441">
        <v>5</v>
      </c>
      <c r="D513" s="217"/>
      <c r="E513" s="468" t="s">
        <v>636</v>
      </c>
      <c r="F513" s="169">
        <v>7.9</v>
      </c>
      <c r="G513" s="227">
        <v>30</v>
      </c>
      <c r="H513" s="227">
        <f>29.3-29.3</f>
        <v>0</v>
      </c>
      <c r="I513" s="227">
        <v>35</v>
      </c>
      <c r="J513" s="227">
        <v>35</v>
      </c>
      <c r="K513" s="225" t="s">
        <v>637</v>
      </c>
      <c r="L513" s="169" t="s">
        <v>189</v>
      </c>
      <c r="M513" s="226">
        <v>2</v>
      </c>
      <c r="N513" s="226">
        <v>2</v>
      </c>
      <c r="O513" s="226">
        <v>2</v>
      </c>
      <c r="P513" s="226">
        <v>2</v>
      </c>
      <c r="Q513" s="226">
        <v>2</v>
      </c>
    </row>
    <row r="514" spans="1:17" s="222" customFormat="1" ht="147" x14ac:dyDescent="0.25">
      <c r="A514" s="584">
        <v>27</v>
      </c>
      <c r="B514" s="609">
        <v>3</v>
      </c>
      <c r="C514" s="416"/>
      <c r="D514" s="229"/>
      <c r="E514" s="232" t="s">
        <v>2849</v>
      </c>
      <c r="F514" s="233">
        <v>45</v>
      </c>
      <c r="G514" s="233">
        <v>110</v>
      </c>
      <c r="H514" s="233">
        <f>H516+H517</f>
        <v>0</v>
      </c>
      <c r="I514" s="233">
        <v>125</v>
      </c>
      <c r="J514" s="233">
        <v>125</v>
      </c>
      <c r="K514" s="234" t="s">
        <v>638</v>
      </c>
      <c r="L514" s="224" t="s">
        <v>189</v>
      </c>
      <c r="M514" s="224">
        <v>280</v>
      </c>
      <c r="N514" s="224">
        <v>282</v>
      </c>
      <c r="O514" s="224">
        <v>284</v>
      </c>
      <c r="P514" s="224">
        <v>286</v>
      </c>
      <c r="Q514" s="224">
        <v>288</v>
      </c>
    </row>
    <row r="515" spans="1:17" s="222" customFormat="1" ht="30" x14ac:dyDescent="0.25">
      <c r="A515" s="584"/>
      <c r="B515" s="609"/>
      <c r="C515" s="416" t="s">
        <v>6</v>
      </c>
      <c r="D515" s="235"/>
      <c r="E515" s="223" t="s">
        <v>639</v>
      </c>
      <c r="F515" s="236"/>
      <c r="G515" s="236"/>
      <c r="H515" s="167"/>
      <c r="I515" s="167"/>
      <c r="J515" s="167"/>
      <c r="K515" s="224" t="s">
        <v>640</v>
      </c>
      <c r="L515" s="224" t="s">
        <v>189</v>
      </c>
      <c r="M515" s="224">
        <v>2</v>
      </c>
      <c r="N515" s="224">
        <v>2</v>
      </c>
      <c r="O515" s="224">
        <v>2</v>
      </c>
      <c r="P515" s="224">
        <v>2</v>
      </c>
      <c r="Q515" s="224">
        <v>2</v>
      </c>
    </row>
    <row r="516" spans="1:17" s="222" customFormat="1" ht="54.75" customHeight="1" x14ac:dyDescent="0.25">
      <c r="A516" s="584"/>
      <c r="B516" s="609"/>
      <c r="C516" s="416" t="s">
        <v>8</v>
      </c>
      <c r="D516" s="217"/>
      <c r="E516" s="223" t="s">
        <v>641</v>
      </c>
      <c r="F516" s="169">
        <v>27.3</v>
      </c>
      <c r="G516" s="227">
        <v>70</v>
      </c>
      <c r="H516" s="167">
        <f>70-70</f>
        <v>0</v>
      </c>
      <c r="I516" s="167">
        <v>80</v>
      </c>
      <c r="J516" s="167">
        <v>80</v>
      </c>
      <c r="K516" s="224" t="s">
        <v>638</v>
      </c>
      <c r="L516" s="224" t="s">
        <v>189</v>
      </c>
      <c r="M516" s="224">
        <v>280</v>
      </c>
      <c r="N516" s="224">
        <v>282</v>
      </c>
      <c r="O516" s="224">
        <v>284</v>
      </c>
      <c r="P516" s="224">
        <v>286</v>
      </c>
      <c r="Q516" s="224">
        <v>288</v>
      </c>
    </row>
    <row r="517" spans="1:17" s="222" customFormat="1" ht="45" x14ac:dyDescent="0.25">
      <c r="A517" s="584"/>
      <c r="B517" s="609"/>
      <c r="C517" s="416" t="s">
        <v>10</v>
      </c>
      <c r="D517" s="217"/>
      <c r="E517" s="223" t="s">
        <v>642</v>
      </c>
      <c r="F517" s="230">
        <v>17.7</v>
      </c>
      <c r="G517" s="231">
        <v>40</v>
      </c>
      <c r="H517" s="167">
        <f>435-435</f>
        <v>0</v>
      </c>
      <c r="I517" s="167">
        <v>45</v>
      </c>
      <c r="J517" s="167">
        <v>45</v>
      </c>
      <c r="K517" s="224" t="s">
        <v>635</v>
      </c>
      <c r="L517" s="224" t="s">
        <v>189</v>
      </c>
      <c r="M517" s="224">
        <v>0</v>
      </c>
      <c r="N517" s="224">
        <v>0</v>
      </c>
      <c r="O517" s="224">
        <v>0</v>
      </c>
      <c r="P517" s="224">
        <v>0</v>
      </c>
      <c r="Q517" s="224">
        <v>0</v>
      </c>
    </row>
    <row r="518" spans="1:17" s="222" customFormat="1" ht="59.25" x14ac:dyDescent="0.25">
      <c r="A518" s="584">
        <v>27</v>
      </c>
      <c r="B518" s="609">
        <v>4</v>
      </c>
      <c r="C518" s="416"/>
      <c r="D518" s="217"/>
      <c r="E518" s="223" t="s">
        <v>2850</v>
      </c>
      <c r="F518" s="238">
        <v>237</v>
      </c>
      <c r="G518" s="238">
        <v>447</v>
      </c>
      <c r="H518" s="238">
        <f>H519</f>
        <v>0</v>
      </c>
      <c r="I518" s="238">
        <v>468</v>
      </c>
      <c r="J518" s="238">
        <v>468</v>
      </c>
      <c r="K518" s="224" t="s">
        <v>643</v>
      </c>
      <c r="L518" s="224" t="s">
        <v>182</v>
      </c>
      <c r="M518" s="224">
        <v>100</v>
      </c>
      <c r="N518" s="224">
        <v>100</v>
      </c>
      <c r="O518" s="224">
        <v>100</v>
      </c>
      <c r="P518" s="224">
        <v>100</v>
      </c>
      <c r="Q518" s="224">
        <v>100</v>
      </c>
    </row>
    <row r="519" spans="1:17" s="222" customFormat="1" ht="64.5" customHeight="1" x14ac:dyDescent="0.25">
      <c r="A519" s="584"/>
      <c r="B519" s="609"/>
      <c r="C519" s="416" t="s">
        <v>6</v>
      </c>
      <c r="D519" s="217"/>
      <c r="E519" s="223" t="s">
        <v>644</v>
      </c>
      <c r="F519" s="231">
        <v>237</v>
      </c>
      <c r="G519" s="231">
        <v>447</v>
      </c>
      <c r="H519" s="167">
        <f>352-352</f>
        <v>0</v>
      </c>
      <c r="I519" s="167">
        <v>468</v>
      </c>
      <c r="J519" s="167">
        <v>468</v>
      </c>
      <c r="K519" s="224" t="s">
        <v>643</v>
      </c>
      <c r="L519" s="224" t="s">
        <v>182</v>
      </c>
      <c r="M519" s="224">
        <v>100</v>
      </c>
      <c r="N519" s="224">
        <v>100</v>
      </c>
      <c r="O519" s="224">
        <v>100</v>
      </c>
      <c r="P519" s="224">
        <v>100</v>
      </c>
      <c r="Q519" s="224">
        <v>100</v>
      </c>
    </row>
    <row r="520" spans="1:17" s="222" customFormat="1" ht="220.5" x14ac:dyDescent="0.25">
      <c r="A520" s="584">
        <v>27</v>
      </c>
      <c r="B520" s="609">
        <v>5</v>
      </c>
      <c r="C520" s="416"/>
      <c r="D520" s="217"/>
      <c r="E520" s="232" t="s">
        <v>820</v>
      </c>
      <c r="F520" s="233">
        <v>2799.5</v>
      </c>
      <c r="G520" s="233">
        <v>3654.1000000000004</v>
      </c>
      <c r="H520" s="233">
        <f>H521+H522+H523+H524+H525</f>
        <v>0</v>
      </c>
      <c r="I520" s="233">
        <v>3654.1000000000004</v>
      </c>
      <c r="J520" s="233">
        <v>3654.1000000000004</v>
      </c>
      <c r="K520" s="224" t="s">
        <v>645</v>
      </c>
      <c r="L520" s="224" t="s">
        <v>182</v>
      </c>
      <c r="M520" s="224">
        <v>99</v>
      </c>
      <c r="N520" s="239">
        <v>99</v>
      </c>
      <c r="O520" s="224">
        <v>99</v>
      </c>
      <c r="P520" s="224">
        <v>99</v>
      </c>
      <c r="Q520" s="224">
        <v>99</v>
      </c>
    </row>
    <row r="521" spans="1:17" s="222" customFormat="1" ht="45" x14ac:dyDescent="0.25">
      <c r="A521" s="584"/>
      <c r="B521" s="609"/>
      <c r="C521" s="416" t="s">
        <v>6</v>
      </c>
      <c r="D521" s="217"/>
      <c r="E521" s="223" t="s">
        <v>646</v>
      </c>
      <c r="F521" s="231">
        <v>1008</v>
      </c>
      <c r="G521" s="230">
        <v>1180.8</v>
      </c>
      <c r="H521" s="167"/>
      <c r="I521" s="167">
        <v>1180.8</v>
      </c>
      <c r="J521" s="167">
        <v>1180.8</v>
      </c>
      <c r="K521" s="224" t="s">
        <v>645</v>
      </c>
      <c r="L521" s="224" t="s">
        <v>182</v>
      </c>
      <c r="M521" s="224">
        <v>99</v>
      </c>
      <c r="N521" s="224">
        <v>99</v>
      </c>
      <c r="O521" s="224">
        <v>99</v>
      </c>
      <c r="P521" s="237"/>
      <c r="Q521" s="237"/>
    </row>
    <row r="522" spans="1:17" s="222" customFormat="1" ht="75" x14ac:dyDescent="0.25">
      <c r="A522" s="584"/>
      <c r="B522" s="609"/>
      <c r="C522" s="416" t="s">
        <v>8</v>
      </c>
      <c r="D522" s="217"/>
      <c r="E522" s="223" t="s">
        <v>647</v>
      </c>
      <c r="F522" s="231">
        <v>840</v>
      </c>
      <c r="G522" s="231">
        <v>984</v>
      </c>
      <c r="H522" s="167">
        <f>885.3-885.3</f>
        <v>0</v>
      </c>
      <c r="I522" s="167">
        <v>984</v>
      </c>
      <c r="J522" s="167">
        <v>984</v>
      </c>
      <c r="K522" s="224" t="s">
        <v>648</v>
      </c>
      <c r="L522" s="224" t="s">
        <v>189</v>
      </c>
      <c r="M522" s="224">
        <v>2</v>
      </c>
      <c r="N522" s="224">
        <v>3</v>
      </c>
      <c r="O522" s="224">
        <v>4</v>
      </c>
      <c r="P522" s="224">
        <v>5</v>
      </c>
      <c r="Q522" s="224">
        <v>6</v>
      </c>
    </row>
    <row r="523" spans="1:17" s="222" customFormat="1" ht="60" x14ac:dyDescent="0.25">
      <c r="A523" s="584"/>
      <c r="B523" s="609"/>
      <c r="C523" s="416" t="s">
        <v>10</v>
      </c>
      <c r="D523" s="217"/>
      <c r="E523" s="223" t="s">
        <v>770</v>
      </c>
      <c r="F523" s="231">
        <v>714</v>
      </c>
      <c r="G523" s="230">
        <v>836.4</v>
      </c>
      <c r="H523" s="167"/>
      <c r="I523" s="167">
        <v>836.4</v>
      </c>
      <c r="J523" s="167">
        <v>836.4</v>
      </c>
      <c r="K523" s="224" t="s">
        <v>649</v>
      </c>
      <c r="L523" s="224" t="s">
        <v>189</v>
      </c>
      <c r="M523" s="224">
        <v>0</v>
      </c>
      <c r="N523" s="224">
        <v>1</v>
      </c>
      <c r="O523" s="224">
        <v>2</v>
      </c>
      <c r="P523" s="224">
        <v>3</v>
      </c>
      <c r="Q523" s="224">
        <v>4</v>
      </c>
    </row>
    <row r="524" spans="1:17" s="222" customFormat="1" ht="45" x14ac:dyDescent="0.25">
      <c r="A524" s="584"/>
      <c r="B524" s="609"/>
      <c r="C524" s="416" t="s">
        <v>12</v>
      </c>
      <c r="D524" s="217"/>
      <c r="E524" s="223" t="s">
        <v>650</v>
      </c>
      <c r="F524" s="231"/>
      <c r="G524" s="230">
        <v>183.9</v>
      </c>
      <c r="H524" s="167">
        <f>175.8-175.8</f>
        <v>0</v>
      </c>
      <c r="I524" s="167">
        <v>183.9</v>
      </c>
      <c r="J524" s="167">
        <v>183.9</v>
      </c>
      <c r="K524" s="225" t="s">
        <v>651</v>
      </c>
      <c r="L524" s="224" t="s">
        <v>189</v>
      </c>
      <c r="M524" s="224">
        <v>2</v>
      </c>
      <c r="N524" s="224">
        <v>2</v>
      </c>
      <c r="O524" s="224">
        <v>2</v>
      </c>
      <c r="P524" s="237"/>
      <c r="Q524" s="237"/>
    </row>
    <row r="525" spans="1:17" s="222" customFormat="1" ht="60" x14ac:dyDescent="0.25">
      <c r="A525" s="584"/>
      <c r="B525" s="609"/>
      <c r="C525" s="416" t="s">
        <v>14</v>
      </c>
      <c r="D525" s="217"/>
      <c r="E525" s="223" t="s">
        <v>652</v>
      </c>
      <c r="F525" s="231">
        <v>237.5</v>
      </c>
      <c r="G525" s="230">
        <v>469</v>
      </c>
      <c r="H525" s="167"/>
      <c r="I525" s="167">
        <v>469</v>
      </c>
      <c r="J525" s="167">
        <v>469</v>
      </c>
      <c r="K525" s="224" t="s">
        <v>653</v>
      </c>
      <c r="L525" s="224" t="s">
        <v>189</v>
      </c>
      <c r="M525" s="224">
        <v>20</v>
      </c>
      <c r="N525" s="224">
        <v>20</v>
      </c>
      <c r="O525" s="224">
        <v>20</v>
      </c>
      <c r="P525" s="224">
        <v>20</v>
      </c>
      <c r="Q525" s="224">
        <v>20</v>
      </c>
    </row>
    <row r="526" spans="1:17" s="142" customFormat="1" ht="22.5" customHeight="1" x14ac:dyDescent="0.25">
      <c r="A526" s="1821" t="s">
        <v>121</v>
      </c>
      <c r="B526" s="1822"/>
      <c r="C526" s="1822"/>
      <c r="D526" s="1822"/>
      <c r="E526" s="1822"/>
      <c r="F526" s="17">
        <v>4763.7</v>
      </c>
      <c r="G526" s="17">
        <v>7000.7000000000007</v>
      </c>
      <c r="H526" s="17">
        <f>H505+H508+H514+H518+H520</f>
        <v>1697.5</v>
      </c>
      <c r="I526" s="17">
        <v>7000.7000000000007</v>
      </c>
      <c r="J526" s="17">
        <v>7000.7000000000007</v>
      </c>
      <c r="K526" s="819"/>
      <c r="L526" s="873"/>
      <c r="M526" s="873"/>
      <c r="N526" s="873"/>
      <c r="O526" s="873"/>
      <c r="P526" s="873"/>
      <c r="Q526" s="873"/>
    </row>
    <row r="527" spans="1:17" x14ac:dyDescent="0.25">
      <c r="A527" s="1826" t="s">
        <v>122</v>
      </c>
      <c r="B527" s="1827"/>
      <c r="C527" s="1827"/>
      <c r="D527" s="1827"/>
      <c r="E527" s="2391"/>
      <c r="F527" s="1827"/>
      <c r="G527" s="1827"/>
      <c r="H527" s="1827"/>
      <c r="I527" s="1827"/>
      <c r="J527" s="1827"/>
      <c r="K527" s="1827"/>
      <c r="L527" s="1827"/>
      <c r="M527" s="1827"/>
      <c r="N527" s="1827"/>
      <c r="O527" s="1827"/>
      <c r="P527" s="1827"/>
      <c r="Q527" s="1828"/>
    </row>
    <row r="528" spans="1:17" s="129" customFormat="1" ht="62.25" customHeight="1" x14ac:dyDescent="0.25">
      <c r="A528" s="1882">
        <v>28</v>
      </c>
      <c r="B528" s="1815">
        <v>1</v>
      </c>
      <c r="C528" s="1884"/>
      <c r="D528" s="2512"/>
      <c r="E528" s="626" t="s">
        <v>664</v>
      </c>
      <c r="F528" s="2392">
        <v>52470.899999999994</v>
      </c>
      <c r="G528" s="2383">
        <v>57804.100000000006</v>
      </c>
      <c r="H528" s="2383">
        <f>H530+H531+H533+H540+H543+H545+H546</f>
        <v>72982.7</v>
      </c>
      <c r="I528" s="2383">
        <v>63005</v>
      </c>
      <c r="J528" s="2383">
        <v>65187.6</v>
      </c>
      <c r="K528" s="2383"/>
      <c r="L528" s="2383"/>
      <c r="M528" s="2383"/>
      <c r="N528" s="2383"/>
      <c r="O528" s="2383"/>
      <c r="P528" s="2383"/>
      <c r="Q528" s="2383"/>
    </row>
    <row r="529" spans="1:17" s="129" customFormat="1" ht="90" x14ac:dyDescent="0.25">
      <c r="A529" s="1883"/>
      <c r="B529" s="1817"/>
      <c r="C529" s="1885"/>
      <c r="D529" s="2513"/>
      <c r="E529" s="655" t="s">
        <v>771</v>
      </c>
      <c r="F529" s="2393"/>
      <c r="G529" s="2413"/>
      <c r="H529" s="2413"/>
      <c r="I529" s="2413"/>
      <c r="J529" s="2413"/>
      <c r="K529" s="2413"/>
      <c r="L529" s="2413"/>
      <c r="M529" s="2413"/>
      <c r="N529" s="2413"/>
      <c r="O529" s="2413"/>
      <c r="P529" s="2413"/>
      <c r="Q529" s="2413"/>
    </row>
    <row r="530" spans="1:17" s="129" customFormat="1" x14ac:dyDescent="0.25">
      <c r="A530" s="477"/>
      <c r="B530" s="486"/>
      <c r="C530" s="673" t="s">
        <v>6</v>
      </c>
      <c r="D530" s="658"/>
      <c r="E530" s="625" t="s">
        <v>7</v>
      </c>
      <c r="F530" s="672">
        <v>5300</v>
      </c>
      <c r="G530" s="672">
        <v>5463.1</v>
      </c>
      <c r="H530" s="672">
        <v>5463.1</v>
      </c>
      <c r="I530" s="672">
        <v>5463.1</v>
      </c>
      <c r="J530" s="672">
        <v>5463.1</v>
      </c>
      <c r="K530" s="675" t="s">
        <v>183</v>
      </c>
      <c r="L530" s="680" t="s">
        <v>184</v>
      </c>
      <c r="M530" s="680" t="s">
        <v>443</v>
      </c>
      <c r="N530" s="680" t="s">
        <v>444</v>
      </c>
      <c r="O530" s="680" t="s">
        <v>445</v>
      </c>
      <c r="P530" s="680" t="s">
        <v>445</v>
      </c>
      <c r="Q530" s="680" t="s">
        <v>445</v>
      </c>
    </row>
    <row r="531" spans="1:17" s="129" customFormat="1" x14ac:dyDescent="0.25">
      <c r="A531" s="678"/>
      <c r="B531" s="1809"/>
      <c r="C531" s="1884" t="s">
        <v>8</v>
      </c>
      <c r="D531" s="2415"/>
      <c r="E531" s="2462" t="s">
        <v>171</v>
      </c>
      <c r="F531" s="1909">
        <v>13306.5</v>
      </c>
      <c r="G531" s="1909">
        <v>13306.5</v>
      </c>
      <c r="H531" s="1909">
        <v>13306.5</v>
      </c>
      <c r="I531" s="1909">
        <v>13154.3</v>
      </c>
      <c r="J531" s="1909">
        <v>13025.7</v>
      </c>
      <c r="K531" s="317" t="s">
        <v>355</v>
      </c>
      <c r="L531" s="318" t="s">
        <v>182</v>
      </c>
      <c r="M531" s="318">
        <v>100</v>
      </c>
      <c r="N531" s="318">
        <v>100</v>
      </c>
      <c r="O531" s="318">
        <v>100</v>
      </c>
      <c r="P531" s="318">
        <v>100</v>
      </c>
      <c r="Q531" s="272">
        <v>100</v>
      </c>
    </row>
    <row r="532" spans="1:17" s="129" customFormat="1" ht="60" x14ac:dyDescent="0.25">
      <c r="A532" s="678"/>
      <c r="B532" s="1810"/>
      <c r="C532" s="1885"/>
      <c r="D532" s="2416"/>
      <c r="E532" s="2463"/>
      <c r="F532" s="1910"/>
      <c r="G532" s="1910"/>
      <c r="H532" s="1910"/>
      <c r="I532" s="1910"/>
      <c r="J532" s="1910"/>
      <c r="K532" s="317" t="s">
        <v>772</v>
      </c>
      <c r="L532" s="318" t="s">
        <v>182</v>
      </c>
      <c r="M532" s="318">
        <v>100</v>
      </c>
      <c r="N532" s="318">
        <v>100</v>
      </c>
      <c r="O532" s="318">
        <v>100</v>
      </c>
      <c r="P532" s="272">
        <v>100</v>
      </c>
      <c r="Q532" s="272">
        <v>100</v>
      </c>
    </row>
    <row r="533" spans="1:17" s="129" customFormat="1" x14ac:dyDescent="0.25">
      <c r="A533" s="678"/>
      <c r="B533" s="1809"/>
      <c r="C533" s="1884" t="s">
        <v>12</v>
      </c>
      <c r="D533" s="2415"/>
      <c r="E533" s="1985" t="s">
        <v>127</v>
      </c>
      <c r="F533" s="1909">
        <v>2100</v>
      </c>
      <c r="G533" s="1909">
        <v>2000</v>
      </c>
      <c r="H533" s="1909">
        <v>2000</v>
      </c>
      <c r="I533" s="1909">
        <v>2000</v>
      </c>
      <c r="J533" s="1909">
        <v>2000</v>
      </c>
      <c r="K533" s="284" t="s">
        <v>361</v>
      </c>
      <c r="L533" s="93" t="s">
        <v>182</v>
      </c>
      <c r="M533" s="261">
        <v>100</v>
      </c>
      <c r="N533" s="261">
        <v>100</v>
      </c>
      <c r="O533" s="261">
        <v>100</v>
      </c>
      <c r="P533" s="261">
        <v>100</v>
      </c>
      <c r="Q533" s="249">
        <v>100</v>
      </c>
    </row>
    <row r="534" spans="1:17" s="129" customFormat="1" ht="30" x14ac:dyDescent="0.25">
      <c r="A534" s="678"/>
      <c r="B534" s="1811"/>
      <c r="C534" s="2016"/>
      <c r="D534" s="2465"/>
      <c r="E534" s="1986"/>
      <c r="F534" s="2355"/>
      <c r="G534" s="2355"/>
      <c r="H534" s="2355"/>
      <c r="I534" s="2355"/>
      <c r="J534" s="2355"/>
      <c r="K534" s="284" t="s">
        <v>362</v>
      </c>
      <c r="L534" s="94" t="s">
        <v>182</v>
      </c>
      <c r="M534" s="318">
        <v>80</v>
      </c>
      <c r="N534" s="318">
        <v>80</v>
      </c>
      <c r="O534" s="318">
        <v>80</v>
      </c>
      <c r="P534" s="318">
        <v>80</v>
      </c>
      <c r="Q534" s="272">
        <v>80</v>
      </c>
    </row>
    <row r="535" spans="1:17" s="129" customFormat="1" ht="30" x14ac:dyDescent="0.25">
      <c r="A535" s="678"/>
      <c r="B535" s="1811"/>
      <c r="C535" s="2016"/>
      <c r="D535" s="2465"/>
      <c r="E535" s="1986"/>
      <c r="F535" s="2355"/>
      <c r="G535" s="2355"/>
      <c r="H535" s="2355"/>
      <c r="I535" s="2355"/>
      <c r="J535" s="2355"/>
      <c r="K535" s="284" t="s">
        <v>363</v>
      </c>
      <c r="L535" s="95" t="s">
        <v>182</v>
      </c>
      <c r="M535" s="315">
        <v>100</v>
      </c>
      <c r="N535" s="315">
        <v>100</v>
      </c>
      <c r="O535" s="315">
        <v>100</v>
      </c>
      <c r="P535" s="315">
        <v>100</v>
      </c>
      <c r="Q535" s="321">
        <v>100</v>
      </c>
    </row>
    <row r="536" spans="1:17" s="129" customFormat="1" ht="30" x14ac:dyDescent="0.25">
      <c r="A536" s="678"/>
      <c r="B536" s="1811"/>
      <c r="C536" s="2016"/>
      <c r="D536" s="2465"/>
      <c r="E536" s="1986"/>
      <c r="F536" s="2355"/>
      <c r="G536" s="2355"/>
      <c r="H536" s="2355"/>
      <c r="I536" s="2355"/>
      <c r="J536" s="2355"/>
      <c r="K536" s="284" t="s">
        <v>2851</v>
      </c>
      <c r="L536" s="95" t="s">
        <v>182</v>
      </c>
      <c r="M536" s="315">
        <v>100</v>
      </c>
      <c r="N536" s="315">
        <v>100</v>
      </c>
      <c r="O536" s="315">
        <v>100</v>
      </c>
      <c r="P536" s="315">
        <v>100</v>
      </c>
      <c r="Q536" s="321">
        <v>100</v>
      </c>
    </row>
    <row r="537" spans="1:17" s="129" customFormat="1" ht="30" x14ac:dyDescent="0.25">
      <c r="A537" s="678"/>
      <c r="B537" s="1811"/>
      <c r="C537" s="2016"/>
      <c r="D537" s="2465"/>
      <c r="E537" s="1986"/>
      <c r="F537" s="2355"/>
      <c r="G537" s="2355"/>
      <c r="H537" s="2355"/>
      <c r="I537" s="2355"/>
      <c r="J537" s="2355"/>
      <c r="K537" s="284" t="s">
        <v>364</v>
      </c>
      <c r="L537" s="95" t="s">
        <v>182</v>
      </c>
      <c r="M537" s="315">
        <v>100</v>
      </c>
      <c r="N537" s="315">
        <v>100</v>
      </c>
      <c r="O537" s="315">
        <v>100</v>
      </c>
      <c r="P537" s="315">
        <v>100</v>
      </c>
      <c r="Q537" s="321">
        <v>100</v>
      </c>
    </row>
    <row r="538" spans="1:17" s="129" customFormat="1" ht="30" x14ac:dyDescent="0.25">
      <c r="A538" s="678"/>
      <c r="B538" s="1811"/>
      <c r="C538" s="2016"/>
      <c r="D538" s="2465"/>
      <c r="E538" s="1986"/>
      <c r="F538" s="2355"/>
      <c r="G538" s="2355"/>
      <c r="H538" s="2355"/>
      <c r="I538" s="2355"/>
      <c r="J538" s="2355"/>
      <c r="K538" s="284" t="s">
        <v>774</v>
      </c>
      <c r="L538" s="95" t="s">
        <v>182</v>
      </c>
      <c r="M538" s="315">
        <v>100</v>
      </c>
      <c r="N538" s="315">
        <v>100</v>
      </c>
      <c r="O538" s="315">
        <v>100</v>
      </c>
      <c r="P538" s="315">
        <v>100</v>
      </c>
      <c r="Q538" s="321">
        <v>100</v>
      </c>
    </row>
    <row r="539" spans="1:17" s="129" customFormat="1" ht="60" x14ac:dyDescent="0.25">
      <c r="A539" s="678"/>
      <c r="B539" s="1810"/>
      <c r="C539" s="2016"/>
      <c r="D539" s="2465"/>
      <c r="E539" s="1986"/>
      <c r="F539" s="2355"/>
      <c r="G539" s="2355"/>
      <c r="H539" s="2355"/>
      <c r="I539" s="2355"/>
      <c r="J539" s="2355"/>
      <c r="K539" s="284" t="s">
        <v>365</v>
      </c>
      <c r="L539" s="318" t="s">
        <v>182</v>
      </c>
      <c r="M539" s="318">
        <v>100</v>
      </c>
      <c r="N539" s="318">
        <v>100</v>
      </c>
      <c r="O539" s="318">
        <v>100</v>
      </c>
      <c r="P539" s="318">
        <v>100</v>
      </c>
      <c r="Q539" s="272">
        <v>100</v>
      </c>
    </row>
    <row r="540" spans="1:17" s="129" customFormat="1" ht="30" x14ac:dyDescent="0.25">
      <c r="A540" s="678"/>
      <c r="B540" s="1809"/>
      <c r="C540" s="1884" t="s">
        <v>14</v>
      </c>
      <c r="D540" s="2415"/>
      <c r="E540" s="1985" t="s">
        <v>42</v>
      </c>
      <c r="F540" s="1909">
        <v>1000</v>
      </c>
      <c r="G540" s="1909">
        <v>1100</v>
      </c>
      <c r="H540" s="1909">
        <v>1012.3</v>
      </c>
      <c r="I540" s="1909">
        <v>1100</v>
      </c>
      <c r="J540" s="1909">
        <v>1100</v>
      </c>
      <c r="K540" s="317" t="s">
        <v>773</v>
      </c>
      <c r="L540" s="318" t="s">
        <v>189</v>
      </c>
      <c r="M540" s="318">
        <v>3720</v>
      </c>
      <c r="N540" s="318">
        <v>3700</v>
      </c>
      <c r="O540" s="318">
        <v>3700</v>
      </c>
      <c r="P540" s="318">
        <v>3700</v>
      </c>
      <c r="Q540" s="272">
        <v>3700</v>
      </c>
    </row>
    <row r="541" spans="1:17" s="129" customFormat="1" x14ac:dyDescent="0.25">
      <c r="A541" s="678"/>
      <c r="B541" s="1811"/>
      <c r="C541" s="2016"/>
      <c r="D541" s="2465"/>
      <c r="E541" s="1986"/>
      <c r="F541" s="2355"/>
      <c r="G541" s="2355"/>
      <c r="H541" s="2355"/>
      <c r="I541" s="2355"/>
      <c r="J541" s="2355"/>
      <c r="K541" s="317" t="s">
        <v>359</v>
      </c>
      <c r="L541" s="318" t="s">
        <v>189</v>
      </c>
      <c r="M541" s="318">
        <v>2</v>
      </c>
      <c r="N541" s="318">
        <v>1</v>
      </c>
      <c r="O541" s="318">
        <v>1</v>
      </c>
      <c r="P541" s="272">
        <v>1</v>
      </c>
      <c r="Q541" s="272">
        <v>1</v>
      </c>
    </row>
    <row r="542" spans="1:17" s="129" customFormat="1" x14ac:dyDescent="0.25">
      <c r="A542" s="678"/>
      <c r="B542" s="1810"/>
      <c r="C542" s="1885"/>
      <c r="D542" s="2416"/>
      <c r="E542" s="1987"/>
      <c r="F542" s="2355"/>
      <c r="G542" s="2355"/>
      <c r="H542" s="2355"/>
      <c r="I542" s="2355"/>
      <c r="J542" s="2355"/>
      <c r="K542" s="317" t="s">
        <v>360</v>
      </c>
      <c r="L542" s="318" t="s">
        <v>189</v>
      </c>
      <c r="M542" s="318">
        <v>4</v>
      </c>
      <c r="N542" s="318">
        <v>4</v>
      </c>
      <c r="O542" s="318">
        <v>4</v>
      </c>
      <c r="P542" s="318">
        <v>4</v>
      </c>
      <c r="Q542" s="272">
        <v>4</v>
      </c>
    </row>
    <row r="543" spans="1:17" s="129" customFormat="1" ht="30" x14ac:dyDescent="0.25">
      <c r="A543" s="678"/>
      <c r="B543" s="1809"/>
      <c r="C543" s="1884" t="s">
        <v>16</v>
      </c>
      <c r="D543" s="2415"/>
      <c r="E543" s="2020" t="s">
        <v>17</v>
      </c>
      <c r="F543" s="1909">
        <v>29198.799999999999</v>
      </c>
      <c r="G543" s="1909">
        <v>34368.9</v>
      </c>
      <c r="H543" s="1909">
        <v>49635.199999999997</v>
      </c>
      <c r="I543" s="1909">
        <v>39722</v>
      </c>
      <c r="J543" s="1909">
        <v>42033.2</v>
      </c>
      <c r="K543" s="317" t="s">
        <v>357</v>
      </c>
      <c r="L543" s="318" t="s">
        <v>182</v>
      </c>
      <c r="M543" s="318">
        <v>100</v>
      </c>
      <c r="N543" s="318">
        <v>100</v>
      </c>
      <c r="O543" s="318">
        <v>100</v>
      </c>
      <c r="P543" s="272">
        <v>100</v>
      </c>
      <c r="Q543" s="272">
        <v>100</v>
      </c>
    </row>
    <row r="544" spans="1:17" s="129" customFormat="1" ht="75" x14ac:dyDescent="0.25">
      <c r="A544" s="678"/>
      <c r="B544" s="1810"/>
      <c r="C544" s="1885"/>
      <c r="D544" s="2416"/>
      <c r="E544" s="2022"/>
      <c r="F544" s="1910"/>
      <c r="G544" s="1910"/>
      <c r="H544" s="1910"/>
      <c r="I544" s="1910"/>
      <c r="J544" s="1910"/>
      <c r="K544" s="317" t="s">
        <v>358</v>
      </c>
      <c r="L544" s="272" t="s">
        <v>182</v>
      </c>
      <c r="M544" s="272">
        <v>100</v>
      </c>
      <c r="N544" s="272">
        <v>100</v>
      </c>
      <c r="O544" s="272">
        <v>100</v>
      </c>
      <c r="P544" s="272">
        <v>100</v>
      </c>
      <c r="Q544" s="272">
        <v>100</v>
      </c>
    </row>
    <row r="545" spans="1:17" s="129" customFormat="1" ht="45" x14ac:dyDescent="0.25">
      <c r="A545" s="557"/>
      <c r="B545" s="480"/>
      <c r="C545" s="423" t="s">
        <v>658</v>
      </c>
      <c r="D545" s="358"/>
      <c r="E545" s="471" t="s">
        <v>821</v>
      </c>
      <c r="F545" s="310">
        <v>565.6</v>
      </c>
      <c r="G545" s="310">
        <v>565.6</v>
      </c>
      <c r="H545" s="310">
        <v>565.6</v>
      </c>
      <c r="I545" s="310">
        <v>565.6</v>
      </c>
      <c r="J545" s="310">
        <v>565.6</v>
      </c>
      <c r="K545" s="317" t="s">
        <v>349</v>
      </c>
      <c r="L545" s="318" t="s">
        <v>182</v>
      </c>
      <c r="M545" s="272">
        <v>0</v>
      </c>
      <c r="N545" s="272">
        <v>64</v>
      </c>
      <c r="O545" s="272">
        <v>36</v>
      </c>
      <c r="P545" s="272" t="s">
        <v>311</v>
      </c>
      <c r="Q545" s="272" t="s">
        <v>311</v>
      </c>
    </row>
    <row r="546" spans="1:17" s="129" customFormat="1" ht="30" x14ac:dyDescent="0.25">
      <c r="A546" s="585"/>
      <c r="B546" s="498"/>
      <c r="C546" s="421" t="s">
        <v>883</v>
      </c>
      <c r="D546" s="342"/>
      <c r="E546" s="451" t="s">
        <v>126</v>
      </c>
      <c r="F546" s="308">
        <v>1000</v>
      </c>
      <c r="G546" s="308">
        <v>1000</v>
      </c>
      <c r="H546" s="308">
        <v>1000</v>
      </c>
      <c r="I546" s="308">
        <v>1000</v>
      </c>
      <c r="J546" s="308">
        <v>1000</v>
      </c>
      <c r="K546" s="317" t="s">
        <v>356</v>
      </c>
      <c r="L546" s="318" t="s">
        <v>182</v>
      </c>
      <c r="M546" s="33">
        <v>0.5</v>
      </c>
      <c r="N546" s="33">
        <v>0.5</v>
      </c>
      <c r="O546" s="33">
        <v>0.5</v>
      </c>
      <c r="P546" s="33">
        <v>0.5</v>
      </c>
      <c r="Q546" s="45">
        <v>0.5</v>
      </c>
    </row>
    <row r="547" spans="1:17" s="129" customFormat="1" ht="47.25" customHeight="1" x14ac:dyDescent="0.25">
      <c r="A547" s="1882">
        <v>28</v>
      </c>
      <c r="B547" s="1815">
        <v>2</v>
      </c>
      <c r="C547" s="1884"/>
      <c r="D547" s="2386"/>
      <c r="E547" s="626" t="s">
        <v>2852</v>
      </c>
      <c r="F547" s="2392">
        <v>31048.2</v>
      </c>
      <c r="G547" s="2383">
        <v>33385.699999999997</v>
      </c>
      <c r="H547" s="2383">
        <f>H549+H550+H551+H552+H553+H554+H555+H556</f>
        <v>30855.5</v>
      </c>
      <c r="I547" s="2383">
        <v>33473.9</v>
      </c>
      <c r="J547" s="2383">
        <v>33562.5</v>
      </c>
      <c r="K547" s="2383"/>
      <c r="L547" s="2383"/>
      <c r="M547" s="2383"/>
      <c r="N547" s="2383"/>
      <c r="O547" s="2383"/>
      <c r="P547" s="2383"/>
      <c r="Q547" s="2383"/>
    </row>
    <row r="548" spans="1:17" s="129" customFormat="1" ht="78.75" customHeight="1" x14ac:dyDescent="0.25">
      <c r="A548" s="1883"/>
      <c r="B548" s="1817"/>
      <c r="C548" s="1885"/>
      <c r="D548" s="2387"/>
      <c r="E548" s="655" t="s">
        <v>2853</v>
      </c>
      <c r="F548" s="2393"/>
      <c r="G548" s="2413"/>
      <c r="H548" s="2413"/>
      <c r="I548" s="2413"/>
      <c r="J548" s="2413"/>
      <c r="K548" s="2413"/>
      <c r="L548" s="2413"/>
      <c r="M548" s="2413"/>
      <c r="N548" s="2413"/>
      <c r="O548" s="2413"/>
      <c r="P548" s="2413"/>
      <c r="Q548" s="2413"/>
    </row>
    <row r="549" spans="1:17" s="129" customFormat="1" ht="60" x14ac:dyDescent="0.25">
      <c r="A549" s="585"/>
      <c r="B549" s="610"/>
      <c r="C549" s="206" t="s">
        <v>6</v>
      </c>
      <c r="D549" s="96"/>
      <c r="E549" s="543" t="s">
        <v>822</v>
      </c>
      <c r="F549" s="310">
        <v>4000</v>
      </c>
      <c r="G549" s="310">
        <v>4000</v>
      </c>
      <c r="H549" s="310">
        <v>4000</v>
      </c>
      <c r="I549" s="310">
        <v>4000</v>
      </c>
      <c r="J549" s="310">
        <v>4000</v>
      </c>
      <c r="K549" s="92" t="s">
        <v>314</v>
      </c>
      <c r="L549" s="284" t="s">
        <v>189</v>
      </c>
      <c r="M549" s="284">
        <v>14</v>
      </c>
      <c r="N549" s="284">
        <v>14</v>
      </c>
      <c r="O549" s="284">
        <v>14</v>
      </c>
      <c r="P549" s="284">
        <v>14</v>
      </c>
      <c r="Q549" s="284">
        <v>14</v>
      </c>
    </row>
    <row r="550" spans="1:17" s="129" customFormat="1" ht="45" x14ac:dyDescent="0.25">
      <c r="A550" s="585"/>
      <c r="B550" s="610"/>
      <c r="C550" s="206" t="s">
        <v>8</v>
      </c>
      <c r="D550" s="96"/>
      <c r="E550" s="92" t="s">
        <v>823</v>
      </c>
      <c r="F550" s="310">
        <v>3800</v>
      </c>
      <c r="G550" s="310">
        <v>3800</v>
      </c>
      <c r="H550" s="310">
        <f>3800</f>
        <v>3800</v>
      </c>
      <c r="I550" s="310">
        <v>3800</v>
      </c>
      <c r="J550" s="310">
        <v>3800</v>
      </c>
      <c r="K550" s="92" t="s">
        <v>446</v>
      </c>
      <c r="L550" s="284" t="s">
        <v>189</v>
      </c>
      <c r="M550" s="284">
        <v>6</v>
      </c>
      <c r="N550" s="284">
        <v>6</v>
      </c>
      <c r="O550" s="284">
        <v>6</v>
      </c>
      <c r="P550" s="284">
        <v>6</v>
      </c>
      <c r="Q550" s="284">
        <v>6</v>
      </c>
    </row>
    <row r="551" spans="1:17" s="129" customFormat="1" ht="60" x14ac:dyDescent="0.25">
      <c r="A551" s="585"/>
      <c r="B551" s="610"/>
      <c r="C551" s="206" t="s">
        <v>10</v>
      </c>
      <c r="D551" s="96"/>
      <c r="E551" s="92" t="s">
        <v>824</v>
      </c>
      <c r="F551" s="310">
        <v>2300</v>
      </c>
      <c r="G551" s="310">
        <v>2350</v>
      </c>
      <c r="H551" s="310">
        <v>2350</v>
      </c>
      <c r="I551" s="310">
        <v>2350</v>
      </c>
      <c r="J551" s="310">
        <v>2350</v>
      </c>
      <c r="K551" s="92" t="s">
        <v>315</v>
      </c>
      <c r="L551" s="284" t="s">
        <v>316</v>
      </c>
      <c r="M551" s="284">
        <v>3</v>
      </c>
      <c r="N551" s="284">
        <v>3</v>
      </c>
      <c r="O551" s="284">
        <v>3</v>
      </c>
      <c r="P551" s="284">
        <v>3</v>
      </c>
      <c r="Q551" s="284">
        <v>3</v>
      </c>
    </row>
    <row r="552" spans="1:17" s="129" customFormat="1" ht="45" x14ac:dyDescent="0.25">
      <c r="A552" s="585"/>
      <c r="B552" s="610"/>
      <c r="C552" s="206" t="s">
        <v>12</v>
      </c>
      <c r="D552" s="96"/>
      <c r="E552" s="92" t="s">
        <v>825</v>
      </c>
      <c r="F552" s="310">
        <v>2200.4</v>
      </c>
      <c r="G552" s="310">
        <v>2300</v>
      </c>
      <c r="H552" s="310">
        <v>1320</v>
      </c>
      <c r="I552" s="310">
        <v>2300</v>
      </c>
      <c r="J552" s="310">
        <v>2300</v>
      </c>
      <c r="K552" s="92" t="s">
        <v>317</v>
      </c>
      <c r="L552" s="284" t="s">
        <v>189</v>
      </c>
      <c r="M552" s="284" t="s">
        <v>447</v>
      </c>
      <c r="N552" s="284" t="s">
        <v>318</v>
      </c>
      <c r="O552" s="284" t="s">
        <v>318</v>
      </c>
      <c r="P552" s="284" t="s">
        <v>318</v>
      </c>
      <c r="Q552" s="284" t="s">
        <v>447</v>
      </c>
    </row>
    <row r="553" spans="1:17" s="129" customFormat="1" ht="60" x14ac:dyDescent="0.25">
      <c r="A553" s="585"/>
      <c r="B553" s="610"/>
      <c r="C553" s="206" t="s">
        <v>14</v>
      </c>
      <c r="D553" s="96"/>
      <c r="E553" s="92" t="s">
        <v>826</v>
      </c>
      <c r="F553" s="310">
        <v>4412.1000000000004</v>
      </c>
      <c r="G553" s="310">
        <v>4500</v>
      </c>
      <c r="H553" s="310">
        <v>4500</v>
      </c>
      <c r="I553" s="310">
        <v>4500</v>
      </c>
      <c r="J553" s="310">
        <v>4500</v>
      </c>
      <c r="K553" s="92" t="s">
        <v>319</v>
      </c>
      <c r="L553" s="284" t="s">
        <v>189</v>
      </c>
      <c r="M553" s="284">
        <v>4</v>
      </c>
      <c r="N553" s="284">
        <v>4</v>
      </c>
      <c r="O553" s="284">
        <v>4</v>
      </c>
      <c r="P553" s="284">
        <v>4</v>
      </c>
      <c r="Q553" s="284">
        <v>4</v>
      </c>
    </row>
    <row r="554" spans="1:17" s="129" customFormat="1" ht="45" x14ac:dyDescent="0.25">
      <c r="A554" s="586"/>
      <c r="B554" s="611"/>
      <c r="C554" s="206" t="s">
        <v>16</v>
      </c>
      <c r="D554" s="96"/>
      <c r="E554" s="92" t="s">
        <v>827</v>
      </c>
      <c r="F554" s="310">
        <v>4300</v>
      </c>
      <c r="G554" s="310">
        <v>6400</v>
      </c>
      <c r="H554" s="310">
        <v>6401</v>
      </c>
      <c r="I554" s="310">
        <v>6402</v>
      </c>
      <c r="J554" s="310">
        <v>6403</v>
      </c>
      <c r="K554" s="92" t="s">
        <v>320</v>
      </c>
      <c r="L554" s="284" t="s">
        <v>189</v>
      </c>
      <c r="M554" s="284">
        <v>2</v>
      </c>
      <c r="N554" s="284">
        <v>1</v>
      </c>
      <c r="O554" s="284">
        <v>1</v>
      </c>
      <c r="P554" s="284">
        <v>1</v>
      </c>
      <c r="Q554" s="284">
        <v>1</v>
      </c>
    </row>
    <row r="555" spans="1:17" s="129" customFormat="1" ht="45" x14ac:dyDescent="0.25">
      <c r="A555" s="585"/>
      <c r="B555" s="610"/>
      <c r="C555" s="206" t="s">
        <v>48</v>
      </c>
      <c r="D555" s="96"/>
      <c r="E555" s="92" t="s">
        <v>828</v>
      </c>
      <c r="F555" s="310">
        <v>6535.7</v>
      </c>
      <c r="G555" s="310">
        <v>6535.7</v>
      </c>
      <c r="H555" s="310">
        <v>6259.9</v>
      </c>
      <c r="I555" s="310">
        <v>6621.9</v>
      </c>
      <c r="J555" s="310">
        <v>6709.5</v>
      </c>
      <c r="K555" s="92" t="s">
        <v>323</v>
      </c>
      <c r="L555" s="284" t="s">
        <v>189</v>
      </c>
      <c r="M555" s="284" t="s">
        <v>311</v>
      </c>
      <c r="N555" s="284">
        <v>9</v>
      </c>
      <c r="O555" s="284">
        <v>9</v>
      </c>
      <c r="P555" s="284">
        <v>11</v>
      </c>
      <c r="Q555" s="284">
        <v>15</v>
      </c>
    </row>
    <row r="556" spans="1:17" s="129" customFormat="1" ht="45" x14ac:dyDescent="0.25">
      <c r="A556" s="587"/>
      <c r="B556" s="612"/>
      <c r="C556" s="206" t="s">
        <v>49</v>
      </c>
      <c r="D556" s="96"/>
      <c r="E556" s="627" t="s">
        <v>829</v>
      </c>
      <c r="F556" s="310">
        <v>3500</v>
      </c>
      <c r="G556" s="310">
        <v>3500</v>
      </c>
      <c r="H556" s="310">
        <v>2224.6</v>
      </c>
      <c r="I556" s="310">
        <v>3500</v>
      </c>
      <c r="J556" s="310">
        <v>3500</v>
      </c>
      <c r="K556" s="92" t="s">
        <v>2854</v>
      </c>
      <c r="L556" s="284" t="s">
        <v>189</v>
      </c>
      <c r="M556" s="284">
        <v>0</v>
      </c>
      <c r="N556" s="284">
        <v>1</v>
      </c>
      <c r="O556" s="284">
        <v>1</v>
      </c>
      <c r="P556" s="284">
        <v>1</v>
      </c>
      <c r="Q556" s="284">
        <v>1</v>
      </c>
    </row>
    <row r="557" spans="1:17" s="129" customFormat="1" ht="42.75" x14ac:dyDescent="0.25">
      <c r="A557" s="1882">
        <v>28</v>
      </c>
      <c r="B557" s="1815">
        <v>3</v>
      </c>
      <c r="C557" s="1884"/>
      <c r="D557" s="2386"/>
      <c r="E557" s="626" t="s">
        <v>665</v>
      </c>
      <c r="F557" s="2414">
        <v>61923.5</v>
      </c>
      <c r="G557" s="1895">
        <v>57154.799999999996</v>
      </c>
      <c r="H557" s="1895">
        <f>H559+H562+H563+H569+H573+H575+H577+H578+H579+H580</f>
        <v>59417.299999999996</v>
      </c>
      <c r="I557" s="1895">
        <v>57515.5</v>
      </c>
      <c r="J557" s="1895">
        <v>57881.1</v>
      </c>
      <c r="K557" s="1895"/>
      <c r="L557" s="1895"/>
      <c r="M557" s="1895"/>
      <c r="N557" s="1895"/>
      <c r="O557" s="1895"/>
      <c r="P557" s="1895"/>
      <c r="Q557" s="1895"/>
    </row>
    <row r="558" spans="1:17" s="129" customFormat="1" ht="120" x14ac:dyDescent="0.25">
      <c r="A558" s="1883"/>
      <c r="B558" s="1817"/>
      <c r="C558" s="1885"/>
      <c r="D558" s="2387"/>
      <c r="E558" s="655" t="s">
        <v>775</v>
      </c>
      <c r="F558" s="2414"/>
      <c r="G558" s="1895"/>
      <c r="H558" s="1895"/>
      <c r="I558" s="1895"/>
      <c r="J558" s="1895"/>
      <c r="K558" s="1895"/>
      <c r="L558" s="1895"/>
      <c r="M558" s="1895"/>
      <c r="N558" s="1895"/>
      <c r="O558" s="1895"/>
      <c r="P558" s="1895"/>
      <c r="Q558" s="1895"/>
    </row>
    <row r="559" spans="1:17" s="129" customFormat="1" x14ac:dyDescent="0.25">
      <c r="A559" s="2405"/>
      <c r="B559" s="1809"/>
      <c r="C559" s="2427" t="s">
        <v>6</v>
      </c>
      <c r="D559" s="2409"/>
      <c r="E559" s="2021" t="s">
        <v>830</v>
      </c>
      <c r="F559" s="1909">
        <v>3550.1</v>
      </c>
      <c r="G559" s="1909">
        <v>4600</v>
      </c>
      <c r="H559" s="1909">
        <f>5639</f>
        <v>5639</v>
      </c>
      <c r="I559" s="1909">
        <v>4600</v>
      </c>
      <c r="J559" s="1909">
        <v>4600</v>
      </c>
      <c r="K559" s="540" t="s">
        <v>324</v>
      </c>
      <c r="L559" s="518" t="s">
        <v>325</v>
      </c>
      <c r="M559" s="518">
        <v>617</v>
      </c>
      <c r="N559" s="523">
        <v>650</v>
      </c>
      <c r="O559" s="523">
        <v>750</v>
      </c>
      <c r="P559" s="523">
        <v>850</v>
      </c>
      <c r="Q559" s="523">
        <v>950</v>
      </c>
    </row>
    <row r="560" spans="1:17" s="129" customFormat="1" ht="45" x14ac:dyDescent="0.25">
      <c r="A560" s="2406"/>
      <c r="B560" s="1811"/>
      <c r="C560" s="2084"/>
      <c r="D560" s="2581"/>
      <c r="E560" s="2021"/>
      <c r="F560" s="2355"/>
      <c r="G560" s="2355"/>
      <c r="H560" s="2355"/>
      <c r="I560" s="2355"/>
      <c r="J560" s="2355"/>
      <c r="K560" s="178" t="s">
        <v>448</v>
      </c>
      <c r="L560" s="318" t="s">
        <v>189</v>
      </c>
      <c r="M560" s="48">
        <v>5</v>
      </c>
      <c r="N560" s="48">
        <v>3</v>
      </c>
      <c r="O560" s="48">
        <v>5</v>
      </c>
      <c r="P560" s="272">
        <v>5</v>
      </c>
      <c r="Q560" s="272">
        <v>6</v>
      </c>
    </row>
    <row r="561" spans="1:17" s="129" customFormat="1" x14ac:dyDescent="0.25">
      <c r="A561" s="2407"/>
      <c r="B561" s="1810"/>
      <c r="C561" s="1832"/>
      <c r="D561" s="2410"/>
      <c r="E561" s="2022"/>
      <c r="F561" s="1910"/>
      <c r="G561" s="1910"/>
      <c r="H561" s="1910"/>
      <c r="I561" s="1910"/>
      <c r="J561" s="1910"/>
      <c r="K561" s="178" t="s">
        <v>326</v>
      </c>
      <c r="L561" s="318" t="s">
        <v>189</v>
      </c>
      <c r="M561" s="48">
        <v>10</v>
      </c>
      <c r="N561" s="48">
        <v>5</v>
      </c>
      <c r="O561" s="48">
        <v>8</v>
      </c>
      <c r="P561" s="48">
        <v>8</v>
      </c>
      <c r="Q561" s="272">
        <v>10</v>
      </c>
    </row>
    <row r="562" spans="1:17" s="129" customFormat="1" ht="45" x14ac:dyDescent="0.25">
      <c r="A562" s="585"/>
      <c r="B562" s="610"/>
      <c r="C562" s="206" t="s">
        <v>8</v>
      </c>
      <c r="D562" s="96"/>
      <c r="E562" s="92" t="s">
        <v>831</v>
      </c>
      <c r="F562" s="97">
        <v>5300</v>
      </c>
      <c r="G562" s="308">
        <v>4500</v>
      </c>
      <c r="H562" s="308">
        <v>4500</v>
      </c>
      <c r="I562" s="308">
        <v>4500</v>
      </c>
      <c r="J562" s="308">
        <v>4500</v>
      </c>
      <c r="K562" s="178" t="s">
        <v>327</v>
      </c>
      <c r="L562" s="318" t="s">
        <v>189</v>
      </c>
      <c r="M562" s="272">
        <v>1</v>
      </c>
      <c r="N562" s="272">
        <v>1</v>
      </c>
      <c r="O562" s="272">
        <v>1</v>
      </c>
      <c r="P562" s="272">
        <v>1</v>
      </c>
      <c r="Q562" s="272">
        <v>1</v>
      </c>
    </row>
    <row r="563" spans="1:17" s="129" customFormat="1" ht="45" x14ac:dyDescent="0.25">
      <c r="A563" s="585"/>
      <c r="B563" s="610"/>
      <c r="C563" s="206" t="s">
        <v>10</v>
      </c>
      <c r="D563" s="96"/>
      <c r="E563" s="92" t="s">
        <v>832</v>
      </c>
      <c r="F563" s="308">
        <v>3651.3</v>
      </c>
      <c r="G563" s="2355">
        <v>3187.9</v>
      </c>
      <c r="H563" s="2355">
        <v>3188.9</v>
      </c>
      <c r="I563" s="2355">
        <v>3188.9</v>
      </c>
      <c r="J563" s="2355">
        <v>3188.9</v>
      </c>
      <c r="K563" s="178" t="s">
        <v>449</v>
      </c>
      <c r="L563" s="318" t="s">
        <v>422</v>
      </c>
      <c r="M563" s="272">
        <v>77</v>
      </c>
      <c r="N563" s="272">
        <v>74</v>
      </c>
      <c r="O563" s="272">
        <v>71</v>
      </c>
      <c r="P563" s="272">
        <v>68</v>
      </c>
      <c r="Q563" s="272">
        <v>65</v>
      </c>
    </row>
    <row r="564" spans="1:17" s="129" customFormat="1" ht="45" x14ac:dyDescent="0.25">
      <c r="A564" s="588"/>
      <c r="B564" s="613"/>
      <c r="C564" s="206" t="s">
        <v>12</v>
      </c>
      <c r="D564" s="96"/>
      <c r="E564" s="92" t="s">
        <v>833</v>
      </c>
      <c r="F564" s="1909">
        <v>3450</v>
      </c>
      <c r="G564" s="2355"/>
      <c r="H564" s="2355"/>
      <c r="I564" s="2355"/>
      <c r="J564" s="2355"/>
      <c r="K564" s="178" t="s">
        <v>328</v>
      </c>
      <c r="L564" s="318" t="s">
        <v>189</v>
      </c>
      <c r="M564" s="272">
        <v>2</v>
      </c>
      <c r="N564" s="272">
        <v>2</v>
      </c>
      <c r="O564" s="272">
        <v>2</v>
      </c>
      <c r="P564" s="272">
        <v>2</v>
      </c>
      <c r="Q564" s="272">
        <v>2</v>
      </c>
    </row>
    <row r="565" spans="1:17" s="129" customFormat="1" ht="30" x14ac:dyDescent="0.25">
      <c r="A565" s="585"/>
      <c r="B565" s="610"/>
      <c r="C565" s="206" t="s">
        <v>14</v>
      </c>
      <c r="D565" s="96"/>
      <c r="E565" s="92" t="s">
        <v>834</v>
      </c>
      <c r="F565" s="2355"/>
      <c r="G565" s="2355"/>
      <c r="H565" s="2355"/>
      <c r="I565" s="2355"/>
      <c r="J565" s="2355"/>
      <c r="K565" s="178" t="s">
        <v>329</v>
      </c>
      <c r="L565" s="318" t="s">
        <v>270</v>
      </c>
      <c r="M565" s="272">
        <v>2</v>
      </c>
      <c r="N565" s="272">
        <v>2</v>
      </c>
      <c r="O565" s="272">
        <v>2</v>
      </c>
      <c r="P565" s="272">
        <v>2</v>
      </c>
      <c r="Q565" s="272">
        <v>2</v>
      </c>
    </row>
    <row r="566" spans="1:17" s="129" customFormat="1" ht="30" x14ac:dyDescent="0.25">
      <c r="A566" s="585"/>
      <c r="B566" s="610"/>
      <c r="C566" s="206" t="s">
        <v>16</v>
      </c>
      <c r="D566" s="96"/>
      <c r="E566" s="92" t="s">
        <v>835</v>
      </c>
      <c r="F566" s="2355"/>
      <c r="G566" s="2355"/>
      <c r="H566" s="2355"/>
      <c r="I566" s="2355"/>
      <c r="J566" s="2355"/>
      <c r="K566" s="178" t="s">
        <v>450</v>
      </c>
      <c r="L566" s="318" t="s">
        <v>189</v>
      </c>
      <c r="M566" s="272">
        <v>15</v>
      </c>
      <c r="N566" s="272">
        <v>0</v>
      </c>
      <c r="O566" s="272">
        <v>0</v>
      </c>
      <c r="P566" s="272">
        <v>0</v>
      </c>
      <c r="Q566" s="272">
        <v>0</v>
      </c>
    </row>
    <row r="567" spans="1:17" s="129" customFormat="1" ht="60" x14ac:dyDescent="0.25">
      <c r="A567" s="585"/>
      <c r="B567" s="610"/>
      <c r="C567" s="206" t="s">
        <v>48</v>
      </c>
      <c r="D567" s="96"/>
      <c r="E567" s="92" t="s">
        <v>836</v>
      </c>
      <c r="F567" s="2355"/>
      <c r="G567" s="2355"/>
      <c r="H567" s="2355"/>
      <c r="I567" s="2355"/>
      <c r="J567" s="2355"/>
      <c r="K567" s="178" t="s">
        <v>776</v>
      </c>
      <c r="L567" s="318" t="s">
        <v>189</v>
      </c>
      <c r="M567" s="272">
        <v>1</v>
      </c>
      <c r="N567" s="272">
        <v>1</v>
      </c>
      <c r="O567" s="272">
        <v>1</v>
      </c>
      <c r="P567" s="272">
        <v>1</v>
      </c>
      <c r="Q567" s="272">
        <v>1</v>
      </c>
    </row>
    <row r="568" spans="1:17" s="129" customFormat="1" ht="45" x14ac:dyDescent="0.25">
      <c r="A568" s="585"/>
      <c r="B568" s="610"/>
      <c r="C568" s="206" t="s">
        <v>49</v>
      </c>
      <c r="D568" s="96"/>
      <c r="E568" s="92" t="s">
        <v>837</v>
      </c>
      <c r="F568" s="1910"/>
      <c r="G568" s="1910"/>
      <c r="H568" s="1910"/>
      <c r="I568" s="1910"/>
      <c r="J568" s="1910"/>
      <c r="K568" s="178" t="s">
        <v>330</v>
      </c>
      <c r="L568" s="318" t="s">
        <v>189</v>
      </c>
      <c r="M568" s="48">
        <v>1</v>
      </c>
      <c r="N568" s="48">
        <v>1</v>
      </c>
      <c r="O568" s="48">
        <v>1</v>
      </c>
      <c r="P568" s="48">
        <v>1</v>
      </c>
      <c r="Q568" s="48">
        <v>1</v>
      </c>
    </row>
    <row r="569" spans="1:17" s="129" customFormat="1" x14ac:dyDescent="0.25">
      <c r="A569" s="2408"/>
      <c r="B569" s="1809"/>
      <c r="C569" s="2427" t="s">
        <v>124</v>
      </c>
      <c r="D569" s="2409"/>
      <c r="E569" s="2361" t="s">
        <v>838</v>
      </c>
      <c r="F569" s="1909">
        <v>3554</v>
      </c>
      <c r="G569" s="1909">
        <v>1585.2</v>
      </c>
      <c r="H569" s="1909">
        <f>4996.7</f>
        <v>4996.7</v>
      </c>
      <c r="I569" s="1909">
        <v>1585.2</v>
      </c>
      <c r="J569" s="1909">
        <v>1585.2</v>
      </c>
      <c r="K569" s="178" t="s">
        <v>331</v>
      </c>
      <c r="L569" s="318" t="s">
        <v>325</v>
      </c>
      <c r="M569" s="48">
        <v>70</v>
      </c>
      <c r="N569" s="48">
        <v>70</v>
      </c>
      <c r="O569" s="48">
        <v>70</v>
      </c>
      <c r="P569" s="48">
        <v>70</v>
      </c>
      <c r="Q569" s="272">
        <v>70</v>
      </c>
    </row>
    <row r="570" spans="1:17" s="129" customFormat="1" x14ac:dyDescent="0.25">
      <c r="A570" s="2408"/>
      <c r="B570" s="1811"/>
      <c r="C570" s="2084"/>
      <c r="D570" s="2581"/>
      <c r="E570" s="2021"/>
      <c r="F570" s="2355"/>
      <c r="G570" s="2355"/>
      <c r="H570" s="2355"/>
      <c r="I570" s="2355"/>
      <c r="J570" s="2355"/>
      <c r="K570" s="178" t="s">
        <v>332</v>
      </c>
      <c r="L570" s="318" t="s">
        <v>189</v>
      </c>
      <c r="M570" s="48">
        <v>10</v>
      </c>
      <c r="N570" s="48">
        <v>10</v>
      </c>
      <c r="O570" s="48">
        <v>10</v>
      </c>
      <c r="P570" s="48">
        <v>10</v>
      </c>
      <c r="Q570" s="272">
        <v>10</v>
      </c>
    </row>
    <row r="571" spans="1:17" s="129" customFormat="1" ht="30" x14ac:dyDescent="0.25">
      <c r="A571" s="2408"/>
      <c r="B571" s="1811"/>
      <c r="C571" s="2084"/>
      <c r="D571" s="2581"/>
      <c r="E571" s="2021"/>
      <c r="F571" s="2355"/>
      <c r="G571" s="2355"/>
      <c r="H571" s="2355"/>
      <c r="I571" s="2355"/>
      <c r="J571" s="2355"/>
      <c r="K571" s="178" t="s">
        <v>333</v>
      </c>
      <c r="L571" s="318" t="s">
        <v>189</v>
      </c>
      <c r="M571" s="48">
        <v>2</v>
      </c>
      <c r="N571" s="48">
        <v>2</v>
      </c>
      <c r="O571" s="48">
        <v>2</v>
      </c>
      <c r="P571" s="48">
        <v>2</v>
      </c>
      <c r="Q571" s="272">
        <v>2</v>
      </c>
    </row>
    <row r="572" spans="1:17" s="129" customFormat="1" ht="30" x14ac:dyDescent="0.25">
      <c r="A572" s="2408"/>
      <c r="B572" s="1810"/>
      <c r="C572" s="1832"/>
      <c r="D572" s="2410"/>
      <c r="E572" s="2022"/>
      <c r="F572" s="1910"/>
      <c r="G572" s="1910"/>
      <c r="H572" s="1910"/>
      <c r="I572" s="1910"/>
      <c r="J572" s="1910"/>
      <c r="K572" s="178" t="s">
        <v>334</v>
      </c>
      <c r="L572" s="318" t="s">
        <v>189</v>
      </c>
      <c r="M572" s="48">
        <v>1</v>
      </c>
      <c r="N572" s="48">
        <v>1</v>
      </c>
      <c r="O572" s="48">
        <v>1</v>
      </c>
      <c r="P572" s="48">
        <v>1</v>
      </c>
      <c r="Q572" s="272">
        <v>1</v>
      </c>
    </row>
    <row r="573" spans="1:17" s="129" customFormat="1" ht="45" x14ac:dyDescent="0.25">
      <c r="A573" s="585"/>
      <c r="B573" s="610"/>
      <c r="C573" s="206" t="s">
        <v>157</v>
      </c>
      <c r="D573" s="96"/>
      <c r="E573" s="92" t="s">
        <v>839</v>
      </c>
      <c r="F573" s="1909">
        <v>3500</v>
      </c>
      <c r="G573" s="1909">
        <v>3600</v>
      </c>
      <c r="H573" s="1909">
        <v>3600</v>
      </c>
      <c r="I573" s="1909">
        <v>3600</v>
      </c>
      <c r="J573" s="1909">
        <v>3600</v>
      </c>
      <c r="K573" s="178" t="s">
        <v>335</v>
      </c>
      <c r="L573" s="318" t="s">
        <v>336</v>
      </c>
      <c r="M573" s="318">
        <v>1.1000000000000001</v>
      </c>
      <c r="N573" s="318" t="s">
        <v>337</v>
      </c>
      <c r="O573" s="318" t="s">
        <v>337</v>
      </c>
      <c r="P573" s="318" t="s">
        <v>337</v>
      </c>
      <c r="Q573" s="318" t="s">
        <v>337</v>
      </c>
    </row>
    <row r="574" spans="1:17" s="129" customFormat="1" ht="105" x14ac:dyDescent="0.25">
      <c r="A574" s="585"/>
      <c r="B574" s="610"/>
      <c r="C574" s="206" t="s">
        <v>158</v>
      </c>
      <c r="D574" s="96"/>
      <c r="E574" s="92" t="s">
        <v>840</v>
      </c>
      <c r="F574" s="1910"/>
      <c r="G574" s="1910"/>
      <c r="H574" s="1910"/>
      <c r="I574" s="1910"/>
      <c r="J574" s="1910"/>
      <c r="K574" s="178" t="s">
        <v>451</v>
      </c>
      <c r="L574" s="98" t="s">
        <v>189</v>
      </c>
      <c r="M574" s="272" t="s">
        <v>452</v>
      </c>
      <c r="N574" s="98">
        <v>2</v>
      </c>
      <c r="O574" s="98">
        <v>1</v>
      </c>
      <c r="P574" s="98">
        <v>0</v>
      </c>
      <c r="Q574" s="249">
        <v>0</v>
      </c>
    </row>
    <row r="575" spans="1:17" s="129" customFormat="1" ht="30" x14ac:dyDescent="0.25">
      <c r="A575" s="588"/>
      <c r="B575" s="613"/>
      <c r="C575" s="206" t="s">
        <v>159</v>
      </c>
      <c r="D575" s="96"/>
      <c r="E575" s="92" t="s">
        <v>841</v>
      </c>
      <c r="F575" s="1909">
        <v>946.4</v>
      </c>
      <c r="G575" s="1909">
        <v>3800</v>
      </c>
      <c r="H575" s="1909">
        <v>3800</v>
      </c>
      <c r="I575" s="1909">
        <v>3800</v>
      </c>
      <c r="J575" s="1909">
        <v>3800</v>
      </c>
      <c r="K575" s="178" t="s">
        <v>339</v>
      </c>
      <c r="L575" s="318" t="s">
        <v>189</v>
      </c>
      <c r="M575" s="48">
        <v>2</v>
      </c>
      <c r="N575" s="48">
        <v>2</v>
      </c>
      <c r="O575" s="48">
        <v>1</v>
      </c>
      <c r="P575" s="48">
        <v>1</v>
      </c>
      <c r="Q575" s="272">
        <v>1</v>
      </c>
    </row>
    <row r="576" spans="1:17" s="129" customFormat="1" ht="45" x14ac:dyDescent="0.25">
      <c r="A576" s="588"/>
      <c r="B576" s="613"/>
      <c r="C576" s="206" t="s">
        <v>160</v>
      </c>
      <c r="D576" s="96"/>
      <c r="E576" s="92" t="s">
        <v>842</v>
      </c>
      <c r="F576" s="1910"/>
      <c r="G576" s="1910"/>
      <c r="H576" s="1910"/>
      <c r="I576" s="1910"/>
      <c r="J576" s="1910"/>
      <c r="K576" s="178" t="s">
        <v>339</v>
      </c>
      <c r="L576" s="94" t="s">
        <v>189</v>
      </c>
      <c r="M576" s="48">
        <v>1</v>
      </c>
      <c r="N576" s="48">
        <v>1</v>
      </c>
      <c r="O576" s="48">
        <v>1</v>
      </c>
      <c r="P576" s="48">
        <v>1</v>
      </c>
      <c r="Q576" s="272">
        <v>1</v>
      </c>
    </row>
    <row r="577" spans="1:17" s="129" customFormat="1" ht="120" x14ac:dyDescent="0.25">
      <c r="A577" s="585"/>
      <c r="B577" s="610"/>
      <c r="C577" s="206" t="s">
        <v>161</v>
      </c>
      <c r="D577" s="96"/>
      <c r="E577" s="92" t="s">
        <v>843</v>
      </c>
      <c r="F577" s="310">
        <v>3790</v>
      </c>
      <c r="G577" s="310">
        <v>1700</v>
      </c>
      <c r="H577" s="310">
        <v>1700</v>
      </c>
      <c r="I577" s="310">
        <v>1700</v>
      </c>
      <c r="J577" s="310">
        <v>1700</v>
      </c>
      <c r="K577" s="333" t="s">
        <v>338</v>
      </c>
      <c r="L577" s="315" t="s">
        <v>189</v>
      </c>
      <c r="M577" s="75">
        <v>3</v>
      </c>
      <c r="N577" s="75">
        <v>3</v>
      </c>
      <c r="O577" s="75">
        <v>3</v>
      </c>
      <c r="P577" s="75">
        <v>3</v>
      </c>
      <c r="Q577" s="321">
        <v>3</v>
      </c>
    </row>
    <row r="578" spans="1:17" s="129" customFormat="1" ht="75" x14ac:dyDescent="0.25">
      <c r="A578" s="585"/>
      <c r="B578" s="610"/>
      <c r="C578" s="206" t="s">
        <v>162</v>
      </c>
      <c r="D578" s="96"/>
      <c r="E578" s="92" t="s">
        <v>844</v>
      </c>
      <c r="F578" s="375">
        <v>4400</v>
      </c>
      <c r="G578" s="375">
        <v>4400</v>
      </c>
      <c r="H578" s="375">
        <v>4400</v>
      </c>
      <c r="I578" s="375">
        <v>4400</v>
      </c>
      <c r="J578" s="375">
        <v>4400</v>
      </c>
      <c r="K578" s="389" t="s">
        <v>338</v>
      </c>
      <c r="L578" s="315" t="s">
        <v>189</v>
      </c>
      <c r="M578" s="321">
        <v>7</v>
      </c>
      <c r="N578" s="321">
        <v>6</v>
      </c>
      <c r="O578" s="321">
        <v>5</v>
      </c>
      <c r="P578" s="321">
        <v>5</v>
      </c>
      <c r="Q578" s="321">
        <v>5</v>
      </c>
    </row>
    <row r="579" spans="1:17" s="129" customFormat="1" ht="30" x14ac:dyDescent="0.25">
      <c r="A579" s="585"/>
      <c r="B579" s="610"/>
      <c r="C579" s="206" t="s">
        <v>163</v>
      </c>
      <c r="D579" s="96"/>
      <c r="E579" s="92" t="s">
        <v>845</v>
      </c>
      <c r="F579" s="268">
        <v>27271.599999999999</v>
      </c>
      <c r="G579" s="268">
        <v>27271.599999999999</v>
      </c>
      <c r="H579" s="268">
        <v>25082.6</v>
      </c>
      <c r="I579" s="268">
        <v>27631.3</v>
      </c>
      <c r="J579" s="268">
        <v>27996.9</v>
      </c>
      <c r="K579" s="178" t="s">
        <v>453</v>
      </c>
      <c r="L579" s="95" t="s">
        <v>189</v>
      </c>
      <c r="M579" s="75">
        <v>2</v>
      </c>
      <c r="N579" s="75">
        <v>2</v>
      </c>
      <c r="O579" s="75">
        <v>1</v>
      </c>
      <c r="P579" s="75">
        <v>1</v>
      </c>
      <c r="Q579" s="321">
        <v>1</v>
      </c>
    </row>
    <row r="580" spans="1:17" s="129" customFormat="1" ht="30" x14ac:dyDescent="0.25">
      <c r="A580" s="2412"/>
      <c r="B580" s="1809"/>
      <c r="C580" s="2427" t="s">
        <v>164</v>
      </c>
      <c r="D580" s="2409"/>
      <c r="E580" s="2361" t="s">
        <v>846</v>
      </c>
      <c r="F580" s="1909">
        <v>2510.1</v>
      </c>
      <c r="G580" s="1909">
        <v>2510.1</v>
      </c>
      <c r="H580" s="1909">
        <v>2510.1</v>
      </c>
      <c r="I580" s="1909">
        <v>2510.1</v>
      </c>
      <c r="J580" s="1909">
        <v>2510.1</v>
      </c>
      <c r="K580" s="284" t="s">
        <v>321</v>
      </c>
      <c r="L580" s="318" t="s">
        <v>189</v>
      </c>
      <c r="M580" s="48">
        <v>2</v>
      </c>
      <c r="N580" s="48">
        <v>2</v>
      </c>
      <c r="O580" s="48">
        <v>2</v>
      </c>
      <c r="P580" s="48">
        <v>2</v>
      </c>
      <c r="Q580" s="272">
        <v>2</v>
      </c>
    </row>
    <row r="581" spans="1:17" s="129" customFormat="1" ht="30" x14ac:dyDescent="0.25">
      <c r="A581" s="2407"/>
      <c r="B581" s="1810"/>
      <c r="C581" s="1832"/>
      <c r="D581" s="2410"/>
      <c r="E581" s="2021"/>
      <c r="F581" s="1910"/>
      <c r="G581" s="1910"/>
      <c r="H581" s="1910"/>
      <c r="I581" s="1910"/>
      <c r="J581" s="1910"/>
      <c r="K581" s="284" t="s">
        <v>322</v>
      </c>
      <c r="L581" s="318" t="s">
        <v>182</v>
      </c>
      <c r="M581" s="48">
        <v>84</v>
      </c>
      <c r="N581" s="48">
        <v>100</v>
      </c>
      <c r="O581" s="48">
        <v>100</v>
      </c>
      <c r="P581" s="48">
        <v>100</v>
      </c>
      <c r="Q581" s="48">
        <v>100</v>
      </c>
    </row>
    <row r="582" spans="1:17" s="129" customFormat="1" ht="57" x14ac:dyDescent="0.25">
      <c r="A582" s="1882">
        <v>28</v>
      </c>
      <c r="B582" s="1815">
        <v>4</v>
      </c>
      <c r="C582" s="1884"/>
      <c r="D582" s="2386"/>
      <c r="E582" s="626" t="s">
        <v>666</v>
      </c>
      <c r="F582" s="2414">
        <v>90083.500000000015</v>
      </c>
      <c r="G582" s="1895">
        <v>96355.599999999991</v>
      </c>
      <c r="H582" s="1895">
        <f>H584+H585+H587+H588+H589+H592+H593+H594+H595+H597</f>
        <v>98455.5</v>
      </c>
      <c r="I582" s="1895">
        <v>93521.700000000012</v>
      </c>
      <c r="J582" s="1895">
        <v>94284.800000000003</v>
      </c>
      <c r="K582" s="1895"/>
      <c r="L582" s="1895"/>
      <c r="M582" s="1895"/>
      <c r="N582" s="1895"/>
      <c r="O582" s="1895"/>
      <c r="P582" s="1895"/>
      <c r="Q582" s="1895"/>
    </row>
    <row r="583" spans="1:17" s="129" customFormat="1" ht="45" x14ac:dyDescent="0.25">
      <c r="A583" s="1883"/>
      <c r="B583" s="1817"/>
      <c r="C583" s="1885"/>
      <c r="D583" s="2387"/>
      <c r="E583" s="655" t="s">
        <v>125</v>
      </c>
      <c r="F583" s="2414"/>
      <c r="G583" s="1895"/>
      <c r="H583" s="1895"/>
      <c r="I583" s="1895"/>
      <c r="J583" s="1895"/>
      <c r="K583" s="1895"/>
      <c r="L583" s="1895"/>
      <c r="M583" s="1895"/>
      <c r="N583" s="1895"/>
      <c r="O583" s="1895"/>
      <c r="P583" s="1895"/>
      <c r="Q583" s="1895"/>
    </row>
    <row r="584" spans="1:17" s="129" customFormat="1" ht="90" x14ac:dyDescent="0.25">
      <c r="A584" s="585"/>
      <c r="B584" s="498"/>
      <c r="C584" s="421" t="s">
        <v>6</v>
      </c>
      <c r="D584" s="283"/>
      <c r="E584" s="543" t="s">
        <v>847</v>
      </c>
      <c r="F584" s="308">
        <v>3840</v>
      </c>
      <c r="G584" s="308">
        <v>4100.7</v>
      </c>
      <c r="H584" s="308">
        <v>0</v>
      </c>
      <c r="I584" s="308">
        <v>0</v>
      </c>
      <c r="J584" s="308">
        <v>0</v>
      </c>
      <c r="K584" s="516" t="s">
        <v>341</v>
      </c>
      <c r="L584" s="318" t="s">
        <v>189</v>
      </c>
      <c r="M584" s="318" t="s">
        <v>342</v>
      </c>
      <c r="N584" s="318" t="s">
        <v>342</v>
      </c>
      <c r="O584" s="318" t="s">
        <v>342</v>
      </c>
      <c r="P584" s="79" t="s">
        <v>342</v>
      </c>
      <c r="Q584" s="318" t="s">
        <v>342</v>
      </c>
    </row>
    <row r="585" spans="1:17" s="129" customFormat="1" ht="59.25" customHeight="1" x14ac:dyDescent="0.25">
      <c r="A585" s="2412"/>
      <c r="B585" s="1809"/>
      <c r="C585" s="1884" t="s">
        <v>8</v>
      </c>
      <c r="D585" s="2105"/>
      <c r="E585" s="2411" t="s">
        <v>848</v>
      </c>
      <c r="F585" s="1897">
        <v>19665.5</v>
      </c>
      <c r="G585" s="1897">
        <v>19665.5</v>
      </c>
      <c r="H585" s="1909">
        <v>18815.400000000001</v>
      </c>
      <c r="I585" s="1909">
        <v>19925.900000000001</v>
      </c>
      <c r="J585" s="1909">
        <v>20189.599999999999</v>
      </c>
      <c r="K585" s="515" t="s">
        <v>454</v>
      </c>
      <c r="L585" s="315" t="s">
        <v>189</v>
      </c>
      <c r="M585" s="315" t="s">
        <v>455</v>
      </c>
      <c r="N585" s="315" t="s">
        <v>455</v>
      </c>
      <c r="O585" s="315" t="s">
        <v>455</v>
      </c>
      <c r="P585" s="318" t="s">
        <v>455</v>
      </c>
      <c r="Q585" s="315" t="s">
        <v>455</v>
      </c>
    </row>
    <row r="586" spans="1:17" s="129" customFormat="1" ht="33.75" customHeight="1" x14ac:dyDescent="0.25">
      <c r="A586" s="2407"/>
      <c r="B586" s="1810"/>
      <c r="C586" s="1885"/>
      <c r="D586" s="2106"/>
      <c r="E586" s="2192"/>
      <c r="F586" s="1897"/>
      <c r="G586" s="1897"/>
      <c r="H586" s="1910"/>
      <c r="I586" s="1910"/>
      <c r="J586" s="1910"/>
      <c r="K586" s="333" t="s">
        <v>456</v>
      </c>
      <c r="L586" s="315" t="s">
        <v>189</v>
      </c>
      <c r="M586" s="315" t="s">
        <v>457</v>
      </c>
      <c r="N586" s="315" t="s">
        <v>457</v>
      </c>
      <c r="O586" s="315" t="s">
        <v>457</v>
      </c>
      <c r="P586" s="315" t="s">
        <v>457</v>
      </c>
      <c r="Q586" s="315" t="s">
        <v>457</v>
      </c>
    </row>
    <row r="587" spans="1:17" s="129" customFormat="1" ht="35.25" customHeight="1" x14ac:dyDescent="0.25">
      <c r="A587" s="620"/>
      <c r="B587" s="619"/>
      <c r="C587" s="514" t="s">
        <v>10</v>
      </c>
      <c r="D587" s="531"/>
      <c r="E587" s="92" t="s">
        <v>849</v>
      </c>
      <c r="F587" s="510">
        <v>2194.5</v>
      </c>
      <c r="G587" s="510">
        <v>2194.5</v>
      </c>
      <c r="H587" s="510">
        <v>2194.5</v>
      </c>
      <c r="I587" s="510">
        <v>2194.5</v>
      </c>
      <c r="J587" s="510">
        <v>2194.5</v>
      </c>
      <c r="K587" s="539" t="s">
        <v>340</v>
      </c>
      <c r="L587" s="509" t="s">
        <v>182</v>
      </c>
      <c r="M587" s="512">
        <v>105.9</v>
      </c>
      <c r="N587" s="512">
        <v>104.8</v>
      </c>
      <c r="O587" s="512">
        <v>105.3</v>
      </c>
      <c r="P587" s="512">
        <v>105.4</v>
      </c>
      <c r="Q587" s="511">
        <v>105.3</v>
      </c>
    </row>
    <row r="588" spans="1:17" s="129" customFormat="1" ht="38.25" customHeight="1" x14ac:dyDescent="0.25">
      <c r="A588" s="585"/>
      <c r="B588" s="498"/>
      <c r="C588" s="421" t="s">
        <v>12</v>
      </c>
      <c r="D588" s="283"/>
      <c r="E588" s="92" t="s">
        <v>850</v>
      </c>
      <c r="F588" s="308">
        <v>2900</v>
      </c>
      <c r="G588" s="308">
        <v>2900</v>
      </c>
      <c r="H588" s="308">
        <v>2900</v>
      </c>
      <c r="I588" s="308">
        <v>2900</v>
      </c>
      <c r="J588" s="308">
        <v>2900</v>
      </c>
      <c r="K588" s="276" t="s">
        <v>458</v>
      </c>
      <c r="L588" s="272" t="s">
        <v>182</v>
      </c>
      <c r="M588" s="272">
        <v>113.8</v>
      </c>
      <c r="N588" s="272">
        <v>106.1</v>
      </c>
      <c r="O588" s="272">
        <v>105.3</v>
      </c>
      <c r="P588" s="97">
        <v>105</v>
      </c>
      <c r="Q588" s="272">
        <v>104.8</v>
      </c>
    </row>
    <row r="589" spans="1:17" s="129" customFormat="1" ht="45" x14ac:dyDescent="0.25">
      <c r="A589" s="2412"/>
      <c r="B589" s="1809"/>
      <c r="C589" s="1884" t="s">
        <v>14</v>
      </c>
      <c r="D589" s="2105"/>
      <c r="E589" s="2361" t="s">
        <v>851</v>
      </c>
      <c r="F589" s="1909"/>
      <c r="G589" s="1909">
        <v>4500.3999999999996</v>
      </c>
      <c r="H589" s="1909">
        <v>5200.3999999999996</v>
      </c>
      <c r="I589" s="1909">
        <v>4500.3999999999996</v>
      </c>
      <c r="J589" s="1909">
        <v>4500.3999999999996</v>
      </c>
      <c r="K589" s="178" t="s">
        <v>777</v>
      </c>
      <c r="L589" s="318" t="s">
        <v>222</v>
      </c>
      <c r="M589" s="48">
        <v>8</v>
      </c>
      <c r="N589" s="48">
        <v>6</v>
      </c>
      <c r="O589" s="48">
        <v>6</v>
      </c>
      <c r="P589" s="272">
        <v>6</v>
      </c>
      <c r="Q589" s="272">
        <v>6</v>
      </c>
    </row>
    <row r="590" spans="1:17" s="129" customFormat="1" ht="45" x14ac:dyDescent="0.25">
      <c r="A590" s="2406"/>
      <c r="B590" s="1811"/>
      <c r="C590" s="2016"/>
      <c r="D590" s="2390"/>
      <c r="E590" s="2021"/>
      <c r="F590" s="2355"/>
      <c r="G590" s="2355"/>
      <c r="H590" s="2355"/>
      <c r="I590" s="2355"/>
      <c r="J590" s="2355"/>
      <c r="K590" s="178" t="s">
        <v>459</v>
      </c>
      <c r="L590" s="318" t="s">
        <v>222</v>
      </c>
      <c r="M590" s="48">
        <v>4</v>
      </c>
      <c r="N590" s="48">
        <v>2</v>
      </c>
      <c r="O590" s="48"/>
      <c r="P590" s="272">
        <v>2</v>
      </c>
      <c r="Q590" s="272">
        <v>1</v>
      </c>
    </row>
    <row r="591" spans="1:17" s="129" customFormat="1" ht="30" x14ac:dyDescent="0.25">
      <c r="A591" s="2407"/>
      <c r="B591" s="1810"/>
      <c r="C591" s="1885"/>
      <c r="D591" s="2106"/>
      <c r="E591" s="2022"/>
      <c r="F591" s="1910"/>
      <c r="G591" s="1910"/>
      <c r="H591" s="1910"/>
      <c r="I591" s="1910"/>
      <c r="J591" s="1910"/>
      <c r="K591" s="178" t="s">
        <v>460</v>
      </c>
      <c r="L591" s="318" t="s">
        <v>182</v>
      </c>
      <c r="M591" s="48">
        <v>40</v>
      </c>
      <c r="N591" s="48" t="s">
        <v>461</v>
      </c>
      <c r="O591" s="48">
        <v>40</v>
      </c>
      <c r="P591" s="272">
        <v>40</v>
      </c>
      <c r="Q591" s="272">
        <v>40</v>
      </c>
    </row>
    <row r="592" spans="1:17" s="129" customFormat="1" ht="62.25" customHeight="1" x14ac:dyDescent="0.25">
      <c r="A592" s="585"/>
      <c r="B592" s="498"/>
      <c r="C592" s="421" t="s">
        <v>16</v>
      </c>
      <c r="D592" s="283"/>
      <c r="E592" s="92" t="s">
        <v>852</v>
      </c>
      <c r="F592" s="308">
        <v>6874.8</v>
      </c>
      <c r="G592" s="308">
        <v>8900.7999999999993</v>
      </c>
      <c r="H592" s="308">
        <v>5332</v>
      </c>
      <c r="I592" s="308">
        <v>8900.7999999999993</v>
      </c>
      <c r="J592" s="308">
        <v>8900.7999999999993</v>
      </c>
      <c r="K592" s="178" t="s">
        <v>343</v>
      </c>
      <c r="L592" s="318" t="s">
        <v>189</v>
      </c>
      <c r="M592" s="48">
        <v>6</v>
      </c>
      <c r="N592" s="48">
        <v>6</v>
      </c>
      <c r="O592" s="48">
        <v>6</v>
      </c>
      <c r="P592" s="48">
        <v>6</v>
      </c>
      <c r="Q592" s="272">
        <v>6</v>
      </c>
    </row>
    <row r="593" spans="1:17" s="129" customFormat="1" ht="81" customHeight="1" x14ac:dyDescent="0.25">
      <c r="A593" s="631"/>
      <c r="B593" s="480"/>
      <c r="C593" s="421" t="s">
        <v>48</v>
      </c>
      <c r="D593" s="283"/>
      <c r="E593" s="92" t="s">
        <v>853</v>
      </c>
      <c r="F593" s="308">
        <v>2150</v>
      </c>
      <c r="G593" s="308">
        <v>1635</v>
      </c>
      <c r="H593" s="308">
        <v>1333.9</v>
      </c>
      <c r="I593" s="308">
        <v>2150</v>
      </c>
      <c r="J593" s="308">
        <v>2150</v>
      </c>
      <c r="K593" s="99" t="s">
        <v>344</v>
      </c>
      <c r="L593" s="318" t="s">
        <v>189</v>
      </c>
      <c r="M593" s="48">
        <v>4</v>
      </c>
      <c r="N593" s="48">
        <v>3</v>
      </c>
      <c r="O593" s="48">
        <v>3</v>
      </c>
      <c r="P593" s="272">
        <v>3</v>
      </c>
      <c r="Q593" s="272">
        <v>3</v>
      </c>
    </row>
    <row r="594" spans="1:17" s="129" customFormat="1" ht="51" customHeight="1" x14ac:dyDescent="0.25">
      <c r="A594" s="630"/>
      <c r="B594" s="521"/>
      <c r="C594" s="421" t="s">
        <v>49</v>
      </c>
      <c r="D594" s="283"/>
      <c r="E594" s="92" t="s">
        <v>854</v>
      </c>
      <c r="F594" s="308">
        <v>15207.3</v>
      </c>
      <c r="G594" s="308">
        <v>15207.3</v>
      </c>
      <c r="H594" s="308">
        <v>8652</v>
      </c>
      <c r="I594" s="308">
        <v>15207.3</v>
      </c>
      <c r="J594" s="308">
        <v>15207.3</v>
      </c>
      <c r="K594" s="178" t="s">
        <v>778</v>
      </c>
      <c r="L594" s="318" t="s">
        <v>182</v>
      </c>
      <c r="M594" s="48">
        <v>15</v>
      </c>
      <c r="N594" s="48">
        <v>20</v>
      </c>
      <c r="O594" s="48">
        <v>30</v>
      </c>
      <c r="P594" s="272">
        <v>40</v>
      </c>
      <c r="Q594" s="272">
        <v>50</v>
      </c>
    </row>
    <row r="595" spans="1:17" s="129" customFormat="1" ht="75" x14ac:dyDescent="0.25">
      <c r="A595" s="2412"/>
      <c r="B595" s="1809"/>
      <c r="C595" s="1884" t="s">
        <v>124</v>
      </c>
      <c r="D595" s="2105"/>
      <c r="E595" s="2361" t="s">
        <v>855</v>
      </c>
      <c r="F595" s="1909">
        <v>26540.1</v>
      </c>
      <c r="G595" s="1909">
        <v>26540.1</v>
      </c>
      <c r="H595" s="1909">
        <f>25385.5+7507.6</f>
        <v>32893.1</v>
      </c>
      <c r="I595" s="1909">
        <v>26890.2</v>
      </c>
      <c r="J595" s="1909">
        <v>27246</v>
      </c>
      <c r="K595" s="515" t="s">
        <v>345</v>
      </c>
      <c r="L595" s="315" t="s">
        <v>182</v>
      </c>
      <c r="M595" s="100" t="s">
        <v>346</v>
      </c>
      <c r="N595" s="100" t="s">
        <v>346</v>
      </c>
      <c r="O595" s="100" t="s">
        <v>346</v>
      </c>
      <c r="P595" s="100" t="s">
        <v>346</v>
      </c>
      <c r="Q595" s="100" t="s">
        <v>346</v>
      </c>
    </row>
    <row r="596" spans="1:17" s="129" customFormat="1" ht="30" x14ac:dyDescent="0.25">
      <c r="A596" s="2407"/>
      <c r="B596" s="1810"/>
      <c r="C596" s="1885"/>
      <c r="D596" s="2106"/>
      <c r="E596" s="2022"/>
      <c r="F596" s="1910"/>
      <c r="G596" s="1910"/>
      <c r="H596" s="1910"/>
      <c r="I596" s="1910"/>
      <c r="J596" s="1910"/>
      <c r="K596" s="333" t="s">
        <v>2855</v>
      </c>
      <c r="L596" s="315" t="s">
        <v>182</v>
      </c>
      <c r="M596" s="101">
        <v>54</v>
      </c>
      <c r="N596" s="101">
        <v>56</v>
      </c>
      <c r="O596" s="101">
        <v>57</v>
      </c>
      <c r="P596" s="101">
        <v>58</v>
      </c>
      <c r="Q596" s="101">
        <v>59</v>
      </c>
    </row>
    <row r="597" spans="1:17" s="129" customFormat="1" ht="60" x14ac:dyDescent="0.25">
      <c r="A597" s="628"/>
      <c r="B597" s="1809"/>
      <c r="C597" s="1892" t="s">
        <v>157</v>
      </c>
      <c r="D597" s="2109"/>
      <c r="E597" s="2190" t="s">
        <v>856</v>
      </c>
      <c r="F597" s="1897">
        <v>10711.3</v>
      </c>
      <c r="G597" s="1897">
        <v>10711.3</v>
      </c>
      <c r="H597" s="1897">
        <f>11690.9+9443.3</f>
        <v>21134.199999999997</v>
      </c>
      <c r="I597" s="1897">
        <v>10852.6</v>
      </c>
      <c r="J597" s="1897">
        <v>10996.2</v>
      </c>
      <c r="K597" s="178" t="s">
        <v>347</v>
      </c>
      <c r="L597" s="318" t="s">
        <v>222</v>
      </c>
      <c r="M597" s="48">
        <v>92</v>
      </c>
      <c r="N597" s="48">
        <v>93</v>
      </c>
      <c r="O597" s="48">
        <v>93</v>
      </c>
      <c r="P597" s="272">
        <v>94</v>
      </c>
      <c r="Q597" s="272">
        <v>94</v>
      </c>
    </row>
    <row r="598" spans="1:17" s="129" customFormat="1" ht="90" x14ac:dyDescent="0.25">
      <c r="A598" s="629"/>
      <c r="B598" s="1810"/>
      <c r="C598" s="1892"/>
      <c r="D598" s="2109"/>
      <c r="E598" s="2190"/>
      <c r="F598" s="1897"/>
      <c r="G598" s="1897"/>
      <c r="H598" s="1897"/>
      <c r="I598" s="1897"/>
      <c r="J598" s="1897"/>
      <c r="K598" s="178" t="s">
        <v>348</v>
      </c>
      <c r="L598" s="318" t="s">
        <v>222</v>
      </c>
      <c r="M598" s="48">
        <v>33</v>
      </c>
      <c r="N598" s="48">
        <v>35</v>
      </c>
      <c r="O598" s="48">
        <v>35</v>
      </c>
      <c r="P598" s="272">
        <v>36</v>
      </c>
      <c r="Q598" s="272">
        <v>36</v>
      </c>
    </row>
    <row r="599" spans="1:17" s="129" customFormat="1" ht="42.75" x14ac:dyDescent="0.25">
      <c r="A599" s="1882">
        <v>28</v>
      </c>
      <c r="B599" s="1815">
        <v>5</v>
      </c>
      <c r="C599" s="1884"/>
      <c r="D599" s="2109"/>
      <c r="E599" s="688" t="s">
        <v>667</v>
      </c>
      <c r="F599" s="1895">
        <v>3645</v>
      </c>
      <c r="G599" s="1895">
        <v>6089.9</v>
      </c>
      <c r="H599" s="1895">
        <f>H601+H605</f>
        <v>6089.9</v>
      </c>
      <c r="I599" s="1895">
        <v>6089.9</v>
      </c>
      <c r="J599" s="1895">
        <v>6089.9</v>
      </c>
      <c r="K599" s="1895"/>
      <c r="L599" s="1895"/>
      <c r="M599" s="1895"/>
      <c r="N599" s="1895"/>
      <c r="O599" s="1895"/>
      <c r="P599" s="1895"/>
      <c r="Q599" s="1895"/>
    </row>
    <row r="600" spans="1:17" s="129" customFormat="1" ht="90" x14ac:dyDescent="0.25">
      <c r="A600" s="1883"/>
      <c r="B600" s="1817"/>
      <c r="C600" s="1885"/>
      <c r="D600" s="2109"/>
      <c r="E600" s="689" t="s">
        <v>462</v>
      </c>
      <c r="F600" s="1895"/>
      <c r="G600" s="1895"/>
      <c r="H600" s="1895"/>
      <c r="I600" s="1895"/>
      <c r="J600" s="1895"/>
      <c r="K600" s="1895"/>
      <c r="L600" s="1895"/>
      <c r="M600" s="1895"/>
      <c r="N600" s="1895"/>
      <c r="O600" s="1895"/>
      <c r="P600" s="1895"/>
      <c r="Q600" s="1895"/>
    </row>
    <row r="601" spans="1:17" s="129" customFormat="1" ht="75" x14ac:dyDescent="0.25">
      <c r="A601" s="2412"/>
      <c r="B601" s="1809"/>
      <c r="C601" s="1892" t="s">
        <v>6</v>
      </c>
      <c r="D601" s="2109"/>
      <c r="E601" s="2190" t="s">
        <v>857</v>
      </c>
      <c r="F601" s="1897">
        <v>2321.8000000000002</v>
      </c>
      <c r="G601" s="1897">
        <v>4525.2</v>
      </c>
      <c r="H601" s="1897">
        <v>4525.2</v>
      </c>
      <c r="I601" s="1897">
        <v>4525.2</v>
      </c>
      <c r="J601" s="1897">
        <v>4525.2</v>
      </c>
      <c r="K601" s="178" t="s">
        <v>350</v>
      </c>
      <c r="L601" s="318" t="s">
        <v>189</v>
      </c>
      <c r="M601" s="48">
        <v>4</v>
      </c>
      <c r="N601" s="48">
        <v>3</v>
      </c>
      <c r="O601" s="48">
        <v>2</v>
      </c>
      <c r="P601" s="48">
        <v>2</v>
      </c>
      <c r="Q601" s="272">
        <v>2</v>
      </c>
    </row>
    <row r="602" spans="1:17" s="129" customFormat="1" ht="60" x14ac:dyDescent="0.25">
      <c r="A602" s="2406"/>
      <c r="B602" s="1811"/>
      <c r="C602" s="1892"/>
      <c r="D602" s="2109"/>
      <c r="E602" s="2190"/>
      <c r="F602" s="1897"/>
      <c r="G602" s="1897"/>
      <c r="H602" s="1897"/>
      <c r="I602" s="1897"/>
      <c r="J602" s="1897"/>
      <c r="K602" s="178" t="s">
        <v>351</v>
      </c>
      <c r="L602" s="318" t="s">
        <v>189</v>
      </c>
      <c r="M602" s="48">
        <v>4</v>
      </c>
      <c r="N602" s="48">
        <v>4</v>
      </c>
      <c r="O602" s="48">
        <v>4</v>
      </c>
      <c r="P602" s="272">
        <v>4</v>
      </c>
      <c r="Q602" s="272">
        <v>4</v>
      </c>
    </row>
    <row r="603" spans="1:17" s="129" customFormat="1" ht="75" x14ac:dyDescent="0.25">
      <c r="A603" s="2406"/>
      <c r="B603" s="1811"/>
      <c r="C603" s="1892"/>
      <c r="D603" s="2109"/>
      <c r="E603" s="2190"/>
      <c r="F603" s="1897"/>
      <c r="G603" s="1897"/>
      <c r="H603" s="1897"/>
      <c r="I603" s="1897"/>
      <c r="J603" s="1897"/>
      <c r="K603" s="178" t="s">
        <v>779</v>
      </c>
      <c r="L603" s="318" t="s">
        <v>189</v>
      </c>
      <c r="M603" s="48"/>
      <c r="N603" s="48">
        <v>3</v>
      </c>
      <c r="O603" s="48">
        <v>2</v>
      </c>
      <c r="P603" s="272">
        <v>2</v>
      </c>
      <c r="Q603" s="272">
        <v>2</v>
      </c>
    </row>
    <row r="604" spans="1:17" s="129" customFormat="1" ht="75.75" thickBot="1" x14ac:dyDescent="0.3">
      <c r="A604" s="2407"/>
      <c r="B604" s="1810"/>
      <c r="C604" s="1892"/>
      <c r="D604" s="2109"/>
      <c r="E604" s="2190"/>
      <c r="F604" s="1909"/>
      <c r="G604" s="2379"/>
      <c r="H604" s="2379"/>
      <c r="I604" s="2379"/>
      <c r="J604" s="2379"/>
      <c r="K604" s="102" t="s">
        <v>352</v>
      </c>
      <c r="L604" s="103" t="s">
        <v>189</v>
      </c>
      <c r="M604" s="104">
        <v>4</v>
      </c>
      <c r="N604" s="104">
        <v>5</v>
      </c>
      <c r="O604" s="104">
        <v>5</v>
      </c>
      <c r="P604" s="105">
        <v>5</v>
      </c>
      <c r="Q604" s="105">
        <v>5</v>
      </c>
    </row>
    <row r="605" spans="1:17" s="129" customFormat="1" ht="45" x14ac:dyDescent="0.25">
      <c r="A605" s="2412"/>
      <c r="B605" s="1809"/>
      <c r="C605" s="1884" t="s">
        <v>8</v>
      </c>
      <c r="D605" s="2105"/>
      <c r="E605" s="2190" t="s">
        <v>858</v>
      </c>
      <c r="F605" s="1909">
        <v>1323.2</v>
      </c>
      <c r="G605" s="2419">
        <v>1564.7</v>
      </c>
      <c r="H605" s="2419">
        <v>1564.7</v>
      </c>
      <c r="I605" s="2419">
        <v>1564.7</v>
      </c>
      <c r="J605" s="2419">
        <v>1564.7</v>
      </c>
      <c r="K605" s="279" t="s">
        <v>353</v>
      </c>
      <c r="L605" s="257" t="s">
        <v>189</v>
      </c>
      <c r="M605" s="250">
        <v>1</v>
      </c>
      <c r="N605" s="250">
        <v>1</v>
      </c>
      <c r="O605" s="250">
        <v>1</v>
      </c>
      <c r="P605" s="250">
        <v>1</v>
      </c>
      <c r="Q605" s="250">
        <v>1</v>
      </c>
    </row>
    <row r="606" spans="1:17" s="129" customFormat="1" ht="75" x14ac:dyDescent="0.25">
      <c r="A606" s="2406"/>
      <c r="B606" s="1811"/>
      <c r="C606" s="2016"/>
      <c r="D606" s="2390"/>
      <c r="E606" s="2190"/>
      <c r="F606" s="2355"/>
      <c r="G606" s="2355"/>
      <c r="H606" s="2355"/>
      <c r="I606" s="2355"/>
      <c r="J606" s="2355"/>
      <c r="K606" s="178" t="s">
        <v>354</v>
      </c>
      <c r="L606" s="318" t="s">
        <v>189</v>
      </c>
      <c r="M606" s="321">
        <v>2</v>
      </c>
      <c r="N606" s="321">
        <v>2</v>
      </c>
      <c r="O606" s="321">
        <v>2</v>
      </c>
      <c r="P606" s="321">
        <v>2</v>
      </c>
      <c r="Q606" s="272">
        <v>2</v>
      </c>
    </row>
    <row r="607" spans="1:17" s="129" customFormat="1" ht="165" x14ac:dyDescent="0.25">
      <c r="A607" s="2407"/>
      <c r="B607" s="1810"/>
      <c r="C607" s="1885"/>
      <c r="D607" s="2106"/>
      <c r="E607" s="2190"/>
      <c r="F607" s="1910"/>
      <c r="G607" s="1910"/>
      <c r="H607" s="1910"/>
      <c r="I607" s="1910"/>
      <c r="J607" s="1910"/>
      <c r="K607" s="178" t="s">
        <v>780</v>
      </c>
      <c r="L607" s="318" t="s">
        <v>189</v>
      </c>
      <c r="M607" s="321">
        <v>0</v>
      </c>
      <c r="N607" s="321">
        <v>0</v>
      </c>
      <c r="O607" s="321">
        <v>1</v>
      </c>
      <c r="P607" s="321">
        <v>1</v>
      </c>
      <c r="Q607" s="272">
        <v>1</v>
      </c>
    </row>
    <row r="608" spans="1:17" s="129" customFormat="1" ht="57" x14ac:dyDescent="0.25">
      <c r="A608" s="1882">
        <v>28</v>
      </c>
      <c r="B608" s="1815">
        <v>6</v>
      </c>
      <c r="C608" s="1884"/>
      <c r="D608" s="2109"/>
      <c r="E608" s="688" t="s">
        <v>668</v>
      </c>
      <c r="F608" s="1895">
        <v>19341.099999999999</v>
      </c>
      <c r="G608" s="2383">
        <v>2815.5</v>
      </c>
      <c r="H608" s="2383">
        <f>H610</f>
        <v>3344.9</v>
      </c>
      <c r="I608" s="2383">
        <v>3344.9</v>
      </c>
      <c r="J608" s="2383">
        <v>3344.9</v>
      </c>
      <c r="K608" s="2383"/>
      <c r="L608" s="2383"/>
      <c r="M608" s="2383"/>
      <c r="N608" s="2383"/>
      <c r="O608" s="2383"/>
      <c r="P608" s="2383"/>
      <c r="Q608" s="2383"/>
    </row>
    <row r="609" spans="1:17" s="129" customFormat="1" ht="75" x14ac:dyDescent="0.25">
      <c r="A609" s="1883"/>
      <c r="B609" s="1817"/>
      <c r="C609" s="1885"/>
      <c r="D609" s="2109"/>
      <c r="E609" s="689" t="s">
        <v>463</v>
      </c>
      <c r="F609" s="1897"/>
      <c r="G609" s="1910"/>
      <c r="H609" s="1910"/>
      <c r="I609" s="1910"/>
      <c r="J609" s="1910"/>
      <c r="K609" s="1910"/>
      <c r="L609" s="1910"/>
      <c r="M609" s="1910"/>
      <c r="N609" s="1910"/>
      <c r="O609" s="1910"/>
      <c r="P609" s="1910"/>
      <c r="Q609" s="1910"/>
    </row>
    <row r="610" spans="1:17" s="129" customFormat="1" ht="45" x14ac:dyDescent="0.25">
      <c r="A610" s="585"/>
      <c r="B610" s="552"/>
      <c r="C610" s="423" t="s">
        <v>6</v>
      </c>
      <c r="D610" s="358"/>
      <c r="E610" s="679" t="s">
        <v>859</v>
      </c>
      <c r="F610" s="308">
        <v>4100.7</v>
      </c>
      <c r="G610" s="1909">
        <v>2815.5</v>
      </c>
      <c r="H610" s="1909">
        <v>3344.9</v>
      </c>
      <c r="I610" s="1909">
        <v>3344.9</v>
      </c>
      <c r="J610" s="1909">
        <v>3344.9</v>
      </c>
      <c r="K610" s="529" t="s">
        <v>464</v>
      </c>
      <c r="L610" s="318" t="s">
        <v>182</v>
      </c>
      <c r="M610" s="318">
        <v>1</v>
      </c>
      <c r="N610" s="318">
        <v>1</v>
      </c>
      <c r="O610" s="318">
        <v>1</v>
      </c>
      <c r="P610" s="318">
        <v>1</v>
      </c>
      <c r="Q610" s="318">
        <v>1</v>
      </c>
    </row>
    <row r="611" spans="1:17" s="129" customFormat="1" ht="75" x14ac:dyDescent="0.25">
      <c r="A611" s="585"/>
      <c r="B611" s="552"/>
      <c r="C611" s="423" t="s">
        <v>8</v>
      </c>
      <c r="D611" s="106"/>
      <c r="E611" s="529" t="s">
        <v>860</v>
      </c>
      <c r="F611" s="308">
        <v>4900</v>
      </c>
      <c r="G611" s="2355"/>
      <c r="H611" s="2355"/>
      <c r="I611" s="2355"/>
      <c r="J611" s="2355"/>
      <c r="K611" s="529" t="s">
        <v>313</v>
      </c>
      <c r="L611" s="272" t="s">
        <v>189</v>
      </c>
      <c r="M611" s="318">
        <v>8</v>
      </c>
      <c r="N611" s="318">
        <v>3</v>
      </c>
      <c r="O611" s="318">
        <v>2</v>
      </c>
      <c r="P611" s="272">
        <v>2</v>
      </c>
      <c r="Q611" s="272">
        <v>2</v>
      </c>
    </row>
    <row r="612" spans="1:17" s="129" customFormat="1" ht="45" x14ac:dyDescent="0.25">
      <c r="A612" s="585"/>
      <c r="B612" s="552"/>
      <c r="C612" s="423" t="s">
        <v>10</v>
      </c>
      <c r="D612" s="107"/>
      <c r="E612" s="284" t="s">
        <v>861</v>
      </c>
      <c r="F612" s="308">
        <v>4840</v>
      </c>
      <c r="G612" s="2355"/>
      <c r="H612" s="2355"/>
      <c r="I612" s="2355"/>
      <c r="J612" s="2355"/>
      <c r="K612" s="516" t="s">
        <v>781</v>
      </c>
      <c r="L612" s="318" t="s">
        <v>189</v>
      </c>
      <c r="M612" s="318">
        <v>200</v>
      </c>
      <c r="N612" s="318">
        <v>200</v>
      </c>
      <c r="O612" s="318">
        <v>200</v>
      </c>
      <c r="P612" s="318">
        <v>200</v>
      </c>
      <c r="Q612" s="318">
        <v>200</v>
      </c>
    </row>
    <row r="613" spans="1:17" s="129" customFormat="1" ht="60" x14ac:dyDescent="0.25">
      <c r="A613" s="638"/>
      <c r="B613" s="552"/>
      <c r="C613" s="636" t="s">
        <v>12</v>
      </c>
      <c r="D613" s="658"/>
      <c r="E613" s="639" t="s">
        <v>862</v>
      </c>
      <c r="F613" s="649">
        <v>5500.4</v>
      </c>
      <c r="G613" s="2355"/>
      <c r="H613" s="2355"/>
      <c r="I613" s="2355"/>
      <c r="J613" s="2355"/>
      <c r="K613" s="652" t="s">
        <v>2857</v>
      </c>
      <c r="L613" s="637" t="s">
        <v>189</v>
      </c>
      <c r="M613" s="637">
        <v>10</v>
      </c>
      <c r="N613" s="637">
        <v>12</v>
      </c>
      <c r="O613" s="637">
        <v>14</v>
      </c>
      <c r="P613" s="648">
        <v>15</v>
      </c>
      <c r="Q613" s="648">
        <v>15</v>
      </c>
    </row>
    <row r="614" spans="1:17" s="129" customFormat="1" x14ac:dyDescent="0.25">
      <c r="A614" s="650">
        <v>28</v>
      </c>
      <c r="B614" s="498">
        <v>7</v>
      </c>
      <c r="C614" s="644"/>
      <c r="D614" s="653"/>
      <c r="E614" s="651" t="s">
        <v>867</v>
      </c>
      <c r="F614" s="646">
        <v>0</v>
      </c>
      <c r="G614" s="646">
        <v>0</v>
      </c>
      <c r="H614" s="646">
        <f>H615</f>
        <v>85016.4</v>
      </c>
      <c r="I614" s="646">
        <v>0</v>
      </c>
      <c r="J614" s="646">
        <v>0</v>
      </c>
      <c r="K614" s="645"/>
      <c r="L614" s="641"/>
      <c r="M614" s="641"/>
      <c r="N614" s="641"/>
      <c r="O614" s="641"/>
      <c r="P614" s="643"/>
      <c r="Q614" s="643"/>
    </row>
    <row r="615" spans="1:17" s="129" customFormat="1" x14ac:dyDescent="0.25">
      <c r="A615" s="650"/>
      <c r="B615" s="498"/>
      <c r="C615" s="644" t="s">
        <v>6</v>
      </c>
      <c r="D615" s="653"/>
      <c r="E615" s="654" t="s">
        <v>868</v>
      </c>
      <c r="F615" s="642"/>
      <c r="G615" s="642"/>
      <c r="H615" s="642">
        <v>85016.4</v>
      </c>
      <c r="I615" s="642"/>
      <c r="J615" s="642"/>
      <c r="K615" s="645"/>
      <c r="L615" s="641"/>
      <c r="M615" s="641"/>
      <c r="N615" s="641"/>
      <c r="O615" s="641"/>
      <c r="P615" s="643"/>
      <c r="Q615" s="643"/>
    </row>
    <row r="616" spans="1:17" s="142" customFormat="1" x14ac:dyDescent="0.25">
      <c r="A616" s="1840" t="s">
        <v>128</v>
      </c>
      <c r="B616" s="1841"/>
      <c r="C616" s="1841"/>
      <c r="D616" s="1841"/>
      <c r="E616" s="1841"/>
      <c r="F616" s="886">
        <v>258512.19999999998</v>
      </c>
      <c r="G616" s="80">
        <v>253605.6</v>
      </c>
      <c r="H616" s="80">
        <f>H528+H547+H557+H582+H599+H608+H614</f>
        <v>356162.20000000007</v>
      </c>
      <c r="I616" s="80">
        <v>256950.9</v>
      </c>
      <c r="J616" s="80">
        <v>260350.8</v>
      </c>
      <c r="K616" s="887"/>
      <c r="L616" s="795"/>
      <c r="M616" s="888"/>
      <c r="N616" s="888"/>
      <c r="O616" s="888"/>
      <c r="P616" s="888"/>
      <c r="Q616" s="888"/>
    </row>
    <row r="617" spans="1:17" s="142" customFormat="1" x14ac:dyDescent="0.25">
      <c r="A617" s="726"/>
      <c r="B617" s="2292" t="s">
        <v>2856</v>
      </c>
      <c r="C617" s="2292"/>
      <c r="D617" s="2292"/>
      <c r="E617" s="2292"/>
      <c r="F617" s="2292"/>
      <c r="G617" s="2292"/>
      <c r="H617" s="2292"/>
      <c r="I617" s="2292"/>
      <c r="J617" s="2292"/>
      <c r="K617" s="2292"/>
      <c r="L617" s="2292"/>
      <c r="M617" s="2292"/>
      <c r="N617" s="2292"/>
      <c r="O617" s="2292"/>
      <c r="P617" s="2292"/>
      <c r="Q617" s="2292"/>
    </row>
    <row r="618" spans="1:17" s="142" customFormat="1" ht="28.5" x14ac:dyDescent="0.25">
      <c r="A618" s="726"/>
      <c r="B618" s="507">
        <v>1</v>
      </c>
      <c r="C618" s="525"/>
      <c r="D618" s="5"/>
      <c r="E618" s="718" t="s">
        <v>885</v>
      </c>
      <c r="F618" s="717"/>
      <c r="G618" s="717"/>
      <c r="H618" s="717">
        <f>H619</f>
        <v>7803.9</v>
      </c>
      <c r="I618" s="717"/>
      <c r="J618" s="717"/>
      <c r="K618" s="656"/>
      <c r="L618" s="215"/>
      <c r="M618" s="727"/>
      <c r="N618" s="727"/>
      <c r="O618" s="727"/>
      <c r="P618" s="727"/>
      <c r="Q618" s="727"/>
    </row>
    <row r="619" spans="1:17" s="142" customFormat="1" x14ac:dyDescent="0.25">
      <c r="A619" s="726"/>
      <c r="B619" s="503"/>
      <c r="C619" s="713" t="s">
        <v>16</v>
      </c>
      <c r="D619" s="2"/>
      <c r="E619" s="719" t="s">
        <v>895</v>
      </c>
      <c r="F619" s="717"/>
      <c r="G619" s="717"/>
      <c r="H619" s="714">
        <f>7803.9</f>
        <v>7803.9</v>
      </c>
      <c r="I619" s="717"/>
      <c r="J619" s="717"/>
      <c r="K619" s="656"/>
      <c r="L619" s="215"/>
      <c r="M619" s="727"/>
      <c r="N619" s="727"/>
      <c r="O619" s="727"/>
      <c r="P619" s="727"/>
      <c r="Q619" s="727"/>
    </row>
    <row r="620" spans="1:17" s="142" customFormat="1" ht="42.75" x14ac:dyDescent="0.25">
      <c r="A620" s="726"/>
      <c r="B620" s="507">
        <v>2</v>
      </c>
      <c r="C620" s="214"/>
      <c r="D620" s="214"/>
      <c r="E620" s="214" t="s">
        <v>886</v>
      </c>
      <c r="F620" s="717"/>
      <c r="G620" s="717"/>
      <c r="H620" s="717">
        <f>H621+H622</f>
        <v>15263.800000000001</v>
      </c>
      <c r="I620" s="717"/>
      <c r="J620" s="717"/>
      <c r="K620" s="656"/>
      <c r="L620" s="215"/>
      <c r="M620" s="727"/>
      <c r="N620" s="727"/>
      <c r="O620" s="727"/>
      <c r="P620" s="727"/>
      <c r="Q620" s="727"/>
    </row>
    <row r="621" spans="1:17" s="142" customFormat="1" ht="30" x14ac:dyDescent="0.25">
      <c r="A621" s="726"/>
      <c r="B621" s="214"/>
      <c r="C621" s="713" t="s">
        <v>6</v>
      </c>
      <c r="D621" s="214"/>
      <c r="E621" s="716" t="s">
        <v>887</v>
      </c>
      <c r="F621" s="717"/>
      <c r="G621" s="717"/>
      <c r="H621" s="714">
        <f>1590.7+4511.2</f>
        <v>6101.9</v>
      </c>
      <c r="I621" s="717"/>
      <c r="J621" s="717"/>
      <c r="K621" s="656"/>
      <c r="L621" s="215"/>
      <c r="M621" s="727"/>
      <c r="N621" s="727"/>
      <c r="O621" s="727"/>
      <c r="P621" s="727"/>
      <c r="Q621" s="727"/>
    </row>
    <row r="622" spans="1:17" s="142" customFormat="1" x14ac:dyDescent="0.25">
      <c r="A622" s="726"/>
      <c r="B622" s="214"/>
      <c r="C622" s="713" t="s">
        <v>8</v>
      </c>
      <c r="D622" s="214"/>
      <c r="E622" s="716" t="s">
        <v>888</v>
      </c>
      <c r="F622" s="717"/>
      <c r="G622" s="717"/>
      <c r="H622" s="714">
        <f>6784.1+2377.8</f>
        <v>9161.9000000000015</v>
      </c>
      <c r="I622" s="717"/>
      <c r="J622" s="717"/>
      <c r="K622" s="656"/>
      <c r="L622" s="215"/>
      <c r="M622" s="727"/>
      <c r="N622" s="727"/>
      <c r="O622" s="727"/>
      <c r="P622" s="727"/>
      <c r="Q622" s="727"/>
    </row>
    <row r="623" spans="1:17" s="142" customFormat="1" ht="28.5" x14ac:dyDescent="0.25">
      <c r="A623" s="726"/>
      <c r="B623" s="507">
        <v>3</v>
      </c>
      <c r="C623" s="713"/>
      <c r="D623" s="214"/>
      <c r="E623" s="214" t="s">
        <v>892</v>
      </c>
      <c r="F623" s="717"/>
      <c r="G623" s="717"/>
      <c r="H623" s="717">
        <f>H624</f>
        <v>19872.199999999997</v>
      </c>
      <c r="I623" s="717"/>
      <c r="J623" s="717"/>
      <c r="K623" s="656"/>
      <c r="L623" s="215"/>
      <c r="M623" s="727"/>
      <c r="N623" s="727"/>
      <c r="O623" s="727"/>
      <c r="P623" s="727"/>
      <c r="Q623" s="727"/>
    </row>
    <row r="624" spans="1:17" s="142" customFormat="1" ht="60" x14ac:dyDescent="0.25">
      <c r="A624" s="726"/>
      <c r="B624" s="214"/>
      <c r="C624" s="713" t="s">
        <v>6</v>
      </c>
      <c r="D624" s="214"/>
      <c r="E624" s="716" t="s">
        <v>893</v>
      </c>
      <c r="F624" s="717"/>
      <c r="G624" s="717"/>
      <c r="H624" s="714">
        <f>977.9+13894.3+5000</f>
        <v>19872.199999999997</v>
      </c>
      <c r="I624" s="717"/>
      <c r="J624" s="717"/>
      <c r="K624" s="656"/>
      <c r="L624" s="215"/>
      <c r="M624" s="727"/>
      <c r="N624" s="727"/>
      <c r="O624" s="727"/>
      <c r="P624" s="727"/>
      <c r="Q624" s="727"/>
    </row>
    <row r="625" spans="1:17" s="142" customFormat="1" ht="28.5" x14ac:dyDescent="0.25">
      <c r="A625" s="726"/>
      <c r="B625" s="507">
        <v>4</v>
      </c>
      <c r="C625" s="214"/>
      <c r="D625" s="214"/>
      <c r="E625" s="214" t="s">
        <v>889</v>
      </c>
      <c r="F625" s="717"/>
      <c r="G625" s="717"/>
      <c r="H625" s="717">
        <f>H626+H627</f>
        <v>13360.7</v>
      </c>
      <c r="I625" s="717"/>
      <c r="J625" s="717"/>
      <c r="K625" s="656"/>
      <c r="L625" s="215"/>
      <c r="M625" s="727"/>
      <c r="N625" s="727"/>
      <c r="O625" s="727"/>
      <c r="P625" s="727"/>
      <c r="Q625" s="727"/>
    </row>
    <row r="626" spans="1:17" s="142" customFormat="1" x14ac:dyDescent="0.25">
      <c r="A626" s="726"/>
      <c r="B626" s="214"/>
      <c r="C626" s="713" t="s">
        <v>6</v>
      </c>
      <c r="D626" s="214"/>
      <c r="E626" s="716" t="s">
        <v>890</v>
      </c>
      <c r="F626" s="717"/>
      <c r="G626" s="717"/>
      <c r="H626" s="714">
        <f>8476.4</f>
        <v>8476.4</v>
      </c>
      <c r="I626" s="717"/>
      <c r="J626" s="717"/>
      <c r="K626" s="656"/>
      <c r="L626" s="215"/>
      <c r="M626" s="727"/>
      <c r="N626" s="727"/>
      <c r="O626" s="727"/>
      <c r="P626" s="727"/>
      <c r="Q626" s="727"/>
    </row>
    <row r="627" spans="1:17" s="142" customFormat="1" ht="30" x14ac:dyDescent="0.25">
      <c r="A627" s="726"/>
      <c r="B627" s="214"/>
      <c r="C627" s="713" t="s">
        <v>8</v>
      </c>
      <c r="D627" s="214"/>
      <c r="E627" s="716" t="s">
        <v>170</v>
      </c>
      <c r="F627" s="717"/>
      <c r="G627" s="717"/>
      <c r="H627" s="714">
        <f>4884.3</f>
        <v>4884.3</v>
      </c>
      <c r="I627" s="717"/>
      <c r="J627" s="717"/>
      <c r="K627" s="656"/>
      <c r="L627" s="215"/>
      <c r="M627" s="727"/>
      <c r="N627" s="727"/>
      <c r="O627" s="727"/>
      <c r="P627" s="727"/>
      <c r="Q627" s="727"/>
    </row>
    <row r="628" spans="1:17" s="142" customFormat="1" x14ac:dyDescent="0.25">
      <c r="A628" s="726"/>
      <c r="B628" s="1821" t="s">
        <v>891</v>
      </c>
      <c r="C628" s="1822"/>
      <c r="D628" s="1822"/>
      <c r="E628" s="1822"/>
      <c r="F628" s="1822"/>
      <c r="G628" s="874"/>
      <c r="H628" s="80">
        <f>H618+H620+H623+H625</f>
        <v>56300.599999999991</v>
      </c>
      <c r="I628" s="874"/>
      <c r="J628" s="874"/>
      <c r="K628" s="875"/>
      <c r="L628" s="876"/>
      <c r="M628" s="877"/>
      <c r="N628" s="877"/>
      <c r="O628" s="877"/>
      <c r="P628" s="877"/>
      <c r="Q628" s="878"/>
    </row>
    <row r="629" spans="1:17" x14ac:dyDescent="0.25">
      <c r="A629" s="1826" t="s">
        <v>129</v>
      </c>
      <c r="B629" s="1827"/>
      <c r="C629" s="1827"/>
      <c r="D629" s="1827"/>
      <c r="E629" s="1827"/>
      <c r="F629" s="1827"/>
      <c r="G629" s="1827"/>
      <c r="H629" s="1827"/>
      <c r="I629" s="1827"/>
      <c r="J629" s="1827"/>
      <c r="K629" s="1827"/>
      <c r="L629" s="1827"/>
      <c r="M629" s="1827"/>
      <c r="N629" s="1827"/>
      <c r="O629" s="1827"/>
      <c r="P629" s="1827"/>
      <c r="Q629" s="1828"/>
    </row>
    <row r="630" spans="1:17" ht="58.5" x14ac:dyDescent="0.25">
      <c r="A630" s="575">
        <v>32</v>
      </c>
      <c r="B630" s="507">
        <v>1</v>
      </c>
      <c r="C630" s="426"/>
      <c r="D630" s="5"/>
      <c r="E630" s="52" t="s">
        <v>2858</v>
      </c>
      <c r="F630" s="19">
        <v>134675.29999999999</v>
      </c>
      <c r="G630" s="19">
        <v>108791</v>
      </c>
      <c r="H630" s="368">
        <f>H631+H632</f>
        <v>113580.20000000001</v>
      </c>
      <c r="I630" s="351">
        <v>115791</v>
      </c>
      <c r="J630" s="351">
        <v>118194.8</v>
      </c>
      <c r="K630" s="335" t="s">
        <v>181</v>
      </c>
      <c r="L630" s="20" t="s">
        <v>182</v>
      </c>
      <c r="M630" s="20"/>
      <c r="N630" s="20"/>
      <c r="O630" s="20"/>
      <c r="P630" s="20"/>
      <c r="Q630" s="20"/>
    </row>
    <row r="631" spans="1:17" ht="60" x14ac:dyDescent="0.25">
      <c r="A631" s="438"/>
      <c r="B631" s="503"/>
      <c r="C631" s="427" t="s">
        <v>6</v>
      </c>
      <c r="D631" s="3"/>
      <c r="E631" s="460" t="s">
        <v>130</v>
      </c>
      <c r="F631" s="224">
        <v>58304.4</v>
      </c>
      <c r="G631" s="398">
        <v>53500</v>
      </c>
      <c r="H631" s="227">
        <v>54327.4</v>
      </c>
      <c r="I631" s="227">
        <v>56500</v>
      </c>
      <c r="J631" s="227">
        <v>56500</v>
      </c>
      <c r="K631" s="335" t="s">
        <v>366</v>
      </c>
      <c r="L631" s="334" t="s">
        <v>182</v>
      </c>
      <c r="M631" s="334">
        <v>100</v>
      </c>
      <c r="N631" s="334">
        <v>100</v>
      </c>
      <c r="O631" s="334">
        <v>100</v>
      </c>
      <c r="P631" s="334">
        <v>100</v>
      </c>
      <c r="Q631" s="334">
        <v>100</v>
      </c>
    </row>
    <row r="632" spans="1:17" ht="45" x14ac:dyDescent="0.25">
      <c r="A632" s="438"/>
      <c r="B632" s="503"/>
      <c r="C632" s="427" t="s">
        <v>16</v>
      </c>
      <c r="D632" s="3"/>
      <c r="E632" s="461" t="s">
        <v>131</v>
      </c>
      <c r="F632" s="224">
        <v>76370.899999999994</v>
      </c>
      <c r="G632" s="398">
        <v>55291</v>
      </c>
      <c r="H632" s="227">
        <v>59252.800000000003</v>
      </c>
      <c r="I632" s="227">
        <v>59291</v>
      </c>
      <c r="J632" s="227">
        <v>61694.8</v>
      </c>
      <c r="K632" s="335" t="s">
        <v>367</v>
      </c>
      <c r="L632" s="334" t="s">
        <v>182</v>
      </c>
      <c r="M632" s="334">
        <v>60</v>
      </c>
      <c r="N632" s="334">
        <v>70</v>
      </c>
      <c r="O632" s="334">
        <v>80</v>
      </c>
      <c r="P632" s="334">
        <v>90</v>
      </c>
      <c r="Q632" s="334">
        <v>100</v>
      </c>
    </row>
    <row r="633" spans="1:17" ht="48" customHeight="1" x14ac:dyDescent="0.25">
      <c r="A633" s="2585">
        <v>32</v>
      </c>
      <c r="B633" s="2587">
        <v>2</v>
      </c>
      <c r="C633" s="1899"/>
      <c r="D633" s="2459"/>
      <c r="E633" s="2423" t="s">
        <v>863</v>
      </c>
      <c r="F633" s="2457">
        <v>728693.29999999993</v>
      </c>
      <c r="G633" s="2457">
        <v>796983.50000000012</v>
      </c>
      <c r="H633" s="2383">
        <f>H635+H636+H637</f>
        <v>1091542.2</v>
      </c>
      <c r="I633" s="2383">
        <v>1032789.2000000001</v>
      </c>
      <c r="J633" s="2383">
        <v>1036229.3</v>
      </c>
      <c r="K633" s="335" t="s">
        <v>368</v>
      </c>
      <c r="L633" s="334"/>
      <c r="M633" s="334"/>
      <c r="N633" s="334"/>
      <c r="O633" s="334"/>
      <c r="P633" s="334"/>
      <c r="Q633" s="334"/>
    </row>
    <row r="634" spans="1:17" ht="59.25" customHeight="1" x14ac:dyDescent="0.25">
      <c r="A634" s="2586"/>
      <c r="B634" s="2093"/>
      <c r="C634" s="2140"/>
      <c r="D634" s="2460"/>
      <c r="E634" s="2424"/>
      <c r="F634" s="2458"/>
      <c r="G634" s="2458"/>
      <c r="H634" s="2413"/>
      <c r="I634" s="2413"/>
      <c r="J634" s="2413"/>
      <c r="K634" s="23" t="s">
        <v>441</v>
      </c>
      <c r="L634" s="334" t="s">
        <v>426</v>
      </c>
      <c r="M634" s="334">
        <v>60</v>
      </c>
      <c r="N634" s="334">
        <v>70</v>
      </c>
      <c r="O634" s="334">
        <v>80</v>
      </c>
      <c r="P634" s="334">
        <v>90</v>
      </c>
      <c r="Q634" s="334">
        <v>100</v>
      </c>
    </row>
    <row r="635" spans="1:17" ht="93" customHeight="1" x14ac:dyDescent="0.25">
      <c r="A635" s="575"/>
      <c r="B635" s="507"/>
      <c r="C635" s="427" t="s">
        <v>6</v>
      </c>
      <c r="D635" s="3"/>
      <c r="E635" s="372" t="s">
        <v>132</v>
      </c>
      <c r="F635" s="224">
        <v>477578.7</v>
      </c>
      <c r="G635" s="224">
        <v>502033.30000000005</v>
      </c>
      <c r="H635" s="227">
        <f>664390.2+55000.2</f>
        <v>719390.39999999991</v>
      </c>
      <c r="I635" s="227">
        <v>680074.4</v>
      </c>
      <c r="J635" s="227">
        <v>680074.4</v>
      </c>
      <c r="K635" s="335" t="s">
        <v>442</v>
      </c>
      <c r="L635" s="334" t="s">
        <v>426</v>
      </c>
      <c r="M635" s="334">
        <v>80</v>
      </c>
      <c r="N635" s="334">
        <v>70</v>
      </c>
      <c r="O635" s="334">
        <v>60</v>
      </c>
      <c r="P635" s="334">
        <v>50</v>
      </c>
      <c r="Q635" s="334">
        <v>40</v>
      </c>
    </row>
    <row r="636" spans="1:17" ht="36.75" customHeight="1" x14ac:dyDescent="0.25">
      <c r="A636" s="438"/>
      <c r="B636" s="503"/>
      <c r="C636" s="427" t="s">
        <v>8</v>
      </c>
      <c r="D636" s="2"/>
      <c r="E636" s="21" t="s">
        <v>133</v>
      </c>
      <c r="F636" s="398">
        <v>74650</v>
      </c>
      <c r="G636" s="224">
        <v>86199.3</v>
      </c>
      <c r="H636" s="169">
        <f>135398.9</f>
        <v>135398.9</v>
      </c>
      <c r="I636" s="169">
        <v>137963.9</v>
      </c>
      <c r="J636" s="169">
        <v>139163.9</v>
      </c>
      <c r="K636" s="335" t="s">
        <v>369</v>
      </c>
      <c r="L636" s="334" t="s">
        <v>182</v>
      </c>
      <c r="M636" s="334">
        <v>40</v>
      </c>
      <c r="N636" s="334">
        <v>50</v>
      </c>
      <c r="O636" s="334">
        <v>60</v>
      </c>
      <c r="P636" s="334">
        <v>70</v>
      </c>
      <c r="Q636" s="334">
        <v>80</v>
      </c>
    </row>
    <row r="637" spans="1:17" ht="30" x14ac:dyDescent="0.25">
      <c r="A637" s="438"/>
      <c r="B637" s="503"/>
      <c r="C637" s="427" t="s">
        <v>10</v>
      </c>
      <c r="D637" s="2"/>
      <c r="E637" s="21" t="s">
        <v>134</v>
      </c>
      <c r="F637" s="224">
        <v>176464.6</v>
      </c>
      <c r="G637" s="224">
        <v>208750.9</v>
      </c>
      <c r="H637" s="227">
        <f>236752.9</f>
        <v>236752.9</v>
      </c>
      <c r="I637" s="227">
        <v>214750.9</v>
      </c>
      <c r="J637" s="227">
        <v>216991</v>
      </c>
      <c r="K637" s="335" t="s">
        <v>372</v>
      </c>
      <c r="L637" s="334" t="s">
        <v>182</v>
      </c>
      <c r="M637" s="334">
        <v>50</v>
      </c>
      <c r="N637" s="334">
        <v>60</v>
      </c>
      <c r="O637" s="334">
        <v>70</v>
      </c>
      <c r="P637" s="334">
        <v>80</v>
      </c>
      <c r="Q637" s="334">
        <v>90</v>
      </c>
    </row>
    <row r="638" spans="1:17" x14ac:dyDescent="0.25">
      <c r="A638" s="2425">
        <v>32</v>
      </c>
      <c r="B638" s="2553">
        <v>3</v>
      </c>
      <c r="C638" s="2534"/>
      <c r="D638" s="2567"/>
      <c r="E638" s="2563" t="s">
        <v>2859</v>
      </c>
      <c r="F638" s="2457">
        <v>115696.7</v>
      </c>
      <c r="G638" s="2457">
        <v>83477.299999999988</v>
      </c>
      <c r="H638" s="2061">
        <f>H640+H641+H642</f>
        <v>86479.1</v>
      </c>
      <c r="I638" s="2457">
        <v>85703.299999999988</v>
      </c>
      <c r="J638" s="2457">
        <v>86003.299999999988</v>
      </c>
      <c r="K638" s="2451" t="s">
        <v>370</v>
      </c>
      <c r="L638" s="2453" t="s">
        <v>182</v>
      </c>
      <c r="M638" s="2428"/>
      <c r="N638" s="2459"/>
      <c r="O638" s="2459"/>
      <c r="P638" s="2459"/>
      <c r="Q638" s="2459"/>
    </row>
    <row r="639" spans="1:17" ht="59.25" customHeight="1" x14ac:dyDescent="0.25">
      <c r="A639" s="2426"/>
      <c r="B639" s="2554"/>
      <c r="C639" s="2535"/>
      <c r="D639" s="2568"/>
      <c r="E639" s="2564"/>
      <c r="F639" s="2458"/>
      <c r="G639" s="2458"/>
      <c r="H639" s="2458"/>
      <c r="I639" s="2458"/>
      <c r="J639" s="2458"/>
      <c r="K639" s="2452"/>
      <c r="L639" s="2454"/>
      <c r="M639" s="2429"/>
      <c r="N639" s="2460"/>
      <c r="O639" s="2460"/>
      <c r="P639" s="2460"/>
      <c r="Q639" s="2460"/>
    </row>
    <row r="640" spans="1:17" ht="58.5" customHeight="1" x14ac:dyDescent="0.25">
      <c r="A640" s="566"/>
      <c r="B640" s="546"/>
      <c r="C640" s="434" t="s">
        <v>6</v>
      </c>
      <c r="D640" s="336"/>
      <c r="E640" s="349" t="s">
        <v>2860</v>
      </c>
      <c r="F640" s="230">
        <v>94048.6</v>
      </c>
      <c r="G640" s="231">
        <v>60841</v>
      </c>
      <c r="H640" s="167">
        <f>85952.8+100.3</f>
        <v>86053.1</v>
      </c>
      <c r="I640" s="237">
        <v>62367</v>
      </c>
      <c r="J640" s="237">
        <v>62367</v>
      </c>
      <c r="K640" s="335" t="s">
        <v>371</v>
      </c>
      <c r="L640" s="334" t="s">
        <v>182</v>
      </c>
      <c r="M640" s="334">
        <v>60</v>
      </c>
      <c r="N640" s="369">
        <v>70</v>
      </c>
      <c r="O640" s="369">
        <v>80</v>
      </c>
      <c r="P640" s="369">
        <v>90</v>
      </c>
      <c r="Q640" s="369">
        <v>100</v>
      </c>
    </row>
    <row r="641" spans="1:17" ht="48.75" customHeight="1" x14ac:dyDescent="0.25">
      <c r="A641" s="566"/>
      <c r="B641" s="546"/>
      <c r="C641" s="434" t="s">
        <v>8</v>
      </c>
      <c r="D641" s="336"/>
      <c r="E641" s="349" t="s">
        <v>135</v>
      </c>
      <c r="F641" s="230">
        <v>18510.900000000001</v>
      </c>
      <c r="G641" s="231">
        <v>19006.400000000001</v>
      </c>
      <c r="H641" s="167">
        <v>0</v>
      </c>
      <c r="I641" s="237">
        <v>19506.400000000001</v>
      </c>
      <c r="J641" s="237">
        <v>19806.400000000001</v>
      </c>
      <c r="K641" s="335" t="s">
        <v>372</v>
      </c>
      <c r="L641" s="334" t="s">
        <v>182</v>
      </c>
      <c r="M641" s="334">
        <v>50</v>
      </c>
      <c r="N641" s="334">
        <v>60</v>
      </c>
      <c r="O641" s="334">
        <v>70</v>
      </c>
      <c r="P641" s="334">
        <v>80</v>
      </c>
      <c r="Q641" s="334">
        <v>90</v>
      </c>
    </row>
    <row r="642" spans="1:17" ht="45" x14ac:dyDescent="0.25">
      <c r="A642" s="566"/>
      <c r="B642" s="546"/>
      <c r="C642" s="434" t="s">
        <v>10</v>
      </c>
      <c r="D642" s="336"/>
      <c r="E642" s="292" t="s">
        <v>136</v>
      </c>
      <c r="F642" s="230">
        <v>3137.2</v>
      </c>
      <c r="G642" s="230">
        <v>3629.9</v>
      </c>
      <c r="H642" s="167">
        <v>426</v>
      </c>
      <c r="I642" s="237">
        <v>3829.9</v>
      </c>
      <c r="J642" s="237">
        <v>3829.9</v>
      </c>
      <c r="K642" s="335" t="s">
        <v>369</v>
      </c>
      <c r="L642" s="334" t="s">
        <v>182</v>
      </c>
      <c r="M642" s="334">
        <v>30</v>
      </c>
      <c r="N642" s="334">
        <v>40</v>
      </c>
      <c r="O642" s="334">
        <v>50</v>
      </c>
      <c r="P642" s="334">
        <v>60</v>
      </c>
      <c r="Q642" s="334">
        <v>70</v>
      </c>
    </row>
    <row r="643" spans="1:17" x14ac:dyDescent="0.25">
      <c r="A643" s="2425">
        <v>32</v>
      </c>
      <c r="B643" s="2553">
        <v>4</v>
      </c>
      <c r="C643" s="2534"/>
      <c r="D643" s="2567"/>
      <c r="E643" s="2070" t="s">
        <v>2861</v>
      </c>
      <c r="F643" s="2457">
        <v>5405.9</v>
      </c>
      <c r="G643" s="2457">
        <v>4206.6000000000004</v>
      </c>
      <c r="H643" s="2565">
        <f>H645+H646+H647</f>
        <v>6268.8359999999993</v>
      </c>
      <c r="I643" s="2491">
        <v>6786.8</v>
      </c>
      <c r="J643" s="2491">
        <v>6844.8</v>
      </c>
      <c r="K643" s="2555" t="s">
        <v>373</v>
      </c>
      <c r="L643" s="2552" t="s">
        <v>182</v>
      </c>
      <c r="M643" s="2552"/>
      <c r="N643" s="2461"/>
      <c r="O643" s="2461"/>
      <c r="P643" s="2461"/>
      <c r="Q643" s="2461"/>
    </row>
    <row r="644" spans="1:17" ht="60.75" customHeight="1" x14ac:dyDescent="0.25">
      <c r="A644" s="2426"/>
      <c r="B644" s="2554"/>
      <c r="C644" s="2535"/>
      <c r="D644" s="2568"/>
      <c r="E644" s="2071"/>
      <c r="F644" s="2458"/>
      <c r="G644" s="2458"/>
      <c r="H644" s="2566"/>
      <c r="I644" s="2492"/>
      <c r="J644" s="2492"/>
      <c r="K644" s="2555"/>
      <c r="L644" s="2552"/>
      <c r="M644" s="2552"/>
      <c r="N644" s="2461"/>
      <c r="O644" s="2461"/>
      <c r="P644" s="2461"/>
      <c r="Q644" s="2461"/>
    </row>
    <row r="645" spans="1:17" ht="30" x14ac:dyDescent="0.25">
      <c r="A645" s="566"/>
      <c r="B645" s="546"/>
      <c r="C645" s="434" t="s">
        <v>6</v>
      </c>
      <c r="D645" s="336"/>
      <c r="E645" s="290" t="s">
        <v>137</v>
      </c>
      <c r="F645" s="230">
        <v>3203.9</v>
      </c>
      <c r="G645" s="231">
        <v>1203.9000000000001</v>
      </c>
      <c r="H645" s="167">
        <f>5033.236+183.9</f>
        <v>5217.1359999999995</v>
      </c>
      <c r="I645" s="237">
        <v>3292.1</v>
      </c>
      <c r="J645" s="237">
        <v>3292.1</v>
      </c>
      <c r="K645" s="335" t="s">
        <v>2862</v>
      </c>
      <c r="L645" s="334" t="s">
        <v>182</v>
      </c>
      <c r="M645" s="366">
        <v>60</v>
      </c>
      <c r="N645" s="388">
        <v>70</v>
      </c>
      <c r="O645" s="388">
        <v>80</v>
      </c>
      <c r="P645" s="388">
        <v>90</v>
      </c>
      <c r="Q645" s="388">
        <v>100</v>
      </c>
    </row>
    <row r="646" spans="1:17" ht="30" x14ac:dyDescent="0.25">
      <c r="A646" s="566"/>
      <c r="B646" s="546"/>
      <c r="C646" s="434" t="s">
        <v>8</v>
      </c>
      <c r="D646" s="336"/>
      <c r="E646" s="290" t="s">
        <v>138</v>
      </c>
      <c r="F646" s="230">
        <v>1307.8</v>
      </c>
      <c r="G646" s="231">
        <v>1108.5</v>
      </c>
      <c r="H646" s="167">
        <v>204.4</v>
      </c>
      <c r="I646" s="237">
        <v>1575.5</v>
      </c>
      <c r="J646" s="237">
        <v>1633.5</v>
      </c>
      <c r="K646" s="335" t="s">
        <v>374</v>
      </c>
      <c r="L646" s="334" t="s">
        <v>182</v>
      </c>
      <c r="M646" s="366">
        <v>50</v>
      </c>
      <c r="N646" s="388">
        <v>60</v>
      </c>
      <c r="O646" s="388">
        <v>70</v>
      </c>
      <c r="P646" s="388">
        <v>80</v>
      </c>
      <c r="Q646" s="388">
        <v>90</v>
      </c>
    </row>
    <row r="647" spans="1:17" ht="30" x14ac:dyDescent="0.25">
      <c r="A647" s="566"/>
      <c r="B647" s="546"/>
      <c r="C647" s="434" t="s">
        <v>10</v>
      </c>
      <c r="D647" s="336"/>
      <c r="E647" s="357" t="s">
        <v>139</v>
      </c>
      <c r="F647" s="230">
        <v>894.2</v>
      </c>
      <c r="G647" s="231">
        <v>1894.2</v>
      </c>
      <c r="H647" s="167">
        <v>847.3</v>
      </c>
      <c r="I647" s="237">
        <v>1919.2</v>
      </c>
      <c r="J647" s="237">
        <v>1919.2</v>
      </c>
      <c r="K647" s="335" t="s">
        <v>782</v>
      </c>
      <c r="L647" s="334" t="s">
        <v>182</v>
      </c>
      <c r="M647" s="366">
        <v>40</v>
      </c>
      <c r="N647" s="388">
        <v>50</v>
      </c>
      <c r="O647" s="388">
        <v>60</v>
      </c>
      <c r="P647" s="388">
        <v>70</v>
      </c>
      <c r="Q647" s="388">
        <v>80</v>
      </c>
    </row>
    <row r="648" spans="1:17" s="142" customFormat="1" ht="30.75" customHeight="1" x14ac:dyDescent="0.25">
      <c r="A648" s="1840" t="s">
        <v>140</v>
      </c>
      <c r="B648" s="1841"/>
      <c r="C648" s="1841"/>
      <c r="D648" s="1841"/>
      <c r="E648" s="1841"/>
      <c r="F648" s="46">
        <v>984471.2</v>
      </c>
      <c r="G648" s="46">
        <v>993458.40000000014</v>
      </c>
      <c r="H648" s="46">
        <f>H630+H633+H638+H643</f>
        <v>1297870.3359999999</v>
      </c>
      <c r="I648" s="46">
        <v>1241070.3</v>
      </c>
      <c r="J648" s="46">
        <v>1247272.2000000002</v>
      </c>
      <c r="K648" s="16"/>
      <c r="L648" s="2291"/>
      <c r="M648" s="2291"/>
      <c r="N648" s="2291"/>
      <c r="O648" s="2291"/>
      <c r="P648" s="2291"/>
      <c r="Q648" s="2291"/>
    </row>
    <row r="649" spans="1:17" ht="30" customHeight="1" x14ac:dyDescent="0.25">
      <c r="A649" s="2148" t="s">
        <v>884</v>
      </c>
      <c r="B649" s="2148"/>
      <c r="C649" s="2148"/>
      <c r="D649" s="2148"/>
      <c r="E649" s="2148"/>
      <c r="F649" s="2148"/>
      <c r="G649" s="2148"/>
      <c r="H649" s="2148"/>
      <c r="I649" s="2148"/>
      <c r="J649" s="2148"/>
      <c r="K649" s="2148"/>
      <c r="L649" s="2148"/>
      <c r="M649" s="2148"/>
      <c r="N649" s="2148"/>
      <c r="O649" s="2148"/>
      <c r="P649" s="2148"/>
      <c r="Q649" s="2148"/>
    </row>
    <row r="650" spans="1:17" x14ac:dyDescent="0.25">
      <c r="A650" s="1826" t="s">
        <v>783</v>
      </c>
      <c r="B650" s="1827"/>
      <c r="C650" s="1827"/>
      <c r="D650" s="1827"/>
      <c r="E650" s="1827"/>
      <c r="F650" s="1827"/>
      <c r="G650" s="1827"/>
      <c r="H650" s="1827"/>
      <c r="I650" s="1827"/>
      <c r="J650" s="1827"/>
      <c r="K650" s="1827"/>
      <c r="L650" s="1827"/>
      <c r="M650" s="1827"/>
      <c r="N650" s="1827"/>
      <c r="O650" s="1827"/>
      <c r="P650" s="1827"/>
      <c r="Q650" s="1828"/>
    </row>
    <row r="651" spans="1:17" ht="74.25" x14ac:dyDescent="0.25">
      <c r="A651" s="589">
        <v>32</v>
      </c>
      <c r="B651" s="553">
        <v>5</v>
      </c>
      <c r="C651" s="47"/>
      <c r="D651" s="6"/>
      <c r="E651" s="459" t="s">
        <v>864</v>
      </c>
      <c r="F651" s="694">
        <v>205546.09999999998</v>
      </c>
      <c r="G651" s="202">
        <v>194296.8</v>
      </c>
      <c r="H651" s="202">
        <f>H652+H653+H654</f>
        <v>216296.8</v>
      </c>
      <c r="I651" s="203">
        <v>195445.40000000002</v>
      </c>
      <c r="J651" s="203">
        <v>196224.1</v>
      </c>
      <c r="K651" s="362"/>
      <c r="L651" s="355"/>
      <c r="M651" s="355"/>
      <c r="N651" s="32"/>
      <c r="O651" s="32"/>
      <c r="P651" s="343"/>
      <c r="Q651" s="343"/>
    </row>
    <row r="652" spans="1:17" ht="90" x14ac:dyDescent="0.25">
      <c r="A652" s="590"/>
      <c r="B652" s="554"/>
      <c r="C652" s="47" t="s">
        <v>6</v>
      </c>
      <c r="D652" s="47"/>
      <c r="E652" s="519" t="s">
        <v>784</v>
      </c>
      <c r="F652" s="224">
        <v>93453.8</v>
      </c>
      <c r="G652" s="167">
        <v>89703.9</v>
      </c>
      <c r="H652" s="167">
        <f>89703.9+5000+368</f>
        <v>95071.9</v>
      </c>
      <c r="I652" s="167">
        <v>90265.8</v>
      </c>
      <c r="J652" s="167">
        <v>90924.4</v>
      </c>
      <c r="K652" s="380" t="s">
        <v>2863</v>
      </c>
      <c r="L652" s="289" t="s">
        <v>184</v>
      </c>
      <c r="M652" s="168" t="s">
        <v>375</v>
      </c>
      <c r="N652" s="168" t="s">
        <v>376</v>
      </c>
      <c r="O652" s="168" t="s">
        <v>376</v>
      </c>
      <c r="P652" s="168" t="s">
        <v>376</v>
      </c>
      <c r="Q652" s="168" t="s">
        <v>376</v>
      </c>
    </row>
    <row r="653" spans="1:17" ht="30" x14ac:dyDescent="0.25">
      <c r="A653" s="590"/>
      <c r="B653" s="554"/>
      <c r="C653" s="47" t="s">
        <v>8</v>
      </c>
      <c r="D653" s="47"/>
      <c r="E653" s="459" t="s">
        <v>141</v>
      </c>
      <c r="F653" s="224">
        <v>62748.5</v>
      </c>
      <c r="G653" s="167">
        <v>58999</v>
      </c>
      <c r="H653" s="167">
        <f>58999+5000+6632</f>
        <v>70631</v>
      </c>
      <c r="I653" s="167">
        <v>59568.3</v>
      </c>
      <c r="J653" s="167">
        <v>60226.200000000004</v>
      </c>
      <c r="K653" s="380" t="s">
        <v>377</v>
      </c>
      <c r="L653" s="289" t="s">
        <v>182</v>
      </c>
      <c r="M653" s="169" t="s">
        <v>378</v>
      </c>
      <c r="N653" s="169" t="s">
        <v>379</v>
      </c>
      <c r="O653" s="169" t="s">
        <v>379</v>
      </c>
      <c r="P653" s="169" t="s">
        <v>379</v>
      </c>
      <c r="Q653" s="169" t="s">
        <v>379</v>
      </c>
    </row>
    <row r="654" spans="1:17" ht="75" x14ac:dyDescent="0.25">
      <c r="A654" s="590"/>
      <c r="B654" s="554"/>
      <c r="C654" s="47" t="s">
        <v>10</v>
      </c>
      <c r="D654" s="47"/>
      <c r="E654" s="459" t="s">
        <v>142</v>
      </c>
      <c r="F654" s="224">
        <v>49343.8</v>
      </c>
      <c r="G654" s="167">
        <v>45593.9</v>
      </c>
      <c r="H654" s="167">
        <f>45593.9+5000</f>
        <v>50593.9</v>
      </c>
      <c r="I654" s="167">
        <v>46452</v>
      </c>
      <c r="J654" s="167">
        <v>47128</v>
      </c>
      <c r="K654" s="36" t="s">
        <v>2864</v>
      </c>
      <c r="L654" s="289" t="s">
        <v>182</v>
      </c>
      <c r="M654" s="169" t="s">
        <v>380</v>
      </c>
      <c r="N654" s="169" t="s">
        <v>381</v>
      </c>
      <c r="O654" s="169" t="s">
        <v>381</v>
      </c>
      <c r="P654" s="169" t="s">
        <v>381</v>
      </c>
      <c r="Q654" s="169" t="s">
        <v>381</v>
      </c>
    </row>
    <row r="655" spans="1:17" s="142" customFormat="1" ht="37.5" customHeight="1" thickBot="1" x14ac:dyDescent="0.3">
      <c r="A655" s="1840" t="s">
        <v>785</v>
      </c>
      <c r="B655" s="1841"/>
      <c r="C655" s="1841"/>
      <c r="D655" s="1841"/>
      <c r="E655" s="1841"/>
      <c r="F655" s="46">
        <v>205546.09999999998</v>
      </c>
      <c r="G655" s="879">
        <v>194296.8</v>
      </c>
      <c r="H655" s="879">
        <f>H651</f>
        <v>216296.8</v>
      </c>
      <c r="I655" s="879">
        <v>195445.40000000002</v>
      </c>
      <c r="J655" s="879">
        <v>196224.1</v>
      </c>
      <c r="K655" s="16"/>
      <c r="L655" s="2448"/>
      <c r="M655" s="2449"/>
      <c r="N655" s="2449"/>
      <c r="O655" s="2449"/>
      <c r="P655" s="2449"/>
      <c r="Q655" s="2450"/>
    </row>
    <row r="656" spans="1:17" x14ac:dyDescent="0.25">
      <c r="A656" s="2588" t="s">
        <v>143</v>
      </c>
      <c r="B656" s="2589"/>
      <c r="C656" s="2589"/>
      <c r="D656" s="2589"/>
      <c r="E656" s="2589"/>
      <c r="F656" s="2589"/>
      <c r="G656" s="2589"/>
      <c r="H656" s="2589"/>
      <c r="I656" s="2589"/>
      <c r="J656" s="2589"/>
      <c r="K656" s="2589"/>
      <c r="L656" s="2589"/>
      <c r="M656" s="2589"/>
      <c r="N656" s="2589"/>
      <c r="O656" s="2589"/>
      <c r="P656" s="2589"/>
      <c r="Q656" s="2590"/>
    </row>
    <row r="657" spans="1:17" s="129" customFormat="1" ht="73.5" x14ac:dyDescent="0.25">
      <c r="A657" s="443">
        <v>34</v>
      </c>
      <c r="B657" s="496">
        <v>1</v>
      </c>
      <c r="C657" s="421"/>
      <c r="D657" s="11"/>
      <c r="E657" s="345" t="s">
        <v>810</v>
      </c>
      <c r="F657" s="320">
        <v>52901.4</v>
      </c>
      <c r="G657" s="320">
        <v>63969.8</v>
      </c>
      <c r="H657" s="734">
        <f>H658+H659</f>
        <v>552101.29999999993</v>
      </c>
      <c r="I657" s="734">
        <v>64801.4</v>
      </c>
      <c r="J657" s="734">
        <v>65643.899999999994</v>
      </c>
      <c r="K657" s="408" t="s">
        <v>382</v>
      </c>
      <c r="L657" s="108" t="s">
        <v>182</v>
      </c>
      <c r="M657" s="108">
        <v>1.3</v>
      </c>
      <c r="N657" s="109">
        <v>1.3</v>
      </c>
      <c r="O657" s="110">
        <v>1.3</v>
      </c>
      <c r="P657" s="109">
        <v>1.3</v>
      </c>
      <c r="Q657" s="109">
        <v>1.3</v>
      </c>
    </row>
    <row r="658" spans="1:17" s="129" customFormat="1" ht="30" x14ac:dyDescent="0.25">
      <c r="A658" s="674"/>
      <c r="B658" s="485"/>
      <c r="C658" s="417" t="s">
        <v>49</v>
      </c>
      <c r="D658" s="144"/>
      <c r="E658" s="370" t="s">
        <v>431</v>
      </c>
      <c r="F658" s="330">
        <v>418067</v>
      </c>
      <c r="G658" s="330">
        <v>395821.2</v>
      </c>
      <c r="H658" s="730">
        <f>501461.1+6326.1</f>
        <v>507787.19999999995</v>
      </c>
      <c r="I658" s="730">
        <v>401529.1</v>
      </c>
      <c r="J658" s="730">
        <v>406742.1</v>
      </c>
      <c r="K658" s="111" t="s">
        <v>385</v>
      </c>
      <c r="L658" s="112" t="s">
        <v>182</v>
      </c>
      <c r="M658" s="108"/>
      <c r="N658" s="108" t="s">
        <v>383</v>
      </c>
      <c r="O658" s="108" t="s">
        <v>383</v>
      </c>
      <c r="P658" s="108" t="s">
        <v>383</v>
      </c>
      <c r="Q658" s="108" t="s">
        <v>383</v>
      </c>
    </row>
    <row r="659" spans="1:17" s="129" customFormat="1" ht="45.75" customHeight="1" x14ac:dyDescent="0.25">
      <c r="A659" s="1818"/>
      <c r="B659" s="1812"/>
      <c r="C659" s="2359" t="s">
        <v>882</v>
      </c>
      <c r="D659" s="1815"/>
      <c r="E659" s="2559" t="s">
        <v>144</v>
      </c>
      <c r="F659" s="2569">
        <v>52901.4</v>
      </c>
      <c r="G659" s="2578">
        <v>63969.8</v>
      </c>
      <c r="H659" s="2578">
        <f>43399.1+915</f>
        <v>44314.1</v>
      </c>
      <c r="I659" s="2578">
        <v>64801.4</v>
      </c>
      <c r="J659" s="2578">
        <v>65643.899999999994</v>
      </c>
      <c r="K659" s="317" t="s">
        <v>183</v>
      </c>
      <c r="L659" s="318" t="s">
        <v>184</v>
      </c>
      <c r="M659" s="108">
        <v>29.8</v>
      </c>
      <c r="N659" s="109" t="s">
        <v>383</v>
      </c>
      <c r="O659" s="109" t="s">
        <v>383</v>
      </c>
      <c r="P659" s="109" t="s">
        <v>383</v>
      </c>
      <c r="Q659" s="109" t="s">
        <v>383</v>
      </c>
    </row>
    <row r="660" spans="1:17" s="129" customFormat="1" x14ac:dyDescent="0.25">
      <c r="A660" s="1819"/>
      <c r="B660" s="1813"/>
      <c r="C660" s="2016">
        <v>2</v>
      </c>
      <c r="D660" s="1816"/>
      <c r="E660" s="2560" t="s">
        <v>9</v>
      </c>
      <c r="F660" s="2570"/>
      <c r="G660" s="2579"/>
      <c r="H660" s="2579"/>
      <c r="I660" s="2579"/>
      <c r="J660" s="2579"/>
      <c r="K660" s="317" t="s">
        <v>185</v>
      </c>
      <c r="L660" s="318" t="s">
        <v>182</v>
      </c>
      <c r="M660" s="108">
        <v>70</v>
      </c>
      <c r="N660" s="109">
        <v>80</v>
      </c>
      <c r="O660" s="110">
        <v>80</v>
      </c>
      <c r="P660" s="109">
        <v>80</v>
      </c>
      <c r="Q660" s="109">
        <v>80</v>
      </c>
    </row>
    <row r="661" spans="1:17" s="129" customFormat="1" ht="30" x14ac:dyDescent="0.25">
      <c r="A661" s="1819"/>
      <c r="B661" s="1813"/>
      <c r="C661" s="2016">
        <v>3</v>
      </c>
      <c r="D661" s="1816"/>
      <c r="E661" s="2560" t="s">
        <v>11</v>
      </c>
      <c r="F661" s="2570"/>
      <c r="G661" s="2579"/>
      <c r="H661" s="2579"/>
      <c r="I661" s="2579"/>
      <c r="J661" s="2579"/>
      <c r="K661" s="56" t="s">
        <v>186</v>
      </c>
      <c r="L661" s="318" t="s">
        <v>182</v>
      </c>
      <c r="M661" s="108">
        <v>56</v>
      </c>
      <c r="N661" s="109" t="s">
        <v>383</v>
      </c>
      <c r="O661" s="109" t="s">
        <v>383</v>
      </c>
      <c r="P661" s="109" t="s">
        <v>383</v>
      </c>
      <c r="Q661" s="109" t="s">
        <v>383</v>
      </c>
    </row>
    <row r="662" spans="1:17" s="129" customFormat="1" ht="30" x14ac:dyDescent="0.25">
      <c r="A662" s="1819"/>
      <c r="B662" s="1813"/>
      <c r="C662" s="2016">
        <v>4</v>
      </c>
      <c r="D662" s="1816"/>
      <c r="E662" s="2560" t="s">
        <v>13</v>
      </c>
      <c r="F662" s="2570"/>
      <c r="G662" s="2579"/>
      <c r="H662" s="2579"/>
      <c r="I662" s="2579"/>
      <c r="J662" s="2579"/>
      <c r="K662" s="317" t="s">
        <v>187</v>
      </c>
      <c r="L662" s="318" t="s">
        <v>258</v>
      </c>
      <c r="M662" s="108" t="s">
        <v>384</v>
      </c>
      <c r="N662" s="109" t="s">
        <v>383</v>
      </c>
      <c r="O662" s="109" t="s">
        <v>383</v>
      </c>
      <c r="P662" s="109" t="s">
        <v>383</v>
      </c>
      <c r="Q662" s="109" t="s">
        <v>383</v>
      </c>
    </row>
    <row r="663" spans="1:17" s="129" customFormat="1" ht="30" x14ac:dyDescent="0.25">
      <c r="A663" s="1819"/>
      <c r="B663" s="1813"/>
      <c r="C663" s="2016">
        <v>5</v>
      </c>
      <c r="D663" s="1816"/>
      <c r="E663" s="2560" t="s">
        <v>15</v>
      </c>
      <c r="F663" s="2570"/>
      <c r="G663" s="2579"/>
      <c r="H663" s="2579"/>
      <c r="I663" s="2579"/>
      <c r="J663" s="2579"/>
      <c r="K663" s="317" t="s">
        <v>188</v>
      </c>
      <c r="L663" s="318" t="s">
        <v>189</v>
      </c>
      <c r="M663" s="108">
        <v>128</v>
      </c>
      <c r="N663" s="109" t="s">
        <v>383</v>
      </c>
      <c r="O663" s="109" t="s">
        <v>383</v>
      </c>
      <c r="P663" s="109" t="s">
        <v>383</v>
      </c>
      <c r="Q663" s="109" t="s">
        <v>383</v>
      </c>
    </row>
    <row r="664" spans="1:17" s="129" customFormat="1" ht="30" x14ac:dyDescent="0.25">
      <c r="A664" s="1820"/>
      <c r="B664" s="1814"/>
      <c r="C664" s="2016">
        <v>6</v>
      </c>
      <c r="D664" s="1817"/>
      <c r="E664" s="2560" t="s">
        <v>145</v>
      </c>
      <c r="F664" s="2571"/>
      <c r="G664" s="2580"/>
      <c r="H664" s="2580"/>
      <c r="I664" s="2580"/>
      <c r="J664" s="2580"/>
      <c r="K664" s="317" t="s">
        <v>190</v>
      </c>
      <c r="L664" s="318" t="s">
        <v>182</v>
      </c>
      <c r="M664" s="108">
        <v>18</v>
      </c>
      <c r="N664" s="109" t="s">
        <v>383</v>
      </c>
      <c r="O664" s="109" t="s">
        <v>383</v>
      </c>
      <c r="P664" s="109" t="s">
        <v>383</v>
      </c>
      <c r="Q664" s="109" t="s">
        <v>383</v>
      </c>
    </row>
    <row r="665" spans="1:17" s="129" customFormat="1" ht="102.75" x14ac:dyDescent="0.25">
      <c r="A665" s="568">
        <v>34</v>
      </c>
      <c r="B665" s="480">
        <v>2</v>
      </c>
      <c r="C665" s="421"/>
      <c r="D665" s="11"/>
      <c r="E665" s="113" t="s">
        <v>2865</v>
      </c>
      <c r="F665" s="31">
        <v>19936614</v>
      </c>
      <c r="G665" s="31">
        <v>20541167.799999997</v>
      </c>
      <c r="H665" s="733">
        <f>H666+H679+H681</f>
        <v>21441484.870000001</v>
      </c>
      <c r="I665" s="734">
        <v>20070992</v>
      </c>
      <c r="J665" s="734">
        <v>20129520.199999999</v>
      </c>
      <c r="K665" s="114" t="s">
        <v>786</v>
      </c>
      <c r="L665" s="108" t="s">
        <v>182</v>
      </c>
      <c r="M665" s="115">
        <v>100</v>
      </c>
      <c r="N665" s="115">
        <v>100</v>
      </c>
      <c r="O665" s="115">
        <v>100</v>
      </c>
      <c r="P665" s="115">
        <v>100</v>
      </c>
      <c r="Q665" s="115">
        <v>100</v>
      </c>
    </row>
    <row r="666" spans="1:17" s="129" customFormat="1" x14ac:dyDescent="0.25">
      <c r="A666" s="2402"/>
      <c r="B666" s="1812"/>
      <c r="C666" s="2359" t="s">
        <v>6</v>
      </c>
      <c r="D666" s="1818"/>
      <c r="E666" s="2420" t="s">
        <v>787</v>
      </c>
      <c r="F666" s="2572">
        <v>2812064.5</v>
      </c>
      <c r="G666" s="2546">
        <v>2503467.4</v>
      </c>
      <c r="H666" s="2546">
        <f>1314+3123300.5+25847.8</f>
        <v>3150462.3</v>
      </c>
      <c r="I666" s="2546">
        <v>2792637</v>
      </c>
      <c r="J666" s="2546">
        <v>2825577.3000000003</v>
      </c>
      <c r="K666" s="2436" t="s">
        <v>386</v>
      </c>
      <c r="L666" s="2438" t="s">
        <v>191</v>
      </c>
      <c r="M666" s="2434">
        <v>137951</v>
      </c>
      <c r="N666" s="2434">
        <v>118000</v>
      </c>
      <c r="O666" s="2434" t="s">
        <v>434</v>
      </c>
      <c r="P666" s="2434" t="s">
        <v>434</v>
      </c>
      <c r="Q666" s="2434" t="s">
        <v>434</v>
      </c>
    </row>
    <row r="667" spans="1:17" s="129" customFormat="1" x14ac:dyDescent="0.25">
      <c r="A667" s="2403"/>
      <c r="B667" s="1813"/>
      <c r="C667" s="2016"/>
      <c r="D667" s="1819"/>
      <c r="E667" s="2421"/>
      <c r="F667" s="2573"/>
      <c r="G667" s="2547"/>
      <c r="H667" s="2547"/>
      <c r="I667" s="2547"/>
      <c r="J667" s="2547"/>
      <c r="K667" s="2437"/>
      <c r="L667" s="2439"/>
      <c r="M667" s="2435"/>
      <c r="N667" s="2435"/>
      <c r="O667" s="2435"/>
      <c r="P667" s="2435"/>
      <c r="Q667" s="2435"/>
    </row>
    <row r="668" spans="1:17" s="129" customFormat="1" ht="60" x14ac:dyDescent="0.25">
      <c r="A668" s="2403"/>
      <c r="B668" s="1813"/>
      <c r="C668" s="2016"/>
      <c r="D668" s="1819"/>
      <c r="E668" s="2421"/>
      <c r="F668" s="2573"/>
      <c r="G668" s="2547"/>
      <c r="H668" s="2547"/>
      <c r="I668" s="2547"/>
      <c r="J668" s="2547"/>
      <c r="K668" s="111" t="s">
        <v>387</v>
      </c>
      <c r="L668" s="108" t="s">
        <v>189</v>
      </c>
      <c r="M668" s="108">
        <v>3053</v>
      </c>
      <c r="N668" s="108">
        <v>4000</v>
      </c>
      <c r="O668" s="108">
        <v>4000</v>
      </c>
      <c r="P668" s="108">
        <v>4000</v>
      </c>
      <c r="Q668" s="108">
        <v>4000</v>
      </c>
    </row>
    <row r="669" spans="1:17" s="129" customFormat="1" ht="30" x14ac:dyDescent="0.25">
      <c r="A669" s="2403"/>
      <c r="B669" s="1813"/>
      <c r="C669" s="2016"/>
      <c r="D669" s="1819"/>
      <c r="E669" s="2421"/>
      <c r="F669" s="2573"/>
      <c r="G669" s="2547"/>
      <c r="H669" s="2547"/>
      <c r="I669" s="2547"/>
      <c r="J669" s="2547"/>
      <c r="K669" s="111" t="s">
        <v>388</v>
      </c>
      <c r="L669" s="108" t="s">
        <v>182</v>
      </c>
      <c r="M669" s="116">
        <v>84.8</v>
      </c>
      <c r="N669" s="116">
        <v>84.8</v>
      </c>
      <c r="O669" s="116">
        <v>84.8</v>
      </c>
      <c r="P669" s="116">
        <v>84.8</v>
      </c>
      <c r="Q669" s="116">
        <v>84.8</v>
      </c>
    </row>
    <row r="670" spans="1:17" s="129" customFormat="1" ht="30" x14ac:dyDescent="0.25">
      <c r="A670" s="2403"/>
      <c r="B670" s="1813"/>
      <c r="C670" s="2016"/>
      <c r="D670" s="1819"/>
      <c r="E670" s="2422"/>
      <c r="F670" s="2573"/>
      <c r="G670" s="2333"/>
      <c r="H670" s="2333"/>
      <c r="I670" s="2333"/>
      <c r="J670" s="2333"/>
      <c r="K670" s="111" t="s">
        <v>389</v>
      </c>
      <c r="L670" s="108" t="s">
        <v>189</v>
      </c>
      <c r="M670" s="117">
        <v>1186</v>
      </c>
      <c r="N670" s="117">
        <v>1296</v>
      </c>
      <c r="O670" s="117">
        <v>1310</v>
      </c>
      <c r="P670" s="117">
        <v>1390</v>
      </c>
      <c r="Q670" s="117">
        <v>1400</v>
      </c>
    </row>
    <row r="671" spans="1:17" s="129" customFormat="1" ht="30" x14ac:dyDescent="0.25">
      <c r="A671" s="2403"/>
      <c r="B671" s="1813"/>
      <c r="C671" s="2016"/>
      <c r="D671" s="1819"/>
      <c r="E671" s="2422"/>
      <c r="F671" s="2573"/>
      <c r="G671" s="2333"/>
      <c r="H671" s="2333"/>
      <c r="I671" s="2333"/>
      <c r="J671" s="2333"/>
      <c r="K671" s="114" t="s">
        <v>390</v>
      </c>
      <c r="L671" s="108" t="s">
        <v>182</v>
      </c>
      <c r="M671" s="108">
        <v>89.8</v>
      </c>
      <c r="N671" s="108">
        <v>90</v>
      </c>
      <c r="O671" s="108">
        <v>95</v>
      </c>
      <c r="P671" s="108">
        <v>100</v>
      </c>
      <c r="Q671" s="108">
        <v>100</v>
      </c>
    </row>
    <row r="672" spans="1:17" s="129" customFormat="1" x14ac:dyDescent="0.25">
      <c r="A672" s="2403"/>
      <c r="B672" s="1813"/>
      <c r="C672" s="2016"/>
      <c r="D672" s="1819"/>
      <c r="E672" s="2422"/>
      <c r="F672" s="2573"/>
      <c r="G672" s="2333"/>
      <c r="H672" s="2333"/>
      <c r="I672" s="2333"/>
      <c r="J672" s="2333"/>
      <c r="K672" s="2436" t="s">
        <v>391</v>
      </c>
      <c r="L672" s="2438" t="s">
        <v>191</v>
      </c>
      <c r="M672" s="2438">
        <v>3546</v>
      </c>
      <c r="N672" s="2438">
        <v>175</v>
      </c>
      <c r="O672" s="2438">
        <v>175</v>
      </c>
      <c r="P672" s="2438">
        <v>175</v>
      </c>
      <c r="Q672" s="2438">
        <v>175</v>
      </c>
    </row>
    <row r="673" spans="1:17" s="129" customFormat="1" x14ac:dyDescent="0.25">
      <c r="A673" s="2404"/>
      <c r="B673" s="1814"/>
      <c r="C673" s="1885"/>
      <c r="D673" s="1820"/>
      <c r="E673" s="1887"/>
      <c r="F673" s="2574"/>
      <c r="G673" s="2334"/>
      <c r="H673" s="2334"/>
      <c r="I673" s="2334"/>
      <c r="J673" s="2334"/>
      <c r="K673" s="2437"/>
      <c r="L673" s="2439"/>
      <c r="M673" s="2439"/>
      <c r="N673" s="2439"/>
      <c r="O673" s="2439"/>
      <c r="P673" s="2439"/>
      <c r="Q673" s="2439"/>
    </row>
    <row r="674" spans="1:17" s="129" customFormat="1" x14ac:dyDescent="0.25">
      <c r="A674" s="2402"/>
      <c r="B674" s="1812"/>
      <c r="C674" s="2359" t="s">
        <v>8</v>
      </c>
      <c r="D674" s="1818"/>
      <c r="E674" s="2420" t="s">
        <v>788</v>
      </c>
      <c r="F674" s="2572">
        <v>11367</v>
      </c>
      <c r="G674" s="2546"/>
      <c r="H674" s="2546"/>
      <c r="I674" s="2546">
        <v>0</v>
      </c>
      <c r="J674" s="2546">
        <v>0</v>
      </c>
      <c r="K674" s="2430" t="s">
        <v>392</v>
      </c>
      <c r="L674" s="2438" t="s">
        <v>189</v>
      </c>
      <c r="M674" s="2438">
        <v>130</v>
      </c>
      <c r="N674" s="2438">
        <v>140</v>
      </c>
      <c r="O674" s="2438" t="s">
        <v>393</v>
      </c>
      <c r="P674" s="2438" t="s">
        <v>383</v>
      </c>
      <c r="Q674" s="2438" t="s">
        <v>383</v>
      </c>
    </row>
    <row r="675" spans="1:17" s="129" customFormat="1" x14ac:dyDescent="0.25">
      <c r="A675" s="2403"/>
      <c r="B675" s="1813"/>
      <c r="C675" s="2016"/>
      <c r="D675" s="1819"/>
      <c r="E675" s="2421"/>
      <c r="F675" s="2573"/>
      <c r="G675" s="2547"/>
      <c r="H675" s="2547"/>
      <c r="I675" s="2547"/>
      <c r="J675" s="2547"/>
      <c r="K675" s="2561"/>
      <c r="L675" s="2204"/>
      <c r="M675" s="2204"/>
      <c r="N675" s="2204"/>
      <c r="O675" s="2204"/>
      <c r="P675" s="2204"/>
      <c r="Q675" s="2204"/>
    </row>
    <row r="676" spans="1:17" s="129" customFormat="1" x14ac:dyDescent="0.25">
      <c r="A676" s="2403"/>
      <c r="B676" s="1813"/>
      <c r="C676" s="2016"/>
      <c r="D676" s="1819"/>
      <c r="E676" s="2422"/>
      <c r="F676" s="2573"/>
      <c r="G676" s="2333"/>
      <c r="H676" s="2333"/>
      <c r="I676" s="2333"/>
      <c r="J676" s="2333"/>
      <c r="K676" s="2562"/>
      <c r="L676" s="2194" t="s">
        <v>189</v>
      </c>
      <c r="M676" s="2194">
        <v>130</v>
      </c>
      <c r="N676" s="2194">
        <v>140</v>
      </c>
      <c r="O676" s="2194" t="s">
        <v>383</v>
      </c>
      <c r="P676" s="2194" t="s">
        <v>383</v>
      </c>
      <c r="Q676" s="2194" t="s">
        <v>383</v>
      </c>
    </row>
    <row r="677" spans="1:17" s="129" customFormat="1" x14ac:dyDescent="0.25">
      <c r="A677" s="2404"/>
      <c r="B677" s="1814"/>
      <c r="C677" s="2016"/>
      <c r="D677" s="1820"/>
      <c r="E677" s="1887"/>
      <c r="F677" s="2574"/>
      <c r="G677" s="2334"/>
      <c r="H677" s="2334"/>
      <c r="I677" s="2334"/>
      <c r="J677" s="2334"/>
      <c r="K677" s="114" t="s">
        <v>394</v>
      </c>
      <c r="L677" s="118"/>
      <c r="M677" s="108">
        <v>19.899999999999999</v>
      </c>
      <c r="N677" s="108">
        <v>22.4</v>
      </c>
      <c r="O677" s="108">
        <v>22.4</v>
      </c>
      <c r="P677" s="108" t="s">
        <v>383</v>
      </c>
      <c r="Q677" s="108" t="s">
        <v>383</v>
      </c>
    </row>
    <row r="678" spans="1:17" s="129" customFormat="1" ht="45" x14ac:dyDescent="0.25">
      <c r="A678" s="592"/>
      <c r="B678" s="496"/>
      <c r="C678" s="421" t="s">
        <v>10</v>
      </c>
      <c r="D678" s="119"/>
      <c r="E678" s="120" t="s">
        <v>146</v>
      </c>
      <c r="F678" s="207"/>
      <c r="G678" s="208"/>
      <c r="H678" s="208"/>
      <c r="I678" s="209"/>
      <c r="J678" s="209"/>
      <c r="K678" s="114" t="s">
        <v>395</v>
      </c>
      <c r="L678" s="108" t="s">
        <v>182</v>
      </c>
      <c r="M678" s="108" t="s">
        <v>396</v>
      </c>
      <c r="N678" s="108" t="s">
        <v>396</v>
      </c>
      <c r="O678" s="108" t="s">
        <v>396</v>
      </c>
      <c r="P678" s="108" t="s">
        <v>396</v>
      </c>
      <c r="Q678" s="108" t="s">
        <v>396</v>
      </c>
    </row>
    <row r="679" spans="1:17" s="129" customFormat="1" ht="45" x14ac:dyDescent="0.25">
      <c r="A679" s="591"/>
      <c r="B679" s="479"/>
      <c r="C679" s="524" t="s">
        <v>12</v>
      </c>
      <c r="D679" s="298"/>
      <c r="E679" s="537" t="s">
        <v>147</v>
      </c>
      <c r="F679" s="536">
        <v>16437571.300000001</v>
      </c>
      <c r="G679" s="535">
        <v>16852648.699999999</v>
      </c>
      <c r="H679" s="730">
        <f>18067266.27+121683.8</f>
        <v>18188950.07</v>
      </c>
      <c r="I679" s="730">
        <v>17077220</v>
      </c>
      <c r="J679" s="730">
        <v>17303942.899999999</v>
      </c>
      <c r="K679" s="534" t="s">
        <v>397</v>
      </c>
      <c r="L679" s="538" t="s">
        <v>182</v>
      </c>
      <c r="M679" s="538">
        <v>67</v>
      </c>
      <c r="N679" s="538">
        <v>69</v>
      </c>
      <c r="O679" s="538">
        <v>71</v>
      </c>
      <c r="P679" s="538">
        <v>71</v>
      </c>
      <c r="Q679" s="538">
        <v>71</v>
      </c>
    </row>
    <row r="680" spans="1:17" s="129" customFormat="1" ht="60" x14ac:dyDescent="0.25">
      <c r="A680" s="505"/>
      <c r="B680" s="475"/>
      <c r="C680" s="421" t="s">
        <v>14</v>
      </c>
      <c r="D680" s="119"/>
      <c r="E680" s="533" t="s">
        <v>789</v>
      </c>
      <c r="F680" s="331">
        <v>59311.200000000004</v>
      </c>
      <c r="G680" s="330"/>
      <c r="H680" s="730"/>
      <c r="I680" s="730">
        <v>0</v>
      </c>
      <c r="J680" s="730">
        <v>0</v>
      </c>
      <c r="K680" s="114" t="s">
        <v>790</v>
      </c>
      <c r="L680" s="108" t="s">
        <v>189</v>
      </c>
      <c r="M680" s="121">
        <v>2</v>
      </c>
      <c r="N680" s="121">
        <v>2</v>
      </c>
      <c r="O680" s="122">
        <v>2</v>
      </c>
      <c r="P680" s="121"/>
      <c r="Q680" s="121"/>
    </row>
    <row r="681" spans="1:17" s="129" customFormat="1" ht="30" x14ac:dyDescent="0.25">
      <c r="A681" s="1818"/>
      <c r="B681" s="1812"/>
      <c r="C681" s="1892" t="s">
        <v>16</v>
      </c>
      <c r="D681" s="1818"/>
      <c r="E681" s="2400" t="s">
        <v>432</v>
      </c>
      <c r="F681" s="2572">
        <v>589300</v>
      </c>
      <c r="G681" s="2546">
        <v>1170409.3999999999</v>
      </c>
      <c r="H681" s="2546">
        <f>17600+84472.5</f>
        <v>102072.5</v>
      </c>
      <c r="I681" s="2546">
        <v>201135</v>
      </c>
      <c r="J681" s="2546">
        <v>0</v>
      </c>
      <c r="K681" s="114" t="s">
        <v>398</v>
      </c>
      <c r="L681" s="108" t="s">
        <v>182</v>
      </c>
      <c r="M681" s="123">
        <v>70</v>
      </c>
      <c r="N681" s="123">
        <v>75</v>
      </c>
      <c r="O681" s="124">
        <v>80</v>
      </c>
      <c r="P681" s="123">
        <v>100</v>
      </c>
      <c r="Q681" s="123">
        <v>100</v>
      </c>
    </row>
    <row r="682" spans="1:17" s="129" customFormat="1" ht="28.5" customHeight="1" x14ac:dyDescent="0.25">
      <c r="A682" s="1819"/>
      <c r="B682" s="1813"/>
      <c r="C682" s="1892"/>
      <c r="D682" s="1819"/>
      <c r="E682" s="2400"/>
      <c r="F682" s="2573"/>
      <c r="G682" s="2547"/>
      <c r="H682" s="2547"/>
      <c r="I682" s="2547"/>
      <c r="J682" s="2547"/>
      <c r="K682" s="2430" t="s">
        <v>399</v>
      </c>
      <c r="L682" s="2438" t="s">
        <v>182</v>
      </c>
      <c r="M682" s="2438">
        <v>60</v>
      </c>
      <c r="N682" s="2438" t="s">
        <v>383</v>
      </c>
      <c r="O682" s="2438" t="s">
        <v>383</v>
      </c>
      <c r="P682" s="2438">
        <v>100</v>
      </c>
      <c r="Q682" s="2438">
        <v>100</v>
      </c>
    </row>
    <row r="683" spans="1:17" s="129" customFormat="1" x14ac:dyDescent="0.25">
      <c r="A683" s="1819"/>
      <c r="B683" s="1813"/>
      <c r="C683" s="1892"/>
      <c r="D683" s="1819"/>
      <c r="E683" s="2400"/>
      <c r="F683" s="2573"/>
      <c r="G683" s="2547"/>
      <c r="H683" s="2547"/>
      <c r="I683" s="2547"/>
      <c r="J683" s="2547"/>
      <c r="K683" s="2021"/>
      <c r="L683" s="2084"/>
      <c r="M683" s="2084"/>
      <c r="N683" s="2084"/>
      <c r="O683" s="2084"/>
      <c r="P683" s="2084"/>
      <c r="Q683" s="2084"/>
    </row>
    <row r="684" spans="1:17" s="129" customFormat="1" x14ac:dyDescent="0.25">
      <c r="A684" s="1820"/>
      <c r="B684" s="1814"/>
      <c r="C684" s="1892"/>
      <c r="D684" s="1820"/>
      <c r="E684" s="2400"/>
      <c r="F684" s="2574"/>
      <c r="G684" s="2551"/>
      <c r="H684" s="2551"/>
      <c r="I684" s="2551"/>
      <c r="J684" s="2551"/>
      <c r="K684" s="2022"/>
      <c r="L684" s="1832"/>
      <c r="M684" s="1832"/>
      <c r="N684" s="1832"/>
      <c r="O684" s="1832"/>
      <c r="P684" s="1832"/>
      <c r="Q684" s="1832"/>
    </row>
    <row r="685" spans="1:17" s="129" customFormat="1" ht="15.75" customHeight="1" x14ac:dyDescent="0.25">
      <c r="A685" s="1818"/>
      <c r="B685" s="485"/>
      <c r="C685" s="1892" t="s">
        <v>48</v>
      </c>
      <c r="D685" s="1818"/>
      <c r="E685" s="2400" t="s">
        <v>148</v>
      </c>
      <c r="F685" s="2401"/>
      <c r="G685" s="2558"/>
      <c r="H685" s="2546"/>
      <c r="I685" s="2558"/>
      <c r="J685" s="2558"/>
      <c r="K685" s="2576" t="s">
        <v>791</v>
      </c>
      <c r="L685" s="2438" t="s">
        <v>189</v>
      </c>
      <c r="M685" s="2438">
        <v>30</v>
      </c>
      <c r="N685" s="2550" t="s">
        <v>393</v>
      </c>
      <c r="O685" s="2550" t="s">
        <v>393</v>
      </c>
      <c r="P685" s="2550" t="s">
        <v>393</v>
      </c>
      <c r="Q685" s="2550" t="s">
        <v>393</v>
      </c>
    </row>
    <row r="686" spans="1:17" s="129" customFormat="1" ht="47.25" customHeight="1" x14ac:dyDescent="0.25">
      <c r="A686" s="1820"/>
      <c r="B686" s="487"/>
      <c r="C686" s="1892"/>
      <c r="D686" s="1820"/>
      <c r="E686" s="2400"/>
      <c r="F686" s="2401"/>
      <c r="G686" s="2334"/>
      <c r="H686" s="2551"/>
      <c r="I686" s="2334"/>
      <c r="J686" s="2334"/>
      <c r="K686" s="2192"/>
      <c r="L686" s="1832"/>
      <c r="M686" s="1832"/>
      <c r="N686" s="1889"/>
      <c r="O686" s="1889"/>
      <c r="P686" s="1889"/>
      <c r="Q686" s="1889"/>
    </row>
    <row r="687" spans="1:17" s="129" customFormat="1" ht="90" x14ac:dyDescent="0.25">
      <c r="A687" s="505"/>
      <c r="B687" s="500"/>
      <c r="C687" s="421" t="s">
        <v>49</v>
      </c>
      <c r="D687" s="119"/>
      <c r="E687" s="346" t="s">
        <v>149</v>
      </c>
      <c r="F687" s="242">
        <v>27000</v>
      </c>
      <c r="G687" s="210">
        <v>14642.3</v>
      </c>
      <c r="H687" s="210"/>
      <c r="I687" s="210"/>
      <c r="J687" s="210"/>
      <c r="K687" s="114" t="s">
        <v>400</v>
      </c>
      <c r="L687" s="108" t="s">
        <v>182</v>
      </c>
      <c r="M687" s="108">
        <v>96.5</v>
      </c>
      <c r="N687" s="108">
        <v>96.5</v>
      </c>
      <c r="O687" s="117" t="s">
        <v>383</v>
      </c>
      <c r="P687" s="117" t="s">
        <v>383</v>
      </c>
      <c r="Q687" s="117" t="s">
        <v>383</v>
      </c>
    </row>
    <row r="688" spans="1:17" s="129" customFormat="1" ht="30" x14ac:dyDescent="0.25">
      <c r="A688" s="2488">
        <v>34</v>
      </c>
      <c r="B688" s="1815">
        <v>3</v>
      </c>
      <c r="C688" s="2575"/>
      <c r="D688" s="1815"/>
      <c r="E688" s="2400" t="s">
        <v>806</v>
      </c>
      <c r="F688" s="2557">
        <v>1601298.2</v>
      </c>
      <c r="G688" s="2557">
        <v>2186631.9</v>
      </c>
      <c r="H688" s="2414">
        <f>H690+H692+H693+H694+H695</f>
        <v>2043734.7</v>
      </c>
      <c r="I688" s="1895">
        <v>1679454.04</v>
      </c>
      <c r="J688" s="1895">
        <v>1700253.3144</v>
      </c>
      <c r="K688" s="317" t="s">
        <v>401</v>
      </c>
      <c r="L688" s="108" t="s">
        <v>182</v>
      </c>
      <c r="M688" s="108">
        <v>5</v>
      </c>
      <c r="N688" s="108">
        <v>15</v>
      </c>
      <c r="O688" s="108">
        <v>30</v>
      </c>
      <c r="P688" s="108">
        <v>50</v>
      </c>
      <c r="Q688" s="108">
        <v>50</v>
      </c>
    </row>
    <row r="689" spans="1:17" s="129" customFormat="1" ht="45" x14ac:dyDescent="0.25">
      <c r="A689" s="1820"/>
      <c r="B689" s="1817"/>
      <c r="C689" s="1885"/>
      <c r="D689" s="1889"/>
      <c r="E689" s="2400"/>
      <c r="F689" s="2472"/>
      <c r="G689" s="2472"/>
      <c r="H689" s="2414"/>
      <c r="I689" s="1895"/>
      <c r="J689" s="1895"/>
      <c r="K689" s="114" t="s">
        <v>402</v>
      </c>
      <c r="L689" s="108" t="s">
        <v>182</v>
      </c>
      <c r="M689" s="108">
        <v>60</v>
      </c>
      <c r="N689" s="108">
        <v>61</v>
      </c>
      <c r="O689" s="117">
        <v>62</v>
      </c>
      <c r="P689" s="108">
        <v>63</v>
      </c>
      <c r="Q689" s="108">
        <v>65</v>
      </c>
    </row>
    <row r="690" spans="1:17" s="129" customFormat="1" ht="105" x14ac:dyDescent="0.25">
      <c r="A690" s="1818"/>
      <c r="B690" s="1812"/>
      <c r="C690" s="2359" t="s">
        <v>6</v>
      </c>
      <c r="D690" s="2360"/>
      <c r="E690" s="2430" t="s">
        <v>792</v>
      </c>
      <c r="F690" s="2432">
        <v>1196380</v>
      </c>
      <c r="G690" s="2432">
        <v>1230511.2</v>
      </c>
      <c r="H690" s="2432">
        <f>1131058.7+169669.7</f>
        <v>1300728.3999999999</v>
      </c>
      <c r="I690" s="2432">
        <v>1245952.6000000001</v>
      </c>
      <c r="J690" s="2432">
        <v>1261787</v>
      </c>
      <c r="K690" s="114" t="s">
        <v>2866</v>
      </c>
      <c r="L690" s="108" t="s">
        <v>435</v>
      </c>
      <c r="M690" s="108">
        <v>20</v>
      </c>
      <c r="N690" s="108">
        <v>40</v>
      </c>
      <c r="O690" s="117">
        <v>50</v>
      </c>
      <c r="P690" s="108">
        <v>60</v>
      </c>
      <c r="Q690" s="108">
        <v>60</v>
      </c>
    </row>
    <row r="691" spans="1:17" s="129" customFormat="1" ht="45" x14ac:dyDescent="0.25">
      <c r="A691" s="1820"/>
      <c r="B691" s="1814"/>
      <c r="C691" s="1885"/>
      <c r="D691" s="1889"/>
      <c r="E691" s="2431"/>
      <c r="F691" s="2433"/>
      <c r="G691" s="2433"/>
      <c r="H691" s="2433"/>
      <c r="I691" s="2433"/>
      <c r="J691" s="2433"/>
      <c r="K691" s="114" t="s">
        <v>436</v>
      </c>
      <c r="L691" s="108" t="s">
        <v>270</v>
      </c>
      <c r="M691" s="108">
        <v>5</v>
      </c>
      <c r="N691" s="108">
        <v>10</v>
      </c>
      <c r="O691" s="117">
        <v>12</v>
      </c>
      <c r="P691" s="108">
        <v>15</v>
      </c>
      <c r="Q691" s="108">
        <v>15</v>
      </c>
    </row>
    <row r="692" spans="1:17" s="129" customFormat="1" ht="60" x14ac:dyDescent="0.25">
      <c r="A692" s="478"/>
      <c r="B692" s="487"/>
      <c r="C692" s="419" t="s">
        <v>8</v>
      </c>
      <c r="D692" s="272"/>
      <c r="E692" s="346" t="s">
        <v>433</v>
      </c>
      <c r="F692" s="243">
        <v>17769.3</v>
      </c>
      <c r="G692" s="243">
        <v>405936.2</v>
      </c>
      <c r="H692" s="243"/>
      <c r="I692" s="243">
        <v>0</v>
      </c>
      <c r="J692" s="244">
        <v>0</v>
      </c>
      <c r="K692" s="114" t="s">
        <v>793</v>
      </c>
      <c r="L692" s="108" t="s">
        <v>437</v>
      </c>
      <c r="M692" s="108">
        <v>6500</v>
      </c>
      <c r="N692" s="108">
        <v>6500</v>
      </c>
      <c r="O692" s="117">
        <v>6500</v>
      </c>
      <c r="P692" s="108">
        <v>6500</v>
      </c>
      <c r="Q692" s="108">
        <v>6500</v>
      </c>
    </row>
    <row r="693" spans="1:17" s="129" customFormat="1" ht="110.25" customHeight="1" x14ac:dyDescent="0.25">
      <c r="A693" s="478"/>
      <c r="B693" s="487"/>
      <c r="C693" s="419" t="s">
        <v>10</v>
      </c>
      <c r="D693" s="248"/>
      <c r="E693" s="346" t="s">
        <v>438</v>
      </c>
      <c r="F693" s="243">
        <v>11598.4</v>
      </c>
      <c r="G693" s="243">
        <v>123817.8</v>
      </c>
      <c r="H693" s="243">
        <f>15000</f>
        <v>15000</v>
      </c>
      <c r="I693" s="243">
        <v>0</v>
      </c>
      <c r="J693" s="243">
        <v>0</v>
      </c>
      <c r="K693" s="114" t="s">
        <v>2867</v>
      </c>
      <c r="L693" s="108" t="s">
        <v>439</v>
      </c>
      <c r="M693" s="108">
        <v>600</v>
      </c>
      <c r="N693" s="108">
        <v>600</v>
      </c>
      <c r="O693" s="117">
        <v>600</v>
      </c>
      <c r="P693" s="108">
        <v>600</v>
      </c>
      <c r="Q693" s="108">
        <v>600</v>
      </c>
    </row>
    <row r="694" spans="1:17" s="129" customFormat="1" ht="75" x14ac:dyDescent="0.25">
      <c r="A694" s="593"/>
      <c r="B694" s="500"/>
      <c r="C694" s="421" t="s">
        <v>12</v>
      </c>
      <c r="D694" s="119"/>
      <c r="E694" s="346" t="s">
        <v>150</v>
      </c>
      <c r="F694" s="332">
        <v>204392</v>
      </c>
      <c r="G694" s="332">
        <v>207249.8</v>
      </c>
      <c r="H694" s="735">
        <f>221992.3</f>
        <v>221992.3</v>
      </c>
      <c r="I694" s="735">
        <v>209944</v>
      </c>
      <c r="J694" s="735">
        <v>212673.3</v>
      </c>
      <c r="K694" s="111" t="s">
        <v>794</v>
      </c>
      <c r="L694" s="108" t="s">
        <v>182</v>
      </c>
      <c r="M694" s="125">
        <v>0.42</v>
      </c>
      <c r="N694" s="125">
        <v>0.42</v>
      </c>
      <c r="O694" s="126">
        <v>0.45</v>
      </c>
      <c r="P694" s="125">
        <v>0.45</v>
      </c>
      <c r="Q694" s="125">
        <v>0.45</v>
      </c>
    </row>
    <row r="695" spans="1:17" s="129" customFormat="1" ht="30" x14ac:dyDescent="0.25">
      <c r="A695" s="2402"/>
      <c r="B695" s="1812"/>
      <c r="C695" s="2359" t="s">
        <v>14</v>
      </c>
      <c r="D695" s="1818"/>
      <c r="E695" s="2420" t="s">
        <v>2868</v>
      </c>
      <c r="F695" s="2546">
        <v>171158.5</v>
      </c>
      <c r="G695" s="2546">
        <v>219116.9</v>
      </c>
      <c r="H695" s="2572">
        <f>253897.3+252116.7</f>
        <v>506014</v>
      </c>
      <c r="I695" s="2546">
        <v>223557.44</v>
      </c>
      <c r="J695" s="2546">
        <v>225793.01440000001</v>
      </c>
      <c r="K695" s="111" t="s">
        <v>403</v>
      </c>
      <c r="L695" s="108" t="s">
        <v>182</v>
      </c>
      <c r="M695" s="125">
        <v>0.16</v>
      </c>
      <c r="N695" s="125">
        <v>0.16</v>
      </c>
      <c r="O695" s="125">
        <v>0.16</v>
      </c>
      <c r="P695" s="125">
        <v>0.16</v>
      </c>
      <c r="Q695" s="125">
        <v>0.16</v>
      </c>
    </row>
    <row r="696" spans="1:17" s="129" customFormat="1" ht="45" x14ac:dyDescent="0.25">
      <c r="A696" s="2403"/>
      <c r="B696" s="1813"/>
      <c r="C696" s="2016"/>
      <c r="D696" s="1819"/>
      <c r="E696" s="2421"/>
      <c r="F696" s="2547"/>
      <c r="G696" s="2547"/>
      <c r="H696" s="2573"/>
      <c r="I696" s="2547"/>
      <c r="J696" s="2547"/>
      <c r="K696" s="111" t="s">
        <v>404</v>
      </c>
      <c r="L696" s="108" t="s">
        <v>182</v>
      </c>
      <c r="M696" s="125">
        <v>0.3</v>
      </c>
      <c r="N696" s="125">
        <v>0.3</v>
      </c>
      <c r="O696" s="125">
        <v>0.3</v>
      </c>
      <c r="P696" s="125">
        <v>0.4</v>
      </c>
      <c r="Q696" s="125">
        <v>0.5</v>
      </c>
    </row>
    <row r="697" spans="1:17" s="129" customFormat="1" ht="45" x14ac:dyDescent="0.25">
      <c r="A697" s="2403"/>
      <c r="B697" s="1813"/>
      <c r="C697" s="2016"/>
      <c r="D697" s="1819"/>
      <c r="E697" s="2421"/>
      <c r="F697" s="2333"/>
      <c r="G697" s="2333"/>
      <c r="H697" s="2616"/>
      <c r="I697" s="2333"/>
      <c r="J697" s="2333"/>
      <c r="K697" s="114" t="s">
        <v>405</v>
      </c>
      <c r="L697" s="108" t="s">
        <v>182</v>
      </c>
      <c r="M697" s="125">
        <v>0.4</v>
      </c>
      <c r="N697" s="125">
        <v>0.4</v>
      </c>
      <c r="O697" s="126">
        <v>0.4</v>
      </c>
      <c r="P697" s="125">
        <v>0.5</v>
      </c>
      <c r="Q697" s="125">
        <v>0.6</v>
      </c>
    </row>
    <row r="698" spans="1:17" s="129" customFormat="1" x14ac:dyDescent="0.25">
      <c r="A698" s="2403"/>
      <c r="B698" s="1813"/>
      <c r="C698" s="2016"/>
      <c r="D698" s="1819"/>
      <c r="E698" s="2421"/>
      <c r="F698" s="2333"/>
      <c r="G698" s="2333"/>
      <c r="H698" s="2616"/>
      <c r="I698" s="2333"/>
      <c r="J698" s="2333"/>
      <c r="K698" s="2430"/>
      <c r="L698" s="2438"/>
      <c r="M698" s="2438"/>
      <c r="N698" s="2438"/>
      <c r="O698" s="2438"/>
      <c r="P698" s="2438"/>
      <c r="Q698" s="2438"/>
    </row>
    <row r="699" spans="1:17" s="129" customFormat="1" x14ac:dyDescent="0.25">
      <c r="A699" s="2404"/>
      <c r="B699" s="1814"/>
      <c r="C699" s="1885"/>
      <c r="D699" s="1820"/>
      <c r="E699" s="2615"/>
      <c r="F699" s="2334"/>
      <c r="G699" s="2334"/>
      <c r="H699" s="2617"/>
      <c r="I699" s="2334"/>
      <c r="J699" s="2334"/>
      <c r="K699" s="2431"/>
      <c r="L699" s="2439"/>
      <c r="M699" s="2439"/>
      <c r="N699" s="2439"/>
      <c r="O699" s="2439"/>
      <c r="P699" s="2439"/>
      <c r="Q699" s="2439"/>
    </row>
    <row r="700" spans="1:17" s="129" customFormat="1" ht="45" x14ac:dyDescent="0.25">
      <c r="A700" s="1890">
        <v>34</v>
      </c>
      <c r="B700" s="2618">
        <v>4</v>
      </c>
      <c r="C700" s="2359"/>
      <c r="D700" s="1818"/>
      <c r="E700" s="2455" t="s">
        <v>807</v>
      </c>
      <c r="F700" s="2557">
        <v>3834901.0999999996</v>
      </c>
      <c r="G700" s="2557">
        <v>4285148.4000000004</v>
      </c>
      <c r="H700" s="2392">
        <f>H702+H704</f>
        <v>5734391.5</v>
      </c>
      <c r="I700" s="2489">
        <v>4473450.9000000004</v>
      </c>
      <c r="J700" s="2489">
        <v>4519912.71</v>
      </c>
      <c r="K700" s="409" t="s">
        <v>406</v>
      </c>
      <c r="L700" s="127" t="s">
        <v>182</v>
      </c>
      <c r="M700" s="109">
        <v>72</v>
      </c>
      <c r="N700" s="109">
        <v>75</v>
      </c>
      <c r="O700" s="110">
        <v>78</v>
      </c>
      <c r="P700" s="109">
        <v>80</v>
      </c>
      <c r="Q700" s="109">
        <v>80</v>
      </c>
    </row>
    <row r="701" spans="1:17" s="129" customFormat="1" ht="45" x14ac:dyDescent="0.25">
      <c r="A701" s="1890"/>
      <c r="B701" s="2618"/>
      <c r="C701" s="1885"/>
      <c r="D701" s="1820"/>
      <c r="E701" s="2456"/>
      <c r="F701" s="2472"/>
      <c r="G701" s="2472"/>
      <c r="H701" s="2393"/>
      <c r="I701" s="2413"/>
      <c r="J701" s="2413"/>
      <c r="K701" s="409" t="s">
        <v>407</v>
      </c>
      <c r="L701" s="108" t="s">
        <v>182</v>
      </c>
      <c r="M701" s="109">
        <v>75</v>
      </c>
      <c r="N701" s="109">
        <v>76</v>
      </c>
      <c r="O701" s="110">
        <v>77</v>
      </c>
      <c r="P701" s="109">
        <v>78</v>
      </c>
      <c r="Q701" s="109">
        <v>79</v>
      </c>
    </row>
    <row r="702" spans="1:17" s="129" customFormat="1" ht="75" x14ac:dyDescent="0.25">
      <c r="A702" s="2067"/>
      <c r="B702" s="1812"/>
      <c r="C702" s="2359" t="s">
        <v>6</v>
      </c>
      <c r="D702" s="1818"/>
      <c r="E702" s="2420" t="s">
        <v>795</v>
      </c>
      <c r="F702" s="2546">
        <v>3159141.4</v>
      </c>
      <c r="G702" s="2546">
        <v>3716777.4</v>
      </c>
      <c r="H702" s="2572">
        <f>5183139.3</f>
        <v>5183139.3</v>
      </c>
      <c r="I702" s="2546">
        <v>3897691</v>
      </c>
      <c r="J702" s="2546">
        <v>3936667.91</v>
      </c>
      <c r="K702" s="111" t="s">
        <v>408</v>
      </c>
      <c r="L702" s="108" t="s">
        <v>182</v>
      </c>
      <c r="M702" s="125">
        <v>0.8</v>
      </c>
      <c r="N702" s="125">
        <v>0.85</v>
      </c>
      <c r="O702" s="126">
        <v>0.85</v>
      </c>
      <c r="P702" s="125">
        <v>0.85</v>
      </c>
      <c r="Q702" s="125">
        <v>0.85</v>
      </c>
    </row>
    <row r="703" spans="1:17" s="129" customFormat="1" ht="45" x14ac:dyDescent="0.25">
      <c r="A703" s="2067"/>
      <c r="B703" s="1814"/>
      <c r="C703" s="1885"/>
      <c r="D703" s="1820"/>
      <c r="E703" s="2615"/>
      <c r="F703" s="2551"/>
      <c r="G703" s="2551"/>
      <c r="H703" s="2574"/>
      <c r="I703" s="2551"/>
      <c r="J703" s="2551"/>
      <c r="K703" s="111" t="s">
        <v>796</v>
      </c>
      <c r="L703" s="108" t="s">
        <v>182</v>
      </c>
      <c r="M703" s="125">
        <v>0.5</v>
      </c>
      <c r="N703" s="125">
        <v>0.55000000000000004</v>
      </c>
      <c r="O703" s="126">
        <v>0.55000000000000004</v>
      </c>
      <c r="P703" s="125">
        <v>0.55000000000000004</v>
      </c>
      <c r="Q703" s="125">
        <v>0.55000000000000004</v>
      </c>
    </row>
    <row r="704" spans="1:17" s="129" customFormat="1" x14ac:dyDescent="0.25">
      <c r="A704" s="1818"/>
      <c r="B704" s="1812"/>
      <c r="C704" s="2359" t="s">
        <v>8</v>
      </c>
      <c r="D704" s="1818"/>
      <c r="E704" s="2400" t="s">
        <v>151</v>
      </c>
      <c r="F704" s="2546">
        <v>675759.7</v>
      </c>
      <c r="G704" s="2546">
        <v>568371</v>
      </c>
      <c r="H704" s="2546">
        <f>551252.2</f>
        <v>551252.19999999995</v>
      </c>
      <c r="I704" s="2546">
        <v>575759.9</v>
      </c>
      <c r="J704" s="2546">
        <v>583244.80000000005</v>
      </c>
      <c r="K704" s="2436" t="s">
        <v>409</v>
      </c>
      <c r="L704" s="2438" t="s">
        <v>182</v>
      </c>
      <c r="M704" s="2548">
        <v>0.3</v>
      </c>
      <c r="N704" s="2548">
        <v>0.3</v>
      </c>
      <c r="O704" s="2548">
        <v>0.32</v>
      </c>
      <c r="P704" s="2548">
        <v>0.32</v>
      </c>
      <c r="Q704" s="2548">
        <v>0.32</v>
      </c>
    </row>
    <row r="705" spans="1:17" s="129" customFormat="1" ht="31.5" customHeight="1" x14ac:dyDescent="0.25">
      <c r="A705" s="1820"/>
      <c r="B705" s="1814"/>
      <c r="C705" s="2016"/>
      <c r="D705" s="1820"/>
      <c r="E705" s="2400"/>
      <c r="F705" s="2551"/>
      <c r="G705" s="2551"/>
      <c r="H705" s="2551"/>
      <c r="I705" s="2551"/>
      <c r="J705" s="2551"/>
      <c r="K705" s="2437"/>
      <c r="L705" s="2439"/>
      <c r="M705" s="2549"/>
      <c r="N705" s="2549"/>
      <c r="O705" s="2549"/>
      <c r="P705" s="2549"/>
      <c r="Q705" s="2549"/>
    </row>
    <row r="706" spans="1:17" s="129" customFormat="1" ht="90" x14ac:dyDescent="0.25">
      <c r="A706" s="569">
        <v>34</v>
      </c>
      <c r="B706" s="520">
        <v>5</v>
      </c>
      <c r="C706" s="524"/>
      <c r="D706" s="298"/>
      <c r="E706" s="345" t="s">
        <v>2869</v>
      </c>
      <c r="F706" s="542">
        <v>41897.800000000003</v>
      </c>
      <c r="G706" s="542">
        <v>57353.4</v>
      </c>
      <c r="H706" s="732">
        <f>H707+H711</f>
        <v>57856.800000000003</v>
      </c>
      <c r="I706" s="729">
        <v>57919.681000000004</v>
      </c>
      <c r="J706" s="729">
        <v>58645.458809999996</v>
      </c>
      <c r="K706" s="532" t="s">
        <v>797</v>
      </c>
      <c r="L706" s="538" t="s">
        <v>182</v>
      </c>
      <c r="M706" s="538">
        <v>100</v>
      </c>
      <c r="N706" s="541">
        <v>100</v>
      </c>
      <c r="O706" s="538">
        <v>100</v>
      </c>
      <c r="P706" s="538">
        <v>100</v>
      </c>
      <c r="Q706" s="538">
        <v>100</v>
      </c>
    </row>
    <row r="707" spans="1:17" s="129" customFormat="1" x14ac:dyDescent="0.25">
      <c r="A707" s="1818"/>
      <c r="B707" s="1812"/>
      <c r="C707" s="2359" t="s">
        <v>6</v>
      </c>
      <c r="D707" s="1818"/>
      <c r="E707" s="2400" t="s">
        <v>152</v>
      </c>
      <c r="F707" s="2440">
        <v>40476.5</v>
      </c>
      <c r="G707" s="2443">
        <v>48234.8</v>
      </c>
      <c r="H707" s="2443">
        <f>46829.3</f>
        <v>46829.3</v>
      </c>
      <c r="I707" s="2443">
        <v>48861.9</v>
      </c>
      <c r="J707" s="2443">
        <v>49497.1</v>
      </c>
      <c r="K707" s="111" t="s">
        <v>410</v>
      </c>
      <c r="L707" s="108" t="s">
        <v>270</v>
      </c>
      <c r="M707" s="108">
        <v>9</v>
      </c>
      <c r="N707" s="108" t="s">
        <v>383</v>
      </c>
      <c r="O707" s="108" t="s">
        <v>383</v>
      </c>
      <c r="P707" s="108" t="s">
        <v>383</v>
      </c>
      <c r="Q707" s="108" t="s">
        <v>383</v>
      </c>
    </row>
    <row r="708" spans="1:17" s="129" customFormat="1" ht="37.5" customHeight="1" x14ac:dyDescent="0.25">
      <c r="A708" s="1819"/>
      <c r="B708" s="1813"/>
      <c r="C708" s="2016"/>
      <c r="D708" s="1819"/>
      <c r="E708" s="2400"/>
      <c r="F708" s="2441"/>
      <c r="G708" s="2444"/>
      <c r="H708" s="2444"/>
      <c r="I708" s="2444"/>
      <c r="J708" s="2444"/>
      <c r="K708" s="359" t="s">
        <v>411</v>
      </c>
      <c r="L708" s="108" t="s">
        <v>191</v>
      </c>
      <c r="M708" s="108">
        <v>2551</v>
      </c>
      <c r="N708" s="108" t="s">
        <v>383</v>
      </c>
      <c r="O708" s="108" t="s">
        <v>383</v>
      </c>
      <c r="P708" s="108" t="s">
        <v>383</v>
      </c>
      <c r="Q708" s="108" t="s">
        <v>383</v>
      </c>
    </row>
    <row r="709" spans="1:17" s="129" customFormat="1" x14ac:dyDescent="0.25">
      <c r="A709" s="1819"/>
      <c r="B709" s="1813"/>
      <c r="C709" s="2016"/>
      <c r="D709" s="1819"/>
      <c r="E709" s="2400"/>
      <c r="F709" s="2441"/>
      <c r="G709" s="2444"/>
      <c r="H709" s="2444"/>
      <c r="I709" s="2444"/>
      <c r="J709" s="2444"/>
      <c r="K709" s="409" t="s">
        <v>412</v>
      </c>
      <c r="L709" s="108" t="s">
        <v>189</v>
      </c>
      <c r="M709" s="108">
        <v>42</v>
      </c>
      <c r="N709" s="108" t="s">
        <v>383</v>
      </c>
      <c r="O709" s="108" t="s">
        <v>383</v>
      </c>
      <c r="P709" s="108" t="s">
        <v>383</v>
      </c>
      <c r="Q709" s="108" t="s">
        <v>383</v>
      </c>
    </row>
    <row r="710" spans="1:17" s="129" customFormat="1" ht="59.25" customHeight="1" x14ac:dyDescent="0.25">
      <c r="A710" s="1820"/>
      <c r="B710" s="1814"/>
      <c r="C710" s="1885"/>
      <c r="D710" s="1820"/>
      <c r="E710" s="2400"/>
      <c r="F710" s="2442"/>
      <c r="G710" s="2445"/>
      <c r="H710" s="2445"/>
      <c r="I710" s="2445"/>
      <c r="J710" s="2445"/>
      <c r="K710" s="359" t="s">
        <v>413</v>
      </c>
      <c r="L710" s="108" t="s">
        <v>191</v>
      </c>
      <c r="M710" s="108">
        <v>4427</v>
      </c>
      <c r="N710" s="108" t="s">
        <v>383</v>
      </c>
      <c r="O710" s="108" t="s">
        <v>383</v>
      </c>
      <c r="P710" s="108" t="s">
        <v>383</v>
      </c>
      <c r="Q710" s="108" t="s">
        <v>383</v>
      </c>
    </row>
    <row r="711" spans="1:17" s="129" customFormat="1" ht="60" x14ac:dyDescent="0.25">
      <c r="A711" s="1818"/>
      <c r="B711" s="1812"/>
      <c r="C711" s="2359" t="s">
        <v>8</v>
      </c>
      <c r="D711" s="1818"/>
      <c r="E711" s="2400" t="s">
        <v>153</v>
      </c>
      <c r="F711" s="2572">
        <v>1421.3</v>
      </c>
      <c r="G711" s="2546">
        <v>9118.6</v>
      </c>
      <c r="H711" s="2572">
        <f>11027.5</f>
        <v>11027.5</v>
      </c>
      <c r="I711" s="2546">
        <v>9057.7810000000009</v>
      </c>
      <c r="J711" s="2546">
        <v>9148.3588100000015</v>
      </c>
      <c r="K711" s="111" t="s">
        <v>414</v>
      </c>
      <c r="L711" s="108" t="s">
        <v>189</v>
      </c>
      <c r="M711" s="108" t="s">
        <v>383</v>
      </c>
      <c r="N711" s="108" t="s">
        <v>383</v>
      </c>
      <c r="O711" s="108" t="s">
        <v>383</v>
      </c>
      <c r="P711" s="108" t="s">
        <v>383</v>
      </c>
      <c r="Q711" s="108" t="s">
        <v>383</v>
      </c>
    </row>
    <row r="712" spans="1:17" s="129" customFormat="1" ht="60" x14ac:dyDescent="0.25">
      <c r="A712" s="1820"/>
      <c r="B712" s="1814"/>
      <c r="C712" s="1885"/>
      <c r="D712" s="1820"/>
      <c r="E712" s="2400"/>
      <c r="F712" s="2574"/>
      <c r="G712" s="2551"/>
      <c r="H712" s="2574"/>
      <c r="I712" s="2551"/>
      <c r="J712" s="2551"/>
      <c r="K712" s="111" t="s">
        <v>415</v>
      </c>
      <c r="L712" s="108" t="s">
        <v>189</v>
      </c>
      <c r="M712" s="108" t="s">
        <v>383</v>
      </c>
      <c r="N712" s="108" t="s">
        <v>383</v>
      </c>
      <c r="O712" s="108" t="s">
        <v>383</v>
      </c>
      <c r="P712" s="108" t="s">
        <v>383</v>
      </c>
      <c r="Q712" s="108" t="s">
        <v>383</v>
      </c>
    </row>
    <row r="713" spans="1:17" s="129" customFormat="1" ht="104.25" x14ac:dyDescent="0.25">
      <c r="A713" s="443">
        <v>34</v>
      </c>
      <c r="B713" s="490">
        <v>6</v>
      </c>
      <c r="C713" s="421"/>
      <c r="D713" s="119"/>
      <c r="E713" s="113" t="s">
        <v>865</v>
      </c>
      <c r="F713" s="31">
        <v>164451.9</v>
      </c>
      <c r="G713" s="31">
        <v>155655.5</v>
      </c>
      <c r="H713" s="1801">
        <f>H714+H715</f>
        <v>171828.6</v>
      </c>
      <c r="I713" s="734">
        <v>157703</v>
      </c>
      <c r="J713" s="734">
        <v>159783.67999999999</v>
      </c>
      <c r="K713" s="111" t="s">
        <v>416</v>
      </c>
      <c r="L713" s="108" t="s">
        <v>182</v>
      </c>
      <c r="M713" s="109">
        <v>1</v>
      </c>
      <c r="N713" s="109">
        <v>1.2</v>
      </c>
      <c r="O713" s="110">
        <v>1.2</v>
      </c>
      <c r="P713" s="109">
        <v>1.2</v>
      </c>
      <c r="Q713" s="109">
        <v>1.2</v>
      </c>
    </row>
    <row r="714" spans="1:17" s="129" customFormat="1" ht="45" x14ac:dyDescent="0.25">
      <c r="A714" s="505"/>
      <c r="B714" s="475"/>
      <c r="C714" s="421" t="s">
        <v>6</v>
      </c>
      <c r="D714" s="119"/>
      <c r="E714" s="346" t="s">
        <v>154</v>
      </c>
      <c r="F714" s="245">
        <v>162651.9</v>
      </c>
      <c r="G714" s="332">
        <v>153855.5</v>
      </c>
      <c r="H714" s="245">
        <f>166735.4</f>
        <v>166735.4</v>
      </c>
      <c r="I714" s="735">
        <v>155885</v>
      </c>
      <c r="J714" s="735">
        <v>157947.5</v>
      </c>
      <c r="K714" s="111" t="s">
        <v>417</v>
      </c>
      <c r="L714" s="108" t="s">
        <v>182</v>
      </c>
      <c r="M714" s="109">
        <v>65</v>
      </c>
      <c r="N714" s="109">
        <v>70</v>
      </c>
      <c r="O714" s="110">
        <v>70</v>
      </c>
      <c r="P714" s="109">
        <v>70</v>
      </c>
      <c r="Q714" s="109">
        <v>70</v>
      </c>
    </row>
    <row r="715" spans="1:17" x14ac:dyDescent="0.25">
      <c r="A715" s="2596"/>
      <c r="B715" s="2486"/>
      <c r="C715" s="2556" t="s">
        <v>8</v>
      </c>
      <c r="D715" s="2596"/>
      <c r="E715" s="2619" t="s">
        <v>155</v>
      </c>
      <c r="F715" s="2572">
        <v>1800</v>
      </c>
      <c r="G715" s="2546">
        <v>1800</v>
      </c>
      <c r="H715" s="2572">
        <f>5093.2</f>
        <v>5093.2</v>
      </c>
      <c r="I715" s="2546">
        <v>1818</v>
      </c>
      <c r="J715" s="2546">
        <v>1836.18</v>
      </c>
      <c r="K715" s="2605" t="s">
        <v>418</v>
      </c>
      <c r="L715" s="2591" t="s">
        <v>182</v>
      </c>
      <c r="M715" s="2591" t="s">
        <v>419</v>
      </c>
      <c r="N715" s="2591" t="s">
        <v>419</v>
      </c>
      <c r="O715" s="2591" t="s">
        <v>419</v>
      </c>
      <c r="P715" s="2591" t="s">
        <v>419</v>
      </c>
      <c r="Q715" s="2591" t="s">
        <v>419</v>
      </c>
    </row>
    <row r="716" spans="1:17" ht="69" customHeight="1" x14ac:dyDescent="0.25">
      <c r="A716" s="2136"/>
      <c r="B716" s="2487"/>
      <c r="C716" s="1992"/>
      <c r="D716" s="2095"/>
      <c r="E716" s="2619"/>
      <c r="F716" s="2574"/>
      <c r="G716" s="2551"/>
      <c r="H716" s="2574"/>
      <c r="I716" s="2551"/>
      <c r="J716" s="2551"/>
      <c r="K716" s="2606"/>
      <c r="L716" s="2592"/>
      <c r="M716" s="2592"/>
      <c r="N716" s="2592"/>
      <c r="O716" s="2592"/>
      <c r="P716" s="2592"/>
      <c r="Q716" s="2592"/>
    </row>
    <row r="717" spans="1:17" hidden="1" x14ac:dyDescent="0.25">
      <c r="A717" s="722"/>
      <c r="B717" s="693">
        <v>7</v>
      </c>
      <c r="C717" s="702"/>
      <c r="D717" s="653"/>
      <c r="E717" s="647" t="s">
        <v>867</v>
      </c>
      <c r="F717" s="703"/>
      <c r="G717" s="704"/>
      <c r="H717" s="724">
        <f>H718</f>
        <v>0</v>
      </c>
      <c r="I717" s="731"/>
      <c r="J717" s="731"/>
      <c r="K717" s="696"/>
      <c r="L717" s="697"/>
      <c r="M717" s="697"/>
      <c r="N717" s="697"/>
      <c r="O717" s="697"/>
      <c r="P717" s="723"/>
      <c r="Q717" s="697"/>
    </row>
    <row r="718" spans="1:17" hidden="1" x14ac:dyDescent="0.25">
      <c r="A718" s="722"/>
      <c r="B718" s="693"/>
      <c r="C718" s="702" t="s">
        <v>6</v>
      </c>
      <c r="D718" s="653"/>
      <c r="E718" s="707" t="s">
        <v>868</v>
      </c>
      <c r="F718" s="703"/>
      <c r="G718" s="704"/>
      <c r="H718" s="731"/>
      <c r="I718" s="731"/>
      <c r="J718" s="731"/>
      <c r="K718" s="696"/>
      <c r="L718" s="697"/>
      <c r="M718" s="697"/>
      <c r="N718" s="697"/>
      <c r="O718" s="697"/>
      <c r="P718" s="723"/>
      <c r="Q718" s="697"/>
    </row>
    <row r="719" spans="1:17" s="142" customFormat="1" ht="33" customHeight="1" x14ac:dyDescent="0.25">
      <c r="A719" s="1821" t="s">
        <v>156</v>
      </c>
      <c r="B719" s="1822"/>
      <c r="C719" s="1822"/>
      <c r="D719" s="1822"/>
      <c r="E719" s="1822"/>
      <c r="F719" s="17">
        <v>25632064.399999999</v>
      </c>
      <c r="G719" s="17">
        <v>27289926.800000001</v>
      </c>
      <c r="H719" s="17">
        <f>H657+H665+H688+H700+H706+H713+H717</f>
        <v>30001397.770000003</v>
      </c>
      <c r="I719" s="17">
        <v>26504321.020999998</v>
      </c>
      <c r="J719" s="17">
        <v>26633759.263209999</v>
      </c>
      <c r="K719" s="880"/>
      <c r="L719" s="881"/>
      <c r="M719" s="882"/>
      <c r="N719" s="883"/>
      <c r="O719" s="884"/>
      <c r="P719" s="885"/>
      <c r="Q719" s="884"/>
    </row>
    <row r="720" spans="1:17" s="170" customFormat="1" x14ac:dyDescent="0.25">
      <c r="A720" s="2475" t="s">
        <v>2870</v>
      </c>
      <c r="B720" s="2476"/>
      <c r="C720" s="2476"/>
      <c r="D720" s="2476"/>
      <c r="E720" s="2476"/>
      <c r="F720" s="2476"/>
      <c r="G720" s="2476"/>
      <c r="H720" s="2476"/>
      <c r="I720" s="2476"/>
      <c r="J720" s="2476"/>
      <c r="K720" s="2476"/>
      <c r="L720" s="2476"/>
      <c r="M720" s="2476"/>
      <c r="N720" s="2476"/>
      <c r="O720" s="2476"/>
      <c r="P720" s="2476"/>
      <c r="Q720" s="2477"/>
    </row>
    <row r="721" spans="1:17" s="170" customFormat="1" ht="73.5" x14ac:dyDescent="0.25">
      <c r="A721" s="621">
        <v>35</v>
      </c>
      <c r="B721" s="622">
        <v>1</v>
      </c>
      <c r="C721" s="429"/>
      <c r="D721" s="147"/>
      <c r="E721" s="633" t="s">
        <v>810</v>
      </c>
      <c r="F721" s="204">
        <v>29481.600000000002</v>
      </c>
      <c r="G721" s="204">
        <v>47095.399999999994</v>
      </c>
      <c r="H721" s="204">
        <f>H722+H723+H725+H726+H728+H731+H732</f>
        <v>144442.20000000001</v>
      </c>
      <c r="I721" s="204">
        <v>47095.3</v>
      </c>
      <c r="J721" s="204">
        <v>47095.3</v>
      </c>
      <c r="K721" s="74" t="s">
        <v>181</v>
      </c>
      <c r="L721" s="148" t="s">
        <v>182</v>
      </c>
      <c r="M721" s="180">
        <v>30</v>
      </c>
      <c r="N721" s="180">
        <v>30</v>
      </c>
      <c r="O721" s="180">
        <v>36</v>
      </c>
      <c r="P721" s="180">
        <v>36</v>
      </c>
      <c r="Q721" s="180">
        <v>36</v>
      </c>
    </row>
    <row r="722" spans="1:17" s="182" customFormat="1" x14ac:dyDescent="0.25">
      <c r="A722" s="595"/>
      <c r="B722" s="181"/>
      <c r="C722" s="430" t="s">
        <v>6</v>
      </c>
      <c r="D722" s="149"/>
      <c r="E722" s="178" t="s">
        <v>7</v>
      </c>
      <c r="F722" s="174">
        <v>1551.7</v>
      </c>
      <c r="G722" s="176">
        <v>3963.1</v>
      </c>
      <c r="H722" s="176">
        <v>7599.1</v>
      </c>
      <c r="I722" s="176">
        <v>3963.1000000000004</v>
      </c>
      <c r="J722" s="176">
        <v>3963.1000000000004</v>
      </c>
      <c r="K722" s="150" t="s">
        <v>183</v>
      </c>
      <c r="L722" s="148" t="s">
        <v>182</v>
      </c>
      <c r="M722" s="151">
        <v>70</v>
      </c>
      <c r="N722" s="152">
        <v>73</v>
      </c>
      <c r="O722" s="152">
        <v>77</v>
      </c>
      <c r="P722" s="152">
        <v>81</v>
      </c>
      <c r="Q722" s="152">
        <v>85</v>
      </c>
    </row>
    <row r="723" spans="1:17" s="182" customFormat="1" x14ac:dyDescent="0.25">
      <c r="A723" s="595"/>
      <c r="B723" s="2446"/>
      <c r="C723" s="2388" t="s">
        <v>8</v>
      </c>
      <c r="D723" s="2607"/>
      <c r="E723" s="2603" t="s">
        <v>9</v>
      </c>
      <c r="F723" s="2384">
        <v>517.20000000000005</v>
      </c>
      <c r="G723" s="2384">
        <v>936.9</v>
      </c>
      <c r="H723" s="2384">
        <v>2131.9</v>
      </c>
      <c r="I723" s="2384">
        <v>936.89999999999986</v>
      </c>
      <c r="J723" s="2384">
        <v>936.89999999999986</v>
      </c>
      <c r="K723" s="150" t="s">
        <v>185</v>
      </c>
      <c r="L723" s="148" t="s">
        <v>182</v>
      </c>
      <c r="M723" s="151">
        <v>100</v>
      </c>
      <c r="N723" s="151">
        <v>100</v>
      </c>
      <c r="O723" s="151">
        <v>100</v>
      </c>
      <c r="P723" s="151">
        <v>100</v>
      </c>
      <c r="Q723" s="151">
        <v>100</v>
      </c>
    </row>
    <row r="724" spans="1:17" s="182" customFormat="1" x14ac:dyDescent="0.25">
      <c r="A724" s="596"/>
      <c r="B724" s="2447"/>
      <c r="C724" s="2389"/>
      <c r="D724" s="2608"/>
      <c r="E724" s="2604"/>
      <c r="F724" s="2385"/>
      <c r="G724" s="2385"/>
      <c r="H724" s="2385"/>
      <c r="I724" s="2385"/>
      <c r="J724" s="2385"/>
      <c r="K724" s="317" t="s">
        <v>486</v>
      </c>
      <c r="L724" s="148" t="s">
        <v>189</v>
      </c>
      <c r="M724" s="151">
        <v>127</v>
      </c>
      <c r="N724" s="152">
        <v>130</v>
      </c>
      <c r="O724" s="152">
        <v>130</v>
      </c>
      <c r="P724" s="152">
        <v>130</v>
      </c>
      <c r="Q724" s="152">
        <v>130</v>
      </c>
    </row>
    <row r="725" spans="1:17" s="182" customFormat="1" ht="30" x14ac:dyDescent="0.25">
      <c r="A725" s="595"/>
      <c r="B725" s="181"/>
      <c r="C725" s="183" t="s">
        <v>10</v>
      </c>
      <c r="D725" s="153"/>
      <c r="E725" s="634" t="s">
        <v>11</v>
      </c>
      <c r="F725" s="258">
        <v>3620.5</v>
      </c>
      <c r="G725" s="258">
        <v>6569.5</v>
      </c>
      <c r="H725" s="258">
        <v>14354.9</v>
      </c>
      <c r="I725" s="258">
        <v>6569.5</v>
      </c>
      <c r="J725" s="258">
        <v>6569.5</v>
      </c>
      <c r="K725" s="150" t="s">
        <v>798</v>
      </c>
      <c r="L725" s="148" t="s">
        <v>189</v>
      </c>
      <c r="M725" s="151">
        <v>23</v>
      </c>
      <c r="N725" s="152">
        <v>25</v>
      </c>
      <c r="O725" s="152">
        <v>25</v>
      </c>
      <c r="P725" s="152">
        <v>25</v>
      </c>
      <c r="Q725" s="152">
        <v>25</v>
      </c>
    </row>
    <row r="726" spans="1:17" s="182" customFormat="1" ht="30" x14ac:dyDescent="0.25">
      <c r="A726" s="595"/>
      <c r="B726" s="2446"/>
      <c r="C726" s="2610" t="s">
        <v>12</v>
      </c>
      <c r="D726" s="2607"/>
      <c r="E726" s="2603" t="s">
        <v>13</v>
      </c>
      <c r="F726" s="2384">
        <v>1551.7</v>
      </c>
      <c r="G726" s="2384">
        <v>2908.3</v>
      </c>
      <c r="H726" s="2384">
        <v>6307.4</v>
      </c>
      <c r="I726" s="2384">
        <v>2908.2</v>
      </c>
      <c r="J726" s="2384">
        <v>2908.2</v>
      </c>
      <c r="K726" s="150" t="s">
        <v>586</v>
      </c>
      <c r="L726" s="148" t="s">
        <v>189</v>
      </c>
      <c r="M726" s="151">
        <v>3</v>
      </c>
      <c r="N726" s="152">
        <v>5</v>
      </c>
      <c r="O726" s="152">
        <v>5</v>
      </c>
      <c r="P726" s="152">
        <v>5</v>
      </c>
      <c r="Q726" s="152">
        <v>5</v>
      </c>
    </row>
    <row r="727" spans="1:17" s="182" customFormat="1" ht="45" x14ac:dyDescent="0.25">
      <c r="A727" s="597"/>
      <c r="B727" s="2447"/>
      <c r="C727" s="2611"/>
      <c r="D727" s="2608"/>
      <c r="E727" s="2604"/>
      <c r="F727" s="2385"/>
      <c r="G727" s="2385"/>
      <c r="H727" s="2385"/>
      <c r="I727" s="2385"/>
      <c r="J727" s="2385"/>
      <c r="K727" s="284" t="s">
        <v>2871</v>
      </c>
      <c r="L727" s="148" t="s">
        <v>189</v>
      </c>
      <c r="M727" s="151">
        <v>3</v>
      </c>
      <c r="N727" s="152">
        <v>4</v>
      </c>
      <c r="O727" s="152">
        <v>4</v>
      </c>
      <c r="P727" s="152">
        <v>4</v>
      </c>
      <c r="Q727" s="152">
        <v>4</v>
      </c>
    </row>
    <row r="728" spans="1:17" s="182" customFormat="1" ht="45" x14ac:dyDescent="0.25">
      <c r="A728" s="595"/>
      <c r="B728" s="2446"/>
      <c r="C728" s="2359" t="s">
        <v>14</v>
      </c>
      <c r="D728" s="2599"/>
      <c r="E728" s="2603" t="s">
        <v>15</v>
      </c>
      <c r="F728" s="2384">
        <v>7241.1</v>
      </c>
      <c r="G728" s="2384">
        <v>9975.7999999999993</v>
      </c>
      <c r="H728" s="2384">
        <v>22017.8</v>
      </c>
      <c r="I728" s="2384">
        <v>9975.7999999999993</v>
      </c>
      <c r="J728" s="2384">
        <v>9975.7999999999993</v>
      </c>
      <c r="K728" s="178" t="s">
        <v>587</v>
      </c>
      <c r="L728" s="154" t="s">
        <v>270</v>
      </c>
      <c r="M728" s="184">
        <v>3</v>
      </c>
      <c r="N728" s="184">
        <v>3</v>
      </c>
      <c r="O728" s="184">
        <v>3</v>
      </c>
      <c r="P728" s="184">
        <v>3</v>
      </c>
      <c r="Q728" s="184">
        <v>3</v>
      </c>
    </row>
    <row r="729" spans="1:17" s="182" customFormat="1" ht="45" x14ac:dyDescent="0.25">
      <c r="A729" s="598"/>
      <c r="B729" s="2614"/>
      <c r="C729" s="2016"/>
      <c r="D729" s="2612"/>
      <c r="E729" s="2613"/>
      <c r="F729" s="2602"/>
      <c r="G729" s="2602"/>
      <c r="H729" s="2602"/>
      <c r="I729" s="2602"/>
      <c r="J729" s="2602"/>
      <c r="K729" s="185" t="s">
        <v>588</v>
      </c>
      <c r="L729" s="148" t="s">
        <v>189</v>
      </c>
      <c r="M729" s="151">
        <v>214</v>
      </c>
      <c r="N729" s="152">
        <v>250</v>
      </c>
      <c r="O729" s="152">
        <v>250</v>
      </c>
      <c r="P729" s="152">
        <v>250</v>
      </c>
      <c r="Q729" s="152">
        <v>250</v>
      </c>
    </row>
    <row r="730" spans="1:17" s="182" customFormat="1" ht="30" x14ac:dyDescent="0.25">
      <c r="A730" s="597"/>
      <c r="B730" s="2447"/>
      <c r="C730" s="1885"/>
      <c r="D730" s="2600"/>
      <c r="E730" s="2604"/>
      <c r="F730" s="2385"/>
      <c r="G730" s="2385"/>
      <c r="H730" s="2385"/>
      <c r="I730" s="2385"/>
      <c r="J730" s="2385"/>
      <c r="K730" s="150" t="s">
        <v>589</v>
      </c>
      <c r="L730" s="148" t="s">
        <v>189</v>
      </c>
      <c r="M730" s="151">
        <v>2</v>
      </c>
      <c r="N730" s="151">
        <v>2</v>
      </c>
      <c r="O730" s="151">
        <v>2</v>
      </c>
      <c r="P730" s="151">
        <v>2</v>
      </c>
      <c r="Q730" s="151">
        <v>2</v>
      </c>
    </row>
    <row r="731" spans="1:17" s="186" customFormat="1" ht="30" x14ac:dyDescent="0.25">
      <c r="A731" s="595"/>
      <c r="B731" s="181"/>
      <c r="C731" s="421" t="s">
        <v>16</v>
      </c>
      <c r="D731" s="155"/>
      <c r="E731" s="173" t="s">
        <v>17</v>
      </c>
      <c r="F731" s="174">
        <v>12930.5</v>
      </c>
      <c r="G731" s="174">
        <v>19067.3</v>
      </c>
      <c r="H731" s="174">
        <v>84257.3</v>
      </c>
      <c r="I731" s="174">
        <v>19067.3</v>
      </c>
      <c r="J731" s="174">
        <v>19067.3</v>
      </c>
      <c r="K731" s="185" t="s">
        <v>190</v>
      </c>
      <c r="L731" s="148" t="s">
        <v>182</v>
      </c>
      <c r="M731" s="151">
        <v>25</v>
      </c>
      <c r="N731" s="151">
        <v>25</v>
      </c>
      <c r="O731" s="151">
        <v>25</v>
      </c>
      <c r="P731" s="151">
        <v>25</v>
      </c>
      <c r="Q731" s="151">
        <v>25</v>
      </c>
    </row>
    <row r="732" spans="1:17" s="186" customFormat="1" ht="60" x14ac:dyDescent="0.25">
      <c r="A732" s="595"/>
      <c r="B732" s="181"/>
      <c r="C732" s="417" t="s">
        <v>48</v>
      </c>
      <c r="D732" s="156"/>
      <c r="E732" s="178" t="s">
        <v>590</v>
      </c>
      <c r="F732" s="174">
        <v>2068.9</v>
      </c>
      <c r="G732" s="174">
        <v>3674.5</v>
      </c>
      <c r="H732" s="174">
        <v>7773.8</v>
      </c>
      <c r="I732" s="174">
        <v>3674.5</v>
      </c>
      <c r="J732" s="174">
        <v>3674.5</v>
      </c>
      <c r="K732" s="284" t="s">
        <v>591</v>
      </c>
      <c r="L732" s="318" t="s">
        <v>182</v>
      </c>
      <c r="M732" s="184">
        <v>93.5</v>
      </c>
      <c r="N732" s="152">
        <v>94</v>
      </c>
      <c r="O732" s="152">
        <v>94</v>
      </c>
      <c r="P732" s="152">
        <v>94</v>
      </c>
      <c r="Q732" s="152">
        <v>94</v>
      </c>
    </row>
    <row r="733" spans="1:17" s="182" customFormat="1" ht="75.75" customHeight="1" x14ac:dyDescent="0.25">
      <c r="A733" s="623">
        <v>35</v>
      </c>
      <c r="B733" s="624">
        <v>2</v>
      </c>
      <c r="C733" s="425"/>
      <c r="D733" s="157"/>
      <c r="E733" s="632" t="s">
        <v>2872</v>
      </c>
      <c r="F733" s="205">
        <v>64652.299999999996</v>
      </c>
      <c r="G733" s="205">
        <v>123675.3</v>
      </c>
      <c r="H733" s="205">
        <f>H734+H735+H736+H741+H743+H745+H748+H750+H751+H752+H753</f>
        <v>101978.6</v>
      </c>
      <c r="I733" s="205">
        <v>126130.99999999999</v>
      </c>
      <c r="J733" s="205">
        <v>127850.99999999999</v>
      </c>
      <c r="K733" s="166"/>
      <c r="L733" s="166"/>
      <c r="M733" s="166"/>
      <c r="N733" s="166"/>
      <c r="O733" s="166"/>
      <c r="P733" s="166"/>
      <c r="Q733" s="166"/>
    </row>
    <row r="734" spans="1:17" s="158" customFormat="1" ht="60" x14ac:dyDescent="0.25">
      <c r="A734" s="595"/>
      <c r="B734" s="181"/>
      <c r="C734" s="421" t="s">
        <v>6</v>
      </c>
      <c r="E734" s="175" t="s">
        <v>592</v>
      </c>
      <c r="F734" s="176">
        <v>13447.7</v>
      </c>
      <c r="G734" s="176">
        <v>16860.599999999999</v>
      </c>
      <c r="H734" s="177">
        <v>19347.7</v>
      </c>
      <c r="I734" s="176">
        <v>19060.599999999999</v>
      </c>
      <c r="J734" s="176">
        <v>19660.599999999999</v>
      </c>
      <c r="K734" s="175" t="s">
        <v>593</v>
      </c>
      <c r="L734" s="160" t="s">
        <v>189</v>
      </c>
      <c r="M734" s="160">
        <v>5</v>
      </c>
      <c r="N734" s="160">
        <v>5</v>
      </c>
      <c r="O734" s="160">
        <v>5</v>
      </c>
      <c r="P734" s="160">
        <v>5</v>
      </c>
      <c r="Q734" s="160">
        <v>5</v>
      </c>
    </row>
    <row r="735" spans="1:17" s="182" customFormat="1" ht="60" x14ac:dyDescent="0.25">
      <c r="A735" s="594"/>
      <c r="B735" s="179"/>
      <c r="C735" s="421" t="s">
        <v>8</v>
      </c>
      <c r="D735" s="187"/>
      <c r="E735" s="172" t="s">
        <v>626</v>
      </c>
      <c r="F735" s="176">
        <v>6723.7</v>
      </c>
      <c r="G735" s="176">
        <v>8380</v>
      </c>
      <c r="H735" s="177">
        <v>9644.1</v>
      </c>
      <c r="I735" s="176">
        <v>9219.2999999999993</v>
      </c>
      <c r="J735" s="176">
        <v>9519.2999999999993</v>
      </c>
      <c r="K735" s="172" t="s">
        <v>594</v>
      </c>
      <c r="L735" s="160" t="s">
        <v>182</v>
      </c>
      <c r="M735" s="160">
        <v>0</v>
      </c>
      <c r="N735" s="160">
        <v>3</v>
      </c>
      <c r="O735" s="160">
        <v>4</v>
      </c>
      <c r="P735" s="160">
        <v>5</v>
      </c>
      <c r="Q735" s="160">
        <v>6</v>
      </c>
    </row>
    <row r="736" spans="1:17" s="182" customFormat="1" ht="30" x14ac:dyDescent="0.25">
      <c r="A736" s="595"/>
      <c r="B736" s="2446"/>
      <c r="C736" s="2359" t="s">
        <v>10</v>
      </c>
      <c r="D736" s="2417"/>
      <c r="E736" s="2394" t="s">
        <v>595</v>
      </c>
      <c r="F736" s="2593">
        <v>20171.599999999999</v>
      </c>
      <c r="G736" s="2593">
        <v>19122.2</v>
      </c>
      <c r="H736" s="2397">
        <v>23728.6</v>
      </c>
      <c r="I736" s="2593">
        <v>20454.8</v>
      </c>
      <c r="J736" s="2593">
        <v>21246.3</v>
      </c>
      <c r="K736" s="175" t="s">
        <v>596</v>
      </c>
      <c r="L736" s="160" t="s">
        <v>189</v>
      </c>
      <c r="M736" s="160">
        <v>1</v>
      </c>
      <c r="N736" s="160">
        <v>2</v>
      </c>
      <c r="O736" s="160">
        <v>2</v>
      </c>
      <c r="P736" s="160">
        <v>2</v>
      </c>
      <c r="Q736" s="160">
        <v>2</v>
      </c>
    </row>
    <row r="737" spans="1:17" s="182" customFormat="1" ht="45" x14ac:dyDescent="0.25">
      <c r="A737" s="598"/>
      <c r="B737" s="2614"/>
      <c r="C737" s="2016"/>
      <c r="D737" s="2418"/>
      <c r="E737" s="2395"/>
      <c r="F737" s="2594"/>
      <c r="G737" s="2594"/>
      <c r="H737" s="2398"/>
      <c r="I737" s="2594"/>
      <c r="J737" s="2594"/>
      <c r="K737" s="159" t="s">
        <v>597</v>
      </c>
      <c r="L737" s="160" t="s">
        <v>189</v>
      </c>
      <c r="M737" s="160">
        <v>12</v>
      </c>
      <c r="N737" s="160">
        <v>0</v>
      </c>
      <c r="O737" s="160">
        <v>18</v>
      </c>
      <c r="P737" s="160">
        <v>0</v>
      </c>
      <c r="Q737" s="160">
        <v>0</v>
      </c>
    </row>
    <row r="738" spans="1:17" s="182" customFormat="1" ht="45" x14ac:dyDescent="0.25">
      <c r="A738" s="598"/>
      <c r="B738" s="2614"/>
      <c r="C738" s="2016"/>
      <c r="D738" s="2418"/>
      <c r="E738" s="2395"/>
      <c r="F738" s="2594"/>
      <c r="G738" s="2594"/>
      <c r="H738" s="2398"/>
      <c r="I738" s="2594"/>
      <c r="J738" s="2594"/>
      <c r="K738" s="159" t="s">
        <v>598</v>
      </c>
      <c r="L738" s="160" t="s">
        <v>189</v>
      </c>
      <c r="M738" s="160">
        <v>735</v>
      </c>
      <c r="N738" s="160">
        <v>500</v>
      </c>
      <c r="O738" s="160">
        <v>500</v>
      </c>
      <c r="P738" s="160">
        <v>500</v>
      </c>
      <c r="Q738" s="160">
        <v>500</v>
      </c>
    </row>
    <row r="739" spans="1:17" s="182" customFormat="1" ht="30" x14ac:dyDescent="0.25">
      <c r="A739" s="598"/>
      <c r="B739" s="2614"/>
      <c r="C739" s="2016"/>
      <c r="D739" s="2418"/>
      <c r="E739" s="2395"/>
      <c r="F739" s="2594"/>
      <c r="G739" s="2594"/>
      <c r="H739" s="2398"/>
      <c r="I739" s="2594"/>
      <c r="J739" s="2594"/>
      <c r="K739" s="159" t="s">
        <v>599</v>
      </c>
      <c r="L739" s="160" t="s">
        <v>189</v>
      </c>
      <c r="M739" s="160">
        <v>8</v>
      </c>
      <c r="N739" s="160">
        <v>8</v>
      </c>
      <c r="O739" s="160">
        <v>8</v>
      </c>
      <c r="P739" s="160">
        <v>8</v>
      </c>
      <c r="Q739" s="160">
        <v>8</v>
      </c>
    </row>
    <row r="740" spans="1:17" s="182" customFormat="1" ht="30" x14ac:dyDescent="0.25">
      <c r="A740" s="597"/>
      <c r="B740" s="2447"/>
      <c r="C740" s="1885"/>
      <c r="D740" s="2418"/>
      <c r="E740" s="2396"/>
      <c r="F740" s="2595"/>
      <c r="G740" s="2595"/>
      <c r="H740" s="2399"/>
      <c r="I740" s="2595"/>
      <c r="J740" s="2595"/>
      <c r="K740" s="175" t="s">
        <v>799</v>
      </c>
      <c r="L740" s="160" t="s">
        <v>182</v>
      </c>
      <c r="M740" s="160">
        <v>24</v>
      </c>
      <c r="N740" s="160">
        <v>25</v>
      </c>
      <c r="O740" s="160">
        <v>25</v>
      </c>
      <c r="P740" s="160">
        <v>26</v>
      </c>
      <c r="Q740" s="160">
        <v>0</v>
      </c>
    </row>
    <row r="741" spans="1:17" s="182" customFormat="1" ht="30" x14ac:dyDescent="0.25">
      <c r="A741" s="595"/>
      <c r="B741" s="2446"/>
      <c r="C741" s="2359" t="s">
        <v>12</v>
      </c>
      <c r="D741" s="2599"/>
      <c r="E741" s="2375" t="s">
        <v>600</v>
      </c>
      <c r="F741" s="2593">
        <v>1034.4000000000001</v>
      </c>
      <c r="G741" s="2593">
        <v>2309.1</v>
      </c>
      <c r="H741" s="2397">
        <v>1382.6</v>
      </c>
      <c r="I741" s="2593">
        <v>4759.1000000000004</v>
      </c>
      <c r="J741" s="2593">
        <v>4859.1000000000004</v>
      </c>
      <c r="K741" s="159" t="s">
        <v>601</v>
      </c>
      <c r="L741" s="160" t="s">
        <v>189</v>
      </c>
      <c r="M741" s="160">
        <v>10</v>
      </c>
      <c r="N741" s="160">
        <v>10</v>
      </c>
      <c r="O741" s="160">
        <v>10</v>
      </c>
      <c r="P741" s="160">
        <v>10</v>
      </c>
      <c r="Q741" s="160">
        <v>10</v>
      </c>
    </row>
    <row r="742" spans="1:17" s="182" customFormat="1" ht="45" x14ac:dyDescent="0.25">
      <c r="A742" s="599"/>
      <c r="B742" s="2447"/>
      <c r="C742" s="1885"/>
      <c r="D742" s="2600"/>
      <c r="E742" s="1834"/>
      <c r="F742" s="2595"/>
      <c r="G742" s="2595"/>
      <c r="H742" s="2399"/>
      <c r="I742" s="2595"/>
      <c r="J742" s="2595"/>
      <c r="K742" s="159" t="s">
        <v>602</v>
      </c>
      <c r="L742" s="160" t="s">
        <v>189</v>
      </c>
      <c r="M742" s="160">
        <v>2</v>
      </c>
      <c r="N742" s="160">
        <v>2</v>
      </c>
      <c r="O742" s="160">
        <v>2</v>
      </c>
      <c r="P742" s="160">
        <v>2</v>
      </c>
      <c r="Q742" s="160">
        <v>2</v>
      </c>
    </row>
    <row r="743" spans="1:17" s="182" customFormat="1" ht="30" x14ac:dyDescent="0.25">
      <c r="A743" s="595"/>
      <c r="B743" s="2446"/>
      <c r="C743" s="2359" t="s">
        <v>14</v>
      </c>
      <c r="D743" s="2418"/>
      <c r="E743" s="2597" t="s">
        <v>603</v>
      </c>
      <c r="F743" s="2593">
        <v>1034.4000000000001</v>
      </c>
      <c r="G743" s="2593">
        <v>2259.1</v>
      </c>
      <c r="H743" s="2397">
        <v>1213.0999999999999</v>
      </c>
      <c r="I743" s="2593">
        <v>1659.1</v>
      </c>
      <c r="J743" s="2593">
        <v>1659.1</v>
      </c>
      <c r="K743" s="175" t="s">
        <v>604</v>
      </c>
      <c r="L743" s="160" t="s">
        <v>189</v>
      </c>
      <c r="M743" s="160">
        <v>0</v>
      </c>
      <c r="N743" s="160">
        <v>2</v>
      </c>
      <c r="O743" s="160">
        <v>2</v>
      </c>
      <c r="P743" s="160">
        <v>2</v>
      </c>
      <c r="Q743" s="160">
        <v>2</v>
      </c>
    </row>
    <row r="744" spans="1:17" s="182" customFormat="1" x14ac:dyDescent="0.25">
      <c r="A744" s="597"/>
      <c r="B744" s="2447"/>
      <c r="C744" s="1885"/>
      <c r="D744" s="2601"/>
      <c r="E744" s="2598"/>
      <c r="F744" s="2595"/>
      <c r="G744" s="2595"/>
      <c r="H744" s="2399"/>
      <c r="I744" s="2595"/>
      <c r="J744" s="2595"/>
      <c r="K744" s="175" t="s">
        <v>605</v>
      </c>
      <c r="L744" s="160" t="s">
        <v>189</v>
      </c>
      <c r="M744" s="161" t="s">
        <v>606</v>
      </c>
      <c r="N744" s="161" t="s">
        <v>607</v>
      </c>
      <c r="O744" s="161" t="s">
        <v>608</v>
      </c>
      <c r="P744" s="161" t="s">
        <v>609</v>
      </c>
      <c r="Q744" s="161" t="s">
        <v>610</v>
      </c>
    </row>
    <row r="745" spans="1:17" s="158" customFormat="1" ht="45" x14ac:dyDescent="0.25">
      <c r="A745" s="595"/>
      <c r="B745" s="2446"/>
      <c r="C745" s="2359" t="s">
        <v>16</v>
      </c>
      <c r="D745" s="2417"/>
      <c r="E745" s="2597" t="s">
        <v>611</v>
      </c>
      <c r="F745" s="2593">
        <v>9827.2000000000007</v>
      </c>
      <c r="G745" s="2593">
        <v>18348.2</v>
      </c>
      <c r="H745" s="2397">
        <v>10543.9</v>
      </c>
      <c r="I745" s="2593">
        <v>16953.2</v>
      </c>
      <c r="J745" s="2593">
        <v>17453.2</v>
      </c>
      <c r="K745" s="175" t="s">
        <v>612</v>
      </c>
      <c r="L745" s="160" t="s">
        <v>189</v>
      </c>
      <c r="M745" s="160">
        <v>0</v>
      </c>
      <c r="N745" s="160">
        <v>4</v>
      </c>
      <c r="O745" s="160">
        <v>4</v>
      </c>
      <c r="P745" s="160">
        <v>4</v>
      </c>
      <c r="Q745" s="160">
        <v>4</v>
      </c>
    </row>
    <row r="746" spans="1:17" s="158" customFormat="1" ht="45" x14ac:dyDescent="0.25">
      <c r="A746" s="598"/>
      <c r="B746" s="2614"/>
      <c r="C746" s="2016"/>
      <c r="D746" s="2418"/>
      <c r="E746" s="2609"/>
      <c r="F746" s="2594"/>
      <c r="G746" s="2594"/>
      <c r="H746" s="2398"/>
      <c r="I746" s="2594"/>
      <c r="J746" s="2594"/>
      <c r="K746" s="175" t="s">
        <v>613</v>
      </c>
      <c r="L746" s="160" t="s">
        <v>189</v>
      </c>
      <c r="M746" s="160">
        <v>0</v>
      </c>
      <c r="N746" s="160">
        <v>2</v>
      </c>
      <c r="O746" s="160">
        <v>2</v>
      </c>
      <c r="P746" s="160">
        <v>2</v>
      </c>
      <c r="Q746" s="160">
        <v>2</v>
      </c>
    </row>
    <row r="747" spans="1:17" s="158" customFormat="1" ht="30" x14ac:dyDescent="0.25">
      <c r="A747" s="597"/>
      <c r="B747" s="2447"/>
      <c r="C747" s="1885"/>
      <c r="D747" s="2601"/>
      <c r="E747" s="2609"/>
      <c r="F747" s="2595"/>
      <c r="G747" s="2595"/>
      <c r="H747" s="2399"/>
      <c r="I747" s="2595"/>
      <c r="J747" s="2595"/>
      <c r="K747" s="175" t="s">
        <v>614</v>
      </c>
      <c r="L747" s="160" t="s">
        <v>189</v>
      </c>
      <c r="M747" s="160">
        <v>0</v>
      </c>
      <c r="N747" s="160">
        <v>0</v>
      </c>
      <c r="O747" s="160">
        <v>1</v>
      </c>
      <c r="P747" s="160">
        <v>0</v>
      </c>
      <c r="Q747" s="160">
        <v>0</v>
      </c>
    </row>
    <row r="748" spans="1:17" s="182" customFormat="1" ht="30" x14ac:dyDescent="0.25">
      <c r="A748" s="595"/>
      <c r="B748" s="2446"/>
      <c r="C748" s="2359" t="s">
        <v>48</v>
      </c>
      <c r="D748" s="2599"/>
      <c r="E748" s="2597" t="s">
        <v>615</v>
      </c>
      <c r="F748" s="2593">
        <v>1551.7</v>
      </c>
      <c r="G748" s="2593">
        <v>17663.400000000001</v>
      </c>
      <c r="H748" s="2397">
        <v>16154.5</v>
      </c>
      <c r="I748" s="2593">
        <v>15163.4</v>
      </c>
      <c r="J748" s="2593">
        <v>15163.4</v>
      </c>
      <c r="K748" s="188" t="s">
        <v>616</v>
      </c>
      <c r="L748" s="189" t="s">
        <v>182</v>
      </c>
      <c r="M748" s="189">
        <v>0</v>
      </c>
      <c r="N748" s="189">
        <v>20</v>
      </c>
      <c r="O748" s="189">
        <v>20</v>
      </c>
      <c r="P748" s="189">
        <v>20</v>
      </c>
      <c r="Q748" s="189">
        <v>20</v>
      </c>
    </row>
    <row r="749" spans="1:17" s="182" customFormat="1" ht="30" x14ac:dyDescent="0.25">
      <c r="A749" s="597"/>
      <c r="B749" s="2447"/>
      <c r="C749" s="1885"/>
      <c r="D749" s="2600"/>
      <c r="E749" s="2598"/>
      <c r="F749" s="2595"/>
      <c r="G749" s="2595"/>
      <c r="H749" s="2399"/>
      <c r="I749" s="2595"/>
      <c r="J749" s="2595"/>
      <c r="K749" s="175" t="s">
        <v>800</v>
      </c>
      <c r="L749" s="160" t="s">
        <v>182</v>
      </c>
      <c r="M749" s="160">
        <v>0</v>
      </c>
      <c r="N749" s="160">
        <v>4</v>
      </c>
      <c r="O749" s="160">
        <v>6</v>
      </c>
      <c r="P749" s="160">
        <v>8</v>
      </c>
      <c r="Q749" s="160">
        <v>10</v>
      </c>
    </row>
    <row r="750" spans="1:17" s="182" customFormat="1" ht="75" x14ac:dyDescent="0.25">
      <c r="A750" s="595"/>
      <c r="B750" s="181"/>
      <c r="C750" s="421" t="s">
        <v>49</v>
      </c>
      <c r="D750" s="158"/>
      <c r="E750" s="255" t="s">
        <v>802</v>
      </c>
      <c r="F750" s="176">
        <v>5689.4</v>
      </c>
      <c r="G750" s="176">
        <v>6777</v>
      </c>
      <c r="H750" s="177">
        <v>7693.6</v>
      </c>
      <c r="I750" s="176">
        <v>7427</v>
      </c>
      <c r="J750" s="176">
        <v>7427</v>
      </c>
      <c r="K750" s="240" t="s">
        <v>801</v>
      </c>
      <c r="L750" s="160" t="s">
        <v>189</v>
      </c>
      <c r="M750" s="160">
        <v>0</v>
      </c>
      <c r="N750" s="160">
        <v>1</v>
      </c>
      <c r="O750" s="160">
        <v>0</v>
      </c>
      <c r="P750" s="160">
        <v>1</v>
      </c>
      <c r="Q750" s="160">
        <v>0</v>
      </c>
    </row>
    <row r="751" spans="1:17" s="182" customFormat="1" ht="75" x14ac:dyDescent="0.25">
      <c r="A751" s="595"/>
      <c r="B751" s="181"/>
      <c r="C751" s="421" t="s">
        <v>124</v>
      </c>
      <c r="D751" s="158"/>
      <c r="E751" s="259" t="s">
        <v>617</v>
      </c>
      <c r="F751" s="176">
        <v>2586.1</v>
      </c>
      <c r="G751" s="176">
        <v>3962</v>
      </c>
      <c r="H751" s="177">
        <v>3641.8</v>
      </c>
      <c r="I751" s="176">
        <v>4062</v>
      </c>
      <c r="J751" s="176">
        <v>4462</v>
      </c>
      <c r="K751" s="175" t="s">
        <v>804</v>
      </c>
      <c r="L751" s="160" t="s">
        <v>189</v>
      </c>
      <c r="M751" s="160">
        <v>0</v>
      </c>
      <c r="N751" s="160">
        <v>1</v>
      </c>
      <c r="O751" s="160">
        <v>1</v>
      </c>
      <c r="P751" s="160">
        <v>1</v>
      </c>
      <c r="Q751" s="160">
        <v>1</v>
      </c>
    </row>
    <row r="752" spans="1:17" s="182" customFormat="1" ht="60" x14ac:dyDescent="0.25">
      <c r="A752" s="595"/>
      <c r="B752" s="181"/>
      <c r="C752" s="421" t="s">
        <v>157</v>
      </c>
      <c r="D752" s="158"/>
      <c r="E752" s="255" t="s">
        <v>803</v>
      </c>
      <c r="F752" s="176">
        <v>1034.4000000000001</v>
      </c>
      <c r="G752" s="176">
        <v>12342.9</v>
      </c>
      <c r="H752" s="177">
        <v>1603.4</v>
      </c>
      <c r="I752" s="176">
        <v>11842.9</v>
      </c>
      <c r="J752" s="176">
        <v>11842.9</v>
      </c>
      <c r="K752" s="175" t="s">
        <v>618</v>
      </c>
      <c r="L752" s="160" t="s">
        <v>189</v>
      </c>
      <c r="M752" s="160">
        <v>4</v>
      </c>
      <c r="N752" s="160">
        <v>3</v>
      </c>
      <c r="O752" s="160">
        <v>3</v>
      </c>
      <c r="P752" s="160">
        <v>3</v>
      </c>
      <c r="Q752" s="160">
        <v>3</v>
      </c>
    </row>
    <row r="753" spans="1:17" s="182" customFormat="1" ht="30" x14ac:dyDescent="0.25">
      <c r="A753" s="595"/>
      <c r="B753" s="2446"/>
      <c r="C753" s="2359" t="s">
        <v>158</v>
      </c>
      <c r="D753" s="2599"/>
      <c r="E753" s="2597" t="s">
        <v>619</v>
      </c>
      <c r="F753" s="2593">
        <v>1551.7</v>
      </c>
      <c r="G753" s="2593">
        <v>15650.8</v>
      </c>
      <c r="H753" s="2397">
        <v>7025.3</v>
      </c>
      <c r="I753" s="2593">
        <v>15529.6</v>
      </c>
      <c r="J753" s="2593">
        <v>14558.1</v>
      </c>
      <c r="K753" s="175" t="s">
        <v>620</v>
      </c>
      <c r="L753" s="160" t="s">
        <v>189</v>
      </c>
      <c r="M753" s="160">
        <v>0</v>
      </c>
      <c r="N753" s="160">
        <v>2</v>
      </c>
      <c r="O753" s="160">
        <v>1</v>
      </c>
      <c r="P753" s="160">
        <v>1</v>
      </c>
      <c r="Q753" s="160">
        <v>0</v>
      </c>
    </row>
    <row r="754" spans="1:17" s="182" customFormat="1" x14ac:dyDescent="0.25">
      <c r="A754" s="597"/>
      <c r="B754" s="2447"/>
      <c r="C754" s="1885"/>
      <c r="D754" s="2600"/>
      <c r="E754" s="2598"/>
      <c r="F754" s="2595"/>
      <c r="G754" s="2595"/>
      <c r="H754" s="2399"/>
      <c r="I754" s="2595"/>
      <c r="J754" s="2595"/>
      <c r="K754" s="175" t="s">
        <v>621</v>
      </c>
      <c r="L754" s="160" t="s">
        <v>189</v>
      </c>
      <c r="M754" s="160">
        <v>0</v>
      </c>
      <c r="N754" s="160">
        <v>1</v>
      </c>
      <c r="O754" s="160">
        <v>0</v>
      </c>
      <c r="P754" s="160">
        <v>1</v>
      </c>
      <c r="Q754" s="160">
        <v>0</v>
      </c>
    </row>
    <row r="755" spans="1:17" s="182" customFormat="1" ht="88.5" customHeight="1" x14ac:dyDescent="0.25">
      <c r="A755" s="623">
        <v>35</v>
      </c>
      <c r="B755" s="624">
        <v>3</v>
      </c>
      <c r="C755" s="414"/>
      <c r="D755" s="175"/>
      <c r="E755" s="635" t="s">
        <v>866</v>
      </c>
      <c r="F755" s="205">
        <v>2586.1000000000004</v>
      </c>
      <c r="G755" s="205">
        <v>17984.8</v>
      </c>
      <c r="H755" s="205">
        <f>H756+H757</f>
        <v>13397.7</v>
      </c>
      <c r="I755" s="205">
        <v>17090.3</v>
      </c>
      <c r="J755" s="205">
        <v>16957</v>
      </c>
      <c r="K755" s="159"/>
      <c r="L755" s="159"/>
      <c r="M755" s="159"/>
      <c r="N755" s="159"/>
      <c r="O755" s="159"/>
      <c r="P755" s="159"/>
      <c r="Q755" s="159"/>
    </row>
    <row r="756" spans="1:17" s="182" customFormat="1" ht="30" x14ac:dyDescent="0.25">
      <c r="A756" s="595"/>
      <c r="B756" s="181"/>
      <c r="C756" s="421" t="s">
        <v>6</v>
      </c>
      <c r="D756" s="162"/>
      <c r="E756" s="163" t="s">
        <v>622</v>
      </c>
      <c r="F756" s="174">
        <v>1551.7</v>
      </c>
      <c r="G756" s="176">
        <v>15677</v>
      </c>
      <c r="H756" s="177">
        <v>11026.2</v>
      </c>
      <c r="I756" s="176">
        <v>14629.1</v>
      </c>
      <c r="J756" s="176">
        <v>13895.8</v>
      </c>
      <c r="K756" s="163" t="s">
        <v>623</v>
      </c>
      <c r="L756" s="160" t="s">
        <v>189</v>
      </c>
      <c r="M756" s="164" t="s">
        <v>21</v>
      </c>
      <c r="N756" s="164" t="s">
        <v>21</v>
      </c>
      <c r="O756" s="164" t="s">
        <v>123</v>
      </c>
      <c r="P756" s="164" t="s">
        <v>21</v>
      </c>
      <c r="Q756" s="164" t="s">
        <v>21</v>
      </c>
    </row>
    <row r="757" spans="1:17" s="182" customFormat="1" ht="45" x14ac:dyDescent="0.25">
      <c r="A757" s="594"/>
      <c r="B757" s="179"/>
      <c r="C757" s="421" t="s">
        <v>8</v>
      </c>
      <c r="D757" s="162"/>
      <c r="E757" s="163" t="s">
        <v>624</v>
      </c>
      <c r="F757" s="174">
        <v>1034.4000000000001</v>
      </c>
      <c r="G757" s="174">
        <v>2307.8000000000002</v>
      </c>
      <c r="H757" s="165">
        <v>2371.5</v>
      </c>
      <c r="I757" s="174">
        <v>2461.1999999999998</v>
      </c>
      <c r="J757" s="174">
        <v>3061.2</v>
      </c>
      <c r="K757" s="163" t="s">
        <v>625</v>
      </c>
      <c r="L757" s="160" t="s">
        <v>189</v>
      </c>
      <c r="M757" s="164" t="s">
        <v>21</v>
      </c>
      <c r="N757" s="164" t="s">
        <v>425</v>
      </c>
      <c r="O757" s="164" t="s">
        <v>425</v>
      </c>
      <c r="P757" s="164" t="s">
        <v>425</v>
      </c>
      <c r="Q757" s="164" t="s">
        <v>425</v>
      </c>
    </row>
    <row r="758" spans="1:17" s="182" customFormat="1" x14ac:dyDescent="0.25">
      <c r="A758" s="681"/>
      <c r="B758" s="693">
        <v>4</v>
      </c>
      <c r="C758" s="690"/>
      <c r="D758" s="653"/>
      <c r="E758" s="647" t="s">
        <v>867</v>
      </c>
      <c r="F758" s="683">
        <v>0</v>
      </c>
      <c r="G758" s="683">
        <v>0</v>
      </c>
      <c r="H758" s="684"/>
      <c r="I758" s="686">
        <v>2305823.35</v>
      </c>
      <c r="J758" s="686">
        <v>1689861</v>
      </c>
      <c r="K758" s="163"/>
      <c r="L758" s="160"/>
      <c r="M758" s="164"/>
      <c r="N758" s="164"/>
      <c r="O758" s="164"/>
      <c r="P758" s="682"/>
      <c r="Q758" s="164"/>
    </row>
    <row r="759" spans="1:17" s="182" customFormat="1" x14ac:dyDescent="0.25">
      <c r="A759" s="681"/>
      <c r="B759" s="693"/>
      <c r="C759" s="690" t="s">
        <v>6</v>
      </c>
      <c r="D759" s="653"/>
      <c r="E759" s="691" t="s">
        <v>868</v>
      </c>
      <c r="F759" s="174"/>
      <c r="G759" s="174"/>
      <c r="H759" s="685"/>
      <c r="I759" s="687">
        <v>2305823.35</v>
      </c>
      <c r="J759" s="687">
        <v>1689861</v>
      </c>
      <c r="K759" s="163"/>
      <c r="L759" s="160"/>
      <c r="M759" s="164"/>
      <c r="N759" s="164"/>
      <c r="O759" s="164"/>
      <c r="P759" s="682"/>
      <c r="Q759" s="164"/>
    </row>
    <row r="760" spans="1:17" s="818" customFormat="1" ht="30" customHeight="1" x14ac:dyDescent="0.25">
      <c r="A760" s="1821" t="s">
        <v>2873</v>
      </c>
      <c r="B760" s="1822"/>
      <c r="C760" s="1822"/>
      <c r="D760" s="1822"/>
      <c r="E760" s="1822"/>
      <c r="F760" s="80">
        <v>96720</v>
      </c>
      <c r="G760" s="80">
        <v>188755.5</v>
      </c>
      <c r="H760" s="80">
        <f>H721+H733+H755</f>
        <v>259818.50000000003</v>
      </c>
      <c r="I760" s="80">
        <v>190316.59999999998</v>
      </c>
      <c r="J760" s="80">
        <v>191903.3</v>
      </c>
      <c r="K760" s="880"/>
      <c r="L760" s="882"/>
      <c r="M760" s="882"/>
      <c r="N760" s="883"/>
      <c r="O760" s="884"/>
      <c r="P760" s="885"/>
      <c r="Q760" s="884"/>
    </row>
    <row r="761" spans="1:17" x14ac:dyDescent="0.25">
      <c r="A761" s="1826" t="s">
        <v>1130</v>
      </c>
      <c r="B761" s="1827"/>
      <c r="C761" s="1827"/>
      <c r="D761" s="1827"/>
      <c r="E761" s="1827"/>
      <c r="F761" s="1827"/>
      <c r="G761" s="1827"/>
      <c r="H761" s="1827"/>
      <c r="I761" s="1827"/>
      <c r="J761" s="1827"/>
      <c r="K761" s="1827"/>
      <c r="L761" s="1827"/>
      <c r="M761" s="1827"/>
      <c r="N761" s="1827"/>
      <c r="O761" s="1827"/>
      <c r="P761" s="1827"/>
      <c r="Q761" s="1828"/>
    </row>
    <row r="762" spans="1:17" ht="88.5" x14ac:dyDescent="0.25">
      <c r="A762" s="906">
        <v>38</v>
      </c>
      <c r="B762" s="1047">
        <v>1</v>
      </c>
      <c r="C762" s="65"/>
      <c r="D762" s="65"/>
      <c r="E762" s="647" t="s">
        <v>1131</v>
      </c>
      <c r="F762" s="1071">
        <v>486692.19999999995</v>
      </c>
      <c r="G762" s="1071">
        <v>507479.80000000005</v>
      </c>
      <c r="H762" s="1071">
        <f>H763+H764+H765+H766</f>
        <v>639864.79999999993</v>
      </c>
      <c r="I762" s="1071">
        <v>574388.70000000007</v>
      </c>
      <c r="J762" s="1071">
        <v>574388.70000000007</v>
      </c>
      <c r="K762" s="72"/>
      <c r="L762" s="1003"/>
      <c r="M762" s="1003"/>
      <c r="N762" s="1003"/>
      <c r="O762" s="1003"/>
      <c r="P762" s="1003"/>
      <c r="Q762" s="1003"/>
    </row>
    <row r="763" spans="1:17" x14ac:dyDescent="0.25">
      <c r="A763" s="948"/>
      <c r="B763" s="753"/>
      <c r="C763" s="912" t="s">
        <v>6</v>
      </c>
      <c r="D763" s="1003"/>
      <c r="E763" s="914" t="s">
        <v>7</v>
      </c>
      <c r="F763" s="1072">
        <v>46314.2</v>
      </c>
      <c r="G763" s="1072">
        <v>41679</v>
      </c>
      <c r="H763" s="1072">
        <f>51248.3+65.9</f>
        <v>51314.200000000004</v>
      </c>
      <c r="I763" s="1072">
        <v>43179</v>
      </c>
      <c r="J763" s="1072">
        <v>43179</v>
      </c>
      <c r="K763" s="72"/>
      <c r="L763" s="1003"/>
      <c r="M763" s="1003"/>
      <c r="N763" s="1003"/>
      <c r="O763" s="1003"/>
      <c r="P763" s="1003"/>
      <c r="Q763" s="1003"/>
    </row>
    <row r="764" spans="1:17" ht="30" x14ac:dyDescent="0.25">
      <c r="A764" s="948"/>
      <c r="B764" s="753"/>
      <c r="C764" s="912" t="s">
        <v>16</v>
      </c>
      <c r="D764" s="1003"/>
      <c r="E764" s="901" t="s">
        <v>1132</v>
      </c>
      <c r="F764" s="1072">
        <v>80159.899999999994</v>
      </c>
      <c r="G764" s="1072">
        <v>97681.600000000006</v>
      </c>
      <c r="H764" s="1072">
        <v>40216.800000000003</v>
      </c>
      <c r="I764" s="1072">
        <v>14300</v>
      </c>
      <c r="J764" s="1072">
        <v>14300</v>
      </c>
      <c r="K764" s="72"/>
      <c r="L764" s="1003"/>
      <c r="M764" s="1003"/>
      <c r="N764" s="1003"/>
      <c r="O764" s="1003"/>
      <c r="P764" s="1002"/>
      <c r="Q764" s="1002"/>
    </row>
    <row r="765" spans="1:17" ht="90" x14ac:dyDescent="0.25">
      <c r="A765" s="948"/>
      <c r="B765" s="753"/>
      <c r="C765" s="912" t="s">
        <v>1133</v>
      </c>
      <c r="D765" s="1003"/>
      <c r="E765" s="901" t="s">
        <v>1134</v>
      </c>
      <c r="F765" s="1072">
        <v>14263.6</v>
      </c>
      <c r="G765" s="1072">
        <v>18192.2</v>
      </c>
      <c r="H765" s="1072">
        <f>21581.7+1743.4</f>
        <v>23325.100000000002</v>
      </c>
      <c r="I765" s="1072">
        <v>21209.9</v>
      </c>
      <c r="J765" s="1072">
        <v>21209.9</v>
      </c>
      <c r="K765" s="1003"/>
      <c r="L765" s="1003"/>
      <c r="M765" s="1003"/>
      <c r="N765" s="1003"/>
      <c r="O765" s="1003"/>
      <c r="P765" s="1003"/>
      <c r="Q765" s="1003"/>
    </row>
    <row r="766" spans="1:17" ht="75" x14ac:dyDescent="0.25">
      <c r="A766" s="948"/>
      <c r="B766" s="753"/>
      <c r="C766" s="912" t="s">
        <v>1135</v>
      </c>
      <c r="D766" s="1003"/>
      <c r="E766" s="901" t="s">
        <v>1136</v>
      </c>
      <c r="F766" s="1073">
        <v>345954.5</v>
      </c>
      <c r="G766" s="1073">
        <v>349927</v>
      </c>
      <c r="H766" s="1073">
        <v>525008.69999999995</v>
      </c>
      <c r="I766" s="1073">
        <v>495699.80000000005</v>
      </c>
      <c r="J766" s="1073">
        <v>495699.80000000005</v>
      </c>
      <c r="K766" s="1002"/>
      <c r="L766" s="1003"/>
      <c r="M766" s="1003"/>
      <c r="N766" s="1003"/>
      <c r="O766" s="1003"/>
      <c r="P766" s="1003"/>
      <c r="Q766" s="1003"/>
    </row>
    <row r="767" spans="1:17" ht="239.25" x14ac:dyDescent="0.25">
      <c r="A767" s="906">
        <v>38</v>
      </c>
      <c r="B767" s="1047">
        <v>2</v>
      </c>
      <c r="C767" s="65"/>
      <c r="D767" s="65"/>
      <c r="E767" s="647" t="s">
        <v>1137</v>
      </c>
      <c r="F767" s="1071">
        <v>5751929.1999999993</v>
      </c>
      <c r="G767" s="1071">
        <v>7907571.9000000013</v>
      </c>
      <c r="H767" s="1071">
        <f>H768+H771+H774+H775+H776+H778+H779+H780+H782+H783+H784+H791</f>
        <v>8081923.7999999998</v>
      </c>
      <c r="I767" s="1071">
        <v>8083208.2999999998</v>
      </c>
      <c r="J767" s="1071">
        <v>8208533.2999999998</v>
      </c>
      <c r="K767" s="72"/>
      <c r="L767" s="1003"/>
      <c r="M767" s="1003"/>
      <c r="N767" s="1003"/>
      <c r="O767" s="1003"/>
      <c r="P767" s="1003"/>
      <c r="Q767" s="1003"/>
    </row>
    <row r="768" spans="1:17" ht="30" x14ac:dyDescent="0.25">
      <c r="A768" s="1818"/>
      <c r="B768" s="1812"/>
      <c r="C768" s="2359" t="s">
        <v>6</v>
      </c>
      <c r="D768" s="2359"/>
      <c r="E768" s="2361" t="s">
        <v>1138</v>
      </c>
      <c r="F768" s="2362">
        <v>3196027.1</v>
      </c>
      <c r="G768" s="2362">
        <v>5314824.4000000004</v>
      </c>
      <c r="H768" s="2362">
        <v>4468178.7</v>
      </c>
      <c r="I768" s="2362">
        <v>5314824.4000000004</v>
      </c>
      <c r="J768" s="2362">
        <v>5440149.4000000004</v>
      </c>
      <c r="K768" s="914" t="s">
        <v>1139</v>
      </c>
      <c r="L768" s="1003" t="s">
        <v>203</v>
      </c>
      <c r="M768" s="1003">
        <v>2700</v>
      </c>
      <c r="N768" s="1003">
        <v>4000</v>
      </c>
      <c r="O768" s="1003">
        <v>4000</v>
      </c>
      <c r="P768" s="1003">
        <v>4000</v>
      </c>
      <c r="Q768" s="1003">
        <v>4000</v>
      </c>
    </row>
    <row r="769" spans="1:17" x14ac:dyDescent="0.25">
      <c r="A769" s="1819"/>
      <c r="B769" s="1813"/>
      <c r="C769" s="2016"/>
      <c r="D769" s="2016"/>
      <c r="E769" s="2021"/>
      <c r="F769" s="2377"/>
      <c r="G769" s="2377"/>
      <c r="H769" s="2377"/>
      <c r="I769" s="2377"/>
      <c r="J769" s="2377"/>
      <c r="K769" s="914">
        <v>0</v>
      </c>
      <c r="L769" s="1003" t="s">
        <v>203</v>
      </c>
      <c r="M769" s="1003">
        <v>0</v>
      </c>
      <c r="N769" s="1003">
        <v>0</v>
      </c>
      <c r="O769" s="1003">
        <v>0</v>
      </c>
      <c r="P769" s="1003">
        <v>0</v>
      </c>
      <c r="Q769" s="1003">
        <v>0</v>
      </c>
    </row>
    <row r="770" spans="1:17" ht="30" x14ac:dyDescent="0.25">
      <c r="A770" s="1820"/>
      <c r="B770" s="1814"/>
      <c r="C770" s="1885"/>
      <c r="D770" s="1885"/>
      <c r="E770" s="2022"/>
      <c r="F770" s="2363"/>
      <c r="G770" s="2363"/>
      <c r="H770" s="2363"/>
      <c r="I770" s="2363"/>
      <c r="J770" s="2363"/>
      <c r="K770" s="914" t="s">
        <v>1140</v>
      </c>
      <c r="L770" s="1003" t="s">
        <v>203</v>
      </c>
      <c r="M770" s="1003">
        <v>810</v>
      </c>
      <c r="N770" s="1003">
        <v>810</v>
      </c>
      <c r="O770" s="1003">
        <v>810</v>
      </c>
      <c r="P770" s="1003">
        <v>810</v>
      </c>
      <c r="Q770" s="1003">
        <v>810</v>
      </c>
    </row>
    <row r="771" spans="1:17" ht="30" x14ac:dyDescent="0.25">
      <c r="A771" s="1818"/>
      <c r="B771" s="1812"/>
      <c r="C771" s="2359" t="s">
        <v>8</v>
      </c>
      <c r="D771" s="2359"/>
      <c r="E771" s="2361" t="s">
        <v>1141</v>
      </c>
      <c r="F771" s="2362">
        <v>2522832.8000000003</v>
      </c>
      <c r="G771" s="2362">
        <v>2547365.9</v>
      </c>
      <c r="H771" s="2362">
        <v>3557041.7</v>
      </c>
      <c r="I771" s="2362">
        <v>2711453.3</v>
      </c>
      <c r="J771" s="2362">
        <v>2711453.3</v>
      </c>
      <c r="K771" s="914" t="s">
        <v>1142</v>
      </c>
      <c r="L771" s="1003" t="s">
        <v>182</v>
      </c>
      <c r="M771" s="1003">
        <v>168.5</v>
      </c>
      <c r="N771" s="1003">
        <v>168.5</v>
      </c>
      <c r="O771" s="1003">
        <v>224.7</v>
      </c>
      <c r="P771" s="1003">
        <v>224.7</v>
      </c>
      <c r="Q771" s="1003">
        <v>224.7</v>
      </c>
    </row>
    <row r="772" spans="1:17" ht="30" x14ac:dyDescent="0.25">
      <c r="A772" s="1819"/>
      <c r="B772" s="1813"/>
      <c r="C772" s="2016"/>
      <c r="D772" s="2016"/>
      <c r="E772" s="2021"/>
      <c r="F772" s="2377"/>
      <c r="G772" s="2377"/>
      <c r="H772" s="2377"/>
      <c r="I772" s="2377"/>
      <c r="J772" s="2377"/>
      <c r="K772" s="914" t="s">
        <v>1143</v>
      </c>
      <c r="L772" s="1003" t="s">
        <v>182</v>
      </c>
      <c r="M772" s="1003" t="s">
        <v>1144</v>
      </c>
      <c r="N772" s="1003" t="s">
        <v>1145</v>
      </c>
      <c r="O772" s="1003" t="s">
        <v>1145</v>
      </c>
      <c r="P772" s="1003" t="s">
        <v>1145</v>
      </c>
      <c r="Q772" s="1003" t="s">
        <v>1145</v>
      </c>
    </row>
    <row r="773" spans="1:17" ht="30" x14ac:dyDescent="0.25">
      <c r="A773" s="1820"/>
      <c r="B773" s="1814"/>
      <c r="C773" s="1885"/>
      <c r="D773" s="1885"/>
      <c r="E773" s="2022"/>
      <c r="F773" s="2363"/>
      <c r="G773" s="2363"/>
      <c r="H773" s="2363"/>
      <c r="I773" s="2363"/>
      <c r="J773" s="2363"/>
      <c r="K773" s="914" t="s">
        <v>1146</v>
      </c>
      <c r="L773" s="1003" t="s">
        <v>182</v>
      </c>
      <c r="M773" s="1003">
        <v>56.2</v>
      </c>
      <c r="N773" s="1003">
        <v>56.2</v>
      </c>
      <c r="O773" s="1003">
        <v>56.2</v>
      </c>
      <c r="P773" s="1003">
        <v>56.2</v>
      </c>
      <c r="Q773" s="1003">
        <v>56.2</v>
      </c>
    </row>
    <row r="774" spans="1:17" ht="75" x14ac:dyDescent="0.25">
      <c r="A774" s="948"/>
      <c r="B774" s="753"/>
      <c r="C774" s="912" t="s">
        <v>10</v>
      </c>
      <c r="D774" s="912"/>
      <c r="E774" s="914" t="s">
        <v>1147</v>
      </c>
      <c r="F774" s="1073">
        <v>27093.100000000002</v>
      </c>
      <c r="G774" s="1073">
        <v>27166.5</v>
      </c>
      <c r="H774" s="1073">
        <v>28655.5</v>
      </c>
      <c r="I774" s="1073">
        <v>25412.1</v>
      </c>
      <c r="J774" s="1073">
        <v>25412.1</v>
      </c>
      <c r="K774" s="1002" t="s">
        <v>1148</v>
      </c>
      <c r="L774" s="1002" t="s">
        <v>1149</v>
      </c>
      <c r="M774" s="1003">
        <v>37</v>
      </c>
      <c r="N774" s="1003">
        <v>37</v>
      </c>
      <c r="O774" s="1003">
        <v>37</v>
      </c>
      <c r="P774" s="1003">
        <v>37</v>
      </c>
      <c r="Q774" s="1003">
        <v>37</v>
      </c>
    </row>
    <row r="775" spans="1:17" ht="60" x14ac:dyDescent="0.25">
      <c r="A775" s="948"/>
      <c r="B775" s="753"/>
      <c r="C775" s="912" t="s">
        <v>12</v>
      </c>
      <c r="D775" s="912"/>
      <c r="E775" s="914" t="s">
        <v>1150</v>
      </c>
      <c r="F775" s="1073"/>
      <c r="G775" s="1073">
        <v>1169.4000000000001</v>
      </c>
      <c r="H775" s="1073">
        <v>1213.8</v>
      </c>
      <c r="I775" s="1073">
        <v>1214.3999999999999</v>
      </c>
      <c r="J775" s="1073">
        <v>1214.3999999999999</v>
      </c>
      <c r="K775" s="914" t="s">
        <v>1151</v>
      </c>
      <c r="L775" s="1002" t="s">
        <v>1152</v>
      </c>
      <c r="M775" s="1003">
        <v>37</v>
      </c>
      <c r="N775" s="1003">
        <v>37</v>
      </c>
      <c r="O775" s="1003">
        <v>37</v>
      </c>
      <c r="P775" s="1003">
        <v>37</v>
      </c>
      <c r="Q775" s="1003">
        <v>37</v>
      </c>
    </row>
    <row r="776" spans="1:17" ht="30" x14ac:dyDescent="0.25">
      <c r="A776" s="1818"/>
      <c r="B776" s="1812"/>
      <c r="C776" s="2359" t="s">
        <v>14</v>
      </c>
      <c r="D776" s="2360"/>
      <c r="E776" s="2367" t="s">
        <v>1153</v>
      </c>
      <c r="F776" s="2362">
        <v>1587</v>
      </c>
      <c r="G776" s="2362">
        <v>9000</v>
      </c>
      <c r="H776" s="2362">
        <v>16600</v>
      </c>
      <c r="I776" s="2362">
        <v>19200</v>
      </c>
      <c r="J776" s="2362">
        <v>19200</v>
      </c>
      <c r="K776" s="914" t="s">
        <v>1154</v>
      </c>
      <c r="L776" s="1002" t="s">
        <v>1155</v>
      </c>
      <c r="M776" s="1003">
        <v>0</v>
      </c>
      <c r="N776" s="1003">
        <v>7</v>
      </c>
      <c r="O776" s="1003">
        <v>7</v>
      </c>
      <c r="P776" s="1003">
        <v>9</v>
      </c>
      <c r="Q776" s="1003">
        <v>9</v>
      </c>
    </row>
    <row r="777" spans="1:17" ht="30" x14ac:dyDescent="0.25">
      <c r="A777" s="1820"/>
      <c r="B777" s="1814"/>
      <c r="C777" s="1885"/>
      <c r="D777" s="1889"/>
      <c r="E777" s="2368"/>
      <c r="F777" s="2363"/>
      <c r="G777" s="2363"/>
      <c r="H777" s="2363"/>
      <c r="I777" s="2363"/>
      <c r="J777" s="2363"/>
      <c r="K777" s="914" t="s">
        <v>1156</v>
      </c>
      <c r="L777" s="1002" t="s">
        <v>1155</v>
      </c>
      <c r="M777" s="1003">
        <v>0</v>
      </c>
      <c r="N777" s="1003">
        <v>15</v>
      </c>
      <c r="O777" s="1003">
        <v>15</v>
      </c>
      <c r="P777" s="1003">
        <v>15</v>
      </c>
      <c r="Q777" s="1003">
        <v>15</v>
      </c>
    </row>
    <row r="778" spans="1:17" ht="30" x14ac:dyDescent="0.25">
      <c r="A778" s="948"/>
      <c r="B778" s="753"/>
      <c r="C778" s="912" t="s">
        <v>16</v>
      </c>
      <c r="D778" s="1003"/>
      <c r="E778" s="1074" t="s">
        <v>1157</v>
      </c>
      <c r="F778" s="1073">
        <v>0</v>
      </c>
      <c r="G778" s="1073">
        <v>2000</v>
      </c>
      <c r="H778" s="1073">
        <v>2000</v>
      </c>
      <c r="I778" s="1073">
        <v>2000</v>
      </c>
      <c r="J778" s="1073">
        <v>2000</v>
      </c>
      <c r="K778" s="914" t="s">
        <v>1158</v>
      </c>
      <c r="L778" s="1003" t="s">
        <v>191</v>
      </c>
      <c r="M778" s="1003">
        <v>0</v>
      </c>
      <c r="N778" s="1003">
        <v>100</v>
      </c>
      <c r="O778" s="1003">
        <v>100</v>
      </c>
      <c r="P778" s="1003">
        <v>100</v>
      </c>
      <c r="Q778" s="1003">
        <v>100</v>
      </c>
    </row>
    <row r="779" spans="1:17" ht="75" x14ac:dyDescent="0.25">
      <c r="A779" s="948"/>
      <c r="B779" s="753"/>
      <c r="C779" s="912" t="s">
        <v>48</v>
      </c>
      <c r="D779" s="1003"/>
      <c r="E779" s="1074" t="s">
        <v>1159</v>
      </c>
      <c r="F779" s="1073"/>
      <c r="G779" s="1073">
        <v>0</v>
      </c>
      <c r="H779" s="1073"/>
      <c r="I779" s="1073">
        <v>0</v>
      </c>
      <c r="J779" s="1073">
        <v>0</v>
      </c>
      <c r="K779" s="914" t="s">
        <v>1160</v>
      </c>
      <c r="L779" s="1003" t="s">
        <v>1161</v>
      </c>
      <c r="M779" s="1003">
        <v>2</v>
      </c>
      <c r="N779" s="1003">
        <v>2</v>
      </c>
      <c r="O779" s="1003">
        <v>2</v>
      </c>
      <c r="P779" s="1003">
        <v>2</v>
      </c>
      <c r="Q779" s="1003">
        <v>2</v>
      </c>
    </row>
    <row r="780" spans="1:17" x14ac:dyDescent="0.25">
      <c r="A780" s="1818"/>
      <c r="B780" s="1812"/>
      <c r="C780" s="2359" t="s">
        <v>49</v>
      </c>
      <c r="D780" s="2360"/>
      <c r="E780" s="2367" t="s">
        <v>1162</v>
      </c>
      <c r="F780" s="2362">
        <v>1416.1</v>
      </c>
      <c r="G780" s="2362">
        <v>2439.6</v>
      </c>
      <c r="H780" s="2362">
        <v>4050</v>
      </c>
      <c r="I780" s="2362">
        <v>4920</v>
      </c>
      <c r="J780" s="2362">
        <v>4920</v>
      </c>
      <c r="K780" s="914" t="s">
        <v>1163</v>
      </c>
      <c r="L780" s="1003" t="s">
        <v>191</v>
      </c>
      <c r="M780" s="1003">
        <v>0</v>
      </c>
      <c r="N780" s="1003">
        <v>20</v>
      </c>
      <c r="O780" s="1003">
        <v>30</v>
      </c>
      <c r="P780" s="1003">
        <v>40</v>
      </c>
      <c r="Q780" s="1003">
        <v>40</v>
      </c>
    </row>
    <row r="781" spans="1:17" ht="30" x14ac:dyDescent="0.25">
      <c r="A781" s="1820"/>
      <c r="B781" s="1814"/>
      <c r="C781" s="1885"/>
      <c r="D781" s="1889"/>
      <c r="E781" s="2368"/>
      <c r="F781" s="2363"/>
      <c r="G781" s="2363"/>
      <c r="H781" s="2363"/>
      <c r="I781" s="2363"/>
      <c r="J781" s="2363"/>
      <c r="K781" s="914" t="s">
        <v>1164</v>
      </c>
      <c r="L781" s="1003" t="s">
        <v>191</v>
      </c>
      <c r="M781" s="1003">
        <v>17</v>
      </c>
      <c r="N781" s="1003">
        <v>20</v>
      </c>
      <c r="O781" s="1003">
        <v>25</v>
      </c>
      <c r="P781" s="1003">
        <v>30</v>
      </c>
      <c r="Q781" s="1003">
        <v>30</v>
      </c>
    </row>
    <row r="782" spans="1:17" ht="45" x14ac:dyDescent="0.25">
      <c r="A782" s="948"/>
      <c r="B782" s="753"/>
      <c r="C782" s="912" t="s">
        <v>124</v>
      </c>
      <c r="D782" s="1003"/>
      <c r="E782" s="1074" t="s">
        <v>1165</v>
      </c>
      <c r="F782" s="1073">
        <v>839.3</v>
      </c>
      <c r="G782" s="1073">
        <v>1135.2</v>
      </c>
      <c r="H782" s="1073">
        <v>1200</v>
      </c>
      <c r="I782" s="1073">
        <v>1200</v>
      </c>
      <c r="J782" s="1073">
        <v>1200</v>
      </c>
      <c r="K782" s="914" t="s">
        <v>1166</v>
      </c>
      <c r="L782" s="1003" t="s">
        <v>191</v>
      </c>
      <c r="M782" s="1003">
        <v>16</v>
      </c>
      <c r="N782" s="1003">
        <v>18</v>
      </c>
      <c r="O782" s="1003">
        <v>18</v>
      </c>
      <c r="P782" s="1003">
        <v>18</v>
      </c>
      <c r="Q782" s="1003">
        <v>18</v>
      </c>
    </row>
    <row r="783" spans="1:17" ht="60" x14ac:dyDescent="0.25">
      <c r="A783" s="948"/>
      <c r="B783" s="753"/>
      <c r="C783" s="1003">
        <v>10</v>
      </c>
      <c r="D783" s="1003"/>
      <c r="E783" s="1074" t="s">
        <v>1167</v>
      </c>
      <c r="F783" s="1073">
        <v>0</v>
      </c>
      <c r="G783" s="1073">
        <v>0</v>
      </c>
      <c r="H783" s="1073"/>
      <c r="I783" s="1073">
        <v>0</v>
      </c>
      <c r="J783" s="1073">
        <v>0</v>
      </c>
      <c r="K783" s="914" t="s">
        <v>1160</v>
      </c>
      <c r="L783" s="1003" t="s">
        <v>1161</v>
      </c>
      <c r="M783" s="1003">
        <v>2</v>
      </c>
      <c r="N783" s="1003">
        <v>2</v>
      </c>
      <c r="O783" s="1003">
        <v>2</v>
      </c>
      <c r="P783" s="1003">
        <v>2</v>
      </c>
      <c r="Q783" s="1003">
        <v>2</v>
      </c>
    </row>
    <row r="784" spans="1:17" ht="75" x14ac:dyDescent="0.25">
      <c r="A784" s="948"/>
      <c r="B784" s="753"/>
      <c r="C784" s="1003">
        <v>11</v>
      </c>
      <c r="D784" s="1003"/>
      <c r="E784" s="1074" t="s">
        <v>1168</v>
      </c>
      <c r="F784" s="1073">
        <v>0</v>
      </c>
      <c r="G784" s="1073">
        <v>0</v>
      </c>
      <c r="H784" s="1073"/>
      <c r="I784" s="1073">
        <v>0</v>
      </c>
      <c r="J784" s="1073">
        <v>0</v>
      </c>
      <c r="K784" s="914" t="s">
        <v>1169</v>
      </c>
      <c r="L784" s="1003" t="s">
        <v>1170</v>
      </c>
      <c r="M784" s="1003">
        <v>4</v>
      </c>
      <c r="N784" s="1003">
        <v>4</v>
      </c>
      <c r="O784" s="1003">
        <v>4</v>
      </c>
      <c r="P784" s="1003">
        <v>4</v>
      </c>
      <c r="Q784" s="1003">
        <v>4</v>
      </c>
    </row>
    <row r="785" spans="1:17" ht="30" x14ac:dyDescent="0.25">
      <c r="A785" s="1818"/>
      <c r="B785" s="935"/>
      <c r="C785" s="2360">
        <v>12</v>
      </c>
      <c r="D785" s="2360"/>
      <c r="E785" s="2367" t="s">
        <v>1171</v>
      </c>
      <c r="F785" s="2362">
        <v>0</v>
      </c>
      <c r="G785" s="2362">
        <v>0</v>
      </c>
      <c r="H785" s="2378"/>
      <c r="I785" s="2362">
        <v>0</v>
      </c>
      <c r="J785" s="2362">
        <v>0</v>
      </c>
      <c r="K785" s="914" t="s">
        <v>1172</v>
      </c>
      <c r="L785" s="1003" t="s">
        <v>191</v>
      </c>
      <c r="M785" s="1003">
        <v>7981</v>
      </c>
      <c r="N785" s="1003">
        <v>7741.6</v>
      </c>
      <c r="O785" s="1003">
        <v>7509.4</v>
      </c>
      <c r="P785" s="1003">
        <v>7284</v>
      </c>
      <c r="Q785" s="1003">
        <v>7065</v>
      </c>
    </row>
    <row r="786" spans="1:17" ht="30" x14ac:dyDescent="0.25">
      <c r="A786" s="1819"/>
      <c r="B786" s="936"/>
      <c r="C786" s="2212"/>
      <c r="D786" s="2212"/>
      <c r="E786" s="2376"/>
      <c r="F786" s="2377"/>
      <c r="G786" s="2377"/>
      <c r="H786" s="2378"/>
      <c r="I786" s="2377"/>
      <c r="J786" s="2377"/>
      <c r="K786" s="914" t="s">
        <v>1173</v>
      </c>
      <c r="L786" s="1003" t="s">
        <v>222</v>
      </c>
      <c r="M786" s="1003">
        <v>5615</v>
      </c>
      <c r="N786" s="1003">
        <v>5783</v>
      </c>
      <c r="O786" s="1003">
        <v>5957</v>
      </c>
      <c r="P786" s="1003">
        <v>6135</v>
      </c>
      <c r="Q786" s="1003">
        <v>6319.8</v>
      </c>
    </row>
    <row r="787" spans="1:17" ht="30" x14ac:dyDescent="0.25">
      <c r="A787" s="1819"/>
      <c r="B787" s="936"/>
      <c r="C787" s="2212"/>
      <c r="D787" s="2212"/>
      <c r="E787" s="2376"/>
      <c r="F787" s="2377"/>
      <c r="G787" s="2377"/>
      <c r="H787" s="2378"/>
      <c r="I787" s="2377"/>
      <c r="J787" s="2377"/>
      <c r="K787" s="914" t="s">
        <v>1174</v>
      </c>
      <c r="L787" s="1003" t="s">
        <v>191</v>
      </c>
      <c r="M787" s="1003">
        <v>5521</v>
      </c>
      <c r="N787" s="1003">
        <v>5355</v>
      </c>
      <c r="O787" s="1003">
        <v>5194</v>
      </c>
      <c r="P787" s="1003">
        <v>5038.8999999999996</v>
      </c>
      <c r="Q787" s="1003">
        <v>4887.7</v>
      </c>
    </row>
    <row r="788" spans="1:17" ht="30" x14ac:dyDescent="0.25">
      <c r="A788" s="1820"/>
      <c r="B788" s="937"/>
      <c r="C788" s="1889"/>
      <c r="D788" s="1889"/>
      <c r="E788" s="2368"/>
      <c r="F788" s="2363"/>
      <c r="G788" s="2363"/>
      <c r="H788" s="2378"/>
      <c r="I788" s="2363"/>
      <c r="J788" s="2363"/>
      <c r="K788" s="914" t="s">
        <v>1175</v>
      </c>
      <c r="L788" s="1003" t="s">
        <v>222</v>
      </c>
      <c r="M788" s="1003">
        <v>3347</v>
      </c>
      <c r="N788" s="1003">
        <v>3447</v>
      </c>
      <c r="O788" s="1003">
        <v>3550.8</v>
      </c>
      <c r="P788" s="1003">
        <v>3657</v>
      </c>
      <c r="Q788" s="1003">
        <v>3767</v>
      </c>
    </row>
    <row r="789" spans="1:17" x14ac:dyDescent="0.25">
      <c r="A789" s="1818"/>
      <c r="B789" s="935"/>
      <c r="C789" s="2359" t="s">
        <v>160</v>
      </c>
      <c r="D789" s="2359"/>
      <c r="E789" s="2367" t="s">
        <v>1176</v>
      </c>
      <c r="F789" s="2362">
        <v>0</v>
      </c>
      <c r="G789" s="2362">
        <v>0</v>
      </c>
      <c r="H789" s="2362"/>
      <c r="I789" s="2362">
        <v>0</v>
      </c>
      <c r="J789" s="2362">
        <v>0</v>
      </c>
      <c r="K789" s="914" t="s">
        <v>1177</v>
      </c>
      <c r="L789" s="1003" t="s">
        <v>222</v>
      </c>
      <c r="M789" s="1003">
        <v>0</v>
      </c>
      <c r="N789" s="1003">
        <v>0</v>
      </c>
      <c r="O789" s="1003">
        <v>1</v>
      </c>
      <c r="P789" s="1003">
        <v>0</v>
      </c>
      <c r="Q789" s="1003">
        <v>0</v>
      </c>
    </row>
    <row r="790" spans="1:17" x14ac:dyDescent="0.25">
      <c r="A790" s="1820"/>
      <c r="B790" s="937"/>
      <c r="C790" s="1885"/>
      <c r="D790" s="1885"/>
      <c r="E790" s="2376"/>
      <c r="F790" s="2363"/>
      <c r="G790" s="2363"/>
      <c r="H790" s="2363"/>
      <c r="I790" s="2363"/>
      <c r="J790" s="2363"/>
      <c r="K790" s="914" t="s">
        <v>1178</v>
      </c>
      <c r="L790" s="1003" t="s">
        <v>189</v>
      </c>
      <c r="M790" s="1003">
        <v>0</v>
      </c>
      <c r="N790" s="1003">
        <v>0</v>
      </c>
      <c r="O790" s="1003">
        <v>0</v>
      </c>
      <c r="P790" s="1003">
        <v>330</v>
      </c>
      <c r="Q790" s="1003">
        <v>0</v>
      </c>
    </row>
    <row r="791" spans="1:17" ht="45" x14ac:dyDescent="0.25">
      <c r="A791" s="948"/>
      <c r="B791" s="753"/>
      <c r="C791" s="1003">
        <v>14</v>
      </c>
      <c r="D791" s="1003"/>
      <c r="E791" s="1074" t="s">
        <v>1179</v>
      </c>
      <c r="F791" s="1073">
        <v>2133.8000000000002</v>
      </c>
      <c r="G791" s="1073">
        <v>2470.9</v>
      </c>
      <c r="H791" s="1073">
        <v>2984.1000000000004</v>
      </c>
      <c r="I791" s="1073">
        <v>2984.1000000000004</v>
      </c>
      <c r="J791" s="1073">
        <v>2984.1000000000004</v>
      </c>
      <c r="K791" s="914" t="s">
        <v>1180</v>
      </c>
      <c r="L791" s="1003" t="s">
        <v>1181</v>
      </c>
      <c r="M791" s="1003">
        <v>1111</v>
      </c>
      <c r="N791" s="1003">
        <v>1220</v>
      </c>
      <c r="O791" s="1003">
        <v>1340</v>
      </c>
      <c r="P791" s="1003">
        <v>1470</v>
      </c>
      <c r="Q791" s="1003">
        <v>1610</v>
      </c>
    </row>
    <row r="792" spans="1:17" ht="118.5" x14ac:dyDescent="0.25">
      <c r="A792" s="1075">
        <v>38</v>
      </c>
      <c r="B792" s="1076">
        <v>3</v>
      </c>
      <c r="C792" s="1077"/>
      <c r="D792" s="1077"/>
      <c r="E792" s="914" t="s">
        <v>1182</v>
      </c>
      <c r="F792" s="1078">
        <v>487111.5</v>
      </c>
      <c r="G792" s="1078">
        <v>525581.39999999991</v>
      </c>
      <c r="H792" s="1079">
        <f>H793+H798+H799+H802+H805+H808+H809</f>
        <v>767053.79999999993</v>
      </c>
      <c r="I792" s="1078">
        <v>551071.80000000005</v>
      </c>
      <c r="J792" s="1078">
        <v>552252.30000000005</v>
      </c>
      <c r="K792" s="914"/>
      <c r="L792" s="1003"/>
      <c r="M792" s="1003"/>
      <c r="N792" s="1003"/>
      <c r="O792" s="1003"/>
      <c r="P792" s="1003"/>
      <c r="Q792" s="1003"/>
    </row>
    <row r="793" spans="1:17" x14ac:dyDescent="0.25">
      <c r="A793" s="1818"/>
      <c r="B793" s="1812"/>
      <c r="C793" s="2359" t="s">
        <v>6</v>
      </c>
      <c r="D793" s="2360"/>
      <c r="E793" s="2361" t="s">
        <v>1183</v>
      </c>
      <c r="F793" s="2369">
        <v>40612.6</v>
      </c>
      <c r="G793" s="2369">
        <v>48539.1</v>
      </c>
      <c r="H793" s="2372">
        <v>41592.400000000001</v>
      </c>
      <c r="I793" s="2369">
        <v>48539.099999999991</v>
      </c>
      <c r="J793" s="2369">
        <v>48539.099999999991</v>
      </c>
      <c r="K793" s="692" t="s">
        <v>1184</v>
      </c>
      <c r="L793" s="1003" t="s">
        <v>1161</v>
      </c>
      <c r="M793" s="13">
        <v>0</v>
      </c>
      <c r="N793" s="13">
        <v>1</v>
      </c>
      <c r="O793" s="13">
        <v>1</v>
      </c>
      <c r="P793" s="13">
        <v>1</v>
      </c>
      <c r="Q793" s="13">
        <v>1</v>
      </c>
    </row>
    <row r="794" spans="1:17" ht="30" x14ac:dyDescent="0.25">
      <c r="A794" s="1819"/>
      <c r="B794" s="1813"/>
      <c r="C794" s="2016"/>
      <c r="D794" s="2212"/>
      <c r="E794" s="2021"/>
      <c r="F794" s="2370"/>
      <c r="G794" s="2370"/>
      <c r="H794" s="2373"/>
      <c r="I794" s="2370"/>
      <c r="J794" s="2370"/>
      <c r="K794" s="692" t="s">
        <v>1185</v>
      </c>
      <c r="L794" s="1003" t="s">
        <v>191</v>
      </c>
      <c r="M794" s="13">
        <v>0</v>
      </c>
      <c r="N794" s="13">
        <v>10</v>
      </c>
      <c r="O794" s="13">
        <v>10</v>
      </c>
      <c r="P794" s="13">
        <v>10</v>
      </c>
      <c r="Q794" s="13">
        <v>10</v>
      </c>
    </row>
    <row r="795" spans="1:17" x14ac:dyDescent="0.25">
      <c r="A795" s="1819"/>
      <c r="B795" s="1813"/>
      <c r="C795" s="2016"/>
      <c r="D795" s="2212"/>
      <c r="E795" s="2021"/>
      <c r="F795" s="2370"/>
      <c r="G795" s="2370"/>
      <c r="H795" s="2373"/>
      <c r="I795" s="2370"/>
      <c r="J795" s="2370"/>
      <c r="K795" s="692" t="s">
        <v>1186</v>
      </c>
      <c r="L795" s="1003" t="s">
        <v>1187</v>
      </c>
      <c r="M795" s="13">
        <v>0</v>
      </c>
      <c r="N795" s="13">
        <v>0</v>
      </c>
      <c r="O795" s="13">
        <v>28</v>
      </c>
      <c r="P795" s="13">
        <v>0</v>
      </c>
      <c r="Q795" s="13">
        <v>0</v>
      </c>
    </row>
    <row r="796" spans="1:17" x14ac:dyDescent="0.25">
      <c r="A796" s="1819"/>
      <c r="B796" s="1813"/>
      <c r="C796" s="2016"/>
      <c r="D796" s="2212"/>
      <c r="E796" s="2021"/>
      <c r="F796" s="2370"/>
      <c r="G796" s="2370"/>
      <c r="H796" s="2373"/>
      <c r="I796" s="2370"/>
      <c r="J796" s="2370"/>
      <c r="K796" s="2375" t="s">
        <v>1188</v>
      </c>
      <c r="L796" s="1003" t="s">
        <v>222</v>
      </c>
      <c r="M796" s="13">
        <v>0</v>
      </c>
      <c r="N796" s="13">
        <v>14</v>
      </c>
      <c r="O796" s="13">
        <v>0</v>
      </c>
      <c r="P796" s="13">
        <v>0</v>
      </c>
      <c r="Q796" s="13">
        <v>0</v>
      </c>
    </row>
    <row r="797" spans="1:17" x14ac:dyDescent="0.25">
      <c r="A797" s="1820"/>
      <c r="B797" s="1814"/>
      <c r="C797" s="1885"/>
      <c r="D797" s="1889"/>
      <c r="E797" s="2022"/>
      <c r="F797" s="2371"/>
      <c r="G797" s="2371"/>
      <c r="H797" s="2374"/>
      <c r="I797" s="2371"/>
      <c r="J797" s="2371"/>
      <c r="K797" s="1834"/>
      <c r="L797" s="1003" t="s">
        <v>1189</v>
      </c>
      <c r="M797" s="13">
        <v>0</v>
      </c>
      <c r="N797" s="13">
        <v>14</v>
      </c>
      <c r="O797" s="13">
        <v>0</v>
      </c>
      <c r="P797" s="13">
        <v>0</v>
      </c>
      <c r="Q797" s="13">
        <v>0</v>
      </c>
    </row>
    <row r="798" spans="1:17" ht="30" x14ac:dyDescent="0.25">
      <c r="A798" s="920"/>
      <c r="B798" s="937"/>
      <c r="C798" s="905" t="s">
        <v>8</v>
      </c>
      <c r="D798" s="939"/>
      <c r="E798" s="1034" t="s">
        <v>1190</v>
      </c>
      <c r="F798" s="1080">
        <v>12620</v>
      </c>
      <c r="G798" s="1080">
        <v>11181</v>
      </c>
      <c r="H798" s="1080">
        <f>10384.3</f>
        <v>10384.299999999999</v>
      </c>
      <c r="I798" s="1080">
        <v>11181</v>
      </c>
      <c r="J798" s="1080">
        <v>11181</v>
      </c>
      <c r="K798" s="917" t="s">
        <v>1191</v>
      </c>
      <c r="L798" s="1003" t="s">
        <v>191</v>
      </c>
      <c r="M798" s="13">
        <v>905</v>
      </c>
      <c r="N798" s="13">
        <v>550</v>
      </c>
      <c r="O798" s="13">
        <v>600</v>
      </c>
      <c r="P798" s="13">
        <v>600</v>
      </c>
      <c r="Q798" s="13">
        <v>600</v>
      </c>
    </row>
    <row r="799" spans="1:17" x14ac:dyDescent="0.25">
      <c r="A799" s="1818"/>
      <c r="B799" s="1812"/>
      <c r="C799" s="2359" t="s">
        <v>10</v>
      </c>
      <c r="D799" s="2360"/>
      <c r="E799" s="2361" t="s">
        <v>1192</v>
      </c>
      <c r="F799" s="2369">
        <v>341861.7</v>
      </c>
      <c r="G799" s="2369">
        <v>365561.3</v>
      </c>
      <c r="H799" s="2372">
        <f>466331.7+12770.2</f>
        <v>479101.9</v>
      </c>
      <c r="I799" s="2369">
        <v>382341.7</v>
      </c>
      <c r="J799" s="2369">
        <v>383022.2</v>
      </c>
      <c r="K799" s="914" t="s">
        <v>1193</v>
      </c>
      <c r="L799" s="1003" t="s">
        <v>191</v>
      </c>
      <c r="M799" s="1081">
        <v>2186</v>
      </c>
      <c r="N799" s="1081">
        <v>2561</v>
      </c>
      <c r="O799" s="1081">
        <v>2561</v>
      </c>
      <c r="P799" s="1081">
        <v>2561</v>
      </c>
      <c r="Q799" s="1081">
        <v>2561</v>
      </c>
    </row>
    <row r="800" spans="1:17" ht="30" x14ac:dyDescent="0.25">
      <c r="A800" s="1819"/>
      <c r="B800" s="1813"/>
      <c r="C800" s="2016"/>
      <c r="D800" s="2212"/>
      <c r="E800" s="2021"/>
      <c r="F800" s="2370"/>
      <c r="G800" s="2370"/>
      <c r="H800" s="2373"/>
      <c r="I800" s="2370"/>
      <c r="J800" s="2370"/>
      <c r="K800" s="914" t="s">
        <v>1194</v>
      </c>
      <c r="L800" s="1003" t="s">
        <v>420</v>
      </c>
      <c r="M800" s="1082">
        <v>339010.8</v>
      </c>
      <c r="N800" s="1082">
        <v>356070</v>
      </c>
      <c r="O800" s="1082">
        <v>372385</v>
      </c>
      <c r="P800" s="1082">
        <v>372385</v>
      </c>
      <c r="Q800" s="1082">
        <v>372385</v>
      </c>
    </row>
    <row r="801" spans="1:17" ht="45" x14ac:dyDescent="0.25">
      <c r="A801" s="1820"/>
      <c r="B801" s="1814"/>
      <c r="C801" s="1885"/>
      <c r="D801" s="1889"/>
      <c r="E801" s="2022"/>
      <c r="F801" s="2371"/>
      <c r="G801" s="2371"/>
      <c r="H801" s="2374"/>
      <c r="I801" s="2371"/>
      <c r="J801" s="2371"/>
      <c r="K801" s="914" t="s">
        <v>1195</v>
      </c>
      <c r="L801" s="1003" t="s">
        <v>420</v>
      </c>
      <c r="M801" s="1083">
        <v>12.92355901189387</v>
      </c>
      <c r="N801" s="1083">
        <v>11.586294416243655</v>
      </c>
      <c r="O801" s="1083">
        <v>12.117174280879865</v>
      </c>
      <c r="P801" s="1083">
        <v>12.117174280879865</v>
      </c>
      <c r="Q801" s="1083">
        <v>12.117174280879865</v>
      </c>
    </row>
    <row r="802" spans="1:17" ht="30" x14ac:dyDescent="0.25">
      <c r="A802" s="1818"/>
      <c r="B802" s="1812"/>
      <c r="C802" s="2359" t="s">
        <v>12</v>
      </c>
      <c r="D802" s="2360"/>
      <c r="E802" s="2361" t="s">
        <v>1196</v>
      </c>
      <c r="F802" s="2369">
        <v>576.9</v>
      </c>
      <c r="G802" s="2369">
        <v>8000</v>
      </c>
      <c r="H802" s="2372">
        <v>14500</v>
      </c>
      <c r="I802" s="2369">
        <v>15000</v>
      </c>
      <c r="J802" s="2369">
        <v>15500</v>
      </c>
      <c r="K802" s="914" t="s">
        <v>1197</v>
      </c>
      <c r="L802" s="1003" t="s">
        <v>1161</v>
      </c>
      <c r="M802" s="13">
        <v>5</v>
      </c>
      <c r="N802" s="13">
        <v>1</v>
      </c>
      <c r="O802" s="13">
        <v>0</v>
      </c>
      <c r="P802" s="13">
        <v>1</v>
      </c>
      <c r="Q802" s="13">
        <v>0</v>
      </c>
    </row>
    <row r="803" spans="1:17" ht="30" x14ac:dyDescent="0.25">
      <c r="A803" s="1819"/>
      <c r="B803" s="1813"/>
      <c r="C803" s="2016"/>
      <c r="D803" s="2212"/>
      <c r="E803" s="2021"/>
      <c r="F803" s="2370"/>
      <c r="G803" s="2370"/>
      <c r="H803" s="2373"/>
      <c r="I803" s="2370"/>
      <c r="J803" s="2370"/>
      <c r="K803" s="914" t="s">
        <v>1198</v>
      </c>
      <c r="L803" s="1003" t="s">
        <v>191</v>
      </c>
      <c r="M803" s="13">
        <v>500</v>
      </c>
      <c r="N803" s="13">
        <v>600</v>
      </c>
      <c r="O803" s="13">
        <v>600</v>
      </c>
      <c r="P803" s="13">
        <v>600</v>
      </c>
      <c r="Q803" s="13">
        <v>500</v>
      </c>
    </row>
    <row r="804" spans="1:17" ht="45" x14ac:dyDescent="0.25">
      <c r="A804" s="1820"/>
      <c r="B804" s="1814"/>
      <c r="C804" s="1885"/>
      <c r="D804" s="1889"/>
      <c r="E804" s="2022"/>
      <c r="F804" s="2371"/>
      <c r="G804" s="2371"/>
      <c r="H804" s="2374"/>
      <c r="I804" s="2371"/>
      <c r="J804" s="2371"/>
      <c r="K804" s="914" t="s">
        <v>1199</v>
      </c>
      <c r="L804" s="1003" t="s">
        <v>191</v>
      </c>
      <c r="M804" s="13">
        <v>400</v>
      </c>
      <c r="N804" s="13">
        <v>500</v>
      </c>
      <c r="O804" s="13">
        <v>500</v>
      </c>
      <c r="P804" s="13">
        <v>600</v>
      </c>
      <c r="Q804" s="13">
        <v>600</v>
      </c>
    </row>
    <row r="805" spans="1:17" ht="30" x14ac:dyDescent="0.25">
      <c r="A805" s="1818"/>
      <c r="B805" s="1812"/>
      <c r="C805" s="2359" t="s">
        <v>14</v>
      </c>
      <c r="D805" s="2360"/>
      <c r="E805" s="2361" t="s">
        <v>1200</v>
      </c>
      <c r="F805" s="2356">
        <v>67287.399999999994</v>
      </c>
      <c r="G805" s="2356">
        <v>67300</v>
      </c>
      <c r="H805" s="2356">
        <v>113668.5</v>
      </c>
      <c r="I805" s="2356">
        <v>69010</v>
      </c>
      <c r="J805" s="2356">
        <v>69010</v>
      </c>
      <c r="K805" s="914" t="s">
        <v>1201</v>
      </c>
      <c r="L805" s="1003" t="s">
        <v>222</v>
      </c>
      <c r="M805" s="1081">
        <v>821</v>
      </c>
      <c r="N805" s="1081">
        <v>1011</v>
      </c>
      <c r="O805" s="1081">
        <v>1062</v>
      </c>
      <c r="P805" s="1081">
        <v>1115</v>
      </c>
      <c r="Q805" s="1081">
        <v>1170</v>
      </c>
    </row>
    <row r="806" spans="1:17" x14ac:dyDescent="0.25">
      <c r="A806" s="1819"/>
      <c r="B806" s="1813"/>
      <c r="C806" s="2016"/>
      <c r="D806" s="2212"/>
      <c r="E806" s="2021"/>
      <c r="F806" s="2357"/>
      <c r="G806" s="2357"/>
      <c r="H806" s="2357"/>
      <c r="I806" s="2357"/>
      <c r="J806" s="2357"/>
      <c r="K806" s="914" t="s">
        <v>1202</v>
      </c>
      <c r="L806" s="1003" t="s">
        <v>191</v>
      </c>
      <c r="M806" s="13">
        <v>0</v>
      </c>
      <c r="N806" s="13">
        <v>3</v>
      </c>
      <c r="O806" s="13">
        <v>3</v>
      </c>
      <c r="P806" s="13">
        <v>3</v>
      </c>
      <c r="Q806" s="13">
        <v>3</v>
      </c>
    </row>
    <row r="807" spans="1:17" ht="45" x14ac:dyDescent="0.25">
      <c r="A807" s="1820"/>
      <c r="B807" s="1814"/>
      <c r="C807" s="1885"/>
      <c r="D807" s="1889"/>
      <c r="E807" s="2022"/>
      <c r="F807" s="2358"/>
      <c r="G807" s="2358"/>
      <c r="H807" s="2358"/>
      <c r="I807" s="2358"/>
      <c r="J807" s="2358"/>
      <c r="K807" s="914" t="s">
        <v>1203</v>
      </c>
      <c r="L807" s="1003" t="s">
        <v>222</v>
      </c>
      <c r="M807" s="1081">
        <v>13534</v>
      </c>
      <c r="N807" s="1081">
        <v>13000</v>
      </c>
      <c r="O807" s="1081">
        <v>13050</v>
      </c>
      <c r="P807" s="1081">
        <v>13100</v>
      </c>
      <c r="Q807" s="1081">
        <v>13300</v>
      </c>
    </row>
    <row r="808" spans="1:17" ht="45" x14ac:dyDescent="0.25">
      <c r="A808" s="948"/>
      <c r="B808" s="753"/>
      <c r="C808" s="912" t="s">
        <v>16</v>
      </c>
      <c r="D808" s="1003"/>
      <c r="E808" s="914" t="s">
        <v>1204</v>
      </c>
      <c r="F808" s="1072">
        <v>24152.9</v>
      </c>
      <c r="G808" s="1072">
        <v>25000</v>
      </c>
      <c r="H808" s="1072">
        <v>93323.7</v>
      </c>
      <c r="I808" s="1072">
        <v>25000</v>
      </c>
      <c r="J808" s="1072">
        <v>25000</v>
      </c>
      <c r="K808" s="914" t="s">
        <v>1205</v>
      </c>
      <c r="L808" s="1003" t="s">
        <v>191</v>
      </c>
      <c r="M808" s="1081">
        <v>1853</v>
      </c>
      <c r="N808" s="1081">
        <v>2114</v>
      </c>
      <c r="O808" s="1081">
        <v>2219</v>
      </c>
      <c r="P808" s="1081">
        <v>2330</v>
      </c>
      <c r="Q808" s="1081">
        <v>2447</v>
      </c>
    </row>
    <row r="809" spans="1:17" ht="45" x14ac:dyDescent="0.25">
      <c r="A809" s="948"/>
      <c r="B809" s="753"/>
      <c r="C809" s="912" t="s">
        <v>48</v>
      </c>
      <c r="D809" s="1003"/>
      <c r="E809" s="914" t="s">
        <v>2874</v>
      </c>
      <c r="F809" s="1072"/>
      <c r="G809" s="1072"/>
      <c r="H809" s="1072">
        <v>14483</v>
      </c>
      <c r="I809" s="1072"/>
      <c r="J809" s="1072"/>
      <c r="K809" s="914"/>
      <c r="L809" s="1003"/>
      <c r="M809" s="1081"/>
      <c r="N809" s="1081"/>
      <c r="O809" s="1081"/>
      <c r="P809" s="1081"/>
      <c r="Q809" s="1081"/>
    </row>
    <row r="810" spans="1:17" ht="147.75" x14ac:dyDescent="0.25">
      <c r="A810" s="906">
        <v>38</v>
      </c>
      <c r="B810" s="1047">
        <v>4</v>
      </c>
      <c r="C810" s="65"/>
      <c r="D810" s="65"/>
      <c r="E810" s="647" t="s">
        <v>1206</v>
      </c>
      <c r="F810" s="1071">
        <v>1246087.1000000001</v>
      </c>
      <c r="G810" s="1071">
        <v>1212037.5</v>
      </c>
      <c r="H810" s="1071">
        <f>H811+H812+H813+H814+H815</f>
        <v>1140751.1000000001</v>
      </c>
      <c r="I810" s="1071">
        <v>1088297</v>
      </c>
      <c r="J810" s="1071">
        <v>1060214.8999999999</v>
      </c>
      <c r="K810" s="72"/>
      <c r="L810" s="1003"/>
      <c r="M810" s="1003"/>
      <c r="N810" s="1003"/>
      <c r="O810" s="1003"/>
      <c r="P810" s="1003"/>
      <c r="Q810" s="1003"/>
    </row>
    <row r="811" spans="1:17" ht="30" x14ac:dyDescent="0.25">
      <c r="A811" s="948"/>
      <c r="B811" s="753"/>
      <c r="C811" s="912" t="s">
        <v>6</v>
      </c>
      <c r="D811" s="912"/>
      <c r="E811" s="914" t="s">
        <v>1207</v>
      </c>
      <c r="F811" s="1072">
        <v>1113244.6000000001</v>
      </c>
      <c r="G811" s="1072">
        <v>1133700.5</v>
      </c>
      <c r="H811" s="1072">
        <v>1088549.1000000001</v>
      </c>
      <c r="I811" s="1072">
        <v>1036879.3</v>
      </c>
      <c r="J811" s="1072">
        <v>1014626.8</v>
      </c>
      <c r="K811" s="914" t="s">
        <v>1208</v>
      </c>
      <c r="L811" s="1003" t="s">
        <v>203</v>
      </c>
      <c r="M811" s="1084" t="s">
        <v>1209</v>
      </c>
      <c r="N811" s="1084" t="s">
        <v>1209</v>
      </c>
      <c r="O811" s="1084" t="s">
        <v>1209</v>
      </c>
      <c r="P811" s="1084" t="s">
        <v>1209</v>
      </c>
      <c r="Q811" s="1084" t="s">
        <v>1209</v>
      </c>
    </row>
    <row r="812" spans="1:17" ht="45" x14ac:dyDescent="0.25">
      <c r="A812" s="948"/>
      <c r="B812" s="753"/>
      <c r="C812" s="912" t="s">
        <v>8</v>
      </c>
      <c r="D812" s="912"/>
      <c r="E812" s="914" t="s">
        <v>1210</v>
      </c>
      <c r="F812" s="1072">
        <v>613.5</v>
      </c>
      <c r="G812" s="1072">
        <v>560.70000000000005</v>
      </c>
      <c r="H812" s="1072">
        <v>374.1</v>
      </c>
      <c r="I812" s="1072">
        <v>310.39999999999998</v>
      </c>
      <c r="J812" s="1072">
        <v>253</v>
      </c>
      <c r="K812" s="914" t="s">
        <v>1211</v>
      </c>
      <c r="L812" s="1003" t="s">
        <v>203</v>
      </c>
      <c r="M812" s="1084" t="s">
        <v>1212</v>
      </c>
      <c r="N812" s="1084" t="s">
        <v>1212</v>
      </c>
      <c r="O812" s="1084" t="s">
        <v>1212</v>
      </c>
      <c r="P812" s="1084" t="s">
        <v>1212</v>
      </c>
      <c r="Q812" s="1084" t="s">
        <v>1212</v>
      </c>
    </row>
    <row r="813" spans="1:17" ht="45" x14ac:dyDescent="0.25">
      <c r="A813" s="948"/>
      <c r="B813" s="753"/>
      <c r="C813" s="912" t="s">
        <v>10</v>
      </c>
      <c r="D813" s="912"/>
      <c r="E813" s="914" t="s">
        <v>1213</v>
      </c>
      <c r="F813" s="1072">
        <v>48160.1</v>
      </c>
      <c r="G813" s="1072">
        <v>38505.599999999999</v>
      </c>
      <c r="H813" s="1072">
        <v>26976.2</v>
      </c>
      <c r="I813" s="1072">
        <v>22672.1</v>
      </c>
      <c r="J813" s="1072">
        <v>18978.599999999999</v>
      </c>
      <c r="K813" s="914" t="s">
        <v>1214</v>
      </c>
      <c r="L813" s="1003" t="s">
        <v>203</v>
      </c>
      <c r="M813" s="1084" t="s">
        <v>1215</v>
      </c>
      <c r="N813" s="1084" t="s">
        <v>1215</v>
      </c>
      <c r="O813" s="1084" t="s">
        <v>1215</v>
      </c>
      <c r="P813" s="1084" t="s">
        <v>1215</v>
      </c>
      <c r="Q813" s="1084" t="s">
        <v>1215</v>
      </c>
    </row>
    <row r="814" spans="1:17" ht="45" x14ac:dyDescent="0.25">
      <c r="A814" s="948"/>
      <c r="B814" s="753"/>
      <c r="C814" s="912" t="s">
        <v>12</v>
      </c>
      <c r="D814" s="912"/>
      <c r="E814" s="914" t="s">
        <v>1216</v>
      </c>
      <c r="F814" s="1072">
        <v>72683.399999999994</v>
      </c>
      <c r="G814" s="1072">
        <v>20608.900000000001</v>
      </c>
      <c r="H814" s="1072">
        <v>12326.2</v>
      </c>
      <c r="I814" s="1072">
        <v>9773.4</v>
      </c>
      <c r="J814" s="1072">
        <v>7694.7</v>
      </c>
      <c r="K814" s="914" t="s">
        <v>1217</v>
      </c>
      <c r="L814" s="1003" t="s">
        <v>203</v>
      </c>
      <c r="M814" s="1084">
        <v>3000</v>
      </c>
      <c r="N814" s="1084">
        <v>3000</v>
      </c>
      <c r="O814" s="1084">
        <v>3000</v>
      </c>
      <c r="P814" s="1084">
        <v>3000</v>
      </c>
      <c r="Q814" s="1084">
        <v>3000</v>
      </c>
    </row>
    <row r="815" spans="1:17" ht="30" x14ac:dyDescent="0.25">
      <c r="A815" s="948"/>
      <c r="B815" s="753"/>
      <c r="C815" s="912" t="s">
        <v>14</v>
      </c>
      <c r="D815" s="912"/>
      <c r="E815" s="914" t="s">
        <v>1218</v>
      </c>
      <c r="F815" s="1072">
        <v>11385.5</v>
      </c>
      <c r="G815" s="1072">
        <v>18661.8</v>
      </c>
      <c r="H815" s="1072">
        <v>12525.5</v>
      </c>
      <c r="I815" s="1072">
        <v>18661.8</v>
      </c>
      <c r="J815" s="1072">
        <v>18661.8</v>
      </c>
      <c r="K815" s="914" t="s">
        <v>1219</v>
      </c>
      <c r="L815" s="1003" t="s">
        <v>182</v>
      </c>
      <c r="M815" s="1085">
        <v>24</v>
      </c>
      <c r="N815" s="1085">
        <v>23.4</v>
      </c>
      <c r="O815" s="1085">
        <v>20.9</v>
      </c>
      <c r="P815" s="1085">
        <v>50</v>
      </c>
      <c r="Q815" s="1085">
        <v>46.8</v>
      </c>
    </row>
    <row r="816" spans="1:17" ht="179.25" x14ac:dyDescent="0.25">
      <c r="A816" s="906">
        <v>38</v>
      </c>
      <c r="B816" s="1047">
        <v>5</v>
      </c>
      <c r="C816" s="65"/>
      <c r="D816" s="65"/>
      <c r="E816" s="647" t="s">
        <v>1220</v>
      </c>
      <c r="F816" s="1071">
        <v>444320.7</v>
      </c>
      <c r="G816" s="1071">
        <v>678529.60000000009</v>
      </c>
      <c r="H816" s="1071">
        <f>H817+H818+H819+H820+H821+H823+H824</f>
        <v>456663.5</v>
      </c>
      <c r="I816" s="1071">
        <v>676180.9</v>
      </c>
      <c r="J816" s="1071">
        <v>726180.9</v>
      </c>
      <c r="K816" s="72"/>
      <c r="L816" s="1003"/>
      <c r="M816" s="1003"/>
      <c r="N816" s="1003"/>
      <c r="O816" s="1003"/>
      <c r="P816" s="1003"/>
      <c r="Q816" s="1003"/>
    </row>
    <row r="817" spans="1:17" ht="30" x14ac:dyDescent="0.25">
      <c r="A817" s="920"/>
      <c r="B817" s="937"/>
      <c r="C817" s="905" t="s">
        <v>6</v>
      </c>
      <c r="D817" s="905"/>
      <c r="E817" s="917" t="s">
        <v>1221</v>
      </c>
      <c r="F817" s="2356">
        <v>78011.199999999997</v>
      </c>
      <c r="G817" s="1086">
        <v>5087.2</v>
      </c>
      <c r="H817" s="1086">
        <v>5046.6000000000004</v>
      </c>
      <c r="I817" s="1086">
        <v>5046.6000000000004</v>
      </c>
      <c r="J817" s="1086">
        <v>5046.6000000000004</v>
      </c>
      <c r="K817" s="917" t="s">
        <v>1222</v>
      </c>
      <c r="L817" s="939" t="s">
        <v>1223</v>
      </c>
      <c r="M817" s="1087">
        <v>0.04</v>
      </c>
      <c r="N817" s="1088">
        <v>1.7</v>
      </c>
      <c r="O817" s="1088">
        <v>5</v>
      </c>
      <c r="P817" s="1088">
        <v>5.2</v>
      </c>
      <c r="Q817" s="1088">
        <v>5.4</v>
      </c>
    </row>
    <row r="818" spans="1:17" ht="45" x14ac:dyDescent="0.25">
      <c r="A818" s="920"/>
      <c r="B818" s="937"/>
      <c r="C818" s="905" t="s">
        <v>8</v>
      </c>
      <c r="D818" s="905"/>
      <c r="E818" s="917" t="s">
        <v>1224</v>
      </c>
      <c r="F818" s="2357"/>
      <c r="G818" s="1086">
        <v>36931.599999999999</v>
      </c>
      <c r="H818" s="1086">
        <v>38083.199999999997</v>
      </c>
      <c r="I818" s="1086">
        <v>37098.1</v>
      </c>
      <c r="J818" s="1086">
        <v>37098.1</v>
      </c>
      <c r="K818" s="917" t="s">
        <v>1225</v>
      </c>
      <c r="L818" s="939" t="s">
        <v>182</v>
      </c>
      <c r="M818" s="1088">
        <v>68</v>
      </c>
      <c r="N818" s="1088">
        <v>70</v>
      </c>
      <c r="O818" s="1088">
        <v>70</v>
      </c>
      <c r="P818" s="1088">
        <v>70</v>
      </c>
      <c r="Q818" s="1088">
        <v>70</v>
      </c>
    </row>
    <row r="819" spans="1:17" ht="30" x14ac:dyDescent="0.25">
      <c r="A819" s="920"/>
      <c r="B819" s="937"/>
      <c r="C819" s="905" t="s">
        <v>10</v>
      </c>
      <c r="D819" s="905"/>
      <c r="E819" s="917" t="s">
        <v>1226</v>
      </c>
      <c r="F819" s="2358"/>
      <c r="G819" s="1086">
        <v>44909.4</v>
      </c>
      <c r="H819" s="1086">
        <v>49296.3</v>
      </c>
      <c r="I819" s="1086">
        <v>44546.700000000004</v>
      </c>
      <c r="J819" s="1086">
        <v>44546.700000000004</v>
      </c>
      <c r="K819" s="917" t="s">
        <v>1227</v>
      </c>
      <c r="L819" s="939" t="s">
        <v>1223</v>
      </c>
      <c r="M819" s="1088">
        <v>19.7</v>
      </c>
      <c r="N819" s="1088">
        <v>20</v>
      </c>
      <c r="O819" s="1088">
        <v>38</v>
      </c>
      <c r="P819" s="1088">
        <v>39.9</v>
      </c>
      <c r="Q819" s="1088">
        <v>41.9</v>
      </c>
    </row>
    <row r="820" spans="1:17" ht="30" x14ac:dyDescent="0.25">
      <c r="A820" s="948"/>
      <c r="B820" s="753"/>
      <c r="C820" s="912" t="s">
        <v>12</v>
      </c>
      <c r="D820" s="912"/>
      <c r="E820" s="914" t="s">
        <v>1228</v>
      </c>
      <c r="F820" s="1072"/>
      <c r="G820" s="1072">
        <v>0</v>
      </c>
      <c r="H820" s="1072"/>
      <c r="I820" s="1072"/>
      <c r="J820" s="1072"/>
      <c r="K820" s="914" t="s">
        <v>1229</v>
      </c>
      <c r="L820" s="1003" t="s">
        <v>191</v>
      </c>
      <c r="M820" s="13">
        <v>0</v>
      </c>
      <c r="N820" s="13">
        <v>0</v>
      </c>
      <c r="O820" s="13">
        <v>210</v>
      </c>
      <c r="P820" s="13">
        <v>210</v>
      </c>
      <c r="Q820" s="13">
        <v>210</v>
      </c>
    </row>
    <row r="821" spans="1:17" ht="30" x14ac:dyDescent="0.25">
      <c r="A821" s="1818"/>
      <c r="B821" s="1812"/>
      <c r="C821" s="2359" t="s">
        <v>14</v>
      </c>
      <c r="D821" s="2360"/>
      <c r="E821" s="2361" t="s">
        <v>1230</v>
      </c>
      <c r="F821" s="2362">
        <v>25395.3</v>
      </c>
      <c r="G821" s="2362">
        <v>23902.1</v>
      </c>
      <c r="H821" s="2362">
        <v>21790.2</v>
      </c>
      <c r="I821" s="2362">
        <v>21790.2</v>
      </c>
      <c r="J821" s="2362">
        <v>21790.2</v>
      </c>
      <c r="K821" s="914" t="s">
        <v>1231</v>
      </c>
      <c r="L821" s="1003" t="s">
        <v>1223</v>
      </c>
      <c r="M821" s="1083">
        <v>3.1</v>
      </c>
      <c r="N821" s="1083">
        <v>3.1</v>
      </c>
      <c r="O821" s="1083">
        <v>32.200000000000003</v>
      </c>
      <c r="P821" s="1083">
        <v>3.2</v>
      </c>
      <c r="Q821" s="1083">
        <v>3.3</v>
      </c>
    </row>
    <row r="822" spans="1:17" x14ac:dyDescent="0.25">
      <c r="A822" s="1820"/>
      <c r="B822" s="1814"/>
      <c r="C822" s="1885"/>
      <c r="D822" s="1889"/>
      <c r="E822" s="2022"/>
      <c r="F822" s="2363"/>
      <c r="G822" s="2363"/>
      <c r="H822" s="2363"/>
      <c r="I822" s="2363"/>
      <c r="J822" s="2363"/>
      <c r="K822" s="914" t="s">
        <v>1232</v>
      </c>
      <c r="L822" s="1003" t="s">
        <v>1223</v>
      </c>
      <c r="M822" s="1083">
        <v>43</v>
      </c>
      <c r="N822" s="1083">
        <v>45.6</v>
      </c>
      <c r="O822" s="1083">
        <v>50</v>
      </c>
      <c r="P822" s="1083">
        <v>50.5</v>
      </c>
      <c r="Q822" s="1083">
        <v>51</v>
      </c>
    </row>
    <row r="823" spans="1:17" ht="135" x14ac:dyDescent="0.25">
      <c r="A823" s="948"/>
      <c r="B823" s="753"/>
      <c r="C823" s="912" t="s">
        <v>16</v>
      </c>
      <c r="D823" s="912"/>
      <c r="E823" s="914" t="s">
        <v>1233</v>
      </c>
      <c r="F823" s="1072"/>
      <c r="G823" s="1072">
        <v>0</v>
      </c>
      <c r="H823" s="1072"/>
      <c r="I823" s="1072"/>
      <c r="J823" s="1072"/>
      <c r="K823" s="914" t="s">
        <v>1234</v>
      </c>
      <c r="L823" s="1003" t="s">
        <v>182</v>
      </c>
      <c r="M823" s="13">
        <v>83</v>
      </c>
      <c r="N823" s="13">
        <v>89</v>
      </c>
      <c r="O823" s="13">
        <v>95</v>
      </c>
      <c r="P823" s="13">
        <v>100</v>
      </c>
      <c r="Q823" s="13">
        <v>0</v>
      </c>
    </row>
    <row r="824" spans="1:17" ht="45" x14ac:dyDescent="0.25">
      <c r="A824" s="948"/>
      <c r="B824" s="753"/>
      <c r="C824" s="912" t="s">
        <v>48</v>
      </c>
      <c r="D824" s="912"/>
      <c r="E824" s="914" t="s">
        <v>1235</v>
      </c>
      <c r="F824" s="1072">
        <v>340914.2</v>
      </c>
      <c r="G824" s="1072">
        <v>567699.30000000005</v>
      </c>
      <c r="H824" s="1072">
        <v>342447.2</v>
      </c>
      <c r="I824" s="1072">
        <v>567699.30000000005</v>
      </c>
      <c r="J824" s="1072">
        <v>617699.30000000005</v>
      </c>
      <c r="K824" s="914" t="s">
        <v>1236</v>
      </c>
      <c r="L824" s="1003" t="s">
        <v>182</v>
      </c>
      <c r="M824" s="1085">
        <v>13.1</v>
      </c>
      <c r="N824" s="1085">
        <v>18.3</v>
      </c>
      <c r="O824" s="1085">
        <v>17.399999999999999</v>
      </c>
      <c r="P824" s="1085">
        <v>16.600000000000001</v>
      </c>
      <c r="Q824" s="1085">
        <v>15.8</v>
      </c>
    </row>
    <row r="825" spans="1:17" ht="177.75" x14ac:dyDescent="0.25">
      <c r="A825" s="906">
        <v>38</v>
      </c>
      <c r="B825" s="1047">
        <v>6</v>
      </c>
      <c r="C825" s="65"/>
      <c r="D825" s="65"/>
      <c r="E825" s="647" t="s">
        <v>1237</v>
      </c>
      <c r="F825" s="1071">
        <v>736.5</v>
      </c>
      <c r="G825" s="1071">
        <v>3560.4000000000015</v>
      </c>
      <c r="H825" s="1071">
        <f>H826+H827+H829+H830+H831+H833</f>
        <v>6961.8000000000011</v>
      </c>
      <c r="I825" s="1071">
        <v>4876.8999999999996</v>
      </c>
      <c r="J825" s="1071">
        <v>2258.9</v>
      </c>
      <c r="K825" s="72"/>
      <c r="L825" s="1003"/>
      <c r="M825" s="1003"/>
      <c r="N825" s="1003"/>
      <c r="O825" s="1003"/>
      <c r="P825" s="1003"/>
      <c r="Q825" s="1003"/>
    </row>
    <row r="826" spans="1:17" ht="75" x14ac:dyDescent="0.25">
      <c r="A826" s="919"/>
      <c r="B826" s="935"/>
      <c r="C826" s="907" t="s">
        <v>6</v>
      </c>
      <c r="D826" s="938"/>
      <c r="E826" s="1089" t="s">
        <v>1238</v>
      </c>
      <c r="F826" s="2364">
        <v>736.5</v>
      </c>
      <c r="G826" s="2364">
        <v>3560.4000000000015</v>
      </c>
      <c r="H826" s="1072">
        <v>510</v>
      </c>
      <c r="I826" s="1090">
        <v>510</v>
      </c>
      <c r="J826" s="1090">
        <v>0</v>
      </c>
      <c r="K826" s="914" t="s">
        <v>1239</v>
      </c>
      <c r="L826" s="1003" t="s">
        <v>1240</v>
      </c>
      <c r="M826" s="13">
        <v>48.3</v>
      </c>
      <c r="N826" s="13">
        <v>0</v>
      </c>
      <c r="O826" s="13">
        <v>49.5</v>
      </c>
      <c r="P826" s="13">
        <v>50.5</v>
      </c>
      <c r="Q826" s="13">
        <v>0</v>
      </c>
    </row>
    <row r="827" spans="1:17" x14ac:dyDescent="0.25">
      <c r="A827" s="1818"/>
      <c r="B827" s="1812"/>
      <c r="C827" s="2359" t="s">
        <v>8</v>
      </c>
      <c r="D827" s="2360"/>
      <c r="E827" s="2367" t="s">
        <v>1241</v>
      </c>
      <c r="F827" s="2365"/>
      <c r="G827" s="2365"/>
      <c r="H827" s="2356">
        <v>916</v>
      </c>
      <c r="I827" s="2364">
        <v>84</v>
      </c>
      <c r="J827" s="2364">
        <v>0</v>
      </c>
      <c r="K827" s="914" t="s">
        <v>1242</v>
      </c>
      <c r="L827" s="1003" t="s">
        <v>1161</v>
      </c>
      <c r="M827" s="13">
        <v>0</v>
      </c>
      <c r="N827" s="13">
        <v>0</v>
      </c>
      <c r="O827" s="13">
        <v>1</v>
      </c>
      <c r="P827" s="13">
        <v>0</v>
      </c>
      <c r="Q827" s="13">
        <v>0</v>
      </c>
    </row>
    <row r="828" spans="1:17" x14ac:dyDescent="0.25">
      <c r="A828" s="1820"/>
      <c r="B828" s="1814"/>
      <c r="C828" s="1885"/>
      <c r="D828" s="1889"/>
      <c r="E828" s="2368"/>
      <c r="F828" s="2365"/>
      <c r="G828" s="2365"/>
      <c r="H828" s="2358"/>
      <c r="I828" s="2366"/>
      <c r="J828" s="2366"/>
      <c r="K828" s="914" t="s">
        <v>1243</v>
      </c>
      <c r="L828" s="1003" t="s">
        <v>1244</v>
      </c>
      <c r="M828" s="13">
        <v>0</v>
      </c>
      <c r="N828" s="13">
        <v>0</v>
      </c>
      <c r="O828" s="13">
        <v>1</v>
      </c>
      <c r="P828" s="13">
        <v>0</v>
      </c>
      <c r="Q828" s="13">
        <v>0</v>
      </c>
    </row>
    <row r="829" spans="1:17" ht="105" x14ac:dyDescent="0.25">
      <c r="A829" s="919"/>
      <c r="B829" s="935"/>
      <c r="C829" s="907" t="s">
        <v>10</v>
      </c>
      <c r="D829" s="938"/>
      <c r="E829" s="1091" t="s">
        <v>1245</v>
      </c>
      <c r="F829" s="2365"/>
      <c r="G829" s="2365"/>
      <c r="H829" s="1072">
        <v>1418.1</v>
      </c>
      <c r="I829" s="1090">
        <v>0</v>
      </c>
      <c r="J829" s="1090">
        <v>0</v>
      </c>
      <c r="K829" s="692" t="s">
        <v>1246</v>
      </c>
      <c r="L829" s="1003" t="s">
        <v>1247</v>
      </c>
      <c r="M829" s="13">
        <v>0</v>
      </c>
      <c r="N829" s="13">
        <v>1</v>
      </c>
      <c r="O829" s="13">
        <v>1</v>
      </c>
      <c r="P829" s="13">
        <v>1</v>
      </c>
      <c r="Q829" s="13">
        <v>0</v>
      </c>
    </row>
    <row r="830" spans="1:17" ht="30" x14ac:dyDescent="0.25">
      <c r="A830" s="948"/>
      <c r="B830" s="753"/>
      <c r="C830" s="912" t="s">
        <v>12</v>
      </c>
      <c r="D830" s="1003"/>
      <c r="E830" s="1074" t="s">
        <v>1248</v>
      </c>
      <c r="F830" s="2365"/>
      <c r="G830" s="2365"/>
      <c r="H830" s="1072">
        <v>1380</v>
      </c>
      <c r="I830" s="1092">
        <v>0</v>
      </c>
      <c r="J830" s="1092">
        <v>0</v>
      </c>
      <c r="K830" s="914" t="s">
        <v>1249</v>
      </c>
      <c r="L830" s="1003" t="s">
        <v>1240</v>
      </c>
      <c r="M830" s="13">
        <v>0</v>
      </c>
      <c r="N830" s="13">
        <v>0</v>
      </c>
      <c r="O830" s="13">
        <v>1</v>
      </c>
      <c r="P830" s="13">
        <v>0</v>
      </c>
      <c r="Q830" s="13">
        <v>0</v>
      </c>
    </row>
    <row r="831" spans="1:17" ht="45" x14ac:dyDescent="0.25">
      <c r="A831" s="948"/>
      <c r="B831" s="753"/>
      <c r="C831" s="912" t="s">
        <v>14</v>
      </c>
      <c r="D831" s="1003"/>
      <c r="E831" s="1074" t="s">
        <v>1250</v>
      </c>
      <c r="F831" s="2365"/>
      <c r="G831" s="2365"/>
      <c r="H831" s="1072">
        <v>1352.3000000000002</v>
      </c>
      <c r="I831" s="1092">
        <v>2258.9</v>
      </c>
      <c r="J831" s="1092">
        <v>2258.9</v>
      </c>
      <c r="K831" s="692" t="s">
        <v>1251</v>
      </c>
      <c r="L831" s="1003" t="s">
        <v>1240</v>
      </c>
      <c r="M831" s="13">
        <v>0</v>
      </c>
      <c r="N831" s="13">
        <v>3</v>
      </c>
      <c r="O831" s="13">
        <v>4</v>
      </c>
      <c r="P831" s="13">
        <v>0</v>
      </c>
      <c r="Q831" s="13">
        <v>0</v>
      </c>
    </row>
    <row r="832" spans="1:17" ht="45" x14ac:dyDescent="0.25">
      <c r="A832" s="948"/>
      <c r="B832" s="753"/>
      <c r="C832" s="912" t="s">
        <v>16</v>
      </c>
      <c r="D832" s="1003"/>
      <c r="E832" s="1074" t="s">
        <v>1252</v>
      </c>
      <c r="F832" s="2365"/>
      <c r="G832" s="2365"/>
      <c r="H832" s="1072">
        <v>0</v>
      </c>
      <c r="I832" s="1092">
        <v>240</v>
      </c>
      <c r="J832" s="1092">
        <v>0</v>
      </c>
      <c r="K832" s="914" t="s">
        <v>1253</v>
      </c>
      <c r="L832" s="1003" t="s">
        <v>1240</v>
      </c>
      <c r="M832" s="13">
        <v>0</v>
      </c>
      <c r="N832" s="13">
        <v>0</v>
      </c>
      <c r="O832" s="13">
        <v>1</v>
      </c>
      <c r="P832" s="13">
        <v>0</v>
      </c>
      <c r="Q832" s="13">
        <v>0</v>
      </c>
    </row>
    <row r="833" spans="1:17" ht="45" x14ac:dyDescent="0.25">
      <c r="A833" s="948"/>
      <c r="B833" s="753"/>
      <c r="C833" s="912" t="s">
        <v>48</v>
      </c>
      <c r="D833" s="1003"/>
      <c r="E833" s="1074" t="s">
        <v>1254</v>
      </c>
      <c r="F833" s="2366"/>
      <c r="G833" s="2366"/>
      <c r="H833" s="1072">
        <f>1384+1.4</f>
        <v>1385.4</v>
      </c>
      <c r="I833" s="1092">
        <v>1784</v>
      </c>
      <c r="J833" s="1092">
        <v>0</v>
      </c>
      <c r="K833" s="692" t="s">
        <v>1255</v>
      </c>
      <c r="L833" s="1003" t="s">
        <v>1244</v>
      </c>
      <c r="M833" s="13">
        <v>0</v>
      </c>
      <c r="N833" s="13">
        <v>0</v>
      </c>
      <c r="O833" s="13">
        <v>0</v>
      </c>
      <c r="P833" s="13">
        <v>0</v>
      </c>
      <c r="Q833" s="13">
        <v>0</v>
      </c>
    </row>
    <row r="834" spans="1:17" ht="34.5" customHeight="1" x14ac:dyDescent="0.25">
      <c r="A834" s="2246" t="s">
        <v>1256</v>
      </c>
      <c r="B834" s="2247"/>
      <c r="C834" s="2247"/>
      <c r="D834" s="2247"/>
      <c r="E834" s="2247"/>
      <c r="F834" s="80">
        <v>8416877.1999999993</v>
      </c>
      <c r="G834" s="80">
        <v>10834760.600000001</v>
      </c>
      <c r="H834" s="80">
        <f>H762+H767+H792+H810+H816+H825</f>
        <v>11093218.800000001</v>
      </c>
      <c r="I834" s="80">
        <v>10978023.6</v>
      </c>
      <c r="J834" s="80">
        <v>11123829</v>
      </c>
      <c r="K834" s="796"/>
      <c r="L834" s="797"/>
      <c r="M834" s="797"/>
      <c r="N834" s="797"/>
      <c r="O834" s="797"/>
      <c r="P834" s="797"/>
      <c r="Q834" s="797"/>
    </row>
    <row r="835" spans="1:17" ht="15.75" thickBot="1" x14ac:dyDescent="0.3">
      <c r="A835" s="1826" t="s">
        <v>1257</v>
      </c>
      <c r="B835" s="1827"/>
      <c r="C835" s="1827"/>
      <c r="D835" s="1827"/>
      <c r="E835" s="1827"/>
      <c r="F835" s="1827"/>
      <c r="G835" s="1827"/>
      <c r="H835" s="1827"/>
      <c r="I835" s="1827"/>
      <c r="J835" s="1827"/>
      <c r="K835" s="1827"/>
      <c r="L835" s="1827"/>
      <c r="M835" s="1827"/>
      <c r="N835" s="1827"/>
      <c r="O835" s="1827"/>
      <c r="P835" s="1827"/>
      <c r="Q835" s="1828"/>
    </row>
    <row r="836" spans="1:17" ht="73.5" x14ac:dyDescent="0.25">
      <c r="A836" s="1093">
        <v>39</v>
      </c>
      <c r="B836" s="1094">
        <v>1</v>
      </c>
      <c r="C836" s="992"/>
      <c r="D836" s="1095"/>
      <c r="E836" s="1096" t="s">
        <v>810</v>
      </c>
      <c r="F836" s="1097">
        <v>26707.5</v>
      </c>
      <c r="G836" s="1097">
        <v>21975.399999999998</v>
      </c>
      <c r="H836" s="1097">
        <f>H837+H838+H839+H840+H841+H842+H843</f>
        <v>26304.75</v>
      </c>
      <c r="I836" s="1097">
        <v>21087.1</v>
      </c>
      <c r="J836" s="1097">
        <v>21087.1</v>
      </c>
      <c r="K836" s="1020" t="s">
        <v>181</v>
      </c>
      <c r="L836" s="1022" t="s">
        <v>182</v>
      </c>
      <c r="M836" s="1098">
        <v>5.0200000000000002E-2</v>
      </c>
      <c r="N836" s="1099">
        <v>4.6899999999999997E-2</v>
      </c>
      <c r="O836" s="1099">
        <v>2.86E-2</v>
      </c>
      <c r="P836" s="1099">
        <v>2.86E-2</v>
      </c>
      <c r="Q836" s="1099">
        <v>2.86E-2</v>
      </c>
    </row>
    <row r="837" spans="1:17" x14ac:dyDescent="0.25">
      <c r="A837" s="1100"/>
      <c r="B837" s="1101"/>
      <c r="C837" s="1005">
        <v>1</v>
      </c>
      <c r="D837" s="1102"/>
      <c r="E837" s="143" t="s">
        <v>7</v>
      </c>
      <c r="F837" s="897">
        <v>4531.3999999999996</v>
      </c>
      <c r="G837" s="897">
        <v>4487.8999999999996</v>
      </c>
      <c r="H837" s="458">
        <f>849.9+5244.9</f>
        <v>6094.7999999999993</v>
      </c>
      <c r="I837" s="458">
        <v>4405.5</v>
      </c>
      <c r="J837" s="458">
        <v>4405.5</v>
      </c>
      <c r="K837" s="901" t="s">
        <v>183</v>
      </c>
      <c r="L837" s="897" t="s">
        <v>184</v>
      </c>
      <c r="M837" s="1103"/>
      <c r="N837" s="897"/>
      <c r="O837" s="897"/>
      <c r="P837" s="897"/>
      <c r="Q837" s="897"/>
    </row>
    <row r="838" spans="1:17" x14ac:dyDescent="0.25">
      <c r="A838" s="1100"/>
      <c r="B838" s="1101"/>
      <c r="C838" s="1005">
        <v>2</v>
      </c>
      <c r="D838" s="1102"/>
      <c r="E838" s="1000" t="s">
        <v>9</v>
      </c>
      <c r="F838" s="897">
        <v>2139.9</v>
      </c>
      <c r="G838" s="897">
        <v>2149.3000000000002</v>
      </c>
      <c r="H838" s="897">
        <f>702.6+1838.7</f>
        <v>2541.3000000000002</v>
      </c>
      <c r="I838" s="897">
        <v>2083.6999999999998</v>
      </c>
      <c r="J838" s="897">
        <v>2083.6999999999998</v>
      </c>
      <c r="K838" s="901" t="s">
        <v>185</v>
      </c>
      <c r="L838" s="897" t="s">
        <v>182</v>
      </c>
      <c r="M838" s="1104">
        <v>1</v>
      </c>
      <c r="N838" s="1105">
        <v>1</v>
      </c>
      <c r="O838" s="1105">
        <v>0</v>
      </c>
      <c r="P838" s="1105">
        <v>0</v>
      </c>
      <c r="Q838" s="1105">
        <v>0</v>
      </c>
    </row>
    <row r="839" spans="1:17" ht="30" x14ac:dyDescent="0.25">
      <c r="A839" s="1100"/>
      <c r="B839" s="1101"/>
      <c r="C839" s="1005">
        <v>3</v>
      </c>
      <c r="D839" s="1102"/>
      <c r="E839" s="1000" t="s">
        <v>11</v>
      </c>
      <c r="F839" s="897">
        <v>1809.2</v>
      </c>
      <c r="G839" s="897">
        <v>1799.4</v>
      </c>
      <c r="H839" s="897">
        <f>541.1+1602.6</f>
        <v>2143.6999999999998</v>
      </c>
      <c r="I839" s="897">
        <v>1733.8</v>
      </c>
      <c r="J839" s="897">
        <v>1733.8</v>
      </c>
      <c r="K839" s="36" t="s">
        <v>186</v>
      </c>
      <c r="L839" s="897" t="s">
        <v>182</v>
      </c>
      <c r="M839" s="1104">
        <v>0</v>
      </c>
      <c r="N839" s="1105">
        <v>0</v>
      </c>
      <c r="O839" s="1105">
        <v>0</v>
      </c>
      <c r="P839" s="1105">
        <v>0</v>
      </c>
      <c r="Q839" s="1105">
        <v>0</v>
      </c>
    </row>
    <row r="840" spans="1:17" ht="30" x14ac:dyDescent="0.25">
      <c r="A840" s="1100"/>
      <c r="B840" s="1101"/>
      <c r="C840" s="1005">
        <v>4</v>
      </c>
      <c r="D840" s="1102"/>
      <c r="E840" s="1000" t="s">
        <v>13</v>
      </c>
      <c r="F840" s="897">
        <v>527.29999999999995</v>
      </c>
      <c r="G840" s="897">
        <v>527.29999999999995</v>
      </c>
      <c r="H840" s="458">
        <v>45.6</v>
      </c>
      <c r="I840" s="458">
        <v>513.79999999999995</v>
      </c>
      <c r="J840" s="458">
        <v>513.79999999999995</v>
      </c>
      <c r="K840" s="901" t="s">
        <v>187</v>
      </c>
      <c r="L840" s="897" t="s">
        <v>423</v>
      </c>
      <c r="M840" s="1103">
        <v>0</v>
      </c>
      <c r="N840" s="897">
        <v>0</v>
      </c>
      <c r="O840" s="897">
        <v>0</v>
      </c>
      <c r="P840" s="897">
        <v>0</v>
      </c>
      <c r="Q840" s="897">
        <v>0</v>
      </c>
    </row>
    <row r="841" spans="1:17" ht="30" x14ac:dyDescent="0.25">
      <c r="A841" s="1100"/>
      <c r="B841" s="1101"/>
      <c r="C841" s="1005">
        <v>5</v>
      </c>
      <c r="D841" s="1102"/>
      <c r="E841" s="1000" t="s">
        <v>15</v>
      </c>
      <c r="F841" s="897">
        <v>3740.4</v>
      </c>
      <c r="G841" s="897">
        <v>2365.8000000000002</v>
      </c>
      <c r="H841" s="458">
        <f>656.5+2482.1</f>
        <v>3138.6</v>
      </c>
      <c r="I841" s="458">
        <v>2853.9</v>
      </c>
      <c r="J841" s="458">
        <v>2853.9</v>
      </c>
      <c r="K841" s="901" t="s">
        <v>188</v>
      </c>
      <c r="L841" s="897" t="s">
        <v>189</v>
      </c>
      <c r="M841" s="1103"/>
      <c r="N841" s="897"/>
      <c r="O841" s="897"/>
      <c r="P841" s="897"/>
      <c r="Q841" s="897"/>
    </row>
    <row r="842" spans="1:17" ht="30" x14ac:dyDescent="0.25">
      <c r="A842" s="1100"/>
      <c r="B842" s="1101"/>
      <c r="C842" s="1005">
        <v>6</v>
      </c>
      <c r="D842" s="1102"/>
      <c r="E842" s="898" t="s">
        <v>17</v>
      </c>
      <c r="F842" s="897">
        <v>10139.200000000001</v>
      </c>
      <c r="G842" s="897">
        <v>8723.9</v>
      </c>
      <c r="H842" s="897">
        <f>2222.6+7857.45</f>
        <v>10080.049999999999</v>
      </c>
      <c r="I842" s="897">
        <v>7650.1</v>
      </c>
      <c r="J842" s="897">
        <v>7650.1</v>
      </c>
      <c r="K842" s="901" t="s">
        <v>190</v>
      </c>
      <c r="L842" s="897" t="s">
        <v>182</v>
      </c>
      <c r="M842" s="1106">
        <v>0.3382</v>
      </c>
      <c r="N842" s="1107">
        <v>0.34</v>
      </c>
      <c r="O842" s="1108">
        <v>0.36199999999999999</v>
      </c>
      <c r="P842" s="1108">
        <v>0.36199999999999999</v>
      </c>
      <c r="Q842" s="1108">
        <v>0.36199999999999999</v>
      </c>
    </row>
    <row r="843" spans="1:17" ht="30" x14ac:dyDescent="0.25">
      <c r="A843" s="1100"/>
      <c r="B843" s="1101"/>
      <c r="C843" s="1005">
        <v>7</v>
      </c>
      <c r="D843" s="1102"/>
      <c r="E843" s="898" t="s">
        <v>66</v>
      </c>
      <c r="F843" s="897">
        <v>3820.1</v>
      </c>
      <c r="G843" s="897">
        <v>1921.8</v>
      </c>
      <c r="H843" s="897">
        <f>685.3+1575.4</f>
        <v>2260.6999999999998</v>
      </c>
      <c r="I843" s="897">
        <v>1846.3</v>
      </c>
      <c r="J843" s="897">
        <v>1846.3</v>
      </c>
      <c r="K843" s="901" t="s">
        <v>1258</v>
      </c>
      <c r="L843" s="897"/>
      <c r="M843" s="1109"/>
      <c r="N843" s="454"/>
      <c r="O843" s="454"/>
      <c r="P843" s="454"/>
      <c r="Q843" s="454"/>
    </row>
    <row r="844" spans="1:17" x14ac:dyDescent="0.25">
      <c r="A844" s="1100"/>
      <c r="B844" s="1101"/>
      <c r="C844" s="1005"/>
      <c r="D844" s="1102"/>
      <c r="E844" s="898"/>
      <c r="F844" s="897"/>
      <c r="G844" s="897"/>
      <c r="H844" s="897">
        <v>0</v>
      </c>
      <c r="I844" s="897">
        <v>0</v>
      </c>
      <c r="J844" s="897">
        <v>0</v>
      </c>
      <c r="K844" s="901"/>
      <c r="L844" s="897"/>
      <c r="M844" s="1109"/>
      <c r="N844" s="454"/>
      <c r="O844" s="454"/>
      <c r="P844" s="454"/>
      <c r="Q844" s="454"/>
    </row>
    <row r="845" spans="1:17" ht="102" x14ac:dyDescent="0.25">
      <c r="A845" s="1110">
        <v>39</v>
      </c>
      <c r="B845" s="1111">
        <v>2</v>
      </c>
      <c r="C845" s="896"/>
      <c r="D845" s="325"/>
      <c r="E845" s="647" t="s">
        <v>1259</v>
      </c>
      <c r="F845" s="804">
        <v>39890.800000000003</v>
      </c>
      <c r="G845" s="804">
        <v>35478.6</v>
      </c>
      <c r="H845" s="804">
        <f>H846+H847</f>
        <v>43492.06</v>
      </c>
      <c r="I845" s="804">
        <v>48252.799999999996</v>
      </c>
      <c r="J845" s="804">
        <v>48252.799999999996</v>
      </c>
      <c r="K845" s="214" t="s">
        <v>1260</v>
      </c>
      <c r="L845" s="897"/>
      <c r="M845" s="1103"/>
      <c r="N845" s="1099">
        <v>0.29520000000000002</v>
      </c>
      <c r="O845" s="1099">
        <v>0.35399999999999998</v>
      </c>
      <c r="P845" s="1099">
        <v>0.35399999999999998</v>
      </c>
      <c r="Q845" s="1099">
        <v>0.35399999999999998</v>
      </c>
    </row>
    <row r="846" spans="1:17" x14ac:dyDescent="0.25">
      <c r="A846" s="1112"/>
      <c r="B846" s="1113"/>
      <c r="C846" s="973" t="s">
        <v>6</v>
      </c>
      <c r="D846" s="1114"/>
      <c r="E846" s="898" t="s">
        <v>1261</v>
      </c>
      <c r="F846" s="311">
        <v>13876.7</v>
      </c>
      <c r="G846" s="311">
        <v>8955.7999999999993</v>
      </c>
      <c r="H846" s="895">
        <f>2078.1+8642.9</f>
        <v>10721</v>
      </c>
      <c r="I846" s="895">
        <v>8687.1</v>
      </c>
      <c r="J846" s="895">
        <v>8687.1</v>
      </c>
      <c r="K846" s="898" t="s">
        <v>1262</v>
      </c>
      <c r="L846" s="37"/>
      <c r="M846" s="1115">
        <v>1474</v>
      </c>
      <c r="N846" s="1116">
        <v>1274</v>
      </c>
      <c r="O846" s="1116"/>
      <c r="P846" s="1116"/>
      <c r="Q846" s="1116"/>
    </row>
    <row r="847" spans="1:17" ht="45" x14ac:dyDescent="0.25">
      <c r="A847" s="1112"/>
      <c r="B847" s="1113"/>
      <c r="C847" s="973" t="s">
        <v>8</v>
      </c>
      <c r="D847" s="1114"/>
      <c r="E847" s="898" t="s">
        <v>1263</v>
      </c>
      <c r="F847" s="311">
        <v>26014.1</v>
      </c>
      <c r="G847" s="311">
        <v>26522.799999999999</v>
      </c>
      <c r="H847" s="895">
        <f>2770.1+30000.96</f>
        <v>32771.06</v>
      </c>
      <c r="I847" s="895">
        <v>39565.699999999997</v>
      </c>
      <c r="J847" s="895">
        <v>39565.699999999997</v>
      </c>
      <c r="K847" s="898" t="s">
        <v>1264</v>
      </c>
      <c r="L847" s="898" t="s">
        <v>182</v>
      </c>
      <c r="M847" s="1117"/>
      <c r="N847" s="38"/>
      <c r="O847" s="38"/>
      <c r="P847" s="38"/>
      <c r="Q847" s="38"/>
    </row>
    <row r="848" spans="1:17" ht="73.5" x14ac:dyDescent="0.25">
      <c r="A848" s="1112">
        <v>39</v>
      </c>
      <c r="B848" s="1113">
        <v>3</v>
      </c>
      <c r="C848" s="973"/>
      <c r="D848" s="1114"/>
      <c r="E848" s="647" t="s">
        <v>1265</v>
      </c>
      <c r="F848" s="804">
        <v>4548.3</v>
      </c>
      <c r="G848" s="804">
        <v>5697.5</v>
      </c>
      <c r="H848" s="804">
        <f>H849</f>
        <v>20004.2</v>
      </c>
      <c r="I848" s="804">
        <v>9634.4999999999982</v>
      </c>
      <c r="J848" s="804">
        <v>9634.4999999999982</v>
      </c>
      <c r="K848" s="214" t="s">
        <v>1266</v>
      </c>
      <c r="L848" s="214"/>
      <c r="M848" s="1118"/>
      <c r="N848" s="1119"/>
      <c r="O848" s="1119"/>
      <c r="P848" s="1119"/>
      <c r="Q848" s="1119"/>
    </row>
    <row r="849" spans="1:17" ht="30" x14ac:dyDescent="0.25">
      <c r="A849" s="1112"/>
      <c r="B849" s="1113"/>
      <c r="C849" s="973" t="s">
        <v>6</v>
      </c>
      <c r="D849" s="1114"/>
      <c r="E849" s="692" t="s">
        <v>1267</v>
      </c>
      <c r="F849" s="311">
        <v>4548.3</v>
      </c>
      <c r="G849" s="311">
        <v>5697.5</v>
      </c>
      <c r="H849" s="895">
        <f>12820.2+7184</f>
        <v>20004.2</v>
      </c>
      <c r="I849" s="895">
        <v>9634.4999999999982</v>
      </c>
      <c r="J849" s="895">
        <v>9634.4999999999982</v>
      </c>
      <c r="K849" s="898" t="s">
        <v>1268</v>
      </c>
      <c r="L849" s="898"/>
      <c r="M849" s="1117"/>
      <c r="N849" s="38"/>
      <c r="O849" s="38"/>
      <c r="P849" s="38"/>
      <c r="Q849" s="38"/>
    </row>
    <row r="850" spans="1:17" ht="102" x14ac:dyDescent="0.25">
      <c r="A850" s="1112">
        <v>39</v>
      </c>
      <c r="B850" s="1113">
        <v>4</v>
      </c>
      <c r="C850" s="973"/>
      <c r="D850" s="1114"/>
      <c r="E850" s="647" t="s">
        <v>2875</v>
      </c>
      <c r="F850" s="804">
        <v>57545.2</v>
      </c>
      <c r="G850" s="804">
        <v>57044</v>
      </c>
      <c r="H850" s="804">
        <f>H851</f>
        <v>70087.399999999994</v>
      </c>
      <c r="I850" s="804">
        <v>57044</v>
      </c>
      <c r="J850" s="804">
        <v>57044</v>
      </c>
      <c r="K850" s="214" t="s">
        <v>1269</v>
      </c>
      <c r="L850" s="898"/>
      <c r="M850" s="1120"/>
      <c r="N850" s="1"/>
      <c r="O850" s="1"/>
      <c r="P850" s="1"/>
      <c r="Q850" s="1"/>
    </row>
    <row r="851" spans="1:17" ht="45" x14ac:dyDescent="0.25">
      <c r="A851" s="1112"/>
      <c r="B851" s="1113"/>
      <c r="C851" s="973" t="s">
        <v>6</v>
      </c>
      <c r="D851" s="1114"/>
      <c r="E851" s="898" t="s">
        <v>1270</v>
      </c>
      <c r="F851" s="311">
        <v>57545.2</v>
      </c>
      <c r="G851" s="895">
        <v>57044</v>
      </c>
      <c r="H851" s="895">
        <v>70087.399999999994</v>
      </c>
      <c r="I851" s="895">
        <v>57044</v>
      </c>
      <c r="J851" s="895">
        <v>57044</v>
      </c>
      <c r="K851" s="898" t="s">
        <v>1271</v>
      </c>
      <c r="L851" s="898"/>
      <c r="M851" s="1117"/>
      <c r="N851" s="38"/>
      <c r="O851" s="38"/>
      <c r="P851" s="38"/>
      <c r="Q851" s="38"/>
    </row>
    <row r="852" spans="1:17" ht="33" customHeight="1" x14ac:dyDescent="0.25">
      <c r="A852" s="2343" t="s">
        <v>1272</v>
      </c>
      <c r="B852" s="2344"/>
      <c r="C852" s="2344"/>
      <c r="D852" s="2344"/>
      <c r="E852" s="2344"/>
      <c r="F852" s="795">
        <v>128691.8</v>
      </c>
      <c r="G852" s="795">
        <v>120195.5</v>
      </c>
      <c r="H852" s="795">
        <f>H836+H845+H848+H850</f>
        <v>159888.40999999997</v>
      </c>
      <c r="I852" s="795">
        <v>136018.4</v>
      </c>
      <c r="J852" s="795">
        <v>136018.4</v>
      </c>
      <c r="K852" s="16"/>
      <c r="L852" s="24"/>
      <c r="M852" s="24"/>
      <c r="N852" s="24"/>
      <c r="O852" s="24"/>
      <c r="P852" s="24"/>
      <c r="Q852" s="24"/>
    </row>
    <row r="853" spans="1:17" x14ac:dyDescent="0.25">
      <c r="A853" s="1826" t="s">
        <v>1273</v>
      </c>
      <c r="B853" s="1827"/>
      <c r="C853" s="1827"/>
      <c r="D853" s="1827"/>
      <c r="E853" s="1827"/>
      <c r="F853" s="1827"/>
      <c r="G853" s="1827"/>
      <c r="H853" s="1827"/>
      <c r="I853" s="1827"/>
      <c r="J853" s="1827"/>
      <c r="K853" s="1827"/>
      <c r="L853" s="1827"/>
      <c r="M853" s="1827"/>
      <c r="N853" s="1827"/>
      <c r="O853" s="1827"/>
      <c r="P853" s="1827"/>
      <c r="Q853" s="1828"/>
    </row>
    <row r="854" spans="1:17" ht="47.25" customHeight="1" x14ac:dyDescent="0.25">
      <c r="A854" s="571">
        <v>40</v>
      </c>
      <c r="B854" s="64">
        <v>2</v>
      </c>
      <c r="C854" s="30"/>
      <c r="D854" s="1121"/>
      <c r="E854" s="647" t="s">
        <v>1274</v>
      </c>
      <c r="F854" s="1002"/>
      <c r="G854" s="1002"/>
      <c r="H854" s="1122">
        <v>739.4</v>
      </c>
      <c r="I854" s="1122">
        <v>739.4</v>
      </c>
      <c r="J854" s="1122">
        <v>739.4</v>
      </c>
      <c r="K854" s="1123"/>
      <c r="L854" s="1003" t="s">
        <v>182</v>
      </c>
      <c r="M854" s="1003">
        <v>739.4</v>
      </c>
      <c r="N854" s="1003">
        <v>739.4</v>
      </c>
      <c r="O854" s="1003">
        <v>739.4</v>
      </c>
      <c r="P854" s="1003">
        <v>739.4</v>
      </c>
      <c r="Q854" s="1003">
        <v>739.4</v>
      </c>
    </row>
    <row r="855" spans="1:17" x14ac:dyDescent="0.25">
      <c r="A855" s="2345"/>
      <c r="B855" s="2346"/>
      <c r="C855" s="2348" t="s">
        <v>6</v>
      </c>
      <c r="D855" s="2348"/>
      <c r="E855" s="2219" t="s">
        <v>2876</v>
      </c>
      <c r="F855" s="2349"/>
      <c r="G855" s="2349"/>
      <c r="H855" s="2350">
        <v>739.4</v>
      </c>
      <c r="I855" s="2350">
        <v>739.4</v>
      </c>
      <c r="J855" s="2350">
        <v>739.4</v>
      </c>
      <c r="K855" s="1124"/>
      <c r="L855" s="1125"/>
      <c r="M855" s="1014"/>
      <c r="N855" s="1014"/>
      <c r="O855" s="1014"/>
      <c r="P855" s="1014"/>
      <c r="Q855" s="1014"/>
    </row>
    <row r="856" spans="1:17" ht="72" customHeight="1" x14ac:dyDescent="0.25">
      <c r="A856" s="2166"/>
      <c r="B856" s="2347"/>
      <c r="C856" s="2243"/>
      <c r="D856" s="2243"/>
      <c r="E856" s="2219"/>
      <c r="F856" s="1901"/>
      <c r="G856" s="1901"/>
      <c r="H856" s="2351"/>
      <c r="I856" s="2351"/>
      <c r="J856" s="2351"/>
      <c r="K856" s="1126"/>
      <c r="L856" s="1125"/>
      <c r="M856" s="1014">
        <v>100</v>
      </c>
      <c r="N856" s="1014">
        <v>100</v>
      </c>
      <c r="O856" s="1014">
        <v>100</v>
      </c>
      <c r="P856" s="1014">
        <v>100</v>
      </c>
      <c r="Q856" s="1014">
        <v>100</v>
      </c>
    </row>
    <row r="857" spans="1:17" ht="57.75" customHeight="1" x14ac:dyDescent="0.25">
      <c r="A857" s="1821" t="s">
        <v>1275</v>
      </c>
      <c r="B857" s="1822"/>
      <c r="C857" s="1822"/>
      <c r="D857" s="1822"/>
      <c r="E857" s="1822"/>
      <c r="F857" s="24"/>
      <c r="G857" s="24"/>
      <c r="H857" s="1127">
        <v>739.4</v>
      </c>
      <c r="I857" s="46">
        <v>739.4</v>
      </c>
      <c r="J857" s="46">
        <v>739.4</v>
      </c>
      <c r="K857" s="16"/>
      <c r="L857" s="24"/>
      <c r="M857" s="24"/>
      <c r="N857" s="24"/>
      <c r="O857" s="24"/>
      <c r="P857" s="24"/>
      <c r="Q857" s="1128"/>
    </row>
    <row r="858" spans="1:17" x14ac:dyDescent="0.25">
      <c r="A858" s="1826" t="s">
        <v>1276</v>
      </c>
      <c r="B858" s="1827"/>
      <c r="C858" s="1827"/>
      <c r="D858" s="1827"/>
      <c r="E858" s="1827"/>
      <c r="F858" s="1827"/>
      <c r="G858" s="1827"/>
      <c r="H858" s="1827"/>
      <c r="I858" s="1827"/>
      <c r="J858" s="1827"/>
      <c r="K858" s="1827"/>
      <c r="L858" s="1827"/>
      <c r="M858" s="1827"/>
      <c r="N858" s="1827"/>
      <c r="O858" s="1827"/>
      <c r="P858" s="1827"/>
      <c r="Q858" s="1828"/>
    </row>
    <row r="859" spans="1:17" ht="73.5" x14ac:dyDescent="0.25">
      <c r="A859" s="902">
        <v>41</v>
      </c>
      <c r="B859" s="1129">
        <v>1</v>
      </c>
      <c r="C859" s="1015"/>
      <c r="D859" s="951"/>
      <c r="E859" s="1006" t="s">
        <v>810</v>
      </c>
      <c r="F859" s="950">
        <v>97755.199999999997</v>
      </c>
      <c r="G859" s="950">
        <v>125271.5</v>
      </c>
      <c r="H859" s="950">
        <f>H860+H867+H868+H869+H870+H871+H872+H873+H874+H875</f>
        <v>131315.5</v>
      </c>
      <c r="I859" s="950">
        <v>109239</v>
      </c>
      <c r="J859" s="950">
        <v>110374.20000000001</v>
      </c>
      <c r="K859" s="914" t="s">
        <v>181</v>
      </c>
      <c r="L859" s="1002" t="s">
        <v>182</v>
      </c>
      <c r="M859" s="1130">
        <v>7.8</v>
      </c>
      <c r="N859" s="1130">
        <v>7.4</v>
      </c>
      <c r="O859" s="1130">
        <v>7.7</v>
      </c>
      <c r="P859" s="1130">
        <v>7.7</v>
      </c>
      <c r="Q859" s="1130">
        <v>7.7</v>
      </c>
    </row>
    <row r="860" spans="1:17" x14ac:dyDescent="0.25">
      <c r="A860" s="2028"/>
      <c r="B860" s="1812"/>
      <c r="C860" s="1884" t="s">
        <v>6</v>
      </c>
      <c r="D860" s="2352"/>
      <c r="E860" s="1985" t="s">
        <v>7</v>
      </c>
      <c r="F860" s="1909">
        <v>4590.7</v>
      </c>
      <c r="G860" s="1909">
        <v>4377.6000000000004</v>
      </c>
      <c r="H860" s="1909">
        <v>8464.2000000000007</v>
      </c>
      <c r="I860" s="1909">
        <v>7786.4</v>
      </c>
      <c r="J860" s="1909">
        <v>7840.6</v>
      </c>
      <c r="K860" s="2020" t="s">
        <v>183</v>
      </c>
      <c r="L860" s="2058" t="s">
        <v>1277</v>
      </c>
      <c r="M860" s="2058">
        <v>35.799999999999997</v>
      </c>
      <c r="N860" s="2058">
        <v>36</v>
      </c>
      <c r="O860" s="2058">
        <v>36</v>
      </c>
      <c r="P860" s="2058">
        <v>36</v>
      </c>
      <c r="Q860" s="2058">
        <v>36</v>
      </c>
    </row>
    <row r="861" spans="1:17" x14ac:dyDescent="0.25">
      <c r="A861" s="1819"/>
      <c r="B861" s="1813"/>
      <c r="C861" s="2016"/>
      <c r="D861" s="2353"/>
      <c r="E861" s="1986"/>
      <c r="F861" s="2355"/>
      <c r="G861" s="2355"/>
      <c r="H861" s="2355"/>
      <c r="I861" s="2355"/>
      <c r="J861" s="2355"/>
      <c r="K861" s="2021"/>
      <c r="L861" s="2084"/>
      <c r="M861" s="2084"/>
      <c r="N861" s="2084"/>
      <c r="O861" s="2084"/>
      <c r="P861" s="2084"/>
      <c r="Q861" s="2084"/>
    </row>
    <row r="862" spans="1:17" x14ac:dyDescent="0.25">
      <c r="A862" s="1819"/>
      <c r="B862" s="1813"/>
      <c r="C862" s="2016"/>
      <c r="D862" s="2353"/>
      <c r="E862" s="1986"/>
      <c r="F862" s="2355"/>
      <c r="G862" s="2355"/>
      <c r="H862" s="2355"/>
      <c r="I862" s="2355"/>
      <c r="J862" s="2355"/>
      <c r="K862" s="2021"/>
      <c r="L862" s="2084"/>
      <c r="M862" s="2084"/>
      <c r="N862" s="2084"/>
      <c r="O862" s="2084"/>
      <c r="P862" s="2084"/>
      <c r="Q862" s="2084"/>
    </row>
    <row r="863" spans="1:17" x14ac:dyDescent="0.25">
      <c r="A863" s="1819"/>
      <c r="B863" s="1813"/>
      <c r="C863" s="2016"/>
      <c r="D863" s="2353"/>
      <c r="E863" s="1986"/>
      <c r="F863" s="2355"/>
      <c r="G863" s="2355"/>
      <c r="H863" s="2355"/>
      <c r="I863" s="2355"/>
      <c r="J863" s="2355"/>
      <c r="K863" s="2021"/>
      <c r="L863" s="2084"/>
      <c r="M863" s="2084"/>
      <c r="N863" s="2084"/>
      <c r="O863" s="2084"/>
      <c r="P863" s="2084"/>
      <c r="Q863" s="2084"/>
    </row>
    <row r="864" spans="1:17" x14ac:dyDescent="0.25">
      <c r="A864" s="1819"/>
      <c r="B864" s="1813"/>
      <c r="C864" s="2016"/>
      <c r="D864" s="2353"/>
      <c r="E864" s="1986"/>
      <c r="F864" s="2355"/>
      <c r="G864" s="2355"/>
      <c r="H864" s="2355"/>
      <c r="I864" s="2355"/>
      <c r="J864" s="2355"/>
      <c r="K864" s="2021"/>
      <c r="L864" s="2084"/>
      <c r="M864" s="2084"/>
      <c r="N864" s="2084"/>
      <c r="O864" s="2084"/>
      <c r="P864" s="2084"/>
      <c r="Q864" s="2084"/>
    </row>
    <row r="865" spans="1:17" x14ac:dyDescent="0.25">
      <c r="A865" s="1819"/>
      <c r="B865" s="1813"/>
      <c r="C865" s="2016"/>
      <c r="D865" s="2353"/>
      <c r="E865" s="1986"/>
      <c r="F865" s="2355"/>
      <c r="G865" s="2355"/>
      <c r="H865" s="2355"/>
      <c r="I865" s="2355"/>
      <c r="J865" s="2355"/>
      <c r="K865" s="2021"/>
      <c r="L865" s="2084"/>
      <c r="M865" s="2084"/>
      <c r="N865" s="2084"/>
      <c r="O865" s="2084"/>
      <c r="P865" s="2084"/>
      <c r="Q865" s="2084"/>
    </row>
    <row r="866" spans="1:17" x14ac:dyDescent="0.25">
      <c r="A866" s="1820"/>
      <c r="B866" s="1814"/>
      <c r="C866" s="1885"/>
      <c r="D866" s="2354"/>
      <c r="E866" s="1987"/>
      <c r="F866" s="1910"/>
      <c r="G866" s="1910"/>
      <c r="H866" s="1910"/>
      <c r="I866" s="1910"/>
      <c r="J866" s="1910"/>
      <c r="K866" s="2022"/>
      <c r="L866" s="1832"/>
      <c r="M866" s="1832"/>
      <c r="N866" s="1832"/>
      <c r="O866" s="1832"/>
      <c r="P866" s="1832"/>
      <c r="Q866" s="1832"/>
    </row>
    <row r="867" spans="1:17" x14ac:dyDescent="0.25">
      <c r="A867" s="948"/>
      <c r="B867" s="753"/>
      <c r="C867" s="912" t="s">
        <v>8</v>
      </c>
      <c r="D867" s="13"/>
      <c r="E867" s="978" t="s">
        <v>9</v>
      </c>
      <c r="F867" s="1003">
        <v>3825.6</v>
      </c>
      <c r="G867" s="1003">
        <v>3648</v>
      </c>
      <c r="H867" s="961">
        <v>4604.2</v>
      </c>
      <c r="I867" s="928">
        <v>3909.5</v>
      </c>
      <c r="J867" s="928">
        <v>3954.7</v>
      </c>
      <c r="K867" s="1131" t="s">
        <v>185</v>
      </c>
      <c r="L867" s="711" t="s">
        <v>182</v>
      </c>
      <c r="M867" s="1003">
        <v>100</v>
      </c>
      <c r="N867" s="1003">
        <v>100</v>
      </c>
      <c r="O867" s="1003">
        <v>100</v>
      </c>
      <c r="P867" s="1003">
        <v>100</v>
      </c>
      <c r="Q867" s="1003">
        <v>100</v>
      </c>
    </row>
    <row r="868" spans="1:17" ht="30" x14ac:dyDescent="0.25">
      <c r="A868" s="948"/>
      <c r="B868" s="753"/>
      <c r="C868" s="912" t="s">
        <v>10</v>
      </c>
      <c r="D868" s="13"/>
      <c r="E868" s="978" t="s">
        <v>11</v>
      </c>
      <c r="F868" s="963">
        <v>765.1</v>
      </c>
      <c r="G868" s="963">
        <v>729.6</v>
      </c>
      <c r="H868" s="961">
        <v>1879.4</v>
      </c>
      <c r="I868" s="928">
        <v>796.6</v>
      </c>
      <c r="J868" s="928">
        <v>805.6</v>
      </c>
      <c r="K868" s="1132" t="s">
        <v>186</v>
      </c>
      <c r="L868" s="711" t="s">
        <v>182</v>
      </c>
      <c r="M868" s="1003">
        <v>33.299999999999997</v>
      </c>
      <c r="N868" s="1003" t="s">
        <v>383</v>
      </c>
      <c r="O868" s="1003" t="s">
        <v>383</v>
      </c>
      <c r="P868" s="1003" t="s">
        <v>383</v>
      </c>
      <c r="Q868" s="1003" t="s">
        <v>383</v>
      </c>
    </row>
    <row r="869" spans="1:17" ht="30" x14ac:dyDescent="0.25">
      <c r="A869" s="948"/>
      <c r="B869" s="753"/>
      <c r="C869" s="912" t="s">
        <v>12</v>
      </c>
      <c r="D869" s="13"/>
      <c r="E869" s="978" t="s">
        <v>13</v>
      </c>
      <c r="F869" s="963">
        <v>1912.8</v>
      </c>
      <c r="G869" s="963">
        <v>1824</v>
      </c>
      <c r="H869" s="961">
        <v>2699.8</v>
      </c>
      <c r="I869" s="928">
        <v>1956.4</v>
      </c>
      <c r="J869" s="928">
        <v>1979.1</v>
      </c>
      <c r="K869" s="1132" t="s">
        <v>187</v>
      </c>
      <c r="L869" s="711" t="s">
        <v>424</v>
      </c>
      <c r="M869" s="1133">
        <v>20576</v>
      </c>
      <c r="N869" s="1003" t="s">
        <v>383</v>
      </c>
      <c r="O869" s="1003" t="s">
        <v>383</v>
      </c>
      <c r="P869" s="1003" t="s">
        <v>383</v>
      </c>
      <c r="Q869" s="1003" t="s">
        <v>383</v>
      </c>
    </row>
    <row r="870" spans="1:17" ht="30" x14ac:dyDescent="0.25">
      <c r="A870" s="948"/>
      <c r="B870" s="753"/>
      <c r="C870" s="912" t="s">
        <v>14</v>
      </c>
      <c r="D870" s="13"/>
      <c r="E870" s="978" t="s">
        <v>15</v>
      </c>
      <c r="F870" s="963">
        <v>4590.7</v>
      </c>
      <c r="G870" s="963">
        <v>4377.6000000000004</v>
      </c>
      <c r="H870" s="961">
        <v>5453.3</v>
      </c>
      <c r="I870" s="928">
        <v>4762.8</v>
      </c>
      <c r="J870" s="928">
        <v>4817</v>
      </c>
      <c r="K870" s="1132" t="s">
        <v>1278</v>
      </c>
      <c r="L870" s="711" t="s">
        <v>424</v>
      </c>
      <c r="M870" s="1134">
        <v>736</v>
      </c>
      <c r="N870" s="1003" t="s">
        <v>383</v>
      </c>
      <c r="O870" s="1003" t="s">
        <v>383</v>
      </c>
      <c r="P870" s="1003" t="s">
        <v>383</v>
      </c>
      <c r="Q870" s="1003" t="s">
        <v>383</v>
      </c>
    </row>
    <row r="871" spans="1:17" ht="30" x14ac:dyDescent="0.25">
      <c r="A871" s="948"/>
      <c r="B871" s="753"/>
      <c r="C871" s="912" t="s">
        <v>16</v>
      </c>
      <c r="D871" s="13"/>
      <c r="E871" s="978" t="s">
        <v>17</v>
      </c>
      <c r="F871" s="963">
        <v>5738.5</v>
      </c>
      <c r="G871" s="963">
        <v>5472</v>
      </c>
      <c r="H871" s="961">
        <v>6409</v>
      </c>
      <c r="I871" s="928">
        <v>5776.9</v>
      </c>
      <c r="J871" s="928">
        <v>5844.7</v>
      </c>
      <c r="K871" s="1132" t="s">
        <v>292</v>
      </c>
      <c r="L871" s="711" t="s">
        <v>182</v>
      </c>
      <c r="M871" s="1135">
        <v>15.15</v>
      </c>
      <c r="N871" s="1135">
        <v>15.15</v>
      </c>
      <c r="O871" s="1135">
        <v>15.15</v>
      </c>
      <c r="P871" s="1135">
        <v>15.15</v>
      </c>
      <c r="Q871" s="1135">
        <v>15.15</v>
      </c>
    </row>
    <row r="872" spans="1:17" ht="30" x14ac:dyDescent="0.25">
      <c r="A872" s="948"/>
      <c r="B872" s="753"/>
      <c r="C872" s="912" t="s">
        <v>48</v>
      </c>
      <c r="D872" s="13"/>
      <c r="E872" s="978" t="s">
        <v>66</v>
      </c>
      <c r="F872" s="963">
        <v>2295.4</v>
      </c>
      <c r="G872" s="963">
        <v>2188.8000000000002</v>
      </c>
      <c r="H872" s="961">
        <v>3041.8</v>
      </c>
      <c r="I872" s="928">
        <v>2308.1</v>
      </c>
      <c r="J872" s="928">
        <v>2335.3000000000002</v>
      </c>
      <c r="K872" s="1132" t="s">
        <v>1279</v>
      </c>
      <c r="L872" s="711" t="s">
        <v>182</v>
      </c>
      <c r="M872" s="1136">
        <v>91.7</v>
      </c>
      <c r="N872" s="1136">
        <v>100</v>
      </c>
      <c r="O872" s="1136">
        <v>100</v>
      </c>
      <c r="P872" s="1136">
        <v>100</v>
      </c>
      <c r="Q872" s="1136">
        <v>100</v>
      </c>
    </row>
    <row r="873" spans="1:17" ht="30" x14ac:dyDescent="0.25">
      <c r="A873" s="948"/>
      <c r="B873" s="753"/>
      <c r="C873" s="912" t="s">
        <v>49</v>
      </c>
      <c r="D873" s="13"/>
      <c r="E873" s="978" t="s">
        <v>67</v>
      </c>
      <c r="F873" s="963">
        <v>13772.2</v>
      </c>
      <c r="G873" s="963">
        <v>44832.800000000003</v>
      </c>
      <c r="H873" s="961">
        <v>15225.3</v>
      </c>
      <c r="I873" s="928">
        <v>14760.3</v>
      </c>
      <c r="J873" s="928">
        <v>14923</v>
      </c>
      <c r="K873" s="1132" t="s">
        <v>1280</v>
      </c>
      <c r="L873" s="711" t="s">
        <v>238</v>
      </c>
      <c r="M873" s="1137">
        <v>36</v>
      </c>
      <c r="N873" s="1137">
        <v>36</v>
      </c>
      <c r="O873" s="1137">
        <v>36</v>
      </c>
      <c r="P873" s="1137">
        <v>36</v>
      </c>
      <c r="Q873" s="1137">
        <v>36</v>
      </c>
    </row>
    <row r="874" spans="1:17" ht="30" x14ac:dyDescent="0.25">
      <c r="A874" s="948"/>
      <c r="B874" s="753"/>
      <c r="C874" s="912" t="s">
        <v>1281</v>
      </c>
      <c r="D874" s="13"/>
      <c r="E874" s="998" t="s">
        <v>1282</v>
      </c>
      <c r="F874" s="963">
        <v>1147.5999999999999</v>
      </c>
      <c r="G874" s="963">
        <v>1094.4000000000001</v>
      </c>
      <c r="H874" s="961">
        <v>2213.6</v>
      </c>
      <c r="I874" s="928">
        <v>1456.9</v>
      </c>
      <c r="J874" s="928">
        <v>1470.4</v>
      </c>
      <c r="K874" s="914" t="s">
        <v>1283</v>
      </c>
      <c r="L874" s="711" t="s">
        <v>238</v>
      </c>
      <c r="M874" s="1137">
        <v>24</v>
      </c>
      <c r="N874" s="1137">
        <v>39</v>
      </c>
      <c r="O874" s="1137">
        <v>39</v>
      </c>
      <c r="P874" s="1137">
        <v>45</v>
      </c>
      <c r="Q874" s="1137">
        <v>45</v>
      </c>
    </row>
    <row r="875" spans="1:17" ht="30" x14ac:dyDescent="0.25">
      <c r="A875" s="948"/>
      <c r="B875" s="753"/>
      <c r="C875" s="912" t="s">
        <v>1284</v>
      </c>
      <c r="D875" s="13"/>
      <c r="E875" s="998" t="s">
        <v>1285</v>
      </c>
      <c r="F875" s="963">
        <v>59116.6</v>
      </c>
      <c r="G875" s="963">
        <v>56726.7</v>
      </c>
      <c r="H875" s="961">
        <v>81324.899999999994</v>
      </c>
      <c r="I875" s="928">
        <v>65725.100000000006</v>
      </c>
      <c r="J875" s="928">
        <v>66403.8</v>
      </c>
      <c r="K875" s="1132" t="s">
        <v>2877</v>
      </c>
      <c r="L875" s="711" t="s">
        <v>238</v>
      </c>
      <c r="M875" s="1137">
        <v>196</v>
      </c>
      <c r="N875" s="1137">
        <v>196</v>
      </c>
      <c r="O875" s="1137">
        <v>196</v>
      </c>
      <c r="P875" s="1137">
        <v>196</v>
      </c>
      <c r="Q875" s="1137">
        <v>196</v>
      </c>
    </row>
    <row r="876" spans="1:17" x14ac:dyDescent="0.25">
      <c r="A876" s="1882">
        <v>41</v>
      </c>
      <c r="B876" s="1891">
        <v>2</v>
      </c>
      <c r="C876" s="1884"/>
      <c r="D876" s="1947"/>
      <c r="E876" s="2199" t="s">
        <v>1286</v>
      </c>
      <c r="F876" s="2201">
        <v>1558667</v>
      </c>
      <c r="G876" s="2201">
        <v>3168656.6999999993</v>
      </c>
      <c r="H876" s="2201">
        <f>H888+H890+H893+H894+H900+H901+H908+H911+H916+H917+H921+H925+H930+H931+H937+H939+H943+H945+H946+H949+H952+H953+H954</f>
        <v>645995.69999999995</v>
      </c>
      <c r="I876" s="2201">
        <v>897036.2</v>
      </c>
      <c r="J876" s="2201">
        <v>687133.60000000009</v>
      </c>
      <c r="K876" s="914" t="s">
        <v>1287</v>
      </c>
      <c r="L876" s="692" t="s">
        <v>1288</v>
      </c>
      <c r="M876" s="1002">
        <v>207.4</v>
      </c>
      <c r="N876" s="1003">
        <v>219.9</v>
      </c>
      <c r="O876" s="1003">
        <v>228.8</v>
      </c>
      <c r="P876" s="1003">
        <v>238.9</v>
      </c>
      <c r="Q876" s="1003">
        <v>251</v>
      </c>
    </row>
    <row r="877" spans="1:17" ht="30" x14ac:dyDescent="0.25">
      <c r="A877" s="2015"/>
      <c r="B877" s="1816"/>
      <c r="C877" s="2016"/>
      <c r="D877" s="2328"/>
      <c r="E877" s="2272"/>
      <c r="F877" s="2342"/>
      <c r="G877" s="2342"/>
      <c r="H877" s="2342"/>
      <c r="I877" s="2342"/>
      <c r="J877" s="2342"/>
      <c r="K877" s="914" t="s">
        <v>1289</v>
      </c>
      <c r="L877" s="692" t="s">
        <v>182</v>
      </c>
      <c r="M877" s="1002">
        <v>102.2</v>
      </c>
      <c r="N877" s="1003">
        <v>102.5</v>
      </c>
      <c r="O877" s="1003">
        <v>102.7</v>
      </c>
      <c r="P877" s="1003">
        <v>103</v>
      </c>
      <c r="Q877" s="1003">
        <v>103.3</v>
      </c>
    </row>
    <row r="878" spans="1:17" x14ac:dyDescent="0.25">
      <c r="A878" s="2015"/>
      <c r="B878" s="1816"/>
      <c r="C878" s="2016"/>
      <c r="D878" s="2328"/>
      <c r="E878" s="2272"/>
      <c r="F878" s="2342"/>
      <c r="G878" s="2342"/>
      <c r="H878" s="2342"/>
      <c r="I878" s="2342"/>
      <c r="J878" s="2342"/>
      <c r="K878" s="914" t="s">
        <v>1290</v>
      </c>
      <c r="L878" s="692" t="s">
        <v>182</v>
      </c>
      <c r="M878" s="1002">
        <v>102.7</v>
      </c>
      <c r="N878" s="1002">
        <v>103.4</v>
      </c>
      <c r="O878" s="1002">
        <v>101.4</v>
      </c>
      <c r="P878" s="1002">
        <v>101.4</v>
      </c>
      <c r="Q878" s="1002">
        <v>101.7</v>
      </c>
    </row>
    <row r="879" spans="1:17" x14ac:dyDescent="0.25">
      <c r="A879" s="2015"/>
      <c r="B879" s="1816"/>
      <c r="C879" s="2016"/>
      <c r="D879" s="2328"/>
      <c r="E879" s="2272"/>
      <c r="F879" s="2342"/>
      <c r="G879" s="2342"/>
      <c r="H879" s="2342"/>
      <c r="I879" s="2342"/>
      <c r="J879" s="2342"/>
      <c r="K879" s="914" t="s">
        <v>1291</v>
      </c>
      <c r="L879" s="692" t="s">
        <v>1288</v>
      </c>
      <c r="M879" s="1002">
        <v>29.2</v>
      </c>
      <c r="N879" s="1002">
        <v>31.7</v>
      </c>
      <c r="O879" s="1002">
        <v>35.6</v>
      </c>
      <c r="P879" s="1002">
        <v>39.299999999999997</v>
      </c>
      <c r="Q879" s="1002">
        <v>43</v>
      </c>
    </row>
    <row r="880" spans="1:17" ht="30" x14ac:dyDescent="0.25">
      <c r="A880" s="2015"/>
      <c r="B880" s="1816"/>
      <c r="C880" s="2016"/>
      <c r="D880" s="2328"/>
      <c r="E880" s="2272"/>
      <c r="F880" s="2342"/>
      <c r="G880" s="2342"/>
      <c r="H880" s="2342"/>
      <c r="I880" s="2342"/>
      <c r="J880" s="2342"/>
      <c r="K880" s="914" t="s">
        <v>1289</v>
      </c>
      <c r="L880" s="692" t="s">
        <v>182</v>
      </c>
      <c r="M880" s="1002">
        <v>112.3</v>
      </c>
      <c r="N880" s="1002">
        <v>105.5</v>
      </c>
      <c r="O880" s="1002">
        <v>108.2</v>
      </c>
      <c r="P880" s="1002">
        <v>106.5</v>
      </c>
      <c r="Q880" s="1002">
        <v>107</v>
      </c>
    </row>
    <row r="881" spans="1:17" x14ac:dyDescent="0.25">
      <c r="A881" s="2015"/>
      <c r="B881" s="1816"/>
      <c r="C881" s="2016"/>
      <c r="D881" s="2328"/>
      <c r="E881" s="2272"/>
      <c r="F881" s="2342"/>
      <c r="G881" s="2342"/>
      <c r="H881" s="2342"/>
      <c r="I881" s="2342"/>
      <c r="J881" s="2342"/>
      <c r="K881" s="11" t="s">
        <v>1290</v>
      </c>
      <c r="L881" s="692" t="s">
        <v>182</v>
      </c>
      <c r="M881" s="1002">
        <v>106.2</v>
      </c>
      <c r="N881" s="1002">
        <v>102</v>
      </c>
      <c r="O881" s="1002">
        <v>103.8</v>
      </c>
      <c r="P881" s="1002">
        <v>103.8</v>
      </c>
      <c r="Q881" s="1002">
        <v>102.2</v>
      </c>
    </row>
    <row r="882" spans="1:17" x14ac:dyDescent="0.25">
      <c r="A882" s="2015"/>
      <c r="B882" s="1816"/>
      <c r="C882" s="2016"/>
      <c r="D882" s="2328"/>
      <c r="E882" s="2272"/>
      <c r="F882" s="2342"/>
      <c r="G882" s="2342"/>
      <c r="H882" s="2342"/>
      <c r="I882" s="2342"/>
      <c r="J882" s="2342"/>
      <c r="K882" s="11" t="s">
        <v>1292</v>
      </c>
      <c r="L882" s="692" t="s">
        <v>1288</v>
      </c>
      <c r="M882" s="1002">
        <v>108.2</v>
      </c>
      <c r="N882" s="1002">
        <v>113</v>
      </c>
      <c r="O882" s="1002">
        <v>116.9</v>
      </c>
      <c r="P882" s="1002">
        <v>121.5</v>
      </c>
      <c r="Q882" s="1002">
        <v>127.3</v>
      </c>
    </row>
    <row r="883" spans="1:17" ht="30" x14ac:dyDescent="0.25">
      <c r="A883" s="2015"/>
      <c r="B883" s="1816"/>
      <c r="C883" s="2016"/>
      <c r="D883" s="2328"/>
      <c r="E883" s="2272"/>
      <c r="F883" s="2342"/>
      <c r="G883" s="2342"/>
      <c r="H883" s="2342"/>
      <c r="I883" s="2342"/>
      <c r="J883" s="2342"/>
      <c r="K883" s="914" t="s">
        <v>1293</v>
      </c>
      <c r="L883" s="692" t="s">
        <v>182</v>
      </c>
      <c r="M883" s="1002">
        <v>102.5</v>
      </c>
      <c r="N883" s="1002">
        <v>102.2</v>
      </c>
      <c r="O883" s="1002">
        <v>102.4</v>
      </c>
      <c r="P883" s="1002">
        <v>2.9</v>
      </c>
      <c r="Q883" s="1002">
        <v>103.3</v>
      </c>
    </row>
    <row r="884" spans="1:17" x14ac:dyDescent="0.25">
      <c r="A884" s="2015"/>
      <c r="B884" s="1816"/>
      <c r="C884" s="2016"/>
      <c r="D884" s="2328"/>
      <c r="E884" s="2272"/>
      <c r="F884" s="2342"/>
      <c r="G884" s="2342"/>
      <c r="H884" s="2342"/>
      <c r="I884" s="2342"/>
      <c r="J884" s="2342"/>
      <c r="K884" s="11" t="s">
        <v>1290</v>
      </c>
      <c r="L884" s="692" t="s">
        <v>182</v>
      </c>
      <c r="M884" s="1002">
        <v>107.9</v>
      </c>
      <c r="N884" s="1002">
        <v>102.1</v>
      </c>
      <c r="O884" s="1002">
        <v>101.1</v>
      </c>
      <c r="P884" s="1002">
        <v>101</v>
      </c>
      <c r="Q884" s="1002">
        <v>101.5</v>
      </c>
    </row>
    <row r="885" spans="1:17" x14ac:dyDescent="0.25">
      <c r="A885" s="2015"/>
      <c r="B885" s="1816"/>
      <c r="C885" s="2016"/>
      <c r="D885" s="2328"/>
      <c r="E885" s="2272"/>
      <c r="F885" s="2342"/>
      <c r="G885" s="2342"/>
      <c r="H885" s="2342"/>
      <c r="I885" s="2342"/>
      <c r="J885" s="2342"/>
      <c r="K885" s="11" t="s">
        <v>1294</v>
      </c>
      <c r="L885" s="692" t="s">
        <v>1288</v>
      </c>
      <c r="M885" s="1002">
        <v>94.2</v>
      </c>
      <c r="N885" s="1002">
        <v>101.4</v>
      </c>
      <c r="O885" s="1002">
        <v>105.9</v>
      </c>
      <c r="P885" s="1002">
        <v>110.8</v>
      </c>
      <c r="Q885" s="1002">
        <v>116.4</v>
      </c>
    </row>
    <row r="886" spans="1:17" ht="30" x14ac:dyDescent="0.25">
      <c r="A886" s="2015"/>
      <c r="B886" s="1816"/>
      <c r="C886" s="2016"/>
      <c r="D886" s="2328"/>
      <c r="E886" s="2272"/>
      <c r="F886" s="2342"/>
      <c r="G886" s="2342"/>
      <c r="H886" s="2342"/>
      <c r="I886" s="2342"/>
      <c r="J886" s="2342"/>
      <c r="K886" s="914" t="s">
        <v>1289</v>
      </c>
      <c r="L886" s="692" t="s">
        <v>182</v>
      </c>
      <c r="M886" s="1002">
        <v>102</v>
      </c>
      <c r="N886" s="1002">
        <v>102.4</v>
      </c>
      <c r="O886" s="1002">
        <v>102.6</v>
      </c>
      <c r="P886" s="1002">
        <v>102.6</v>
      </c>
      <c r="Q886" s="1002">
        <v>102.8</v>
      </c>
    </row>
    <row r="887" spans="1:17" x14ac:dyDescent="0.25">
      <c r="A887" s="1883"/>
      <c r="B887" s="1817"/>
      <c r="C887" s="1885"/>
      <c r="D887" s="1948"/>
      <c r="E887" s="2200"/>
      <c r="F887" s="2202"/>
      <c r="G887" s="2202"/>
      <c r="H887" s="2202"/>
      <c r="I887" s="2202"/>
      <c r="J887" s="2202"/>
      <c r="K887" s="11" t="s">
        <v>1290</v>
      </c>
      <c r="L887" s="692" t="s">
        <v>182</v>
      </c>
      <c r="M887" s="1002">
        <v>97.4</v>
      </c>
      <c r="N887" s="1002">
        <v>105.1</v>
      </c>
      <c r="O887" s="1002">
        <v>101.8</v>
      </c>
      <c r="P887" s="1002">
        <v>102</v>
      </c>
      <c r="Q887" s="1002">
        <v>102.1</v>
      </c>
    </row>
    <row r="888" spans="1:17" ht="45" x14ac:dyDescent="0.25">
      <c r="A888" s="2028"/>
      <c r="B888" s="2029"/>
      <c r="C888" s="1884" t="s">
        <v>6</v>
      </c>
      <c r="D888" s="1884"/>
      <c r="E888" s="2020" t="s">
        <v>1295</v>
      </c>
      <c r="F888" s="1938">
        <v>36048.400000000001</v>
      </c>
      <c r="G888" s="1938">
        <v>37260.5</v>
      </c>
      <c r="H888" s="1938">
        <f>49272.8+24.1</f>
        <v>49296.9</v>
      </c>
      <c r="I888" s="1938">
        <v>46385.599999999999</v>
      </c>
      <c r="J888" s="1938">
        <v>47083.700000000004</v>
      </c>
      <c r="K888" s="914" t="s">
        <v>1296</v>
      </c>
      <c r="L888" s="692" t="s">
        <v>1297</v>
      </c>
      <c r="M888" s="360">
        <v>107</v>
      </c>
      <c r="N888" s="360">
        <v>120</v>
      </c>
      <c r="O888" s="360">
        <v>120</v>
      </c>
      <c r="P888" s="360">
        <v>120</v>
      </c>
      <c r="Q888" s="360">
        <v>110</v>
      </c>
    </row>
    <row r="889" spans="1:17" ht="45" x14ac:dyDescent="0.25">
      <c r="A889" s="1820"/>
      <c r="B889" s="1814"/>
      <c r="C889" s="1885"/>
      <c r="D889" s="1885"/>
      <c r="E889" s="2022"/>
      <c r="F889" s="1939"/>
      <c r="G889" s="1939"/>
      <c r="H889" s="1939"/>
      <c r="I889" s="1939"/>
      <c r="J889" s="1939"/>
      <c r="K889" s="914" t="s">
        <v>1298</v>
      </c>
      <c r="L889" s="692" t="s">
        <v>1297</v>
      </c>
      <c r="M889" s="360">
        <v>1.9</v>
      </c>
      <c r="N889" s="360">
        <v>2</v>
      </c>
      <c r="O889" s="360">
        <v>2</v>
      </c>
      <c r="P889" s="360">
        <v>2</v>
      </c>
      <c r="Q889" s="360">
        <v>2</v>
      </c>
    </row>
    <row r="890" spans="1:17" ht="30" x14ac:dyDescent="0.25">
      <c r="A890" s="2028"/>
      <c r="B890" s="2029"/>
      <c r="C890" s="1884" t="s">
        <v>8</v>
      </c>
      <c r="D890" s="2324"/>
      <c r="E890" s="2339" t="s">
        <v>1299</v>
      </c>
      <c r="F890" s="2173" t="s">
        <v>1300</v>
      </c>
      <c r="G890" s="2173" t="s">
        <v>1301</v>
      </c>
      <c r="H890" s="2173">
        <f>59677.1+12750.5</f>
        <v>72427.600000000006</v>
      </c>
      <c r="I890" s="2173">
        <v>43453.9</v>
      </c>
      <c r="J890" s="2173">
        <v>43944.5</v>
      </c>
      <c r="K890" s="914" t="s">
        <v>1302</v>
      </c>
      <c r="L890" s="692" t="s">
        <v>1297</v>
      </c>
      <c r="M890" s="360">
        <v>132.5</v>
      </c>
      <c r="N890" s="360">
        <v>130</v>
      </c>
      <c r="O890" s="360">
        <v>130</v>
      </c>
      <c r="P890" s="360">
        <v>130</v>
      </c>
      <c r="Q890" s="360">
        <v>120</v>
      </c>
    </row>
    <row r="891" spans="1:17" ht="30" x14ac:dyDescent="0.25">
      <c r="A891" s="1819"/>
      <c r="B891" s="1813"/>
      <c r="C891" s="2016"/>
      <c r="D891" s="2325"/>
      <c r="E891" s="2340"/>
      <c r="F891" s="2173"/>
      <c r="G891" s="2173"/>
      <c r="H891" s="2173"/>
      <c r="I891" s="2173"/>
      <c r="J891" s="2173"/>
      <c r="K891" s="914" t="s">
        <v>1303</v>
      </c>
      <c r="L891" s="692" t="s">
        <v>1297</v>
      </c>
      <c r="M891" s="360">
        <v>3.1</v>
      </c>
      <c r="N891" s="360" t="s">
        <v>1304</v>
      </c>
      <c r="O891" s="360" t="s">
        <v>1305</v>
      </c>
      <c r="P891" s="360" t="s">
        <v>1306</v>
      </c>
      <c r="Q891" s="360" t="s">
        <v>1307</v>
      </c>
    </row>
    <row r="892" spans="1:17" x14ac:dyDescent="0.25">
      <c r="A892" s="1820"/>
      <c r="B892" s="1814"/>
      <c r="C892" s="1885"/>
      <c r="D892" s="2326"/>
      <c r="E892" s="2341"/>
      <c r="F892" s="2173"/>
      <c r="G892" s="2173"/>
      <c r="H892" s="2173"/>
      <c r="I892" s="2173"/>
      <c r="J892" s="2173"/>
      <c r="K892" s="914" t="s">
        <v>1308</v>
      </c>
      <c r="L892" s="692" t="s">
        <v>1309</v>
      </c>
      <c r="M892" s="360">
        <v>38.1</v>
      </c>
      <c r="N892" s="376">
        <v>45</v>
      </c>
      <c r="O892" s="376">
        <v>45</v>
      </c>
      <c r="P892" s="376">
        <v>45</v>
      </c>
      <c r="Q892" s="376">
        <v>34.700000000000003</v>
      </c>
    </row>
    <row r="893" spans="1:17" ht="30" x14ac:dyDescent="0.25">
      <c r="A893" s="960"/>
      <c r="B893" s="1138"/>
      <c r="C893" s="904" t="s">
        <v>10</v>
      </c>
      <c r="D893" s="1015"/>
      <c r="E893" s="1139" t="s">
        <v>1310</v>
      </c>
      <c r="F893" s="1140" t="s">
        <v>1311</v>
      </c>
      <c r="G893" s="1140" t="s">
        <v>1312</v>
      </c>
      <c r="H893" s="1140">
        <f>16907.3+2528.7</f>
        <v>19436</v>
      </c>
      <c r="I893" s="1140">
        <v>10176.200000000001</v>
      </c>
      <c r="J893" s="1140">
        <v>10481.1</v>
      </c>
      <c r="K893" s="914" t="s">
        <v>1313</v>
      </c>
      <c r="L893" s="692" t="s">
        <v>189</v>
      </c>
      <c r="M893" s="30" t="s">
        <v>1314</v>
      </c>
      <c r="N893" s="1050" t="s">
        <v>1315</v>
      </c>
      <c r="O893" s="1050" t="s">
        <v>1315</v>
      </c>
      <c r="P893" s="1050" t="s">
        <v>1315</v>
      </c>
      <c r="Q893" s="1050" t="s">
        <v>1315</v>
      </c>
    </row>
    <row r="894" spans="1:17" ht="45" x14ac:dyDescent="0.25">
      <c r="A894" s="2028"/>
      <c r="B894" s="2029"/>
      <c r="C894" s="1884" t="s">
        <v>12</v>
      </c>
      <c r="D894" s="1884"/>
      <c r="E894" s="2339" t="s">
        <v>1316</v>
      </c>
      <c r="F894" s="1938" t="s">
        <v>1317</v>
      </c>
      <c r="G894" s="1938" t="s">
        <v>1318</v>
      </c>
      <c r="H894" s="1938">
        <f>20492.3+1329.5</f>
        <v>21821.8</v>
      </c>
      <c r="I894" s="1938" t="s">
        <v>1319</v>
      </c>
      <c r="J894" s="1938" t="s">
        <v>1320</v>
      </c>
      <c r="K894" s="914" t="s">
        <v>1321</v>
      </c>
      <c r="L894" s="692" t="s">
        <v>1297</v>
      </c>
      <c r="M894" s="1084">
        <v>135.5</v>
      </c>
      <c r="N894" s="1084">
        <v>138</v>
      </c>
      <c r="O894" s="1084">
        <v>140</v>
      </c>
      <c r="P894" s="1084">
        <v>142</v>
      </c>
      <c r="Q894" s="1084">
        <v>145</v>
      </c>
    </row>
    <row r="895" spans="1:17" ht="30" x14ac:dyDescent="0.25">
      <c r="A895" s="1819"/>
      <c r="B895" s="1813"/>
      <c r="C895" s="2016"/>
      <c r="D895" s="2016"/>
      <c r="E895" s="2340"/>
      <c r="F895" s="1970"/>
      <c r="G895" s="1970"/>
      <c r="H895" s="2146"/>
      <c r="I895" s="1970"/>
      <c r="J895" s="1970"/>
      <c r="K895" s="914" t="s">
        <v>1322</v>
      </c>
      <c r="L895" s="1141"/>
      <c r="M895" s="1085"/>
      <c r="N895" s="1085"/>
      <c r="O895" s="1084"/>
      <c r="P895" s="1084"/>
      <c r="Q895" s="1084"/>
    </row>
    <row r="896" spans="1:17" x14ac:dyDescent="0.25">
      <c r="A896" s="1819"/>
      <c r="B896" s="1813"/>
      <c r="C896" s="2016"/>
      <c r="D896" s="2016"/>
      <c r="E896" s="2340"/>
      <c r="F896" s="1970"/>
      <c r="G896" s="1970"/>
      <c r="H896" s="2146"/>
      <c r="I896" s="1970"/>
      <c r="J896" s="1970"/>
      <c r="K896" s="914" t="s">
        <v>1323</v>
      </c>
      <c r="L896" s="692" t="s">
        <v>1324</v>
      </c>
      <c r="M896" s="1084">
        <v>39000</v>
      </c>
      <c r="N896" s="1084">
        <v>41000</v>
      </c>
      <c r="O896" s="1085">
        <v>42000</v>
      </c>
      <c r="P896" s="1084">
        <v>43000</v>
      </c>
      <c r="Q896" s="1085">
        <v>45000</v>
      </c>
    </row>
    <row r="897" spans="1:17" x14ac:dyDescent="0.25">
      <c r="A897" s="1819"/>
      <c r="B897" s="1813"/>
      <c r="C897" s="2016"/>
      <c r="D897" s="2016"/>
      <c r="E897" s="2340"/>
      <c r="F897" s="1970"/>
      <c r="G897" s="1970"/>
      <c r="H897" s="2146"/>
      <c r="I897" s="1970"/>
      <c r="J897" s="1970"/>
      <c r="K897" s="914" t="s">
        <v>1325</v>
      </c>
      <c r="L897" s="692" t="s">
        <v>1326</v>
      </c>
      <c r="M897" s="11">
        <v>8500</v>
      </c>
      <c r="N897" s="11">
        <v>9000</v>
      </c>
      <c r="O897" s="1142">
        <v>9200</v>
      </c>
      <c r="P897" s="1142">
        <v>9700</v>
      </c>
      <c r="Q897" s="1142">
        <v>9900</v>
      </c>
    </row>
    <row r="898" spans="1:17" x14ac:dyDescent="0.25">
      <c r="A898" s="1819"/>
      <c r="B898" s="1813"/>
      <c r="C898" s="2016"/>
      <c r="D898" s="2016"/>
      <c r="E898" s="2340"/>
      <c r="F898" s="1970"/>
      <c r="G898" s="1970"/>
      <c r="H898" s="2146"/>
      <c r="I898" s="1970"/>
      <c r="J898" s="1970"/>
      <c r="K898" s="914" t="s">
        <v>1327</v>
      </c>
      <c r="L898" s="692" t="s">
        <v>1328</v>
      </c>
      <c r="M898" s="11">
        <v>195000</v>
      </c>
      <c r="N898" s="1142">
        <v>200000</v>
      </c>
      <c r="O898" s="1142">
        <v>202000</v>
      </c>
      <c r="P898" s="1142">
        <v>205000</v>
      </c>
      <c r="Q898" s="1142">
        <v>2010000</v>
      </c>
    </row>
    <row r="899" spans="1:17" x14ac:dyDescent="0.25">
      <c r="A899" s="1820"/>
      <c r="B899" s="1814"/>
      <c r="C899" s="1885"/>
      <c r="D899" s="1885"/>
      <c r="E899" s="2341"/>
      <c r="F899" s="1939"/>
      <c r="G899" s="1939"/>
      <c r="H899" s="1941"/>
      <c r="I899" s="1939"/>
      <c r="J899" s="1939"/>
      <c r="K899" s="914" t="s">
        <v>1329</v>
      </c>
      <c r="L899" s="692" t="s">
        <v>1330</v>
      </c>
      <c r="M899" s="11">
        <v>45000</v>
      </c>
      <c r="N899" s="1142">
        <v>46000</v>
      </c>
      <c r="O899" s="1142">
        <v>48000</v>
      </c>
      <c r="P899" s="1142">
        <v>49000</v>
      </c>
      <c r="Q899" s="1142">
        <v>50000</v>
      </c>
    </row>
    <row r="900" spans="1:17" x14ac:dyDescent="0.25">
      <c r="A900" s="572"/>
      <c r="B900" s="494"/>
      <c r="C900" s="30" t="s">
        <v>14</v>
      </c>
      <c r="D900" s="1143"/>
      <c r="E900" s="916" t="s">
        <v>2878</v>
      </c>
      <c r="F900" s="1144">
        <v>8572.2999999999993</v>
      </c>
      <c r="G900" s="1144">
        <v>8620.5</v>
      </c>
      <c r="H900" s="1145">
        <f>10306.6+2148.5</f>
        <v>12455.1</v>
      </c>
      <c r="I900" s="1145">
        <v>8626.5</v>
      </c>
      <c r="J900" s="1145">
        <v>9570.9</v>
      </c>
      <c r="K900" s="914" t="s">
        <v>1331</v>
      </c>
      <c r="L900" s="515" t="s">
        <v>424</v>
      </c>
      <c r="M900" s="1146">
        <v>363</v>
      </c>
      <c r="N900" s="1146">
        <v>260</v>
      </c>
      <c r="O900" s="1146">
        <v>260</v>
      </c>
      <c r="P900" s="1146">
        <v>260</v>
      </c>
      <c r="Q900" s="1146">
        <v>260</v>
      </c>
    </row>
    <row r="901" spans="1:17" x14ac:dyDescent="0.25">
      <c r="A901" s="2067"/>
      <c r="B901" s="2029"/>
      <c r="C901" s="1884" t="s">
        <v>16</v>
      </c>
      <c r="D901" s="1884"/>
      <c r="E901" s="2020" t="s">
        <v>2880</v>
      </c>
      <c r="F901" s="1855">
        <v>17980.599999999999</v>
      </c>
      <c r="G901" s="1855">
        <v>18101.400000000001</v>
      </c>
      <c r="H901" s="1938">
        <f>18308.2+1611.7</f>
        <v>19919.900000000001</v>
      </c>
      <c r="I901" s="1938">
        <v>17282.2</v>
      </c>
      <c r="J901" s="1938">
        <v>17576.8</v>
      </c>
      <c r="K901" s="2020" t="s">
        <v>1332</v>
      </c>
      <c r="L901" s="2058" t="s">
        <v>1297</v>
      </c>
      <c r="M901" s="2058">
        <v>11.5</v>
      </c>
      <c r="N901" s="2058">
        <v>10</v>
      </c>
      <c r="O901" s="2058">
        <v>10.5</v>
      </c>
      <c r="P901" s="2058">
        <v>10.5</v>
      </c>
      <c r="Q901" s="2058">
        <v>10.5</v>
      </c>
    </row>
    <row r="902" spans="1:17" x14ac:dyDescent="0.25">
      <c r="A902" s="2067"/>
      <c r="B902" s="1813"/>
      <c r="C902" s="2016"/>
      <c r="D902" s="2016"/>
      <c r="E902" s="2021"/>
      <c r="F902" s="2327"/>
      <c r="G902" s="2327"/>
      <c r="H902" s="1970"/>
      <c r="I902" s="1970"/>
      <c r="J902" s="1970"/>
      <c r="K902" s="2021"/>
      <c r="L902" s="2084"/>
      <c r="M902" s="2084"/>
      <c r="N902" s="2084"/>
      <c r="O902" s="2084"/>
      <c r="P902" s="2084"/>
      <c r="Q902" s="2084"/>
    </row>
    <row r="903" spans="1:17" x14ac:dyDescent="0.25">
      <c r="A903" s="2067"/>
      <c r="B903" s="1813"/>
      <c r="C903" s="2016"/>
      <c r="D903" s="2016"/>
      <c r="E903" s="2021"/>
      <c r="F903" s="2327"/>
      <c r="G903" s="2327"/>
      <c r="H903" s="1970"/>
      <c r="I903" s="1970"/>
      <c r="J903" s="1970"/>
      <c r="K903" s="2021"/>
      <c r="L903" s="2084"/>
      <c r="M903" s="2084"/>
      <c r="N903" s="2084"/>
      <c r="O903" s="2084"/>
      <c r="P903" s="2084"/>
      <c r="Q903" s="2084"/>
    </row>
    <row r="904" spans="1:17" x14ac:dyDescent="0.25">
      <c r="A904" s="2067"/>
      <c r="B904" s="1813"/>
      <c r="C904" s="2016"/>
      <c r="D904" s="2016"/>
      <c r="E904" s="2021"/>
      <c r="F904" s="2327"/>
      <c r="G904" s="2327"/>
      <c r="H904" s="1970"/>
      <c r="I904" s="1970"/>
      <c r="J904" s="1970"/>
      <c r="K904" s="2021"/>
      <c r="L904" s="2084"/>
      <c r="M904" s="2084"/>
      <c r="N904" s="2084"/>
      <c r="O904" s="2084"/>
      <c r="P904" s="2084"/>
      <c r="Q904" s="2084"/>
    </row>
    <row r="905" spans="1:17" x14ac:dyDescent="0.25">
      <c r="A905" s="2067"/>
      <c r="B905" s="1813"/>
      <c r="C905" s="2016"/>
      <c r="D905" s="2016"/>
      <c r="E905" s="2021"/>
      <c r="F905" s="2327"/>
      <c r="G905" s="2327"/>
      <c r="H905" s="1970"/>
      <c r="I905" s="1970"/>
      <c r="J905" s="1970"/>
      <c r="K905" s="2022"/>
      <c r="L905" s="1832"/>
      <c r="M905" s="1832"/>
      <c r="N905" s="1832"/>
      <c r="O905" s="1832"/>
      <c r="P905" s="1832"/>
      <c r="Q905" s="1832"/>
    </row>
    <row r="906" spans="1:17" ht="30" x14ac:dyDescent="0.25">
      <c r="A906" s="2067"/>
      <c r="B906" s="1813"/>
      <c r="C906" s="2016"/>
      <c r="D906" s="2016"/>
      <c r="E906" s="2021"/>
      <c r="F906" s="2327"/>
      <c r="G906" s="2327"/>
      <c r="H906" s="1970"/>
      <c r="I906" s="1970"/>
      <c r="J906" s="1970"/>
      <c r="K906" s="914" t="s">
        <v>1333</v>
      </c>
      <c r="L906" s="1002" t="s">
        <v>1334</v>
      </c>
      <c r="M906" s="1002" t="s">
        <v>1335</v>
      </c>
      <c r="N906" s="1002" t="s">
        <v>1335</v>
      </c>
      <c r="O906" s="1002" t="s">
        <v>1335</v>
      </c>
      <c r="P906" s="1002" t="s">
        <v>1335</v>
      </c>
      <c r="Q906" s="1002" t="s">
        <v>1335</v>
      </c>
    </row>
    <row r="907" spans="1:17" x14ac:dyDescent="0.25">
      <c r="A907" s="2067"/>
      <c r="B907" s="1814"/>
      <c r="C907" s="1885"/>
      <c r="D907" s="1885"/>
      <c r="E907" s="2022"/>
      <c r="F907" s="1856"/>
      <c r="G907" s="1856"/>
      <c r="H907" s="1939"/>
      <c r="I907" s="1939"/>
      <c r="J907" s="1939"/>
      <c r="K907" s="914" t="s">
        <v>1336</v>
      </c>
      <c r="L907" s="1002" t="s">
        <v>1337</v>
      </c>
      <c r="M907" s="1147">
        <v>61</v>
      </c>
      <c r="N907" s="1147">
        <v>50</v>
      </c>
      <c r="O907" s="1147">
        <v>50</v>
      </c>
      <c r="P907" s="1147">
        <v>50</v>
      </c>
      <c r="Q907" s="1147">
        <v>50</v>
      </c>
    </row>
    <row r="908" spans="1:17" x14ac:dyDescent="0.25">
      <c r="A908" s="1819"/>
      <c r="B908" s="2029"/>
      <c r="C908" s="1892" t="s">
        <v>48</v>
      </c>
      <c r="D908" s="1892"/>
      <c r="E908" s="2020" t="s">
        <v>1338</v>
      </c>
      <c r="F908" s="2058">
        <v>2878.2</v>
      </c>
      <c r="G908" s="2058">
        <v>2905.3</v>
      </c>
      <c r="H908" s="1835">
        <f>4485.3+24</f>
        <v>4509.3</v>
      </c>
      <c r="I908" s="1835">
        <v>3094</v>
      </c>
      <c r="J908" s="1835">
        <v>3037</v>
      </c>
      <c r="K908" s="916" t="s">
        <v>1339</v>
      </c>
      <c r="L908" s="949" t="s">
        <v>1337</v>
      </c>
      <c r="M908" s="376">
        <v>88</v>
      </c>
      <c r="N908" s="376">
        <v>88</v>
      </c>
      <c r="O908" s="376">
        <v>88</v>
      </c>
      <c r="P908" s="376">
        <v>88</v>
      </c>
      <c r="Q908" s="376">
        <v>88</v>
      </c>
    </row>
    <row r="909" spans="1:17" ht="30" x14ac:dyDescent="0.25">
      <c r="A909" s="1819"/>
      <c r="B909" s="1813"/>
      <c r="C909" s="1892"/>
      <c r="D909" s="1892"/>
      <c r="E909" s="2021"/>
      <c r="F909" s="2084"/>
      <c r="G909" s="2084"/>
      <c r="H909" s="1911"/>
      <c r="I909" s="1911"/>
      <c r="J909" s="1911"/>
      <c r="K909" s="914" t="s">
        <v>1340</v>
      </c>
      <c r="L909" s="1002" t="s">
        <v>1341</v>
      </c>
      <c r="M909" s="34">
        <v>260</v>
      </c>
      <c r="N909" s="34">
        <v>280</v>
      </c>
      <c r="O909" s="34">
        <v>280</v>
      </c>
      <c r="P909" s="34">
        <v>280</v>
      </c>
      <c r="Q909" s="34">
        <v>280</v>
      </c>
    </row>
    <row r="910" spans="1:17" ht="45" x14ac:dyDescent="0.25">
      <c r="A910" s="1819"/>
      <c r="B910" s="1814"/>
      <c r="C910" s="1892"/>
      <c r="D910" s="1892"/>
      <c r="E910" s="2022"/>
      <c r="F910" s="1832"/>
      <c r="G910" s="1832"/>
      <c r="H910" s="1836"/>
      <c r="I910" s="1836"/>
      <c r="J910" s="1836"/>
      <c r="K910" s="917" t="s">
        <v>2879</v>
      </c>
      <c r="L910" s="933" t="s">
        <v>1297</v>
      </c>
      <c r="M910" s="1064">
        <v>3</v>
      </c>
      <c r="N910" s="1064">
        <v>3.2</v>
      </c>
      <c r="O910" s="1064">
        <v>3.4</v>
      </c>
      <c r="P910" s="1064">
        <v>3.4</v>
      </c>
      <c r="Q910" s="1064">
        <v>3.4</v>
      </c>
    </row>
    <row r="911" spans="1:17" ht="30" x14ac:dyDescent="0.25">
      <c r="A911" s="1819"/>
      <c r="B911" s="2029"/>
      <c r="C911" s="2016" t="s">
        <v>49</v>
      </c>
      <c r="D911" s="2016"/>
      <c r="E911" s="2020" t="s">
        <v>1342</v>
      </c>
      <c r="F911" s="2058">
        <v>2586.5</v>
      </c>
      <c r="G911" s="2058">
        <v>2126.6999999999998</v>
      </c>
      <c r="H911" s="1835">
        <f>6671.9+229.5</f>
        <v>6901.4</v>
      </c>
      <c r="I911" s="1835">
        <v>4962.5</v>
      </c>
      <c r="J911" s="1835">
        <v>5042</v>
      </c>
      <c r="K911" s="692" t="s">
        <v>1343</v>
      </c>
      <c r="L911" s="692" t="s">
        <v>1344</v>
      </c>
      <c r="M911" s="692">
        <v>1420</v>
      </c>
      <c r="N911" s="43">
        <v>1400</v>
      </c>
      <c r="O911" s="43">
        <v>1400</v>
      </c>
      <c r="P911" s="43">
        <v>1400</v>
      </c>
      <c r="Q911" s="43">
        <v>1400</v>
      </c>
    </row>
    <row r="912" spans="1:17" x14ac:dyDescent="0.25">
      <c r="A912" s="1819"/>
      <c r="B912" s="1813"/>
      <c r="C912" s="2016"/>
      <c r="D912" s="2016"/>
      <c r="E912" s="2021"/>
      <c r="F912" s="2084"/>
      <c r="G912" s="2084"/>
      <c r="H912" s="1911"/>
      <c r="I912" s="1911"/>
      <c r="J912" s="1911"/>
      <c r="K912" s="1034"/>
      <c r="L912" s="1034"/>
      <c r="M912" s="1034"/>
      <c r="N912" s="1034"/>
      <c r="O912" s="1034"/>
      <c r="P912" s="1034"/>
      <c r="Q912" s="1034"/>
    </row>
    <row r="913" spans="1:17" ht="30" x14ac:dyDescent="0.25">
      <c r="A913" s="1819"/>
      <c r="B913" s="1813"/>
      <c r="C913" s="2016"/>
      <c r="D913" s="2016"/>
      <c r="E913" s="2021"/>
      <c r="F913" s="2084"/>
      <c r="G913" s="2084"/>
      <c r="H913" s="1911"/>
      <c r="I913" s="1911"/>
      <c r="J913" s="1911"/>
      <c r="K913" s="914" t="s">
        <v>1345</v>
      </c>
      <c r="L913" s="692" t="s">
        <v>1346</v>
      </c>
      <c r="M913" s="1002">
        <v>7994</v>
      </c>
      <c r="N913" s="1017">
        <v>4250</v>
      </c>
      <c r="O913" s="1017">
        <v>4250</v>
      </c>
      <c r="P913" s="1017">
        <v>4250</v>
      </c>
      <c r="Q913" s="1017">
        <v>4250</v>
      </c>
    </row>
    <row r="914" spans="1:17" x14ac:dyDescent="0.25">
      <c r="A914" s="1819"/>
      <c r="B914" s="1813"/>
      <c r="C914" s="2016"/>
      <c r="D914" s="2016"/>
      <c r="E914" s="2021"/>
      <c r="F914" s="2084"/>
      <c r="G914" s="2084"/>
      <c r="H914" s="1911"/>
      <c r="I914" s="1911"/>
      <c r="J914" s="1911"/>
      <c r="K914" s="914" t="s">
        <v>1347</v>
      </c>
      <c r="L914" s="692" t="s">
        <v>1348</v>
      </c>
      <c r="M914" s="933">
        <v>1974</v>
      </c>
      <c r="N914" s="944">
        <v>2000</v>
      </c>
      <c r="O914" s="944">
        <v>2200</v>
      </c>
      <c r="P914" s="944">
        <v>2400</v>
      </c>
      <c r="Q914" s="944">
        <v>2600</v>
      </c>
    </row>
    <row r="915" spans="1:17" ht="15.75" thickBot="1" x14ac:dyDescent="0.3">
      <c r="A915" s="1819"/>
      <c r="B915" s="1814"/>
      <c r="C915" s="2016"/>
      <c r="D915" s="2016"/>
      <c r="E915" s="2022"/>
      <c r="F915" s="1832"/>
      <c r="G915" s="1832"/>
      <c r="H915" s="1836"/>
      <c r="I915" s="1836"/>
      <c r="J915" s="1836"/>
      <c r="K915" s="914"/>
      <c r="L915" s="692"/>
      <c r="M915" s="944"/>
      <c r="N915" s="944"/>
      <c r="O915" s="944"/>
      <c r="P915" s="944"/>
      <c r="Q915" s="944"/>
    </row>
    <row r="916" spans="1:17" ht="75" x14ac:dyDescent="0.25">
      <c r="A916" s="1148"/>
      <c r="B916" s="1149"/>
      <c r="C916" s="912" t="s">
        <v>124</v>
      </c>
      <c r="D916" s="976"/>
      <c r="E916" s="692" t="s">
        <v>1349</v>
      </c>
      <c r="F916" s="287">
        <v>55101.5</v>
      </c>
      <c r="G916" s="287">
        <v>44578.2</v>
      </c>
      <c r="H916" s="700">
        <f>33021.7+1.5</f>
        <v>33023.199999999997</v>
      </c>
      <c r="I916" s="700">
        <v>45845.9</v>
      </c>
      <c r="J916" s="700">
        <v>46137.3</v>
      </c>
      <c r="K916" s="914" t="s">
        <v>1350</v>
      </c>
      <c r="L916" s="692"/>
      <c r="M916" s="1150" t="s">
        <v>1351</v>
      </c>
      <c r="N916" s="1150" t="s">
        <v>1352</v>
      </c>
      <c r="O916" s="1150" t="s">
        <v>1353</v>
      </c>
      <c r="P916" s="1150" t="s">
        <v>1354</v>
      </c>
      <c r="Q916" s="1150" t="s">
        <v>1355</v>
      </c>
    </row>
    <row r="917" spans="1:17" x14ac:dyDescent="0.25">
      <c r="A917" s="2067"/>
      <c r="B917" s="2338"/>
      <c r="C917" s="1892" t="s">
        <v>157</v>
      </c>
      <c r="D917" s="1892"/>
      <c r="E917" s="1833" t="s">
        <v>1356</v>
      </c>
      <c r="F917" s="1855">
        <v>9822.7000000000007</v>
      </c>
      <c r="G917" s="1855">
        <v>9028.7000000000007</v>
      </c>
      <c r="H917" s="1938">
        <v>4841.3999999999996</v>
      </c>
      <c r="I917" s="1938">
        <v>10296.5</v>
      </c>
      <c r="J917" s="1938">
        <v>10587.9</v>
      </c>
      <c r="K917" s="2020" t="s">
        <v>1357</v>
      </c>
      <c r="L917" s="1835"/>
      <c r="M917" s="1835" t="s">
        <v>1358</v>
      </c>
      <c r="N917" s="1835" t="s">
        <v>1359</v>
      </c>
      <c r="O917" s="1835" t="s">
        <v>1360</v>
      </c>
      <c r="P917" s="1835" t="s">
        <v>1359</v>
      </c>
      <c r="Q917" s="1835" t="s">
        <v>1361</v>
      </c>
    </row>
    <row r="918" spans="1:17" x14ac:dyDescent="0.25">
      <c r="A918" s="2067"/>
      <c r="B918" s="2338"/>
      <c r="C918" s="1892"/>
      <c r="D918" s="1892"/>
      <c r="E918" s="1834"/>
      <c r="F918" s="1856"/>
      <c r="G918" s="1856"/>
      <c r="H918" s="1939"/>
      <c r="I918" s="1939"/>
      <c r="J918" s="1939"/>
      <c r="K918" s="2022"/>
      <c r="L918" s="1836"/>
      <c r="M918" s="1836"/>
      <c r="N918" s="1836"/>
      <c r="O918" s="1836"/>
      <c r="P918" s="1836"/>
      <c r="Q918" s="1836"/>
    </row>
    <row r="919" spans="1:17" ht="75" x14ac:dyDescent="0.25">
      <c r="A919" s="2028"/>
      <c r="B919" s="1812"/>
      <c r="C919" s="1884"/>
      <c r="D919" s="1947"/>
      <c r="E919" s="692" t="s">
        <v>1362</v>
      </c>
      <c r="F919" s="1002"/>
      <c r="G919" s="1002"/>
      <c r="H919" s="360"/>
      <c r="I919" s="1002"/>
      <c r="J919" s="1002"/>
      <c r="K919" s="914" t="s">
        <v>1363</v>
      </c>
      <c r="L919" s="692" t="s">
        <v>1364</v>
      </c>
      <c r="M919" s="1002" t="s">
        <v>1365</v>
      </c>
      <c r="N919" s="1017" t="s">
        <v>1366</v>
      </c>
      <c r="O919" s="1017" t="s">
        <v>1367</v>
      </c>
      <c r="P919" s="1017" t="s">
        <v>1368</v>
      </c>
      <c r="Q919" s="1017" t="s">
        <v>1369</v>
      </c>
    </row>
    <row r="920" spans="1:17" ht="45" x14ac:dyDescent="0.25">
      <c r="A920" s="1820"/>
      <c r="B920" s="1814"/>
      <c r="C920" s="1885"/>
      <c r="D920" s="1948"/>
      <c r="E920" s="692" t="s">
        <v>1370</v>
      </c>
      <c r="F920" s="640"/>
      <c r="G920" s="640"/>
      <c r="H920" s="1017"/>
      <c r="I920" s="1017"/>
      <c r="J920" s="1017"/>
      <c r="K920" s="914" t="s">
        <v>1371</v>
      </c>
      <c r="L920" s="1002" t="s">
        <v>1372</v>
      </c>
      <c r="M920" s="1002" t="s">
        <v>1373</v>
      </c>
      <c r="N920" s="1002" t="s">
        <v>1374</v>
      </c>
      <c r="O920" s="1002" t="s">
        <v>1375</v>
      </c>
      <c r="P920" s="1002" t="s">
        <v>1376</v>
      </c>
      <c r="Q920" s="1002" t="s">
        <v>1377</v>
      </c>
    </row>
    <row r="921" spans="1:17" x14ac:dyDescent="0.25">
      <c r="A921" s="1152"/>
      <c r="B921" s="2029"/>
      <c r="C921" s="1892" t="s">
        <v>158</v>
      </c>
      <c r="D921" s="1884"/>
      <c r="E921" s="2020" t="s">
        <v>1378</v>
      </c>
      <c r="F921" s="1855">
        <v>72291.100000000006</v>
      </c>
      <c r="G921" s="1855">
        <v>30322.6</v>
      </c>
      <c r="H921" s="1938">
        <v>0</v>
      </c>
      <c r="I921" s="1938">
        <v>0</v>
      </c>
      <c r="J921" s="1938">
        <v>0</v>
      </c>
      <c r="K921" s="914" t="s">
        <v>1379</v>
      </c>
      <c r="L921" s="43" t="s">
        <v>1380</v>
      </c>
      <c r="M921" s="1017">
        <v>221</v>
      </c>
      <c r="N921" s="1017">
        <v>0</v>
      </c>
      <c r="O921" s="1017">
        <v>0</v>
      </c>
      <c r="P921" s="1017">
        <v>0</v>
      </c>
      <c r="Q921" s="1017">
        <v>0</v>
      </c>
    </row>
    <row r="922" spans="1:17" ht="75" x14ac:dyDescent="0.25">
      <c r="A922" s="1819"/>
      <c r="B922" s="1813"/>
      <c r="C922" s="1892"/>
      <c r="D922" s="2016"/>
      <c r="E922" s="2021"/>
      <c r="F922" s="2327"/>
      <c r="G922" s="2327"/>
      <c r="H922" s="1970"/>
      <c r="I922" s="1970"/>
      <c r="J922" s="1970"/>
      <c r="K922" s="914" t="s">
        <v>1381</v>
      </c>
      <c r="L922" s="43" t="s">
        <v>1380</v>
      </c>
      <c r="M922" s="1017" t="s">
        <v>1382</v>
      </c>
      <c r="N922" s="1017">
        <v>0</v>
      </c>
      <c r="O922" s="1017">
        <v>0</v>
      </c>
      <c r="P922" s="1017">
        <v>0</v>
      </c>
      <c r="Q922" s="1017">
        <v>0</v>
      </c>
    </row>
    <row r="923" spans="1:17" ht="45" x14ac:dyDescent="0.25">
      <c r="A923" s="1819"/>
      <c r="B923" s="1813"/>
      <c r="C923" s="1892"/>
      <c r="D923" s="2016"/>
      <c r="E923" s="2021"/>
      <c r="F923" s="2327"/>
      <c r="G923" s="2327"/>
      <c r="H923" s="1970"/>
      <c r="I923" s="1970"/>
      <c r="J923" s="1970"/>
      <c r="K923" s="914" t="s">
        <v>1383</v>
      </c>
      <c r="L923" s="43" t="s">
        <v>1341</v>
      </c>
      <c r="M923" s="1017" t="s">
        <v>1384</v>
      </c>
      <c r="N923" s="1017">
        <v>0</v>
      </c>
      <c r="O923" s="1017">
        <v>0</v>
      </c>
      <c r="P923" s="1017">
        <v>0</v>
      </c>
      <c r="Q923" s="1017">
        <v>0</v>
      </c>
    </row>
    <row r="924" spans="1:17" ht="30" x14ac:dyDescent="0.25">
      <c r="A924" s="1819"/>
      <c r="B924" s="1814"/>
      <c r="C924" s="1892"/>
      <c r="D924" s="1885"/>
      <c r="E924" s="2022"/>
      <c r="F924" s="1856"/>
      <c r="G924" s="1856"/>
      <c r="H924" s="1939"/>
      <c r="I924" s="1939"/>
      <c r="J924" s="1939"/>
      <c r="K924" s="914" t="s">
        <v>1385</v>
      </c>
      <c r="L924" s="43" t="s">
        <v>1386</v>
      </c>
      <c r="M924" s="1017">
        <v>5806.6</v>
      </c>
      <c r="N924" s="1017">
        <v>0</v>
      </c>
      <c r="O924" s="1017">
        <v>0</v>
      </c>
      <c r="P924" s="1017">
        <v>0</v>
      </c>
      <c r="Q924" s="1017">
        <v>0</v>
      </c>
    </row>
    <row r="925" spans="1:17" x14ac:dyDescent="0.25">
      <c r="A925" s="1819"/>
      <c r="B925" s="2029"/>
      <c r="C925" s="1892" t="s">
        <v>159</v>
      </c>
      <c r="D925" s="2016"/>
      <c r="E925" s="2020" t="s">
        <v>1387</v>
      </c>
      <c r="F925" s="2332">
        <v>412582.9</v>
      </c>
      <c r="G925" s="2332">
        <v>178735.1</v>
      </c>
      <c r="H925" s="2335"/>
      <c r="I925" s="2335">
        <v>194478.8</v>
      </c>
      <c r="J925" s="2335">
        <v>0</v>
      </c>
      <c r="K925" s="914" t="s">
        <v>1388</v>
      </c>
      <c r="L925" s="692" t="s">
        <v>488</v>
      </c>
      <c r="M925" s="1003">
        <v>200.9</v>
      </c>
      <c r="N925" s="97">
        <v>201</v>
      </c>
      <c r="O925" s="97">
        <v>201</v>
      </c>
      <c r="P925" s="97">
        <v>201</v>
      </c>
      <c r="Q925" s="1003">
        <v>201</v>
      </c>
    </row>
    <row r="926" spans="1:17" x14ac:dyDescent="0.25">
      <c r="A926" s="1819"/>
      <c r="B926" s="1813"/>
      <c r="C926" s="1892"/>
      <c r="D926" s="2016"/>
      <c r="E926" s="2021"/>
      <c r="F926" s="2333"/>
      <c r="G926" s="2333"/>
      <c r="H926" s="2336"/>
      <c r="I926" s="2336"/>
      <c r="J926" s="2336"/>
      <c r="K926" s="914" t="s">
        <v>1389</v>
      </c>
      <c r="L926" s="692" t="s">
        <v>182</v>
      </c>
      <c r="M926" s="1003">
        <v>88</v>
      </c>
      <c r="N926" s="97">
        <v>100</v>
      </c>
      <c r="O926" s="97">
        <v>100</v>
      </c>
      <c r="P926" s="97">
        <v>100</v>
      </c>
      <c r="Q926" s="1003">
        <v>100</v>
      </c>
    </row>
    <row r="927" spans="1:17" x14ac:dyDescent="0.25">
      <c r="A927" s="1819"/>
      <c r="B927" s="1813"/>
      <c r="C927" s="1892"/>
      <c r="D927" s="2016"/>
      <c r="E927" s="2021"/>
      <c r="F927" s="2333"/>
      <c r="G927" s="2333"/>
      <c r="H927" s="2336"/>
      <c r="I927" s="2336"/>
      <c r="J927" s="2336"/>
      <c r="K927" s="914" t="s">
        <v>1390</v>
      </c>
      <c r="L927" s="692" t="s">
        <v>189</v>
      </c>
      <c r="M927" s="1003">
        <v>179</v>
      </c>
      <c r="N927" s="1003">
        <v>180</v>
      </c>
      <c r="O927" s="1003">
        <v>180</v>
      </c>
      <c r="P927" s="1003">
        <v>180</v>
      </c>
      <c r="Q927" s="1003">
        <v>180</v>
      </c>
    </row>
    <row r="928" spans="1:17" x14ac:dyDescent="0.25">
      <c r="A928" s="1819"/>
      <c r="B928" s="1813"/>
      <c r="C928" s="1892"/>
      <c r="D928" s="2016"/>
      <c r="E928" s="2021"/>
      <c r="F928" s="2333"/>
      <c r="G928" s="2333"/>
      <c r="H928" s="2336"/>
      <c r="I928" s="2336"/>
      <c r="J928" s="2336"/>
      <c r="K928" s="914" t="s">
        <v>1391</v>
      </c>
      <c r="L928" s="11" t="s">
        <v>189</v>
      </c>
      <c r="M928" s="1003">
        <v>363</v>
      </c>
      <c r="N928" s="1003">
        <v>260</v>
      </c>
      <c r="O928" s="1003">
        <v>260</v>
      </c>
      <c r="P928" s="1003">
        <v>260</v>
      </c>
      <c r="Q928" s="1003">
        <v>260</v>
      </c>
    </row>
    <row r="929" spans="1:17" x14ac:dyDescent="0.25">
      <c r="A929" s="1819"/>
      <c r="B929" s="1814"/>
      <c r="C929" s="1892"/>
      <c r="D929" s="1885"/>
      <c r="E929" s="2022"/>
      <c r="F929" s="2334"/>
      <c r="G929" s="2334"/>
      <c r="H929" s="2337"/>
      <c r="I929" s="2337"/>
      <c r="J929" s="2337"/>
      <c r="K929" s="914" t="s">
        <v>1391</v>
      </c>
      <c r="L929" s="692" t="s">
        <v>189</v>
      </c>
      <c r="M929" s="1003">
        <v>24</v>
      </c>
      <c r="N929" s="1003">
        <v>20</v>
      </c>
      <c r="O929" s="1003">
        <v>20</v>
      </c>
      <c r="P929" s="1003">
        <v>20</v>
      </c>
      <c r="Q929" s="1003">
        <v>20</v>
      </c>
    </row>
    <row r="930" spans="1:17" ht="30" x14ac:dyDescent="0.25">
      <c r="A930" s="1153"/>
      <c r="B930" s="1154"/>
      <c r="C930" s="912" t="s">
        <v>160</v>
      </c>
      <c r="D930" s="1015"/>
      <c r="E930" s="515" t="s">
        <v>1392</v>
      </c>
      <c r="F930" s="1155">
        <v>160088.1</v>
      </c>
      <c r="G930" s="1155">
        <v>572800</v>
      </c>
      <c r="H930" s="700"/>
      <c r="I930" s="287">
        <v>0</v>
      </c>
      <c r="J930" s="287">
        <v>0</v>
      </c>
      <c r="K930" s="1156" t="s">
        <v>1393</v>
      </c>
      <c r="L930" s="515">
        <v>0</v>
      </c>
      <c r="M930" s="963">
        <v>0</v>
      </c>
      <c r="N930" s="963">
        <v>0</v>
      </c>
      <c r="O930" s="963">
        <v>0</v>
      </c>
      <c r="P930" s="963">
        <v>0</v>
      </c>
      <c r="Q930" s="963">
        <v>0</v>
      </c>
    </row>
    <row r="931" spans="1:17" ht="30" x14ac:dyDescent="0.25">
      <c r="A931" s="2028"/>
      <c r="B931" s="2029"/>
      <c r="C931" s="1884" t="s">
        <v>161</v>
      </c>
      <c r="D931" s="1884"/>
      <c r="E931" s="2020" t="s">
        <v>1394</v>
      </c>
      <c r="F931" s="1855">
        <v>3359.9</v>
      </c>
      <c r="G931" s="1855">
        <v>3566.4</v>
      </c>
      <c r="H931" s="2329">
        <f>3759.1+53</f>
        <v>3812.1</v>
      </c>
      <c r="I931" s="2329">
        <v>3260.2</v>
      </c>
      <c r="J931" s="2329">
        <v>3544.6</v>
      </c>
      <c r="K931" s="914" t="s">
        <v>1395</v>
      </c>
      <c r="L931" s="692" t="s">
        <v>182</v>
      </c>
      <c r="M931" s="1002">
        <v>102</v>
      </c>
      <c r="N931" s="1002">
        <v>102.4</v>
      </c>
      <c r="O931" s="1002">
        <v>102.6</v>
      </c>
      <c r="P931" s="1002">
        <v>102.6</v>
      </c>
      <c r="Q931" s="1002">
        <v>102.6</v>
      </c>
    </row>
    <row r="932" spans="1:17" x14ac:dyDescent="0.25">
      <c r="A932" s="1819"/>
      <c r="B932" s="1813"/>
      <c r="C932" s="2016"/>
      <c r="D932" s="2016"/>
      <c r="E932" s="2021"/>
      <c r="F932" s="2327"/>
      <c r="G932" s="2327"/>
      <c r="H932" s="2330"/>
      <c r="I932" s="2330"/>
      <c r="J932" s="2330"/>
      <c r="K932" s="914" t="s">
        <v>1396</v>
      </c>
      <c r="L932" s="692" t="s">
        <v>1397</v>
      </c>
      <c r="M932" s="1002">
        <v>83107</v>
      </c>
      <c r="N932" s="1003">
        <v>85000</v>
      </c>
      <c r="O932" s="1003">
        <v>85000</v>
      </c>
      <c r="P932" s="1003">
        <v>90000</v>
      </c>
      <c r="Q932" s="1003">
        <v>95000</v>
      </c>
    </row>
    <row r="933" spans="1:17" x14ac:dyDescent="0.25">
      <c r="A933" s="1819"/>
      <c r="B933" s="1813"/>
      <c r="C933" s="2016"/>
      <c r="D933" s="2016"/>
      <c r="E933" s="2021"/>
      <c r="F933" s="2327"/>
      <c r="G933" s="2327"/>
      <c r="H933" s="2330"/>
      <c r="I933" s="2330"/>
      <c r="J933" s="2330"/>
      <c r="K933" s="914" t="s">
        <v>1398</v>
      </c>
      <c r="L933" s="692" t="s">
        <v>1397</v>
      </c>
      <c r="M933" s="1002">
        <v>25000</v>
      </c>
      <c r="N933" s="1003">
        <v>20000</v>
      </c>
      <c r="O933" s="1003">
        <v>25000</v>
      </c>
      <c r="P933" s="1003">
        <v>30000</v>
      </c>
      <c r="Q933" s="1003">
        <v>36000</v>
      </c>
    </row>
    <row r="934" spans="1:17" ht="30" x14ac:dyDescent="0.25">
      <c r="A934" s="1819"/>
      <c r="B934" s="1813"/>
      <c r="C934" s="2016"/>
      <c r="D934" s="2016"/>
      <c r="E934" s="2021"/>
      <c r="F934" s="2327"/>
      <c r="G934" s="2327"/>
      <c r="H934" s="2330"/>
      <c r="I934" s="2330"/>
      <c r="J934" s="2330"/>
      <c r="K934" s="914" t="s">
        <v>1399</v>
      </c>
      <c r="L934" s="692"/>
      <c r="M934" s="1002"/>
      <c r="N934" s="1003"/>
      <c r="O934" s="1003"/>
      <c r="P934" s="1003"/>
      <c r="Q934" s="1003"/>
    </row>
    <row r="935" spans="1:17" x14ac:dyDescent="0.25">
      <c r="A935" s="1819"/>
      <c r="B935" s="1813"/>
      <c r="C935" s="2016"/>
      <c r="D935" s="2016"/>
      <c r="E935" s="2021"/>
      <c r="F935" s="2327"/>
      <c r="G935" s="2327"/>
      <c r="H935" s="2330"/>
      <c r="I935" s="2330"/>
      <c r="J935" s="2330"/>
      <c r="K935" s="914" t="s">
        <v>1400</v>
      </c>
      <c r="L935" s="692"/>
      <c r="M935" s="1002"/>
      <c r="N935" s="1003"/>
      <c r="O935" s="1003"/>
      <c r="P935" s="1003"/>
      <c r="Q935" s="1003"/>
    </row>
    <row r="936" spans="1:17" ht="30" x14ac:dyDescent="0.25">
      <c r="A936" s="1820"/>
      <c r="B936" s="1814"/>
      <c r="C936" s="1885"/>
      <c r="D936" s="1885"/>
      <c r="E936" s="2022"/>
      <c r="F936" s="1856"/>
      <c r="G936" s="1856"/>
      <c r="H936" s="2331"/>
      <c r="I936" s="2331"/>
      <c r="J936" s="2331"/>
      <c r="K936" s="914" t="s">
        <v>1401</v>
      </c>
      <c r="L936" s="1002" t="s">
        <v>1397</v>
      </c>
      <c r="M936" s="1002">
        <v>300</v>
      </c>
      <c r="N936" s="48">
        <v>300</v>
      </c>
      <c r="O936" s="48">
        <v>300</v>
      </c>
      <c r="P936" s="48">
        <v>300</v>
      </c>
      <c r="Q936" s="48">
        <v>300</v>
      </c>
    </row>
    <row r="937" spans="1:17" ht="30" x14ac:dyDescent="0.25">
      <c r="A937" s="2028"/>
      <c r="B937" s="2029"/>
      <c r="C937" s="1884" t="s">
        <v>162</v>
      </c>
      <c r="D937" s="1884"/>
      <c r="E937" s="2020" t="s">
        <v>1402</v>
      </c>
      <c r="F937" s="1855">
        <v>9843.7000000000007</v>
      </c>
      <c r="G937" s="1855">
        <v>7252.1</v>
      </c>
      <c r="H937" s="1855">
        <f>8850.3+5956.5</f>
        <v>14806.8</v>
      </c>
      <c r="I937" s="1855">
        <v>10662.6</v>
      </c>
      <c r="J937" s="1855">
        <v>11621.6</v>
      </c>
      <c r="K937" s="914" t="s">
        <v>1403</v>
      </c>
      <c r="L937" s="1002" t="s">
        <v>222</v>
      </c>
      <c r="M937" s="1002">
        <v>396</v>
      </c>
      <c r="N937" s="1017">
        <v>350</v>
      </c>
      <c r="O937" s="1017">
        <v>350</v>
      </c>
      <c r="P937" s="1017">
        <v>350</v>
      </c>
      <c r="Q937" s="1017">
        <v>350</v>
      </c>
    </row>
    <row r="938" spans="1:17" ht="30" x14ac:dyDescent="0.25">
      <c r="A938" s="1820"/>
      <c r="B938" s="1814"/>
      <c r="C938" s="1885"/>
      <c r="D938" s="1885"/>
      <c r="E938" s="2022"/>
      <c r="F938" s="1856"/>
      <c r="G938" s="1856"/>
      <c r="H938" s="1856"/>
      <c r="I938" s="1856"/>
      <c r="J938" s="1856"/>
      <c r="K938" s="914" t="s">
        <v>1404</v>
      </c>
      <c r="L938" s="1002" t="s">
        <v>222</v>
      </c>
      <c r="M938" s="1002">
        <v>175</v>
      </c>
      <c r="N938" s="1017">
        <v>150</v>
      </c>
      <c r="O938" s="1017">
        <v>150</v>
      </c>
      <c r="P938" s="1017">
        <v>150</v>
      </c>
      <c r="Q938" s="1017">
        <v>150</v>
      </c>
    </row>
    <row r="939" spans="1:17" x14ac:dyDescent="0.25">
      <c r="A939" s="2028"/>
      <c r="B939" s="2029"/>
      <c r="C939" s="1884" t="s">
        <v>163</v>
      </c>
      <c r="D939" s="1884"/>
      <c r="E939" s="2020" t="s">
        <v>1405</v>
      </c>
      <c r="F939" s="2058">
        <v>7840</v>
      </c>
      <c r="G939" s="2058">
        <v>8321.7000000000007</v>
      </c>
      <c r="H939" s="1835">
        <f>8002.4+1634.9</f>
        <v>9637.2999999999993</v>
      </c>
      <c r="I939" s="1835">
        <v>8344.6</v>
      </c>
      <c r="J939" s="1835">
        <v>8435.7000000000007</v>
      </c>
      <c r="K939" s="914" t="s">
        <v>1406</v>
      </c>
      <c r="L939" s="1002" t="s">
        <v>222</v>
      </c>
      <c r="M939" s="1002">
        <v>2355</v>
      </c>
      <c r="N939" s="1017" t="s">
        <v>383</v>
      </c>
      <c r="O939" s="1017" t="s">
        <v>383</v>
      </c>
      <c r="P939" s="1017" t="s">
        <v>383</v>
      </c>
      <c r="Q939" s="1017" t="s">
        <v>383</v>
      </c>
    </row>
    <row r="940" spans="1:17" ht="30" x14ac:dyDescent="0.25">
      <c r="A940" s="1819"/>
      <c r="B940" s="1813"/>
      <c r="C940" s="2016"/>
      <c r="D940" s="2016"/>
      <c r="E940" s="2021"/>
      <c r="F940" s="2084"/>
      <c r="G940" s="2084"/>
      <c r="H940" s="1911"/>
      <c r="I940" s="1911"/>
      <c r="J940" s="1911"/>
      <c r="K940" s="914" t="s">
        <v>1407</v>
      </c>
      <c r="L940" s="1002" t="s">
        <v>1380</v>
      </c>
      <c r="M940" s="1002">
        <v>48</v>
      </c>
      <c r="N940" s="1017" t="s">
        <v>383</v>
      </c>
      <c r="O940" s="1017" t="s">
        <v>383</v>
      </c>
      <c r="P940" s="1017" t="s">
        <v>383</v>
      </c>
      <c r="Q940" s="1017" t="s">
        <v>383</v>
      </c>
    </row>
    <row r="941" spans="1:17" ht="30" x14ac:dyDescent="0.25">
      <c r="A941" s="1819"/>
      <c r="B941" s="1813"/>
      <c r="C941" s="2016"/>
      <c r="D941" s="2016"/>
      <c r="E941" s="2021"/>
      <c r="F941" s="2084"/>
      <c r="G941" s="2084"/>
      <c r="H941" s="1911"/>
      <c r="I941" s="1911"/>
      <c r="J941" s="1911"/>
      <c r="K941" s="914" t="s">
        <v>1408</v>
      </c>
      <c r="L941" s="1002" t="s">
        <v>1409</v>
      </c>
      <c r="M941" s="1002">
        <v>8.3000000000000007</v>
      </c>
      <c r="N941" s="1017">
        <v>8.5</v>
      </c>
      <c r="O941" s="1017">
        <v>8.6999999999999993</v>
      </c>
      <c r="P941" s="1017">
        <v>9</v>
      </c>
      <c r="Q941" s="1017">
        <v>9.1999999999999993</v>
      </c>
    </row>
    <row r="942" spans="1:17" x14ac:dyDescent="0.25">
      <c r="A942" s="1820"/>
      <c r="B942" s="1814"/>
      <c r="C942" s="1885"/>
      <c r="D942" s="1885"/>
      <c r="E942" s="2022"/>
      <c r="F942" s="1832"/>
      <c r="G942" s="1832"/>
      <c r="H942" s="1836"/>
      <c r="I942" s="1836"/>
      <c r="J942" s="1836"/>
      <c r="K942" s="914" t="s">
        <v>1410</v>
      </c>
      <c r="L942" s="1002" t="s">
        <v>1411</v>
      </c>
      <c r="M942" s="1002">
        <v>2.1</v>
      </c>
      <c r="N942" s="1002">
        <v>2.2000000000000002</v>
      </c>
      <c r="O942" s="1002">
        <v>2.2999999999999998</v>
      </c>
      <c r="P942" s="1002">
        <v>2.4</v>
      </c>
      <c r="Q942" s="1002">
        <v>2.5</v>
      </c>
    </row>
    <row r="943" spans="1:17" x14ac:dyDescent="0.25">
      <c r="A943" s="2028"/>
      <c r="B943" s="2029"/>
      <c r="C943" s="1884" t="s">
        <v>164</v>
      </c>
      <c r="D943" s="1884"/>
      <c r="E943" s="2020" t="s">
        <v>1412</v>
      </c>
      <c r="F943" s="1855">
        <v>2799.9</v>
      </c>
      <c r="G943" s="1855">
        <v>2972</v>
      </c>
      <c r="H943" s="1938">
        <v>4163.1000000000004</v>
      </c>
      <c r="I943" s="1938">
        <v>3715.5</v>
      </c>
      <c r="J943" s="1938">
        <v>4004.7</v>
      </c>
      <c r="K943" s="914" t="s">
        <v>1413</v>
      </c>
      <c r="L943" s="1002" t="s">
        <v>1297</v>
      </c>
      <c r="M943" s="1002">
        <v>9030.9</v>
      </c>
      <c r="N943" s="1002">
        <v>9030.9</v>
      </c>
      <c r="O943" s="1002">
        <v>9030.9</v>
      </c>
      <c r="P943" s="1002">
        <v>9030.9</v>
      </c>
      <c r="Q943" s="1002">
        <v>9030.9</v>
      </c>
    </row>
    <row r="944" spans="1:17" ht="30" x14ac:dyDescent="0.25">
      <c r="A944" s="1820"/>
      <c r="B944" s="1814"/>
      <c r="C944" s="1885"/>
      <c r="D944" s="1885"/>
      <c r="E944" s="2022"/>
      <c r="F944" s="1856"/>
      <c r="G944" s="1856"/>
      <c r="H944" s="1939"/>
      <c r="I944" s="1939"/>
      <c r="J944" s="1939"/>
      <c r="K944" s="914" t="s">
        <v>1414</v>
      </c>
      <c r="L944" s="1002" t="s">
        <v>189</v>
      </c>
      <c r="M944" s="1002">
        <v>318</v>
      </c>
      <c r="N944" s="1002">
        <v>409</v>
      </c>
      <c r="O944" s="1002">
        <v>420</v>
      </c>
      <c r="P944" s="1002">
        <v>440</v>
      </c>
      <c r="Q944" s="1002">
        <v>454</v>
      </c>
    </row>
    <row r="945" spans="1:17" ht="75" x14ac:dyDescent="0.25">
      <c r="A945" s="948"/>
      <c r="B945" s="753"/>
      <c r="C945" s="912" t="s">
        <v>165</v>
      </c>
      <c r="D945" s="976"/>
      <c r="E945" s="692" t="s">
        <v>2881</v>
      </c>
      <c r="F945" s="287">
        <v>596216.4</v>
      </c>
      <c r="G945" s="379">
        <v>1362970.4</v>
      </c>
      <c r="H945" s="700">
        <f>2700+12284.8+3113.1+1300+90118.8+5095.4+6980</f>
        <v>121592.09999999999</v>
      </c>
      <c r="I945" s="700">
        <v>0</v>
      </c>
      <c r="J945" s="700">
        <v>0</v>
      </c>
      <c r="K945" s="914" t="s">
        <v>1415</v>
      </c>
      <c r="L945" s="692" t="s">
        <v>1416</v>
      </c>
      <c r="M945" s="1002">
        <v>140</v>
      </c>
      <c r="N945" s="1017">
        <v>140</v>
      </c>
      <c r="O945" s="1017">
        <v>0</v>
      </c>
      <c r="P945" s="1017">
        <v>0</v>
      </c>
      <c r="Q945" s="1017">
        <v>0</v>
      </c>
    </row>
    <row r="946" spans="1:17" ht="60" x14ac:dyDescent="0.25">
      <c r="A946" s="2028"/>
      <c r="B946" s="2029"/>
      <c r="C946" s="1884" t="s">
        <v>166</v>
      </c>
      <c r="D946" s="1884"/>
      <c r="E946" s="2020" t="s">
        <v>1417</v>
      </c>
      <c r="F946" s="1855">
        <v>0</v>
      </c>
      <c r="G946" s="1855">
        <v>71600</v>
      </c>
      <c r="H946" s="1938">
        <f>11450+69800+118660</f>
        <v>199910</v>
      </c>
      <c r="I946" s="1938">
        <v>380700</v>
      </c>
      <c r="J946" s="1938">
        <v>437666.4</v>
      </c>
      <c r="K946" s="914" t="s">
        <v>1418</v>
      </c>
      <c r="L946" s="692" t="s">
        <v>182</v>
      </c>
      <c r="M946" s="1002"/>
      <c r="N946" s="1017">
        <v>5</v>
      </c>
      <c r="O946" s="1017">
        <v>10</v>
      </c>
      <c r="P946" s="1017">
        <v>20</v>
      </c>
      <c r="Q946" s="1017">
        <v>30</v>
      </c>
    </row>
    <row r="947" spans="1:17" ht="45" x14ac:dyDescent="0.25">
      <c r="A947" s="1819"/>
      <c r="B947" s="1813"/>
      <c r="C947" s="2016"/>
      <c r="D947" s="2016"/>
      <c r="E947" s="2021"/>
      <c r="F947" s="2327"/>
      <c r="G947" s="2327"/>
      <c r="H947" s="1970"/>
      <c r="I947" s="1970"/>
      <c r="J947" s="1970"/>
      <c r="K947" s="914" t="s">
        <v>1419</v>
      </c>
      <c r="L947" s="692" t="s">
        <v>1416</v>
      </c>
      <c r="M947" s="1002"/>
      <c r="N947" s="48">
        <v>2000</v>
      </c>
      <c r="O947" s="48">
        <v>2200</v>
      </c>
      <c r="P947" s="48">
        <v>2500</v>
      </c>
      <c r="Q947" s="48">
        <v>2800</v>
      </c>
    </row>
    <row r="948" spans="1:17" ht="45" x14ac:dyDescent="0.25">
      <c r="A948" s="1820"/>
      <c r="B948" s="1814"/>
      <c r="C948" s="1885"/>
      <c r="D948" s="1885"/>
      <c r="E948" s="2022"/>
      <c r="F948" s="1856"/>
      <c r="G948" s="1856"/>
      <c r="H948" s="1939"/>
      <c r="I948" s="1939"/>
      <c r="J948" s="1939"/>
      <c r="K948" s="914" t="s">
        <v>1420</v>
      </c>
      <c r="L948" s="692"/>
      <c r="M948" s="1002"/>
      <c r="N948" s="1017"/>
      <c r="O948" s="1017"/>
      <c r="P948" s="1017"/>
      <c r="Q948" s="1017"/>
    </row>
    <row r="949" spans="1:17" ht="90" x14ac:dyDescent="0.25">
      <c r="A949" s="2028"/>
      <c r="B949" s="2029"/>
      <c r="C949" s="1884" t="s">
        <v>167</v>
      </c>
      <c r="D949" s="1884"/>
      <c r="E949" s="2020" t="s">
        <v>1421</v>
      </c>
      <c r="F949" s="1855">
        <v>80344.3</v>
      </c>
      <c r="G949" s="1855">
        <v>734494.3</v>
      </c>
      <c r="H949" s="1938"/>
      <c r="I949" s="1938">
        <v>0</v>
      </c>
      <c r="J949" s="1938">
        <v>0</v>
      </c>
      <c r="K949" s="914" t="s">
        <v>1422</v>
      </c>
      <c r="L949" s="692" t="s">
        <v>1416</v>
      </c>
      <c r="M949" s="1002">
        <v>92</v>
      </c>
      <c r="N949" s="1017">
        <v>140</v>
      </c>
      <c r="O949" s="1017">
        <v>140</v>
      </c>
      <c r="P949" s="1017">
        <v>0</v>
      </c>
      <c r="Q949" s="1017">
        <v>0</v>
      </c>
    </row>
    <row r="950" spans="1:17" ht="30" x14ac:dyDescent="0.25">
      <c r="A950" s="1819"/>
      <c r="B950" s="1813"/>
      <c r="C950" s="2016"/>
      <c r="D950" s="2016"/>
      <c r="E950" s="2021"/>
      <c r="F950" s="2327"/>
      <c r="G950" s="2327"/>
      <c r="H950" s="1970"/>
      <c r="I950" s="1970"/>
      <c r="J950" s="1970"/>
      <c r="K950" s="914" t="s">
        <v>1423</v>
      </c>
      <c r="L950" s="692" t="s">
        <v>1424</v>
      </c>
      <c r="M950" s="1002">
        <v>100564.2</v>
      </c>
      <c r="N950" s="1017">
        <v>167607</v>
      </c>
      <c r="O950" s="1017">
        <v>157607</v>
      </c>
      <c r="P950" s="1017">
        <v>0</v>
      </c>
      <c r="Q950" s="1017">
        <v>0</v>
      </c>
    </row>
    <row r="951" spans="1:17" ht="75" x14ac:dyDescent="0.25">
      <c r="A951" s="1820"/>
      <c r="B951" s="1814"/>
      <c r="C951" s="1885"/>
      <c r="D951" s="1885"/>
      <c r="E951" s="2022"/>
      <c r="F951" s="1856"/>
      <c r="G951" s="1856"/>
      <c r="H951" s="1939"/>
      <c r="I951" s="1939"/>
      <c r="J951" s="1939"/>
      <c r="K951" s="914" t="s">
        <v>1425</v>
      </c>
      <c r="L951" s="692" t="s">
        <v>182</v>
      </c>
      <c r="M951" s="1002">
        <v>50</v>
      </c>
      <c r="N951" s="1017">
        <v>50</v>
      </c>
      <c r="O951" s="1017">
        <v>50</v>
      </c>
      <c r="P951" s="1017">
        <v>0</v>
      </c>
      <c r="Q951" s="1017">
        <v>0</v>
      </c>
    </row>
    <row r="952" spans="1:17" ht="30" x14ac:dyDescent="0.25">
      <c r="A952" s="948"/>
      <c r="B952" s="753"/>
      <c r="C952" s="912" t="s">
        <v>168</v>
      </c>
      <c r="D952" s="976"/>
      <c r="E952" s="211" t="s">
        <v>1426</v>
      </c>
      <c r="F952" s="287">
        <v>0</v>
      </c>
      <c r="G952" s="287">
        <v>0</v>
      </c>
      <c r="H952" s="700">
        <f>37936.3</f>
        <v>37936.300000000003</v>
      </c>
      <c r="I952" s="1145">
        <v>79086.899999999994</v>
      </c>
      <c r="J952" s="1145">
        <v>0</v>
      </c>
      <c r="K952" s="1157" t="s">
        <v>1427</v>
      </c>
      <c r="L952" s="211">
        <v>0</v>
      </c>
      <c r="M952" s="287">
        <v>0</v>
      </c>
      <c r="N952" s="700">
        <v>0</v>
      </c>
      <c r="O952" s="700">
        <v>0</v>
      </c>
      <c r="P952" s="700">
        <v>0</v>
      </c>
      <c r="Q952" s="700">
        <v>0</v>
      </c>
    </row>
    <row r="953" spans="1:17" ht="30" x14ac:dyDescent="0.25">
      <c r="A953" s="948"/>
      <c r="B953" s="753"/>
      <c r="C953" s="912" t="s">
        <v>169</v>
      </c>
      <c r="D953" s="976"/>
      <c r="E953" s="692" t="s">
        <v>1428</v>
      </c>
      <c r="F953" s="1002"/>
      <c r="G953" s="1002"/>
      <c r="H953" s="1017"/>
      <c r="I953" s="977"/>
      <c r="J953" s="977"/>
      <c r="K953" s="914"/>
      <c r="L953" s="692"/>
      <c r="M953" s="1002"/>
      <c r="N953" s="1017"/>
      <c r="O953" s="1017"/>
      <c r="P953" s="1017"/>
      <c r="Q953" s="1017"/>
    </row>
    <row r="954" spans="1:17" ht="30" x14ac:dyDescent="0.25">
      <c r="A954" s="2028"/>
      <c r="B954" s="2029"/>
      <c r="C954" s="1884" t="s">
        <v>658</v>
      </c>
      <c r="D954" s="1884"/>
      <c r="E954" s="2020" t="s">
        <v>1429</v>
      </c>
      <c r="F954" s="1855">
        <v>5442.3</v>
      </c>
      <c r="G954" s="1855">
        <v>5818.8</v>
      </c>
      <c r="H954" s="1938">
        <v>9505.4</v>
      </c>
      <c r="I954" s="1938">
        <v>8036.1</v>
      </c>
      <c r="J954" s="1938">
        <v>9013.4</v>
      </c>
      <c r="K954" s="914" t="s">
        <v>1430</v>
      </c>
      <c r="L954" s="692" t="s">
        <v>1431</v>
      </c>
      <c r="M954" s="1002">
        <v>579951</v>
      </c>
      <c r="N954" s="1017">
        <v>250000</v>
      </c>
      <c r="O954" s="1017">
        <v>280000</v>
      </c>
      <c r="P954" s="1017">
        <v>310000</v>
      </c>
      <c r="Q954" s="1017">
        <v>340000</v>
      </c>
    </row>
    <row r="955" spans="1:17" x14ac:dyDescent="0.25">
      <c r="A955" s="1819"/>
      <c r="B955" s="1813"/>
      <c r="C955" s="2016"/>
      <c r="D955" s="2016"/>
      <c r="E955" s="2021"/>
      <c r="F955" s="2327"/>
      <c r="G955" s="2327"/>
      <c r="H955" s="1970"/>
      <c r="I955" s="1970"/>
      <c r="J955" s="1970"/>
      <c r="K955" s="914" t="s">
        <v>1432</v>
      </c>
      <c r="L955" s="692" t="s">
        <v>1433</v>
      </c>
      <c r="M955" s="1002">
        <v>4610.1000000000004</v>
      </c>
      <c r="N955" s="1017">
        <v>3601.5</v>
      </c>
      <c r="O955" s="1017">
        <v>3646.3</v>
      </c>
      <c r="P955" s="1017">
        <v>3769.2</v>
      </c>
      <c r="Q955" s="1017">
        <v>3900</v>
      </c>
    </row>
    <row r="956" spans="1:17" x14ac:dyDescent="0.25">
      <c r="A956" s="1820"/>
      <c r="B956" s="1814"/>
      <c r="C956" s="1885"/>
      <c r="D956" s="1885"/>
      <c r="E956" s="2022"/>
      <c r="F956" s="1856"/>
      <c r="G956" s="1856"/>
      <c r="H956" s="1939"/>
      <c r="I956" s="1939"/>
      <c r="J956" s="1939"/>
      <c r="K956" s="692" t="s">
        <v>1434</v>
      </c>
      <c r="L956" s="692" t="s">
        <v>465</v>
      </c>
      <c r="M956" s="1002">
        <v>1886</v>
      </c>
      <c r="N956" s="1017">
        <v>2600</v>
      </c>
      <c r="O956" s="1017">
        <v>2300</v>
      </c>
      <c r="P956" s="1017">
        <v>2100</v>
      </c>
      <c r="Q956" s="1017">
        <v>2000</v>
      </c>
    </row>
    <row r="957" spans="1:17" ht="42.75" x14ac:dyDescent="0.25">
      <c r="A957" s="906">
        <v>41</v>
      </c>
      <c r="B957" s="1047">
        <v>3</v>
      </c>
      <c r="C957" s="912"/>
      <c r="D957" s="976"/>
      <c r="E957" s="171" t="s">
        <v>1435</v>
      </c>
      <c r="F957" s="27" t="s">
        <v>1436</v>
      </c>
      <c r="G957" s="27" t="s">
        <v>1437</v>
      </c>
      <c r="H957" s="794">
        <f>H958+H963+H967+H971</f>
        <v>993694.4</v>
      </c>
      <c r="I957" s="794">
        <v>2385840.5</v>
      </c>
      <c r="J957" s="794">
        <v>2547118.6</v>
      </c>
      <c r="K957" s="914" t="s">
        <v>1438</v>
      </c>
      <c r="L957" s="692">
        <v>1024</v>
      </c>
      <c r="M957" s="1002">
        <v>1024</v>
      </c>
      <c r="N957" s="1002">
        <v>1024</v>
      </c>
      <c r="O957" s="1002">
        <v>1024</v>
      </c>
      <c r="P957" s="1002">
        <v>1024</v>
      </c>
      <c r="Q957" s="1002">
        <v>1024</v>
      </c>
    </row>
    <row r="958" spans="1:17" ht="30.75" thickBot="1" x14ac:dyDescent="0.3">
      <c r="A958" s="2028"/>
      <c r="B958" s="2029"/>
      <c r="C958" s="1884" t="s">
        <v>6</v>
      </c>
      <c r="D958" s="1947"/>
      <c r="E958" s="1884" t="s">
        <v>1439</v>
      </c>
      <c r="F958" s="1884" t="s">
        <v>1440</v>
      </c>
      <c r="G958" s="1884" t="s">
        <v>1441</v>
      </c>
      <c r="H958" s="1951">
        <f>11672.5</f>
        <v>11672.5</v>
      </c>
      <c r="I958" s="1884" t="s">
        <v>1442</v>
      </c>
      <c r="J958" s="1884" t="s">
        <v>1443</v>
      </c>
      <c r="K958" s="914" t="s">
        <v>1438</v>
      </c>
      <c r="L958" s="692"/>
      <c r="M958" s="1002">
        <v>0</v>
      </c>
      <c r="N958" s="1002">
        <v>0</v>
      </c>
      <c r="O958" s="1002">
        <v>0</v>
      </c>
      <c r="P958" s="1002">
        <v>0</v>
      </c>
      <c r="Q958" s="1002">
        <v>0</v>
      </c>
    </row>
    <row r="959" spans="1:17" ht="390" x14ac:dyDescent="0.25">
      <c r="A959" s="1819"/>
      <c r="B959" s="1813"/>
      <c r="C959" s="2016"/>
      <c r="D959" s="2328"/>
      <c r="E959" s="2016"/>
      <c r="F959" s="2016"/>
      <c r="G959" s="2016"/>
      <c r="H959" s="2205"/>
      <c r="I959" s="2016"/>
      <c r="J959" s="2016"/>
      <c r="K959" s="914" t="s">
        <v>1444</v>
      </c>
      <c r="L959" s="1158" t="s">
        <v>1297</v>
      </c>
      <c r="M959" s="1002" t="s">
        <v>1445</v>
      </c>
      <c r="N959" s="1002" t="s">
        <v>1446</v>
      </c>
      <c r="O959" s="1002" t="s">
        <v>1447</v>
      </c>
      <c r="P959" s="1002" t="s">
        <v>1448</v>
      </c>
      <c r="Q959" s="1002" t="s">
        <v>1449</v>
      </c>
    </row>
    <row r="960" spans="1:17" ht="45" x14ac:dyDescent="0.25">
      <c r="A960" s="1819"/>
      <c r="B960" s="1813"/>
      <c r="C960" s="2016"/>
      <c r="D960" s="2328"/>
      <c r="E960" s="2016"/>
      <c r="F960" s="2016"/>
      <c r="G960" s="2016"/>
      <c r="H960" s="2205"/>
      <c r="I960" s="2016"/>
      <c r="J960" s="2016"/>
      <c r="K960" s="914" t="s">
        <v>2884</v>
      </c>
      <c r="L960" s="692"/>
      <c r="M960" s="1002"/>
      <c r="N960" s="1002"/>
      <c r="O960" s="1002"/>
      <c r="P960" s="1002"/>
      <c r="Q960" s="1002"/>
    </row>
    <row r="961" spans="1:17" ht="30" x14ac:dyDescent="0.25">
      <c r="A961" s="1819"/>
      <c r="B961" s="1813"/>
      <c r="C961" s="2016"/>
      <c r="D961" s="2328"/>
      <c r="E961" s="2016"/>
      <c r="F961" s="2016"/>
      <c r="G961" s="2016"/>
      <c r="H961" s="2205"/>
      <c r="I961" s="2016"/>
      <c r="J961" s="2016"/>
      <c r="K961" s="914" t="s">
        <v>1450</v>
      </c>
      <c r="L961" s="692" t="s">
        <v>182</v>
      </c>
      <c r="M961" s="1002">
        <v>27</v>
      </c>
      <c r="N961" s="1002">
        <v>27</v>
      </c>
      <c r="O961" s="1002">
        <v>27</v>
      </c>
      <c r="P961" s="1002">
        <v>27</v>
      </c>
      <c r="Q961" s="1002">
        <v>27</v>
      </c>
    </row>
    <row r="962" spans="1:17" ht="105" x14ac:dyDescent="0.25">
      <c r="A962" s="1820"/>
      <c r="B962" s="1814"/>
      <c r="C962" s="1885"/>
      <c r="D962" s="1948"/>
      <c r="E962" s="1885"/>
      <c r="F962" s="1885"/>
      <c r="G962" s="1885"/>
      <c r="H962" s="1952"/>
      <c r="I962" s="1885"/>
      <c r="J962" s="1885"/>
      <c r="K962" s="914" t="s">
        <v>2885</v>
      </c>
      <c r="L962" s="692" t="s">
        <v>182</v>
      </c>
      <c r="M962" s="1002" t="s">
        <v>1451</v>
      </c>
      <c r="N962" s="1002" t="s">
        <v>1451</v>
      </c>
      <c r="O962" s="1002" t="s">
        <v>1451</v>
      </c>
      <c r="P962" s="1002" t="s">
        <v>1451</v>
      </c>
      <c r="Q962" s="1002" t="s">
        <v>1451</v>
      </c>
    </row>
    <row r="963" spans="1:17" ht="30" x14ac:dyDescent="0.25">
      <c r="A963" s="2028"/>
      <c r="B963" s="2029"/>
      <c r="C963" s="1884" t="s">
        <v>8</v>
      </c>
      <c r="D963" s="2324"/>
      <c r="E963" s="1833" t="s">
        <v>1452</v>
      </c>
      <c r="F963" s="1888">
        <v>950490.3</v>
      </c>
      <c r="G963" s="1888">
        <v>1015567.7</v>
      </c>
      <c r="H963" s="1835">
        <f>628784+38874.1</f>
        <v>667658.1</v>
      </c>
      <c r="I963" s="2058">
        <v>962385.3</v>
      </c>
      <c r="J963" s="2058">
        <v>975969</v>
      </c>
      <c r="K963" s="914" t="s">
        <v>1453</v>
      </c>
      <c r="L963" s="914" t="s">
        <v>1454</v>
      </c>
      <c r="M963" s="1002">
        <v>1701</v>
      </c>
      <c r="N963" s="1002">
        <v>1660</v>
      </c>
      <c r="O963" s="1002">
        <v>1675</v>
      </c>
      <c r="P963" s="1002">
        <v>1706</v>
      </c>
      <c r="Q963" s="360">
        <v>1706</v>
      </c>
    </row>
    <row r="964" spans="1:17" x14ac:dyDescent="0.25">
      <c r="A964" s="1819"/>
      <c r="B964" s="1813"/>
      <c r="C964" s="2016"/>
      <c r="D964" s="2325"/>
      <c r="E964" s="1839"/>
      <c r="F964" s="2212"/>
      <c r="G964" s="2212"/>
      <c r="H964" s="1911"/>
      <c r="I964" s="2084"/>
      <c r="J964" s="2084"/>
      <c r="K964" s="914" t="s">
        <v>1455</v>
      </c>
      <c r="L964" s="914" t="s">
        <v>1456</v>
      </c>
      <c r="M964" s="1002">
        <v>658</v>
      </c>
      <c r="N964" s="1002">
        <v>458</v>
      </c>
      <c r="O964" s="1002">
        <v>506</v>
      </c>
      <c r="P964" s="1002">
        <v>635</v>
      </c>
      <c r="Q964" s="360">
        <v>710</v>
      </c>
    </row>
    <row r="965" spans="1:17" ht="30" x14ac:dyDescent="0.25">
      <c r="A965" s="1819"/>
      <c r="B965" s="1813"/>
      <c r="C965" s="2016"/>
      <c r="D965" s="2325"/>
      <c r="E965" s="1839"/>
      <c r="F965" s="2212"/>
      <c r="G965" s="2212"/>
      <c r="H965" s="1911"/>
      <c r="I965" s="2084"/>
      <c r="J965" s="2084"/>
      <c r="K965" s="914" t="s">
        <v>1457</v>
      </c>
      <c r="L965" s="914" t="s">
        <v>465</v>
      </c>
      <c r="M965" s="1002">
        <v>860</v>
      </c>
      <c r="N965" s="1002">
        <v>860</v>
      </c>
      <c r="O965" s="1002">
        <v>910</v>
      </c>
      <c r="P965" s="1002">
        <v>945</v>
      </c>
      <c r="Q965" s="360">
        <v>980</v>
      </c>
    </row>
    <row r="966" spans="1:17" x14ac:dyDescent="0.25">
      <c r="A966" s="1820"/>
      <c r="B966" s="1814"/>
      <c r="C966" s="1885"/>
      <c r="D966" s="2326"/>
      <c r="E966" s="1834"/>
      <c r="F966" s="1889"/>
      <c r="G966" s="1889"/>
      <c r="H966" s="1836"/>
      <c r="I966" s="1832"/>
      <c r="J966" s="1832"/>
      <c r="K966" s="914" t="s">
        <v>1458</v>
      </c>
      <c r="L966" s="914" t="s">
        <v>465</v>
      </c>
      <c r="M966" s="1002">
        <v>800</v>
      </c>
      <c r="N966" s="1002">
        <v>800</v>
      </c>
      <c r="O966" s="1002">
        <v>860</v>
      </c>
      <c r="P966" s="1002">
        <v>895</v>
      </c>
      <c r="Q966" s="1002">
        <v>930</v>
      </c>
    </row>
    <row r="967" spans="1:17" ht="30" x14ac:dyDescent="0.25">
      <c r="A967" s="1829"/>
      <c r="B967" s="2038"/>
      <c r="C967" s="1831" t="s">
        <v>10</v>
      </c>
      <c r="D967" s="2058"/>
      <c r="E967" s="1833" t="s">
        <v>1459</v>
      </c>
      <c r="F967" s="2058">
        <v>478088.4</v>
      </c>
      <c r="G967" s="2058">
        <v>407435.6</v>
      </c>
      <c r="H967" s="1835">
        <f>286913.9+8949.9</f>
        <v>295863.80000000005</v>
      </c>
      <c r="I967" s="2058">
        <v>479442.8</v>
      </c>
      <c r="J967" s="2058">
        <v>479442.8</v>
      </c>
      <c r="K967" s="914" t="s">
        <v>1460</v>
      </c>
      <c r="L967" s="914" t="s">
        <v>465</v>
      </c>
      <c r="M967" s="1002" t="s">
        <v>1461</v>
      </c>
      <c r="N967" s="1002" t="s">
        <v>1462</v>
      </c>
      <c r="O967" s="1002" t="s">
        <v>1463</v>
      </c>
      <c r="P967" s="1002" t="s">
        <v>1464</v>
      </c>
      <c r="Q967" s="1002" t="s">
        <v>1465</v>
      </c>
    </row>
    <row r="968" spans="1:17" x14ac:dyDescent="0.25">
      <c r="A968" s="1830"/>
      <c r="B968" s="2039"/>
      <c r="C968" s="2057"/>
      <c r="D968" s="1832"/>
      <c r="E968" s="1834"/>
      <c r="F968" s="1832"/>
      <c r="G968" s="1832"/>
      <c r="H968" s="1836"/>
      <c r="I968" s="1832"/>
      <c r="J968" s="1832"/>
      <c r="K968" s="914" t="s">
        <v>1466</v>
      </c>
      <c r="L968" s="914" t="s">
        <v>1467</v>
      </c>
      <c r="M968" s="1002">
        <v>2473.1</v>
      </c>
      <c r="N968" s="1002">
        <v>2979.1</v>
      </c>
      <c r="O968" s="1002">
        <v>3000</v>
      </c>
      <c r="P968" s="1002">
        <v>3000</v>
      </c>
      <c r="Q968" s="1002">
        <v>3000</v>
      </c>
    </row>
    <row r="969" spans="1:17" ht="75" x14ac:dyDescent="0.25">
      <c r="A969" s="572"/>
      <c r="B969" s="494"/>
      <c r="C969" s="30" t="s">
        <v>12</v>
      </c>
      <c r="D969" s="1002"/>
      <c r="E969" s="1034" t="s">
        <v>2882</v>
      </c>
      <c r="F969" s="287">
        <v>95060.2</v>
      </c>
      <c r="G969" s="287">
        <v>358000</v>
      </c>
      <c r="H969" s="700"/>
      <c r="I969" s="287">
        <v>705000</v>
      </c>
      <c r="J969" s="287">
        <v>747600</v>
      </c>
      <c r="K969" s="914" t="s">
        <v>1468</v>
      </c>
      <c r="L969" s="914" t="s">
        <v>1469</v>
      </c>
      <c r="M969" s="1003" t="s">
        <v>1470</v>
      </c>
      <c r="N969" s="1003" t="s">
        <v>1471</v>
      </c>
      <c r="O969" s="1003" t="s">
        <v>1472</v>
      </c>
      <c r="P969" s="1003" t="s">
        <v>1472</v>
      </c>
      <c r="Q969" s="1003" t="s">
        <v>1472</v>
      </c>
    </row>
    <row r="970" spans="1:17" ht="60" x14ac:dyDescent="0.25">
      <c r="A970" s="572"/>
      <c r="B970" s="494"/>
      <c r="C970" s="30" t="s">
        <v>14</v>
      </c>
      <c r="D970" s="1002"/>
      <c r="E970" s="692" t="s">
        <v>2883</v>
      </c>
      <c r="F970" s="1002">
        <v>146113.60000000001</v>
      </c>
      <c r="G970" s="1002">
        <v>153889.9</v>
      </c>
      <c r="H970" s="1017"/>
      <c r="I970" s="1002">
        <v>0</v>
      </c>
      <c r="J970" s="1002">
        <v>0</v>
      </c>
      <c r="K970" s="914" t="s">
        <v>1473</v>
      </c>
      <c r="L970" s="914">
        <v>0</v>
      </c>
      <c r="M970" s="1002">
        <v>0</v>
      </c>
      <c r="N970" s="1002">
        <v>0</v>
      </c>
      <c r="O970" s="1002">
        <v>0</v>
      </c>
      <c r="P970" s="1002">
        <v>0</v>
      </c>
      <c r="Q970" s="1002">
        <v>0</v>
      </c>
    </row>
    <row r="971" spans="1:17" ht="45" x14ac:dyDescent="0.25">
      <c r="A971" s="960"/>
      <c r="B971" s="1138"/>
      <c r="C971" s="904" t="s">
        <v>16</v>
      </c>
      <c r="D971" s="65"/>
      <c r="E971" s="692" t="s">
        <v>1474</v>
      </c>
      <c r="F971" s="1155">
        <v>13504</v>
      </c>
      <c r="G971" s="1155">
        <v>144238.20000000001</v>
      </c>
      <c r="H971" s="700">
        <v>18500</v>
      </c>
      <c r="I971" s="287">
        <v>223612.2</v>
      </c>
      <c r="J971" s="287">
        <v>328531.20000000001</v>
      </c>
      <c r="K971" s="914"/>
      <c r="L971" s="914"/>
      <c r="M971" s="1003"/>
      <c r="N971" s="1003"/>
      <c r="O971" s="97"/>
      <c r="P971" s="1003"/>
      <c r="Q971" s="1003"/>
    </row>
    <row r="972" spans="1:17" ht="39.75" customHeight="1" x14ac:dyDescent="0.25">
      <c r="A972" s="1840" t="s">
        <v>1475</v>
      </c>
      <c r="B972" s="1841"/>
      <c r="C972" s="1841"/>
      <c r="D972" s="1841"/>
      <c r="E972" s="1841"/>
      <c r="F972" s="46">
        <v>3354986</v>
      </c>
      <c r="G972" s="46">
        <v>5388232.9999999991</v>
      </c>
      <c r="H972" s="46">
        <f>H859+H876+H957</f>
        <v>1771005.6</v>
      </c>
      <c r="I972" s="46">
        <v>3392115.7</v>
      </c>
      <c r="J972" s="46">
        <v>3344626.4000000004</v>
      </c>
      <c r="K972" s="16"/>
      <c r="L972" s="2317"/>
      <c r="M972" s="2318"/>
      <c r="N972" s="2318"/>
      <c r="O972" s="2318"/>
      <c r="P972" s="2318"/>
      <c r="Q972" s="2319"/>
    </row>
    <row r="973" spans="1:17" x14ac:dyDescent="0.25">
      <c r="A973" s="1159"/>
      <c r="B973" s="1878" t="s">
        <v>2886</v>
      </c>
      <c r="C973" s="1879"/>
      <c r="D973" s="1879"/>
      <c r="E973" s="1879"/>
      <c r="F973" s="1879"/>
      <c r="G973" s="1879"/>
      <c r="H973" s="1879"/>
      <c r="I973" s="1879"/>
      <c r="J973" s="1879"/>
      <c r="K973" s="1879"/>
      <c r="L973" s="1879"/>
      <c r="M973" s="1879"/>
      <c r="N973" s="1879"/>
      <c r="O973" s="1879"/>
      <c r="P973" s="1879"/>
      <c r="Q973" s="1879"/>
    </row>
    <row r="974" spans="1:17" ht="42.75" x14ac:dyDescent="0.25">
      <c r="A974" s="1159"/>
      <c r="B974" s="1160">
        <v>1</v>
      </c>
      <c r="C974" s="1161"/>
      <c r="D974" s="1162"/>
      <c r="E974" s="1163" t="s">
        <v>661</v>
      </c>
      <c r="F974" s="1164"/>
      <c r="G974" s="1164"/>
      <c r="H974" s="1164">
        <f>H975+H976</f>
        <v>400638.8</v>
      </c>
      <c r="I974" s="1164"/>
      <c r="J974" s="1164"/>
      <c r="K974" s="1165"/>
      <c r="L974" s="1166"/>
      <c r="M974" s="1166"/>
      <c r="N974" s="1166"/>
      <c r="O974" s="1166"/>
      <c r="P974" s="1166"/>
      <c r="Q974" s="1166"/>
    </row>
    <row r="975" spans="1:17" x14ac:dyDescent="0.25">
      <c r="A975" s="1159"/>
      <c r="B975" s="214"/>
      <c r="C975" s="897">
        <v>53</v>
      </c>
      <c r="D975" s="214"/>
      <c r="E975" s="898" t="s">
        <v>1439</v>
      </c>
      <c r="F975" s="1164"/>
      <c r="G975" s="1164"/>
      <c r="H975" s="1167">
        <v>13900.7</v>
      </c>
      <c r="I975" s="1164"/>
      <c r="J975" s="1164"/>
      <c r="K975" s="1165"/>
      <c r="L975" s="1166"/>
      <c r="M975" s="1166"/>
      <c r="N975" s="1166"/>
      <c r="O975" s="1166"/>
      <c r="P975" s="1166"/>
      <c r="Q975" s="1166"/>
    </row>
    <row r="976" spans="1:17" ht="30" x14ac:dyDescent="0.25">
      <c r="A976" s="1159"/>
      <c r="B976" s="214"/>
      <c r="C976" s="897">
        <v>54</v>
      </c>
      <c r="D976" s="214"/>
      <c r="E976" s="898" t="s">
        <v>1476</v>
      </c>
      <c r="F976" s="1164"/>
      <c r="G976" s="1164"/>
      <c r="H976" s="1167">
        <f>339962.3+46775.8</f>
        <v>386738.1</v>
      </c>
      <c r="I976" s="1164"/>
      <c r="J976" s="1164"/>
      <c r="K976" s="1165"/>
      <c r="L976" s="1166"/>
      <c r="M976" s="1166"/>
      <c r="N976" s="1166"/>
      <c r="O976" s="1166"/>
      <c r="P976" s="1166"/>
      <c r="Q976" s="1166"/>
    </row>
    <row r="977" spans="1:17" ht="28.5" x14ac:dyDescent="0.25">
      <c r="A977" s="1159"/>
      <c r="B977" s="1160">
        <v>2</v>
      </c>
      <c r="C977" s="214"/>
      <c r="D977" s="214"/>
      <c r="E977" s="214" t="s">
        <v>1477</v>
      </c>
      <c r="F977" s="1164"/>
      <c r="G977" s="1164"/>
      <c r="H977" s="1164">
        <f>H978</f>
        <v>3449.3</v>
      </c>
      <c r="I977" s="1164"/>
      <c r="J977" s="1164"/>
      <c r="K977" s="1165"/>
      <c r="L977" s="1166"/>
      <c r="M977" s="1166"/>
      <c r="N977" s="1166"/>
      <c r="O977" s="1166"/>
      <c r="P977" s="1166"/>
      <c r="Q977" s="1166"/>
    </row>
    <row r="978" spans="1:17" ht="45" x14ac:dyDescent="0.25">
      <c r="A978" s="1159"/>
      <c r="B978" s="214"/>
      <c r="C978" s="904" t="s">
        <v>6</v>
      </c>
      <c r="D978" s="214"/>
      <c r="E978" s="898" t="s">
        <v>2277</v>
      </c>
      <c r="F978" s="1164"/>
      <c r="G978" s="1164"/>
      <c r="H978" s="1167">
        <v>3449.3</v>
      </c>
      <c r="I978" s="1164"/>
      <c r="J978" s="1164"/>
      <c r="K978" s="1165"/>
      <c r="L978" s="1166"/>
      <c r="M978" s="1166"/>
      <c r="N978" s="1166"/>
      <c r="O978" s="1166"/>
      <c r="P978" s="1166"/>
      <c r="Q978" s="1166"/>
    </row>
    <row r="979" spans="1:17" x14ac:dyDescent="0.25">
      <c r="A979" s="1159"/>
      <c r="B979" s="693">
        <v>992</v>
      </c>
      <c r="C979" s="912"/>
      <c r="D979" s="653"/>
      <c r="E979" s="647" t="s">
        <v>867</v>
      </c>
      <c r="F979" s="1164"/>
      <c r="G979" s="1164"/>
      <c r="H979" s="1164">
        <f>H980</f>
        <v>2676865</v>
      </c>
      <c r="I979" s="1164"/>
      <c r="J979" s="1164"/>
      <c r="K979" s="1165"/>
      <c r="L979" s="1166"/>
      <c r="M979" s="1166"/>
      <c r="N979" s="1166"/>
      <c r="O979" s="1166"/>
      <c r="P979" s="1166"/>
      <c r="Q979" s="1166"/>
    </row>
    <row r="980" spans="1:17" x14ac:dyDescent="0.25">
      <c r="A980" s="1159"/>
      <c r="B980" s="693"/>
      <c r="C980" s="912" t="s">
        <v>6</v>
      </c>
      <c r="D980" s="653"/>
      <c r="E980" s="1058" t="s">
        <v>868</v>
      </c>
      <c r="F980" s="1164"/>
      <c r="G980" s="1164"/>
      <c r="H980" s="1167">
        <v>2676865</v>
      </c>
      <c r="I980" s="1164"/>
      <c r="J980" s="1164"/>
      <c r="K980" s="1165"/>
      <c r="L980" s="1166"/>
      <c r="M980" s="1166"/>
      <c r="N980" s="1166"/>
      <c r="O980" s="1166"/>
      <c r="P980" s="1166"/>
      <c r="Q980" s="1166"/>
    </row>
    <row r="981" spans="1:17" ht="39.75" customHeight="1" x14ac:dyDescent="0.25">
      <c r="A981" s="1168"/>
      <c r="B981" s="1821" t="s">
        <v>2887</v>
      </c>
      <c r="C981" s="1822"/>
      <c r="D981" s="1822"/>
      <c r="E981" s="1822"/>
      <c r="F981" s="1805"/>
      <c r="G981" s="46"/>
      <c r="H981" s="46">
        <f>H974+H977+H979</f>
        <v>3080953.1</v>
      </c>
      <c r="I981" s="1169"/>
      <c r="J981" s="1169"/>
      <c r="K981" s="1170"/>
      <c r="L981" s="940"/>
      <c r="M981" s="940"/>
      <c r="N981" s="940"/>
      <c r="O981" s="940"/>
      <c r="P981" s="940"/>
      <c r="Q981" s="941"/>
    </row>
    <row r="982" spans="1:17" ht="15.75" thickBot="1" x14ac:dyDescent="0.3">
      <c r="A982" s="1878" t="s">
        <v>1478</v>
      </c>
      <c r="B982" s="1879"/>
      <c r="C982" s="1827"/>
      <c r="D982" s="1827"/>
      <c r="E982" s="1827"/>
      <c r="F982" s="1827"/>
      <c r="G982" s="1827"/>
      <c r="H982" s="1827"/>
      <c r="I982" s="1827"/>
      <c r="J982" s="1827"/>
      <c r="K982" s="1827"/>
      <c r="L982" s="1827"/>
      <c r="M982" s="1827"/>
      <c r="N982" s="1827"/>
      <c r="O982" s="1827"/>
      <c r="P982" s="1827"/>
      <c r="Q982" s="1828"/>
    </row>
    <row r="983" spans="1:17" ht="73.5" x14ac:dyDescent="0.25">
      <c r="A983" s="1171">
        <v>44</v>
      </c>
      <c r="B983" s="1160">
        <v>1</v>
      </c>
      <c r="C983" s="1172"/>
      <c r="D983" s="1173"/>
      <c r="E983" s="1174" t="s">
        <v>2888</v>
      </c>
      <c r="F983" s="1175">
        <v>15802.400000000001</v>
      </c>
      <c r="G983" s="1175">
        <v>23957.999999999996</v>
      </c>
      <c r="H983" s="1175">
        <f>SUM(H984:H992)</f>
        <v>31663.799999999996</v>
      </c>
      <c r="I983" s="1175">
        <v>28468.365000000002</v>
      </c>
      <c r="J983" s="1175">
        <v>28753.048650000001</v>
      </c>
      <c r="K983" s="1176" t="s">
        <v>181</v>
      </c>
      <c r="L983" s="1177" t="s">
        <v>182</v>
      </c>
      <c r="M983" s="1178">
        <v>65.099999999999994</v>
      </c>
      <c r="N983" s="1178">
        <v>68.2</v>
      </c>
      <c r="O983" s="1178">
        <v>63.4</v>
      </c>
      <c r="P983" s="1178">
        <v>63.1</v>
      </c>
      <c r="Q983" s="1178">
        <v>61.2</v>
      </c>
    </row>
    <row r="984" spans="1:17" x14ac:dyDescent="0.25">
      <c r="A984" s="1179"/>
      <c r="B984" s="1180"/>
      <c r="C984" s="1181">
        <v>1</v>
      </c>
      <c r="D984" s="1182"/>
      <c r="E984" s="1183" t="s">
        <v>7</v>
      </c>
      <c r="F984" s="700">
        <v>3530.9</v>
      </c>
      <c r="G984" s="700">
        <v>5284.7</v>
      </c>
      <c r="H984" s="700">
        <f>9901.6+32.9</f>
        <v>9934.5</v>
      </c>
      <c r="I984" s="700">
        <v>6200.6930000000002</v>
      </c>
      <c r="J984" s="700">
        <v>6262.6999300000007</v>
      </c>
      <c r="K984" s="1157" t="s">
        <v>183</v>
      </c>
      <c r="L984" s="287" t="s">
        <v>182</v>
      </c>
      <c r="M984" s="287">
        <v>21.7</v>
      </c>
      <c r="N984" s="287">
        <v>25</v>
      </c>
      <c r="O984" s="287">
        <v>25</v>
      </c>
      <c r="P984" s="287">
        <v>25</v>
      </c>
      <c r="Q984" s="287">
        <v>25</v>
      </c>
    </row>
    <row r="985" spans="1:17" x14ac:dyDescent="0.25">
      <c r="A985" s="1179"/>
      <c r="B985" s="1184"/>
      <c r="C985" s="1185">
        <v>2</v>
      </c>
      <c r="D985" s="1186"/>
      <c r="E985" s="1187" t="s">
        <v>9</v>
      </c>
      <c r="F985" s="700">
        <v>3035.8</v>
      </c>
      <c r="G985" s="700">
        <v>4762.3999999999996</v>
      </c>
      <c r="H985" s="700">
        <v>7296</v>
      </c>
      <c r="I985" s="700">
        <v>5520.0540000000001</v>
      </c>
      <c r="J985" s="700">
        <v>5575.2545399999999</v>
      </c>
      <c r="K985" s="1157" t="s">
        <v>185</v>
      </c>
      <c r="L985" s="287" t="s">
        <v>182</v>
      </c>
      <c r="M985" s="287">
        <v>99.9</v>
      </c>
      <c r="N985" s="287">
        <v>100</v>
      </c>
      <c r="O985" s="287">
        <v>100</v>
      </c>
      <c r="P985" s="287">
        <v>100</v>
      </c>
      <c r="Q985" s="287">
        <v>100</v>
      </c>
    </row>
    <row r="986" spans="1:17" ht="30" x14ac:dyDescent="0.25">
      <c r="A986" s="1179"/>
      <c r="B986" s="1184"/>
      <c r="C986" s="1185">
        <v>3</v>
      </c>
      <c r="D986" s="1186"/>
      <c r="E986" s="1187" t="s">
        <v>1479</v>
      </c>
      <c r="F986" s="700">
        <v>1871.5</v>
      </c>
      <c r="G986" s="700">
        <v>2493.6</v>
      </c>
      <c r="H986" s="700">
        <v>2787.6</v>
      </c>
      <c r="I986" s="700">
        <v>3059.0880000000002</v>
      </c>
      <c r="J986" s="700">
        <v>3089.6788800000004</v>
      </c>
      <c r="K986" s="1188" t="s">
        <v>186</v>
      </c>
      <c r="L986" s="287" t="s">
        <v>182</v>
      </c>
      <c r="M986" s="287">
        <v>75</v>
      </c>
      <c r="N986" s="287">
        <v>100</v>
      </c>
      <c r="O986" s="287">
        <v>100</v>
      </c>
      <c r="P986" s="287">
        <v>100</v>
      </c>
      <c r="Q986" s="287">
        <v>100</v>
      </c>
    </row>
    <row r="987" spans="1:17" ht="30" x14ac:dyDescent="0.25">
      <c r="A987" s="1179"/>
      <c r="B987" s="1184"/>
      <c r="C987" s="1185">
        <v>5</v>
      </c>
      <c r="D987" s="1186"/>
      <c r="E987" s="1187" t="s">
        <v>1480</v>
      </c>
      <c r="F987" s="700">
        <v>1563.4</v>
      </c>
      <c r="G987" s="700">
        <v>2055.8000000000002</v>
      </c>
      <c r="H987" s="700">
        <v>1987.6</v>
      </c>
      <c r="I987" s="700">
        <v>2596.5080000000003</v>
      </c>
      <c r="J987" s="700">
        <v>2622.4730800000002</v>
      </c>
      <c r="K987" s="1157" t="s">
        <v>188</v>
      </c>
      <c r="L987" s="287" t="s">
        <v>189</v>
      </c>
      <c r="M987" s="287">
        <v>100</v>
      </c>
      <c r="N987" s="287">
        <v>100</v>
      </c>
      <c r="O987" s="287">
        <v>100</v>
      </c>
      <c r="P987" s="287">
        <v>100</v>
      </c>
      <c r="Q987" s="287">
        <v>100</v>
      </c>
    </row>
    <row r="988" spans="1:17" ht="30" x14ac:dyDescent="0.25">
      <c r="A988" s="1179"/>
      <c r="B988" s="1180"/>
      <c r="C988" s="1189">
        <v>34</v>
      </c>
      <c r="D988" s="1190"/>
      <c r="E988" s="1191" t="s">
        <v>1481</v>
      </c>
      <c r="F988" s="700">
        <v>1373.5</v>
      </c>
      <c r="G988" s="700">
        <v>3265.1</v>
      </c>
      <c r="H988" s="700">
        <v>2197.6</v>
      </c>
      <c r="I988" s="700">
        <v>3831.0309999999999</v>
      </c>
      <c r="J988" s="700">
        <v>3869.3413099999998</v>
      </c>
      <c r="K988" s="1157" t="s">
        <v>1482</v>
      </c>
      <c r="L988" s="287" t="s">
        <v>182</v>
      </c>
      <c r="M988" s="287">
        <v>5.9</v>
      </c>
      <c r="N988" s="287">
        <v>6</v>
      </c>
      <c r="O988" s="287">
        <v>6</v>
      </c>
      <c r="P988" s="287">
        <v>6</v>
      </c>
      <c r="Q988" s="287">
        <v>6</v>
      </c>
    </row>
    <row r="989" spans="1:17" x14ac:dyDescent="0.25">
      <c r="A989" s="1179"/>
      <c r="B989" s="2320"/>
      <c r="C989" s="2322">
        <v>35</v>
      </c>
      <c r="D989" s="2322"/>
      <c r="E989" s="2157" t="s">
        <v>1483</v>
      </c>
      <c r="F989" s="1938">
        <v>2262.1</v>
      </c>
      <c r="G989" s="1938">
        <v>3065.8</v>
      </c>
      <c r="H989" s="1938">
        <v>3656.3</v>
      </c>
      <c r="I989" s="1938">
        <v>3650.9480000000003</v>
      </c>
      <c r="J989" s="1938">
        <v>3687.4574800000005</v>
      </c>
      <c r="K989" s="1157" t="s">
        <v>1484</v>
      </c>
      <c r="L989" s="287" t="s">
        <v>465</v>
      </c>
      <c r="M989" s="287">
        <v>2</v>
      </c>
      <c r="N989" s="287">
        <v>3</v>
      </c>
      <c r="O989" s="287">
        <v>3</v>
      </c>
      <c r="P989" s="287">
        <v>3</v>
      </c>
      <c r="Q989" s="287">
        <v>3</v>
      </c>
    </row>
    <row r="990" spans="1:17" ht="30" x14ac:dyDescent="0.25">
      <c r="A990" s="1179"/>
      <c r="B990" s="2321"/>
      <c r="C990" s="2323"/>
      <c r="D990" s="2323"/>
      <c r="E990" s="2158"/>
      <c r="F990" s="1939"/>
      <c r="G990" s="1939"/>
      <c r="H990" s="1939"/>
      <c r="I990" s="1939"/>
      <c r="J990" s="1939"/>
      <c r="K990" s="1157" t="s">
        <v>1279</v>
      </c>
      <c r="L990" s="287" t="s">
        <v>182</v>
      </c>
      <c r="M990" s="287">
        <v>80.900000000000006</v>
      </c>
      <c r="N990" s="287">
        <v>100</v>
      </c>
      <c r="O990" s="287">
        <v>100</v>
      </c>
      <c r="P990" s="287">
        <v>100</v>
      </c>
      <c r="Q990" s="287">
        <v>100</v>
      </c>
    </row>
    <row r="991" spans="1:17" x14ac:dyDescent="0.25">
      <c r="A991" s="1179"/>
      <c r="B991" s="2320"/>
      <c r="C991" s="2322">
        <v>36</v>
      </c>
      <c r="D991" s="2322"/>
      <c r="E991" s="2157" t="s">
        <v>1485</v>
      </c>
      <c r="F991" s="1938">
        <v>2165.1999999999998</v>
      </c>
      <c r="G991" s="1938">
        <v>3030.6</v>
      </c>
      <c r="H991" s="1938">
        <v>3804.2</v>
      </c>
      <c r="I991" s="1938">
        <v>3610.0430000000001</v>
      </c>
      <c r="J991" s="1938">
        <v>3646.1434300000001</v>
      </c>
      <c r="K991" s="1157" t="s">
        <v>1484</v>
      </c>
      <c r="L991" s="287" t="s">
        <v>465</v>
      </c>
      <c r="M991" s="287">
        <v>15</v>
      </c>
      <c r="N991" s="287">
        <v>5</v>
      </c>
      <c r="O991" s="287">
        <v>5</v>
      </c>
      <c r="P991" s="287">
        <v>5</v>
      </c>
      <c r="Q991" s="287">
        <v>5</v>
      </c>
    </row>
    <row r="992" spans="1:17" ht="30" x14ac:dyDescent="0.25">
      <c r="A992" s="1179"/>
      <c r="B992" s="2321"/>
      <c r="C992" s="2323"/>
      <c r="D992" s="2323"/>
      <c r="E992" s="2158"/>
      <c r="F992" s="1939"/>
      <c r="G992" s="1939"/>
      <c r="H992" s="1939"/>
      <c r="I992" s="1939"/>
      <c r="J992" s="1939"/>
      <c r="K992" s="1157" t="s">
        <v>1279</v>
      </c>
      <c r="L992" s="287" t="s">
        <v>182</v>
      </c>
      <c r="M992" s="287">
        <v>80.900000000000006</v>
      </c>
      <c r="N992" s="287">
        <v>100</v>
      </c>
      <c r="O992" s="287">
        <v>100</v>
      </c>
      <c r="P992" s="287">
        <v>100</v>
      </c>
      <c r="Q992" s="287">
        <v>100</v>
      </c>
    </row>
    <row r="993" spans="1:17" x14ac:dyDescent="0.25">
      <c r="A993" s="2304">
        <v>44</v>
      </c>
      <c r="B993" s="2297">
        <v>2</v>
      </c>
      <c r="C993" s="2153"/>
      <c r="D993" s="2306"/>
      <c r="E993" s="2316" t="s">
        <v>2889</v>
      </c>
      <c r="F993" s="2310">
        <v>443805.5</v>
      </c>
      <c r="G993" s="2310">
        <v>621733.9</v>
      </c>
      <c r="H993" s="2310">
        <f>SUM(H995:H1003)</f>
        <v>505774.29999999993</v>
      </c>
      <c r="I993" s="2310">
        <v>427496.43799999997</v>
      </c>
      <c r="J993" s="2310">
        <v>431771.40238000004</v>
      </c>
      <c r="K993" s="1855"/>
      <c r="L993" s="1855"/>
      <c r="M993" s="1855"/>
      <c r="N993" s="1934"/>
      <c r="O993" s="1934"/>
      <c r="P993" s="1934"/>
      <c r="Q993" s="1934"/>
    </row>
    <row r="994" spans="1:17" ht="85.5" customHeight="1" x14ac:dyDescent="0.25">
      <c r="A994" s="2313"/>
      <c r="B994" s="2298"/>
      <c r="C994" s="2154"/>
      <c r="D994" s="2314"/>
      <c r="E994" s="2316"/>
      <c r="F994" s="2310"/>
      <c r="G994" s="2310"/>
      <c r="H994" s="2310"/>
      <c r="I994" s="2310"/>
      <c r="J994" s="2310"/>
      <c r="K994" s="1856"/>
      <c r="L994" s="1856"/>
      <c r="M994" s="1856"/>
      <c r="N994" s="1935"/>
      <c r="O994" s="1935"/>
      <c r="P994" s="1935"/>
      <c r="Q994" s="1935"/>
    </row>
    <row r="995" spans="1:17" x14ac:dyDescent="0.25">
      <c r="A995" s="2304"/>
      <c r="B995" s="1192"/>
      <c r="C995" s="2153" t="s">
        <v>6</v>
      </c>
      <c r="D995" s="2153"/>
      <c r="E995" s="2157" t="s">
        <v>1486</v>
      </c>
      <c r="F995" s="1938">
        <v>147590.39999999999</v>
      </c>
      <c r="G995" s="1938">
        <v>174413.4</v>
      </c>
      <c r="H995" s="1938">
        <f>157621.6+19338.7</f>
        <v>176960.30000000002</v>
      </c>
      <c r="I995" s="1938">
        <v>176157.53399999999</v>
      </c>
      <c r="J995" s="1938">
        <v>177919.10934</v>
      </c>
      <c r="K995" s="211" t="s">
        <v>1487</v>
      </c>
      <c r="L995" s="211" t="s">
        <v>1223</v>
      </c>
      <c r="M995" s="211">
        <v>1196.8</v>
      </c>
      <c r="N995" s="212">
        <v>1196.8</v>
      </c>
      <c r="O995" s="212">
        <v>1200</v>
      </c>
      <c r="P995" s="212">
        <v>1200</v>
      </c>
      <c r="Q995" s="212">
        <v>1200</v>
      </c>
    </row>
    <row r="996" spans="1:17" ht="45" x14ac:dyDescent="0.25">
      <c r="A996" s="2313"/>
      <c r="B996" s="2301"/>
      <c r="C996" s="2302"/>
      <c r="D996" s="2302"/>
      <c r="E996" s="2303"/>
      <c r="F996" s="1970"/>
      <c r="G996" s="1970"/>
      <c r="H996" s="1970"/>
      <c r="I996" s="1970"/>
      <c r="J996" s="1970"/>
      <c r="K996" s="211" t="s">
        <v>1488</v>
      </c>
      <c r="L996" s="211" t="s">
        <v>182</v>
      </c>
      <c r="M996" s="213">
        <v>24</v>
      </c>
      <c r="N996" s="212">
        <v>25</v>
      </c>
      <c r="O996" s="212">
        <v>25</v>
      </c>
      <c r="P996" s="212">
        <v>26</v>
      </c>
      <c r="Q996" s="212">
        <v>26</v>
      </c>
    </row>
    <row r="997" spans="1:17" ht="30" x14ac:dyDescent="0.25">
      <c r="A997" s="1193"/>
      <c r="B997" s="2298"/>
      <c r="C997" s="2154"/>
      <c r="D997" s="2154"/>
      <c r="E997" s="2158"/>
      <c r="F997" s="1939"/>
      <c r="G997" s="1939"/>
      <c r="H997" s="1939"/>
      <c r="I997" s="1939"/>
      <c r="J997" s="1939"/>
      <c r="K997" s="211" t="s">
        <v>1489</v>
      </c>
      <c r="L997" s="211" t="s">
        <v>465</v>
      </c>
      <c r="M997" s="211">
        <v>300</v>
      </c>
      <c r="N997" s="212">
        <v>300</v>
      </c>
      <c r="O997" s="212">
        <v>300</v>
      </c>
      <c r="P997" s="212">
        <v>300</v>
      </c>
      <c r="Q997" s="212">
        <v>300</v>
      </c>
    </row>
    <row r="998" spans="1:17" x14ac:dyDescent="0.25">
      <c r="A998" s="2304"/>
      <c r="B998" s="2297"/>
      <c r="C998" s="2153" t="s">
        <v>8</v>
      </c>
      <c r="D998" s="2153"/>
      <c r="E998" s="2157" t="s">
        <v>1490</v>
      </c>
      <c r="F998" s="1938">
        <v>75975.399999999994</v>
      </c>
      <c r="G998" s="1938">
        <v>90203.8</v>
      </c>
      <c r="H998" s="1938">
        <f>104413.7+20690.2-1111.1</f>
        <v>123992.79999999999</v>
      </c>
      <c r="I998" s="1938">
        <v>93919.698000000004</v>
      </c>
      <c r="J998" s="1938">
        <v>94858.894980000012</v>
      </c>
      <c r="K998" s="211" t="s">
        <v>1491</v>
      </c>
      <c r="L998" s="211" t="s">
        <v>465</v>
      </c>
      <c r="M998" s="1194">
        <v>272600</v>
      </c>
      <c r="N998" s="1195">
        <v>272700</v>
      </c>
      <c r="O998" s="1195">
        <v>272700</v>
      </c>
      <c r="P998" s="1195">
        <v>272700</v>
      </c>
      <c r="Q998" s="1195">
        <v>273000</v>
      </c>
    </row>
    <row r="999" spans="1:17" x14ac:dyDescent="0.25">
      <c r="A999" s="2313"/>
      <c r="B999" s="2301"/>
      <c r="C999" s="2302"/>
      <c r="D999" s="2302"/>
      <c r="E999" s="2303"/>
      <c r="F999" s="1970"/>
      <c r="G999" s="1970"/>
      <c r="H999" s="1970"/>
      <c r="I999" s="1970"/>
      <c r="J999" s="1970"/>
      <c r="K999" s="211" t="s">
        <v>1492</v>
      </c>
      <c r="L999" s="211" t="s">
        <v>1493</v>
      </c>
      <c r="M999" s="211">
        <v>655</v>
      </c>
      <c r="N999" s="1195">
        <v>660</v>
      </c>
      <c r="O999" s="1195">
        <v>660</v>
      </c>
      <c r="P999" s="1195">
        <v>660</v>
      </c>
      <c r="Q999" s="1195">
        <v>660</v>
      </c>
    </row>
    <row r="1000" spans="1:17" ht="30" x14ac:dyDescent="0.25">
      <c r="A1000" s="1193"/>
      <c r="B1000" s="2298"/>
      <c r="C1000" s="2154"/>
      <c r="D1000" s="2154"/>
      <c r="E1000" s="2158"/>
      <c r="F1000" s="1939"/>
      <c r="G1000" s="1939"/>
      <c r="H1000" s="1939"/>
      <c r="I1000" s="1939"/>
      <c r="J1000" s="1939"/>
      <c r="K1000" s="211" t="s">
        <v>1494</v>
      </c>
      <c r="L1000" s="211" t="s">
        <v>465</v>
      </c>
      <c r="M1000" s="211">
        <v>50</v>
      </c>
      <c r="N1000" s="1195">
        <v>54</v>
      </c>
      <c r="O1000" s="1195">
        <v>55</v>
      </c>
      <c r="P1000" s="1195">
        <v>55</v>
      </c>
      <c r="Q1000" s="1195">
        <v>55</v>
      </c>
    </row>
    <row r="1001" spans="1:17" ht="30" x14ac:dyDescent="0.25">
      <c r="A1001" s="1196"/>
      <c r="B1001" s="1197"/>
      <c r="C1001" s="1198" t="s">
        <v>10</v>
      </c>
      <c r="D1001" s="1199"/>
      <c r="E1001" s="211" t="s">
        <v>1495</v>
      </c>
      <c r="F1001" s="1200">
        <v>151398.1</v>
      </c>
      <c r="G1001" s="1200">
        <v>305774.3</v>
      </c>
      <c r="H1001" s="1200">
        <f>91069+2151.8</f>
        <v>93220.800000000003</v>
      </c>
      <c r="I1001" s="1200">
        <v>100341.682</v>
      </c>
      <c r="J1001" s="1200">
        <v>101345.09882</v>
      </c>
      <c r="K1001" s="211" t="s">
        <v>1496</v>
      </c>
      <c r="L1001" s="211" t="s">
        <v>1497</v>
      </c>
      <c r="M1001" s="211">
        <v>17</v>
      </c>
      <c r="N1001" s="1195">
        <v>17</v>
      </c>
      <c r="O1001" s="1195">
        <v>18</v>
      </c>
      <c r="P1001" s="1195">
        <v>18</v>
      </c>
      <c r="Q1001" s="1195">
        <v>20</v>
      </c>
    </row>
    <row r="1002" spans="1:17" x14ac:dyDescent="0.25">
      <c r="A1002" s="2304"/>
      <c r="B1002" s="1192"/>
      <c r="C1002" s="2153" t="s">
        <v>12</v>
      </c>
      <c r="D1002" s="2153"/>
      <c r="E1002" s="2157" t="s">
        <v>1498</v>
      </c>
      <c r="F1002" s="1938">
        <v>68841.600000000006</v>
      </c>
      <c r="G1002" s="1938">
        <v>51342.400000000001</v>
      </c>
      <c r="H1002" s="1938">
        <f>109528.4+2072</f>
        <v>111600.4</v>
      </c>
      <c r="I1002" s="1938">
        <v>57077.524000000005</v>
      </c>
      <c r="J1002" s="1938">
        <v>57648.299240000008</v>
      </c>
      <c r="K1002" s="211" t="s">
        <v>421</v>
      </c>
      <c r="L1002" s="211" t="s">
        <v>465</v>
      </c>
      <c r="M1002" s="211">
        <v>4</v>
      </c>
      <c r="N1002" s="1195">
        <v>3</v>
      </c>
      <c r="O1002" s="1195">
        <v>3</v>
      </c>
      <c r="P1002" s="1195">
        <v>3</v>
      </c>
      <c r="Q1002" s="1195">
        <v>3</v>
      </c>
    </row>
    <row r="1003" spans="1:17" ht="30" x14ac:dyDescent="0.25">
      <c r="A1003" s="2313"/>
      <c r="B1003" s="1201"/>
      <c r="C1003" s="2154"/>
      <c r="D1003" s="2154"/>
      <c r="E1003" s="2158"/>
      <c r="F1003" s="1939"/>
      <c r="G1003" s="1939"/>
      <c r="H1003" s="1939"/>
      <c r="I1003" s="1939"/>
      <c r="J1003" s="1939"/>
      <c r="K1003" s="211" t="s">
        <v>1499</v>
      </c>
      <c r="L1003" s="211" t="s">
        <v>465</v>
      </c>
      <c r="M1003" s="211">
        <v>1</v>
      </c>
      <c r="N1003" s="1195">
        <v>1</v>
      </c>
      <c r="O1003" s="1195">
        <v>1</v>
      </c>
      <c r="P1003" s="1195">
        <v>1</v>
      </c>
      <c r="Q1003" s="1195">
        <v>1</v>
      </c>
    </row>
    <row r="1004" spans="1:17" x14ac:dyDescent="0.25">
      <c r="A1004" s="2304">
        <v>44</v>
      </c>
      <c r="B1004" s="2297">
        <v>3</v>
      </c>
      <c r="C1004" s="2153"/>
      <c r="D1004" s="2306"/>
      <c r="E1004" s="2316" t="s">
        <v>2891</v>
      </c>
      <c r="F1004" s="2310">
        <v>405637.5</v>
      </c>
      <c r="G1004" s="2310">
        <v>454043.7</v>
      </c>
      <c r="H1004" s="2310">
        <f>SUM(H1006:H1009)</f>
        <v>779591.8</v>
      </c>
      <c r="I1004" s="2310">
        <v>458584.13699999999</v>
      </c>
      <c r="J1004" s="2310">
        <v>463169.97837000003</v>
      </c>
      <c r="K1004" s="1855"/>
      <c r="L1004" s="1993"/>
      <c r="M1004" s="1855"/>
      <c r="N1004" s="1934"/>
      <c r="O1004" s="1934"/>
      <c r="P1004" s="1934"/>
      <c r="Q1004" s="1934"/>
    </row>
    <row r="1005" spans="1:17" ht="82.5" customHeight="1" x14ac:dyDescent="0.25">
      <c r="A1005" s="2313"/>
      <c r="B1005" s="2298"/>
      <c r="C1005" s="2154"/>
      <c r="D1005" s="2314"/>
      <c r="E1005" s="2316"/>
      <c r="F1005" s="2310"/>
      <c r="G1005" s="2310"/>
      <c r="H1005" s="2310"/>
      <c r="I1005" s="2310"/>
      <c r="J1005" s="2310"/>
      <c r="K1005" s="1856"/>
      <c r="L1005" s="2312"/>
      <c r="M1005" s="1856"/>
      <c r="N1005" s="1935"/>
      <c r="O1005" s="1935"/>
      <c r="P1005" s="1935"/>
      <c r="Q1005" s="1935"/>
    </row>
    <row r="1006" spans="1:17" x14ac:dyDescent="0.25">
      <c r="A1006" s="2304"/>
      <c r="B1006" s="1192"/>
      <c r="C1006" s="2153" t="s">
        <v>6</v>
      </c>
      <c r="D1006" s="2306"/>
      <c r="E1006" s="2315" t="s">
        <v>1500</v>
      </c>
      <c r="F1006" s="2159">
        <v>390001.3</v>
      </c>
      <c r="G1006" s="2159">
        <v>435127.9</v>
      </c>
      <c r="H1006" s="2159">
        <f>706636.8+57219.1</f>
        <v>763855.9</v>
      </c>
      <c r="I1006" s="2159">
        <v>439310.00400000002</v>
      </c>
      <c r="J1006" s="1938">
        <v>443703.10404000001</v>
      </c>
      <c r="K1006" s="211" t="s">
        <v>1501</v>
      </c>
      <c r="L1006" s="211" t="s">
        <v>465</v>
      </c>
      <c r="M1006" s="211">
        <v>2</v>
      </c>
      <c r="N1006" s="1195">
        <v>2</v>
      </c>
      <c r="O1006" s="1195">
        <v>2</v>
      </c>
      <c r="P1006" s="1195">
        <v>2</v>
      </c>
      <c r="Q1006" s="1195">
        <v>2</v>
      </c>
    </row>
    <row r="1007" spans="1:17" x14ac:dyDescent="0.25">
      <c r="A1007" s="2313"/>
      <c r="B1007" s="1201"/>
      <c r="C1007" s="2154"/>
      <c r="D1007" s="2314"/>
      <c r="E1007" s="2315"/>
      <c r="F1007" s="2159"/>
      <c r="G1007" s="2159"/>
      <c r="H1007" s="2159"/>
      <c r="I1007" s="2159"/>
      <c r="J1007" s="1939"/>
      <c r="K1007" s="211" t="s">
        <v>1502</v>
      </c>
      <c r="L1007" s="211" t="s">
        <v>465</v>
      </c>
      <c r="M1007" s="211">
        <v>6</v>
      </c>
      <c r="N1007" s="1195">
        <v>6</v>
      </c>
      <c r="O1007" s="1195">
        <v>8</v>
      </c>
      <c r="P1007" s="1195">
        <v>8</v>
      </c>
      <c r="Q1007" s="1195">
        <v>8</v>
      </c>
    </row>
    <row r="1008" spans="1:17" x14ac:dyDescent="0.25">
      <c r="A1008" s="2304"/>
      <c r="B1008" s="1192"/>
      <c r="C1008" s="2153" t="s">
        <v>8</v>
      </c>
      <c r="D1008" s="2306"/>
      <c r="E1008" s="2315" t="s">
        <v>1503</v>
      </c>
      <c r="F1008" s="2159">
        <v>15636.2</v>
      </c>
      <c r="G1008" s="2159">
        <v>18915.8</v>
      </c>
      <c r="H1008" s="2159">
        <f>15395.1+340.8</f>
        <v>15735.9</v>
      </c>
      <c r="I1008" s="2159">
        <v>19274.132999999998</v>
      </c>
      <c r="J1008" s="2159">
        <v>19466.874329999999</v>
      </c>
      <c r="K1008" s="211" t="s">
        <v>1504</v>
      </c>
      <c r="L1008" s="211" t="s">
        <v>1493</v>
      </c>
      <c r="M1008" s="211">
        <v>1294.0999999999999</v>
      </c>
      <c r="N1008" s="212">
        <v>1360</v>
      </c>
      <c r="O1008" s="212">
        <v>1400</v>
      </c>
      <c r="P1008" s="212">
        <v>1400</v>
      </c>
      <c r="Q1008" s="212">
        <v>1400</v>
      </c>
    </row>
    <row r="1009" spans="1:17" x14ac:dyDescent="0.25">
      <c r="A1009" s="2313"/>
      <c r="B1009" s="1201"/>
      <c r="C1009" s="2154"/>
      <c r="D1009" s="2314"/>
      <c r="E1009" s="2315"/>
      <c r="F1009" s="2159"/>
      <c r="G1009" s="2159"/>
      <c r="H1009" s="2159"/>
      <c r="I1009" s="2159"/>
      <c r="J1009" s="2159"/>
      <c r="K1009" s="211" t="s">
        <v>1505</v>
      </c>
      <c r="L1009" s="211" t="s">
        <v>465</v>
      </c>
      <c r="M1009" s="211">
        <v>1</v>
      </c>
      <c r="N1009" s="1195">
        <v>2</v>
      </c>
      <c r="O1009" s="1195">
        <v>3</v>
      </c>
      <c r="P1009" s="1195">
        <v>3</v>
      </c>
      <c r="Q1009" s="1195">
        <v>3</v>
      </c>
    </row>
    <row r="1010" spans="1:17" x14ac:dyDescent="0.25">
      <c r="A1010" s="2304">
        <v>44</v>
      </c>
      <c r="B1010" s="2297">
        <v>4</v>
      </c>
      <c r="C1010" s="2153"/>
      <c r="D1010" s="2306"/>
      <c r="E1010" s="2308" t="s">
        <v>2890</v>
      </c>
      <c r="F1010" s="2310">
        <v>544947.69999999995</v>
      </c>
      <c r="G1010" s="2310">
        <v>635290.5</v>
      </c>
      <c r="H1010" s="2310">
        <f>SUM(H1012:H1015)</f>
        <v>691731.79999999993</v>
      </c>
      <c r="I1010" s="2310">
        <v>641643.40499999991</v>
      </c>
      <c r="J1010" s="2310">
        <v>648059.83904999995</v>
      </c>
      <c r="K1010" s="1855"/>
      <c r="L1010" s="1855"/>
      <c r="M1010" s="1855"/>
      <c r="N1010" s="1938"/>
      <c r="O1010" s="1938"/>
      <c r="P1010" s="1938"/>
      <c r="Q1010" s="1938"/>
    </row>
    <row r="1011" spans="1:17" ht="72" customHeight="1" x14ac:dyDescent="0.25">
      <c r="A1011" s="2305"/>
      <c r="B1011" s="2298"/>
      <c r="C1011" s="2302"/>
      <c r="D1011" s="2307"/>
      <c r="E1011" s="2309"/>
      <c r="F1011" s="2311"/>
      <c r="G1011" s="2311"/>
      <c r="H1011" s="2311"/>
      <c r="I1011" s="2311"/>
      <c r="J1011" s="2311"/>
      <c r="K1011" s="1856"/>
      <c r="L1011" s="1856"/>
      <c r="M1011" s="1856"/>
      <c r="N1011" s="1939"/>
      <c r="O1011" s="1939"/>
      <c r="P1011" s="1939"/>
      <c r="Q1011" s="1939"/>
    </row>
    <row r="1012" spans="1:17" ht="60" x14ac:dyDescent="0.25">
      <c r="A1012" s="1196"/>
      <c r="B1012" s="1197"/>
      <c r="C1012" s="1198" t="s">
        <v>6</v>
      </c>
      <c r="D1012" s="1199"/>
      <c r="E1012" s="211" t="s">
        <v>1506</v>
      </c>
      <c r="F1012" s="700">
        <v>279852.09999999998</v>
      </c>
      <c r="G1012" s="700">
        <v>329132.5</v>
      </c>
      <c r="H1012" s="700">
        <f>304383.3+37560.8</f>
        <v>341944.1</v>
      </c>
      <c r="I1012" s="700">
        <v>363094.09099999996</v>
      </c>
      <c r="J1012" s="700">
        <v>366725.03190999996</v>
      </c>
      <c r="K1012" s="211" t="s">
        <v>1507</v>
      </c>
      <c r="L1012" s="211" t="s">
        <v>182</v>
      </c>
      <c r="M1012" s="211">
        <v>50</v>
      </c>
      <c r="N1012" s="212">
        <v>60</v>
      </c>
      <c r="O1012" s="212">
        <v>60</v>
      </c>
      <c r="P1012" s="212">
        <v>60</v>
      </c>
      <c r="Q1012" s="212">
        <v>60</v>
      </c>
    </row>
    <row r="1013" spans="1:17" ht="45" x14ac:dyDescent="0.25">
      <c r="A1013" s="1203"/>
      <c r="B1013" s="1204"/>
      <c r="C1013" s="1205" t="s">
        <v>8</v>
      </c>
      <c r="D1013" s="1206"/>
      <c r="E1013" s="1207" t="s">
        <v>1508</v>
      </c>
      <c r="F1013" s="1938">
        <v>255604.5</v>
      </c>
      <c r="G1013" s="1938">
        <v>292561.2</v>
      </c>
      <c r="H1013" s="1938">
        <f>307778.1+26203.2</f>
        <v>333981.3</v>
      </c>
      <c r="I1013" s="1938">
        <v>265532.13099999999</v>
      </c>
      <c r="J1013" s="1938">
        <v>268187.45231000002</v>
      </c>
      <c r="K1013" s="211" t="s">
        <v>1509</v>
      </c>
      <c r="L1013" s="211" t="s">
        <v>182</v>
      </c>
      <c r="M1013" s="211">
        <v>90</v>
      </c>
      <c r="N1013" s="212">
        <v>90</v>
      </c>
      <c r="O1013" s="212">
        <v>100</v>
      </c>
      <c r="P1013" s="212">
        <v>100</v>
      </c>
      <c r="Q1013" s="212">
        <v>100</v>
      </c>
    </row>
    <row r="1014" spans="1:17" ht="30" x14ac:dyDescent="0.25">
      <c r="A1014" s="1203"/>
      <c r="B1014" s="1204"/>
      <c r="C1014" s="1205"/>
      <c r="D1014" s="1206"/>
      <c r="E1014" s="1207"/>
      <c r="F1014" s="1939"/>
      <c r="G1014" s="1939"/>
      <c r="H1014" s="1939"/>
      <c r="I1014" s="1939"/>
      <c r="J1014" s="1939"/>
      <c r="K1014" s="211" t="s">
        <v>1510</v>
      </c>
      <c r="L1014" s="211" t="s">
        <v>225</v>
      </c>
      <c r="M1014" s="211">
        <v>9021</v>
      </c>
      <c r="N1014" s="1195">
        <v>9021</v>
      </c>
      <c r="O1014" s="1195">
        <v>9021</v>
      </c>
      <c r="P1014" s="1195">
        <v>9021</v>
      </c>
      <c r="Q1014" s="1195">
        <v>9021</v>
      </c>
    </row>
    <row r="1015" spans="1:17" ht="30" x14ac:dyDescent="0.25">
      <c r="A1015" s="1196"/>
      <c r="B1015" s="1197"/>
      <c r="C1015" s="1198" t="s">
        <v>10</v>
      </c>
      <c r="D1015" s="1199"/>
      <c r="E1015" s="211" t="s">
        <v>1511</v>
      </c>
      <c r="F1015" s="700">
        <v>9491.1</v>
      </c>
      <c r="G1015" s="700">
        <v>13596.8</v>
      </c>
      <c r="H1015" s="700">
        <f>10265.8+5540.6</f>
        <v>15806.4</v>
      </c>
      <c r="I1015" s="700">
        <v>13017.182999999999</v>
      </c>
      <c r="J1015" s="700">
        <v>13147.354829999998</v>
      </c>
      <c r="K1015" s="211" t="s">
        <v>1512</v>
      </c>
      <c r="L1015" s="211" t="s">
        <v>225</v>
      </c>
      <c r="M1015" s="211">
        <v>215</v>
      </c>
      <c r="N1015" s="1195">
        <v>215</v>
      </c>
      <c r="O1015" s="1195">
        <v>215</v>
      </c>
      <c r="P1015" s="1195">
        <v>215</v>
      </c>
      <c r="Q1015" s="1195">
        <v>215</v>
      </c>
    </row>
    <row r="1016" spans="1:17" ht="88.5" x14ac:dyDescent="0.25">
      <c r="A1016" s="1203">
        <v>44</v>
      </c>
      <c r="B1016" s="1204">
        <v>5</v>
      </c>
      <c r="C1016" s="1205"/>
      <c r="D1016" s="1206"/>
      <c r="E1016" s="1208" t="s">
        <v>2892</v>
      </c>
      <c r="F1016" s="1209">
        <v>53413.9</v>
      </c>
      <c r="G1016" s="1209">
        <v>102776.1</v>
      </c>
      <c r="H1016" s="1209">
        <f>SUM(H1017:H1020)</f>
        <v>76220.100000000006</v>
      </c>
      <c r="I1016" s="1210">
        <v>70322.361000000004</v>
      </c>
      <c r="J1016" s="1210">
        <v>71025.584610000005</v>
      </c>
      <c r="K1016" s="1207"/>
      <c r="L1016" s="211"/>
      <c r="M1016" s="211"/>
      <c r="N1016" s="212"/>
      <c r="O1016" s="212"/>
      <c r="P1016" s="212"/>
      <c r="Q1016" s="212"/>
    </row>
    <row r="1017" spans="1:17" ht="30" x14ac:dyDescent="0.25">
      <c r="A1017" s="1196"/>
      <c r="B1017" s="1197"/>
      <c r="C1017" s="1198" t="s">
        <v>6</v>
      </c>
      <c r="D1017" s="1199"/>
      <c r="E1017" s="211" t="s">
        <v>1513</v>
      </c>
      <c r="F1017" s="700">
        <v>21256.3</v>
      </c>
      <c r="G1017" s="700">
        <v>20514</v>
      </c>
      <c r="H1017" s="700">
        <f>20514+4100.2</f>
        <v>24614.2</v>
      </c>
      <c r="I1017" s="700">
        <v>20719.240999999998</v>
      </c>
      <c r="J1017" s="700">
        <v>20926.433409999998</v>
      </c>
      <c r="K1017" s="211" t="s">
        <v>421</v>
      </c>
      <c r="L1017" s="211" t="s">
        <v>465</v>
      </c>
      <c r="M1017" s="211">
        <v>2</v>
      </c>
      <c r="N1017" s="1195">
        <v>4</v>
      </c>
      <c r="O1017" s="1195">
        <v>4</v>
      </c>
      <c r="P1017" s="1195">
        <v>4</v>
      </c>
      <c r="Q1017" s="1195">
        <v>5</v>
      </c>
    </row>
    <row r="1018" spans="1:17" x14ac:dyDescent="0.25">
      <c r="A1018" s="1196"/>
      <c r="B1018" s="2297"/>
      <c r="C1018" s="2153" t="s">
        <v>8</v>
      </c>
      <c r="D1018" s="2153"/>
      <c r="E1018" s="2157" t="s">
        <v>1514</v>
      </c>
      <c r="F1018" s="2299">
        <v>14571.6</v>
      </c>
      <c r="G1018" s="2299">
        <v>55348.7</v>
      </c>
      <c r="H1018" s="2299">
        <f>20756.7+6927.6</f>
        <v>27684.300000000003</v>
      </c>
      <c r="I1018" s="1938">
        <v>22420.788</v>
      </c>
      <c r="J1018" s="1938">
        <v>22644.995880000002</v>
      </c>
      <c r="K1018" s="211" t="s">
        <v>1515</v>
      </c>
      <c r="L1018" s="211" t="s">
        <v>465</v>
      </c>
      <c r="M1018" s="211">
        <v>5</v>
      </c>
      <c r="N1018" s="1195">
        <v>7</v>
      </c>
      <c r="O1018" s="1195">
        <v>7</v>
      </c>
      <c r="P1018" s="1195">
        <v>8</v>
      </c>
      <c r="Q1018" s="1195">
        <v>8</v>
      </c>
    </row>
    <row r="1019" spans="1:17" ht="30" x14ac:dyDescent="0.25">
      <c r="A1019" s="1211"/>
      <c r="B1019" s="2298"/>
      <c r="C1019" s="2154"/>
      <c r="D1019" s="2154"/>
      <c r="E1019" s="2158"/>
      <c r="F1019" s="2300"/>
      <c r="G1019" s="2300"/>
      <c r="H1019" s="2300"/>
      <c r="I1019" s="1939"/>
      <c r="J1019" s="1939"/>
      <c r="K1019" s="240" t="s">
        <v>1516</v>
      </c>
      <c r="L1019" s="211" t="s">
        <v>465</v>
      </c>
      <c r="M1019" s="211">
        <v>0</v>
      </c>
      <c r="N1019" s="212">
        <v>1</v>
      </c>
      <c r="O1019" s="212">
        <v>1</v>
      </c>
      <c r="P1019" s="212">
        <v>2</v>
      </c>
      <c r="Q1019" s="212">
        <v>2</v>
      </c>
    </row>
    <row r="1020" spans="1:17" ht="30" x14ac:dyDescent="0.25">
      <c r="A1020" s="1196"/>
      <c r="B1020" s="2297"/>
      <c r="C1020" s="2153" t="s">
        <v>10</v>
      </c>
      <c r="D1020" s="2153"/>
      <c r="E1020" s="2157" t="s">
        <v>1517</v>
      </c>
      <c r="F1020" s="1938">
        <v>17586</v>
      </c>
      <c r="G1020" s="1938">
        <v>26913.4</v>
      </c>
      <c r="H1020" s="1938">
        <f>17235.4+6686.2</f>
        <v>23921.600000000002</v>
      </c>
      <c r="I1020" s="1938">
        <v>27182.332000000002</v>
      </c>
      <c r="J1020" s="1938">
        <v>27454.155320000002</v>
      </c>
      <c r="K1020" s="908" t="s">
        <v>1518</v>
      </c>
      <c r="L1020" s="211" t="s">
        <v>182</v>
      </c>
      <c r="M1020" s="211">
        <v>19</v>
      </c>
      <c r="N1020" s="212">
        <v>20</v>
      </c>
      <c r="O1020" s="212">
        <v>24</v>
      </c>
      <c r="P1020" s="212">
        <v>27</v>
      </c>
      <c r="Q1020" s="212">
        <v>30</v>
      </c>
    </row>
    <row r="1021" spans="1:17" ht="30" x14ac:dyDescent="0.25">
      <c r="A1021" s="1196"/>
      <c r="B1021" s="2301"/>
      <c r="C1021" s="2302"/>
      <c r="D1021" s="2302"/>
      <c r="E1021" s="2303"/>
      <c r="F1021" s="1970"/>
      <c r="G1021" s="1970"/>
      <c r="H1021" s="1970"/>
      <c r="I1021" s="1970"/>
      <c r="J1021" s="1970"/>
      <c r="K1021" s="211" t="s">
        <v>1519</v>
      </c>
      <c r="L1021" s="211" t="s">
        <v>465</v>
      </c>
      <c r="M1021" s="211">
        <v>2076</v>
      </c>
      <c r="N1021" s="212">
        <v>2300</v>
      </c>
      <c r="O1021" s="212">
        <v>2500</v>
      </c>
      <c r="P1021" s="212">
        <v>2700</v>
      </c>
      <c r="Q1021" s="212">
        <v>2300</v>
      </c>
    </row>
    <row r="1022" spans="1:17" x14ac:dyDescent="0.25">
      <c r="A1022" s="1196"/>
      <c r="B1022" s="2298"/>
      <c r="C1022" s="2154"/>
      <c r="D1022" s="2154"/>
      <c r="E1022" s="2158"/>
      <c r="F1022" s="1939"/>
      <c r="G1022" s="1939"/>
      <c r="H1022" s="1939"/>
      <c r="I1022" s="1939"/>
      <c r="J1022" s="1939"/>
      <c r="K1022" s="211" t="s">
        <v>1520</v>
      </c>
      <c r="L1022" s="211" t="s">
        <v>420</v>
      </c>
      <c r="M1022" s="211">
        <v>4174</v>
      </c>
      <c r="N1022" s="212">
        <v>4500</v>
      </c>
      <c r="O1022" s="212">
        <v>4700</v>
      </c>
      <c r="P1022" s="212">
        <v>4900</v>
      </c>
      <c r="Q1022" s="212">
        <v>5000</v>
      </c>
    </row>
    <row r="1023" spans="1:17" ht="60" x14ac:dyDescent="0.25">
      <c r="A1023" s="1203">
        <v>44</v>
      </c>
      <c r="B1023" s="1197">
        <v>6</v>
      </c>
      <c r="C1023" s="1198"/>
      <c r="D1023" s="1199"/>
      <c r="E1023" s="211" t="s">
        <v>2893</v>
      </c>
      <c r="F1023" s="1212">
        <v>7632.3</v>
      </c>
      <c r="G1023" s="1212">
        <v>7793.4</v>
      </c>
      <c r="H1023" s="1212">
        <f>SUM(H1024:H1026)</f>
        <v>59564.299999999996</v>
      </c>
      <c r="I1023" s="1212">
        <v>8513.5930000000008</v>
      </c>
      <c r="J1023" s="1212">
        <v>8598.7289300000011</v>
      </c>
      <c r="K1023" s="211"/>
      <c r="L1023" s="211"/>
      <c r="M1023" s="211"/>
      <c r="N1023" s="212"/>
      <c r="O1023" s="212"/>
      <c r="P1023" s="212"/>
      <c r="Q1023" s="212"/>
    </row>
    <row r="1024" spans="1:17" ht="45" x14ac:dyDescent="0.25">
      <c r="A1024" s="1196"/>
      <c r="B1024" s="1197"/>
      <c r="C1024" s="1198" t="s">
        <v>6</v>
      </c>
      <c r="D1024" s="1199"/>
      <c r="E1024" s="211" t="s">
        <v>1521</v>
      </c>
      <c r="F1024" s="700">
        <v>4132.3</v>
      </c>
      <c r="G1024" s="700">
        <v>3675</v>
      </c>
      <c r="H1024" s="700">
        <v>5952.6</v>
      </c>
      <c r="I1024" s="700">
        <v>4728.3149999999996</v>
      </c>
      <c r="J1024" s="700">
        <v>4775.5981499999998</v>
      </c>
      <c r="K1024" s="211" t="s">
        <v>1522</v>
      </c>
      <c r="L1024" s="211" t="s">
        <v>465</v>
      </c>
      <c r="M1024" s="211">
        <v>8</v>
      </c>
      <c r="N1024" s="212">
        <v>8</v>
      </c>
      <c r="O1024" s="212">
        <v>8</v>
      </c>
      <c r="P1024" s="212">
        <v>8</v>
      </c>
      <c r="Q1024" s="212">
        <v>8</v>
      </c>
    </row>
    <row r="1025" spans="1:17" ht="30" x14ac:dyDescent="0.25">
      <c r="A1025" s="1203"/>
      <c r="B1025" s="1204"/>
      <c r="C1025" s="2153" t="s">
        <v>8</v>
      </c>
      <c r="D1025" s="2153"/>
      <c r="E1025" s="2157" t="s">
        <v>1523</v>
      </c>
      <c r="F1025" s="1938">
        <v>3500</v>
      </c>
      <c r="G1025" s="1938">
        <v>4118.3999999999996</v>
      </c>
      <c r="H1025" s="1938">
        <v>53611.7</v>
      </c>
      <c r="I1025" s="1938">
        <v>3785.2780000000002</v>
      </c>
      <c r="J1025" s="1938">
        <v>3823.1307800000004</v>
      </c>
      <c r="K1025" s="1207" t="s">
        <v>1524</v>
      </c>
      <c r="L1025" s="211" t="s">
        <v>465</v>
      </c>
      <c r="M1025" s="211">
        <v>5</v>
      </c>
      <c r="N1025" s="212">
        <v>5</v>
      </c>
      <c r="O1025" s="212">
        <v>5</v>
      </c>
      <c r="P1025" s="212">
        <v>5</v>
      </c>
      <c r="Q1025" s="212">
        <v>5</v>
      </c>
    </row>
    <row r="1026" spans="1:17" ht="45" x14ac:dyDescent="0.25">
      <c r="A1026" s="1203"/>
      <c r="B1026" s="1204"/>
      <c r="C1026" s="2154"/>
      <c r="D1026" s="2154"/>
      <c r="E1026" s="2158"/>
      <c r="F1026" s="1939"/>
      <c r="G1026" s="1939"/>
      <c r="H1026" s="1939"/>
      <c r="I1026" s="1939"/>
      <c r="J1026" s="1939"/>
      <c r="K1026" s="211" t="s">
        <v>1525</v>
      </c>
      <c r="L1026" s="211" t="s">
        <v>1526</v>
      </c>
      <c r="M1026" s="211">
        <v>3065.7</v>
      </c>
      <c r="N1026" s="212">
        <v>3372.7</v>
      </c>
      <c r="O1026" s="212">
        <v>3473.4</v>
      </c>
      <c r="P1026" s="212">
        <v>3577.6</v>
      </c>
      <c r="Q1026" s="212">
        <v>3935.4</v>
      </c>
    </row>
    <row r="1027" spans="1:17" ht="55.5" customHeight="1" x14ac:dyDescent="0.25">
      <c r="A1027" s="1196">
        <v>44</v>
      </c>
      <c r="B1027" s="1197">
        <v>7</v>
      </c>
      <c r="C1027" s="1198"/>
      <c r="D1027" s="1199"/>
      <c r="E1027" s="1163" t="s">
        <v>1527</v>
      </c>
      <c r="F1027" s="1212">
        <v>366427.6</v>
      </c>
      <c r="G1027" s="1212">
        <v>383875</v>
      </c>
      <c r="H1027" s="1212">
        <f>SUM(H1028:H1031)</f>
        <v>428406.10000000003</v>
      </c>
      <c r="I1027" s="1212">
        <v>387713.75</v>
      </c>
      <c r="J1027" s="1212">
        <v>391590.88750000001</v>
      </c>
      <c r="K1027" s="211"/>
      <c r="L1027" s="211"/>
      <c r="M1027" s="211"/>
      <c r="N1027" s="212"/>
      <c r="O1027" s="212"/>
      <c r="P1027" s="212"/>
      <c r="Q1027" s="212"/>
    </row>
    <row r="1028" spans="1:17" x14ac:dyDescent="0.25">
      <c r="A1028" s="1196"/>
      <c r="B1028" s="2297"/>
      <c r="C1028" s="2153" t="s">
        <v>6</v>
      </c>
      <c r="D1028" s="2153"/>
      <c r="E1028" s="2157" t="s">
        <v>1528</v>
      </c>
      <c r="F1028" s="1938">
        <v>4538.5</v>
      </c>
      <c r="G1028" s="1938">
        <v>4876</v>
      </c>
      <c r="H1028" s="1938">
        <v>10334.5</v>
      </c>
      <c r="I1028" s="1938">
        <v>4924.76</v>
      </c>
      <c r="J1028" s="1938">
        <v>4974.0075999999999</v>
      </c>
      <c r="K1028" s="1157" t="s">
        <v>1484</v>
      </c>
      <c r="L1028" s="211" t="s">
        <v>189</v>
      </c>
      <c r="M1028" s="211">
        <v>4</v>
      </c>
      <c r="N1028" s="212">
        <v>3</v>
      </c>
      <c r="O1028" s="212">
        <v>3</v>
      </c>
      <c r="P1028" s="212">
        <v>3</v>
      </c>
      <c r="Q1028" s="212">
        <v>3</v>
      </c>
    </row>
    <row r="1029" spans="1:17" ht="30" x14ac:dyDescent="0.25">
      <c r="A1029" s="1196"/>
      <c r="B1029" s="2298"/>
      <c r="C1029" s="2154"/>
      <c r="D1029" s="2154"/>
      <c r="E1029" s="2158"/>
      <c r="F1029" s="1939"/>
      <c r="G1029" s="1939"/>
      <c r="H1029" s="1939"/>
      <c r="I1029" s="1939"/>
      <c r="J1029" s="1939"/>
      <c r="K1029" s="211" t="s">
        <v>1529</v>
      </c>
      <c r="L1029" s="211" t="s">
        <v>182</v>
      </c>
      <c r="M1029" s="211">
        <v>1</v>
      </c>
      <c r="N1029" s="212">
        <v>2</v>
      </c>
      <c r="O1029" s="212">
        <v>5</v>
      </c>
      <c r="P1029" s="212">
        <v>7</v>
      </c>
      <c r="Q1029" s="212">
        <v>9</v>
      </c>
    </row>
    <row r="1030" spans="1:17" ht="30" x14ac:dyDescent="0.25">
      <c r="A1030" s="1196"/>
      <c r="B1030" s="1197"/>
      <c r="C1030" s="1198" t="s">
        <v>8</v>
      </c>
      <c r="D1030" s="1199"/>
      <c r="E1030" s="211" t="s">
        <v>1530</v>
      </c>
      <c r="F1030" s="700">
        <v>64934.400000000001</v>
      </c>
      <c r="G1030" s="700">
        <v>72637.600000000006</v>
      </c>
      <c r="H1030" s="700">
        <f>73135.4+745.3</f>
        <v>73880.7</v>
      </c>
      <c r="I1030" s="700">
        <v>70128.34</v>
      </c>
      <c r="J1030" s="700">
        <v>70829.623399999997</v>
      </c>
      <c r="K1030" s="211" t="s">
        <v>1531</v>
      </c>
      <c r="L1030" s="211" t="s">
        <v>225</v>
      </c>
      <c r="M1030" s="211"/>
      <c r="N1030" s="212">
        <v>50</v>
      </c>
      <c r="O1030" s="212">
        <v>100</v>
      </c>
      <c r="P1030" s="212">
        <v>100</v>
      </c>
      <c r="Q1030" s="212">
        <v>100</v>
      </c>
    </row>
    <row r="1031" spans="1:17" ht="30" x14ac:dyDescent="0.25">
      <c r="A1031" s="1196"/>
      <c r="B1031" s="1197"/>
      <c r="C1031" s="1198" t="s">
        <v>10</v>
      </c>
      <c r="D1031" s="1199"/>
      <c r="E1031" s="211" t="s">
        <v>1532</v>
      </c>
      <c r="F1031" s="700">
        <v>296954.7</v>
      </c>
      <c r="G1031" s="700">
        <v>306361.40000000002</v>
      </c>
      <c r="H1031" s="700">
        <v>344190.9</v>
      </c>
      <c r="I1031" s="700">
        <v>312660.65000000002</v>
      </c>
      <c r="J1031" s="700">
        <v>315787.25650000002</v>
      </c>
      <c r="K1031" s="211" t="s">
        <v>1533</v>
      </c>
      <c r="L1031" s="211" t="s">
        <v>1534</v>
      </c>
      <c r="M1031" s="211">
        <v>0</v>
      </c>
      <c r="N1031" s="212">
        <v>200</v>
      </c>
      <c r="O1031" s="212">
        <v>200</v>
      </c>
      <c r="P1031" s="212">
        <v>200</v>
      </c>
      <c r="Q1031" s="212">
        <v>200</v>
      </c>
    </row>
    <row r="1032" spans="1:17" ht="33.75" customHeight="1" x14ac:dyDescent="0.25">
      <c r="A1032" s="1823" t="s">
        <v>1535</v>
      </c>
      <c r="B1032" s="1823"/>
      <c r="C1032" s="2287"/>
      <c r="D1032" s="2287"/>
      <c r="E1032" s="2287"/>
      <c r="F1032" s="80">
        <v>1837666.9</v>
      </c>
      <c r="G1032" s="80">
        <v>2229470.6</v>
      </c>
      <c r="H1032" s="80">
        <f>H983+H993+H1004+H1010+H1016+H1023+H1027</f>
        <v>2572952.1999999997</v>
      </c>
      <c r="I1032" s="80">
        <v>2022742.0489999999</v>
      </c>
      <c r="J1032" s="80">
        <v>2042969.46949</v>
      </c>
      <c r="K1032" s="1213"/>
      <c r="L1032" s="1214"/>
      <c r="M1032" s="1214"/>
      <c r="N1032" s="1214"/>
      <c r="O1032" s="1214"/>
      <c r="P1032" s="1215"/>
      <c r="Q1032" s="1214"/>
    </row>
    <row r="1033" spans="1:17" ht="32.25" customHeight="1" x14ac:dyDescent="0.25">
      <c r="A1033" s="2288" t="s">
        <v>1536</v>
      </c>
      <c r="B1033" s="2289"/>
      <c r="C1033" s="2289"/>
      <c r="D1033" s="2289"/>
      <c r="E1033" s="2289"/>
      <c r="F1033" s="2289"/>
      <c r="G1033" s="2289"/>
      <c r="H1033" s="2289"/>
      <c r="I1033" s="2289"/>
      <c r="J1033" s="2289"/>
      <c r="K1033" s="2289"/>
      <c r="L1033" s="2289"/>
      <c r="M1033" s="2289"/>
      <c r="N1033" s="2289"/>
      <c r="O1033" s="2289"/>
      <c r="P1033" s="2289"/>
      <c r="Q1033" s="2290"/>
    </row>
    <row r="1034" spans="1:17" x14ac:dyDescent="0.25">
      <c r="A1034" s="1826" t="s">
        <v>1537</v>
      </c>
      <c r="B1034" s="1827"/>
      <c r="C1034" s="1827"/>
      <c r="D1034" s="1827"/>
      <c r="E1034" s="1827"/>
      <c r="F1034" s="1827"/>
      <c r="G1034" s="1827"/>
      <c r="H1034" s="1827"/>
      <c r="I1034" s="1827"/>
      <c r="J1034" s="1827"/>
      <c r="K1034" s="1827"/>
      <c r="L1034" s="1827"/>
      <c r="M1034" s="1827"/>
      <c r="N1034" s="1827"/>
      <c r="O1034" s="1827"/>
      <c r="P1034" s="1827"/>
      <c r="Q1034" s="1828"/>
    </row>
    <row r="1035" spans="1:17" ht="42.75" x14ac:dyDescent="0.25">
      <c r="A1035" s="805">
        <v>44</v>
      </c>
      <c r="B1035" s="816">
        <v>8</v>
      </c>
      <c r="C1035" s="896"/>
      <c r="D1035" s="1216"/>
      <c r="E1035" s="998" t="s">
        <v>1538</v>
      </c>
      <c r="F1035" s="1217">
        <v>1084.2</v>
      </c>
      <c r="G1035" s="1217">
        <v>842.7</v>
      </c>
      <c r="H1035" s="1217">
        <f>H1036</f>
        <v>842.7</v>
      </c>
      <c r="I1035" s="1217">
        <v>810.2</v>
      </c>
      <c r="J1035" s="1217">
        <v>842.7</v>
      </c>
      <c r="K1035" s="1026" t="s">
        <v>185</v>
      </c>
      <c r="L1035" s="454" t="s">
        <v>182</v>
      </c>
      <c r="M1035" s="1022">
        <v>100</v>
      </c>
      <c r="N1035" s="1022">
        <v>100</v>
      </c>
      <c r="O1035" s="1022">
        <v>100</v>
      </c>
      <c r="P1035" s="1022">
        <v>100</v>
      </c>
      <c r="Q1035" s="1022">
        <v>100</v>
      </c>
    </row>
    <row r="1036" spans="1:17" ht="45" x14ac:dyDescent="0.25">
      <c r="A1036" s="577"/>
      <c r="B1036" s="324"/>
      <c r="C1036" s="896" t="s">
        <v>6</v>
      </c>
      <c r="D1036" s="1218"/>
      <c r="E1036" s="1000" t="s">
        <v>1539</v>
      </c>
      <c r="F1036" s="895">
        <v>1084.2</v>
      </c>
      <c r="G1036" s="895">
        <v>842.7</v>
      </c>
      <c r="H1036" s="895">
        <v>842.7</v>
      </c>
      <c r="I1036" s="895">
        <v>810.2</v>
      </c>
      <c r="J1036" s="895">
        <v>842.7</v>
      </c>
      <c r="K1036" s="901" t="s">
        <v>1540</v>
      </c>
      <c r="L1036" s="897" t="s">
        <v>182</v>
      </c>
      <c r="M1036" s="454">
        <v>100</v>
      </c>
      <c r="N1036" s="454">
        <v>100</v>
      </c>
      <c r="O1036" s="454">
        <v>100</v>
      </c>
      <c r="P1036" s="454">
        <v>100</v>
      </c>
      <c r="Q1036" s="454">
        <v>100</v>
      </c>
    </row>
    <row r="1037" spans="1:17" ht="45" x14ac:dyDescent="0.25">
      <c r="A1037" s="577"/>
      <c r="B1037" s="324"/>
      <c r="C1037" s="896" t="s">
        <v>8</v>
      </c>
      <c r="D1037" s="1218"/>
      <c r="E1037" s="1000" t="s">
        <v>1541</v>
      </c>
      <c r="F1037" s="1017"/>
      <c r="G1037" s="1017"/>
      <c r="H1037" s="1017"/>
      <c r="I1037" s="1017"/>
      <c r="J1037" s="1017"/>
      <c r="K1037" s="901" t="s">
        <v>1542</v>
      </c>
      <c r="L1037" s="897" t="s">
        <v>189</v>
      </c>
      <c r="M1037" s="454"/>
      <c r="N1037" s="454"/>
      <c r="O1037" s="454"/>
      <c r="P1037" s="454"/>
      <c r="Q1037" s="454">
        <v>3</v>
      </c>
    </row>
    <row r="1038" spans="1:17" x14ac:dyDescent="0.25">
      <c r="A1038" s="1876" t="s">
        <v>1543</v>
      </c>
      <c r="B1038" s="1876"/>
      <c r="C1038" s="1876"/>
      <c r="D1038" s="1876"/>
      <c r="E1038" s="1877"/>
      <c r="F1038" s="46">
        <v>1084.2</v>
      </c>
      <c r="G1038" s="46">
        <v>842.7</v>
      </c>
      <c r="H1038" s="46">
        <f>H1035</f>
        <v>842.7</v>
      </c>
      <c r="I1038" s="46">
        <v>810.2</v>
      </c>
      <c r="J1038" s="46">
        <v>842.7</v>
      </c>
      <c r="K1038" s="16"/>
      <c r="L1038" s="2291"/>
      <c r="M1038" s="2291"/>
      <c r="N1038" s="2291"/>
      <c r="O1038" s="2291"/>
      <c r="P1038" s="2291"/>
      <c r="Q1038" s="2291"/>
    </row>
    <row r="1039" spans="1:17" x14ac:dyDescent="0.25">
      <c r="A1039" s="1826" t="s">
        <v>1544</v>
      </c>
      <c r="B1039" s="1827"/>
      <c r="C1039" s="1827"/>
      <c r="D1039" s="1827"/>
      <c r="E1039" s="1827"/>
      <c r="F1039" s="1827"/>
      <c r="G1039" s="1827"/>
      <c r="H1039" s="1827"/>
      <c r="I1039" s="1827"/>
      <c r="J1039" s="1827"/>
      <c r="K1039" s="1827"/>
      <c r="L1039" s="1827"/>
      <c r="M1039" s="1827"/>
      <c r="N1039" s="1827"/>
      <c r="O1039" s="1827"/>
      <c r="P1039" s="1827"/>
      <c r="Q1039" s="1828"/>
    </row>
    <row r="1040" spans="1:17" ht="73.5" x14ac:dyDescent="0.25">
      <c r="A1040" s="792">
        <v>44</v>
      </c>
      <c r="B1040" s="507">
        <v>1</v>
      </c>
      <c r="C1040" s="525"/>
      <c r="D1040" s="5"/>
      <c r="E1040" s="1051" t="s">
        <v>810</v>
      </c>
      <c r="F1040" s="1219">
        <v>0</v>
      </c>
      <c r="G1040" s="1219">
        <v>0</v>
      </c>
      <c r="H1040" s="1219">
        <f>SUM(H1041:H1044)</f>
        <v>10380</v>
      </c>
      <c r="I1040" s="1219">
        <v>8447.4</v>
      </c>
      <c r="J1040" s="1219">
        <v>8447.4</v>
      </c>
      <c r="K1040" s="1036" t="s">
        <v>181</v>
      </c>
      <c r="L1040" s="20" t="s">
        <v>182</v>
      </c>
      <c r="M1040" s="20">
        <v>100</v>
      </c>
      <c r="N1040" s="20">
        <v>100</v>
      </c>
      <c r="O1040" s="20">
        <v>100</v>
      </c>
      <c r="P1040" s="20">
        <v>100</v>
      </c>
      <c r="Q1040" s="20">
        <v>100</v>
      </c>
    </row>
    <row r="1041" spans="1:17" x14ac:dyDescent="0.25">
      <c r="A1041" s="792"/>
      <c r="B1041" s="507"/>
      <c r="C1041" s="1012" t="s">
        <v>6</v>
      </c>
      <c r="D1041" s="2"/>
      <c r="E1041" s="21" t="s">
        <v>7</v>
      </c>
      <c r="F1041" s="1220"/>
      <c r="G1041" s="1220"/>
      <c r="H1041" s="35">
        <f>4811.5+60.3</f>
        <v>4871.8</v>
      </c>
      <c r="I1041" s="35">
        <v>2895</v>
      </c>
      <c r="J1041" s="35">
        <v>2895</v>
      </c>
      <c r="K1041" s="335" t="s">
        <v>183</v>
      </c>
      <c r="L1041" s="1029" t="s">
        <v>1545</v>
      </c>
      <c r="M1041" s="1029"/>
      <c r="N1041" s="1029"/>
      <c r="O1041" s="1029"/>
      <c r="P1041" s="1029"/>
      <c r="Q1041" s="1029"/>
    </row>
    <row r="1042" spans="1:17" x14ac:dyDescent="0.25">
      <c r="A1042" s="792"/>
      <c r="B1042" s="507"/>
      <c r="C1042" s="1012" t="s">
        <v>8</v>
      </c>
      <c r="D1042" s="2"/>
      <c r="E1042" s="21" t="s">
        <v>9</v>
      </c>
      <c r="F1042" s="1220"/>
      <c r="G1042" s="1220"/>
      <c r="H1042" s="35">
        <f>2323.5+17.7</f>
        <v>2341.1999999999998</v>
      </c>
      <c r="I1042" s="35">
        <v>1401</v>
      </c>
      <c r="J1042" s="35">
        <v>1401</v>
      </c>
      <c r="K1042" s="335" t="s">
        <v>185</v>
      </c>
      <c r="L1042" s="1029" t="s">
        <v>182</v>
      </c>
      <c r="M1042" s="1029">
        <v>100</v>
      </c>
      <c r="N1042" s="1029">
        <v>100</v>
      </c>
      <c r="O1042" s="1029">
        <v>100</v>
      </c>
      <c r="P1042" s="1029">
        <v>100</v>
      </c>
      <c r="Q1042" s="1029">
        <v>100</v>
      </c>
    </row>
    <row r="1043" spans="1:17" ht="30" x14ac:dyDescent="0.25">
      <c r="A1043" s="792"/>
      <c r="B1043" s="507"/>
      <c r="C1043" s="1012" t="s">
        <v>14</v>
      </c>
      <c r="D1043" s="2"/>
      <c r="E1043" s="1000" t="s">
        <v>15</v>
      </c>
      <c r="F1043" s="1220"/>
      <c r="G1043" s="1220"/>
      <c r="H1043" s="790"/>
      <c r="I1043" s="35">
        <v>100</v>
      </c>
      <c r="J1043" s="35">
        <v>100</v>
      </c>
      <c r="K1043" s="335" t="s">
        <v>188</v>
      </c>
      <c r="L1043" s="1029"/>
      <c r="M1043" s="1029"/>
      <c r="N1043" s="1029"/>
      <c r="O1043" s="1029"/>
      <c r="P1043" s="1029"/>
      <c r="Q1043" s="1029"/>
    </row>
    <row r="1044" spans="1:17" ht="30" x14ac:dyDescent="0.25">
      <c r="A1044" s="792"/>
      <c r="B1044" s="507"/>
      <c r="C1044" s="1012" t="s">
        <v>16</v>
      </c>
      <c r="D1044" s="2"/>
      <c r="E1044" s="998" t="s">
        <v>17</v>
      </c>
      <c r="F1044" s="1220"/>
      <c r="G1044" s="1220"/>
      <c r="H1044" s="35">
        <f>3145.7+21.3</f>
        <v>3167</v>
      </c>
      <c r="I1044" s="35">
        <v>4051.4</v>
      </c>
      <c r="J1044" s="35">
        <v>4051.4</v>
      </c>
      <c r="K1044" s="335" t="s">
        <v>190</v>
      </c>
      <c r="L1044" s="1029" t="s">
        <v>182</v>
      </c>
      <c r="M1044" s="1029"/>
      <c r="N1044" s="1029"/>
      <c r="O1044" s="1029"/>
      <c r="P1044" s="1029"/>
      <c r="Q1044" s="1029"/>
    </row>
    <row r="1045" spans="1:17" ht="126.75" customHeight="1" x14ac:dyDescent="0.25">
      <c r="A1045" s="805">
        <v>44</v>
      </c>
      <c r="B1045" s="816">
        <v>9</v>
      </c>
      <c r="C1045" s="896"/>
      <c r="D1045" s="325"/>
      <c r="E1045" s="1051" t="s">
        <v>1546</v>
      </c>
      <c r="F1045" s="717">
        <v>0</v>
      </c>
      <c r="G1045" s="717">
        <v>0</v>
      </c>
      <c r="H1045" s="717">
        <f>SUM(H1046:H1048)</f>
        <v>12027.5</v>
      </c>
      <c r="I1045" s="717">
        <v>15285.2</v>
      </c>
      <c r="J1045" s="717">
        <v>15285.2</v>
      </c>
      <c r="K1045" s="901" t="s">
        <v>1547</v>
      </c>
      <c r="L1045" s="897" t="s">
        <v>222</v>
      </c>
      <c r="M1045" s="898">
        <v>49500</v>
      </c>
      <c r="N1045" s="1221">
        <v>50500</v>
      </c>
      <c r="O1045" s="1221">
        <v>51000</v>
      </c>
      <c r="P1045" s="1221">
        <v>51500</v>
      </c>
      <c r="Q1045" s="1221">
        <v>52000</v>
      </c>
    </row>
    <row r="1046" spans="1:17" ht="45" x14ac:dyDescent="0.25">
      <c r="A1046" s="1222"/>
      <c r="B1046" s="1223"/>
      <c r="C1046" s="525" t="s">
        <v>6</v>
      </c>
      <c r="D1046" s="194"/>
      <c r="E1046" s="998" t="s">
        <v>1548</v>
      </c>
      <c r="F1046" s="1220"/>
      <c r="G1046" s="1220"/>
      <c r="H1046" s="895">
        <f>4766.3+35.5</f>
        <v>4801.8</v>
      </c>
      <c r="I1046" s="35">
        <v>7019.9</v>
      </c>
      <c r="J1046" s="35">
        <v>7019.9</v>
      </c>
      <c r="K1046" s="335" t="s">
        <v>1549</v>
      </c>
      <c r="L1046" s="1029" t="s">
        <v>1550</v>
      </c>
      <c r="M1046" s="1224">
        <v>11</v>
      </c>
      <c r="N1046" s="1225">
        <v>12</v>
      </c>
      <c r="O1046" s="1225">
        <v>12</v>
      </c>
      <c r="P1046" s="1225">
        <v>12</v>
      </c>
      <c r="Q1046" s="1225">
        <v>12</v>
      </c>
    </row>
    <row r="1047" spans="1:17" ht="30" x14ac:dyDescent="0.25">
      <c r="A1047" s="1222"/>
      <c r="B1047" s="1223"/>
      <c r="C1047" s="525" t="s">
        <v>8</v>
      </c>
      <c r="D1047" s="194"/>
      <c r="E1047" s="526" t="s">
        <v>1551</v>
      </c>
      <c r="F1047" s="1220"/>
      <c r="G1047" s="1220"/>
      <c r="H1047" s="35">
        <f>2702.2+297.8</f>
        <v>3000</v>
      </c>
      <c r="I1047" s="35">
        <v>4220.8</v>
      </c>
      <c r="J1047" s="35">
        <v>4220.8</v>
      </c>
      <c r="K1047" s="335" t="s">
        <v>1552</v>
      </c>
      <c r="L1047" s="1029" t="s">
        <v>222</v>
      </c>
      <c r="M1047" s="1224">
        <v>5000</v>
      </c>
      <c r="N1047" s="1226">
        <v>5100</v>
      </c>
      <c r="O1047" s="1226">
        <v>5200</v>
      </c>
      <c r="P1047" s="1226">
        <v>5300</v>
      </c>
      <c r="Q1047" s="1226">
        <v>5400</v>
      </c>
    </row>
    <row r="1048" spans="1:17" ht="30" x14ac:dyDescent="0.25">
      <c r="A1048" s="1039"/>
      <c r="B1048" s="1227"/>
      <c r="C1048" s="1037" t="s">
        <v>10</v>
      </c>
      <c r="D1048" s="1041"/>
      <c r="E1048" s="526" t="s">
        <v>1553</v>
      </c>
      <c r="F1048" s="1220"/>
      <c r="G1048" s="1220"/>
      <c r="H1048" s="35">
        <f>4197.3+28.4</f>
        <v>4225.7</v>
      </c>
      <c r="I1048" s="35">
        <v>4044.5000000000005</v>
      </c>
      <c r="J1048" s="35">
        <v>4044.5000000000005</v>
      </c>
      <c r="K1048" s="335" t="s">
        <v>1554</v>
      </c>
      <c r="L1048" s="1029" t="s">
        <v>225</v>
      </c>
      <c r="M1048" s="1224">
        <v>924000</v>
      </c>
      <c r="N1048" s="1225">
        <v>1056000</v>
      </c>
      <c r="O1048" s="1225">
        <v>1100000</v>
      </c>
      <c r="P1048" s="1225">
        <v>1188000</v>
      </c>
      <c r="Q1048" s="1225">
        <v>1320000</v>
      </c>
    </row>
    <row r="1049" spans="1:17" x14ac:dyDescent="0.25">
      <c r="A1049" s="1876" t="s">
        <v>1555</v>
      </c>
      <c r="B1049" s="1876"/>
      <c r="C1049" s="1876"/>
      <c r="D1049" s="1876"/>
      <c r="E1049" s="1877"/>
      <c r="F1049" s="46">
        <v>0</v>
      </c>
      <c r="G1049" s="46">
        <v>0</v>
      </c>
      <c r="H1049" s="46">
        <f>H1040+H1045</f>
        <v>22407.5</v>
      </c>
      <c r="I1049" s="46">
        <v>23732.6</v>
      </c>
      <c r="J1049" s="46">
        <v>23732.6</v>
      </c>
      <c r="K1049" s="791"/>
      <c r="L1049" s="2275"/>
      <c r="M1049" s="2275"/>
      <c r="N1049" s="2275"/>
      <c r="O1049" s="2275"/>
      <c r="P1049" s="2275"/>
      <c r="Q1049" s="2275"/>
    </row>
    <row r="1050" spans="1:17" x14ac:dyDescent="0.25">
      <c r="A1050" s="2292" t="s">
        <v>1556</v>
      </c>
      <c r="B1050" s="2292"/>
      <c r="C1050" s="2292"/>
      <c r="D1050" s="2292"/>
      <c r="E1050" s="2292"/>
      <c r="F1050" s="2292"/>
      <c r="G1050" s="2292"/>
      <c r="H1050" s="2292"/>
      <c r="I1050" s="2292"/>
      <c r="J1050" s="2292"/>
      <c r="K1050" s="2292"/>
      <c r="L1050" s="2292"/>
      <c r="M1050" s="2292"/>
      <c r="N1050" s="2292"/>
      <c r="O1050" s="2292"/>
      <c r="P1050" s="2292"/>
      <c r="Q1050" s="2292"/>
    </row>
    <row r="1051" spans="1:17" ht="114" x14ac:dyDescent="0.25">
      <c r="A1051" s="972">
        <v>44</v>
      </c>
      <c r="B1051" s="991">
        <v>10</v>
      </c>
      <c r="C1051" s="974"/>
      <c r="D1051" s="1095"/>
      <c r="E1051" s="1028" t="s">
        <v>1557</v>
      </c>
      <c r="F1051" s="1217">
        <v>0</v>
      </c>
      <c r="G1051" s="1217">
        <v>0</v>
      </c>
      <c r="H1051" s="1217">
        <f>H1052</f>
        <v>18157.599999999999</v>
      </c>
      <c r="I1051" s="1217">
        <v>17157.599999999999</v>
      </c>
      <c r="J1051" s="1217">
        <v>17157.599999999999</v>
      </c>
      <c r="K1051" s="1020" t="s">
        <v>1558</v>
      </c>
      <c r="L1051" s="1022" t="s">
        <v>1526</v>
      </c>
      <c r="M1051" s="1022">
        <v>130</v>
      </c>
      <c r="N1051" s="1022">
        <v>150</v>
      </c>
      <c r="O1051" s="1022">
        <v>170</v>
      </c>
      <c r="P1051" s="1022">
        <v>200</v>
      </c>
      <c r="Q1051" s="1022">
        <v>210</v>
      </c>
    </row>
    <row r="1052" spans="1:17" x14ac:dyDescent="0.25">
      <c r="A1052" s="2293"/>
      <c r="B1052" s="2092"/>
      <c r="C1052" s="1983" t="s">
        <v>6</v>
      </c>
      <c r="D1052" s="2295"/>
      <c r="E1052" s="2296" t="s">
        <v>1559</v>
      </c>
      <c r="F1052" s="1868"/>
      <c r="G1052" s="1868"/>
      <c r="H1052" s="1903">
        <f>15207.6+2950</f>
        <v>18157.599999999999</v>
      </c>
      <c r="I1052" s="1903">
        <v>17157.599999999999</v>
      </c>
      <c r="J1052" s="1903">
        <v>17157.599999999999</v>
      </c>
      <c r="K1052" s="901" t="s">
        <v>1560</v>
      </c>
      <c r="L1052" s="897" t="s">
        <v>222</v>
      </c>
      <c r="M1052" s="897">
        <v>6.8</v>
      </c>
      <c r="N1052" s="897">
        <v>7</v>
      </c>
      <c r="O1052" s="897">
        <v>7.5</v>
      </c>
      <c r="P1052" s="897">
        <v>8</v>
      </c>
      <c r="Q1052" s="897">
        <v>8.1999999999999993</v>
      </c>
    </row>
    <row r="1053" spans="1:17" x14ac:dyDescent="0.25">
      <c r="A1053" s="2293"/>
      <c r="B1053" s="2294"/>
      <c r="C1053" s="1983"/>
      <c r="D1053" s="2295"/>
      <c r="E1053" s="2296"/>
      <c r="F1053" s="2145"/>
      <c r="G1053" s="2145"/>
      <c r="H1053" s="1904"/>
      <c r="I1053" s="1904"/>
      <c r="J1053" s="1904"/>
      <c r="K1053" s="901" t="s">
        <v>1561</v>
      </c>
      <c r="L1053" s="897"/>
      <c r="M1053" s="897">
        <v>11000</v>
      </c>
      <c r="N1053" s="897">
        <v>11700</v>
      </c>
      <c r="O1053" s="897">
        <v>12000</v>
      </c>
      <c r="P1053" s="897">
        <v>12100</v>
      </c>
      <c r="Q1053" s="897">
        <v>12200</v>
      </c>
    </row>
    <row r="1054" spans="1:17" ht="60" x14ac:dyDescent="0.25">
      <c r="A1054" s="2293"/>
      <c r="B1054" s="2294"/>
      <c r="C1054" s="1983"/>
      <c r="D1054" s="2295"/>
      <c r="E1054" s="2296"/>
      <c r="F1054" s="2145"/>
      <c r="G1054" s="2145"/>
      <c r="H1054" s="1904"/>
      <c r="I1054" s="1904"/>
      <c r="J1054" s="1904"/>
      <c r="K1054" s="901" t="s">
        <v>1562</v>
      </c>
      <c r="L1054" s="897" t="s">
        <v>1563</v>
      </c>
      <c r="M1054" s="897">
        <v>14</v>
      </c>
      <c r="N1054" s="897">
        <v>15</v>
      </c>
      <c r="O1054" s="897">
        <v>16</v>
      </c>
      <c r="P1054" s="897">
        <v>17</v>
      </c>
      <c r="Q1054" s="897">
        <v>18</v>
      </c>
    </row>
    <row r="1055" spans="1:17" x14ac:dyDescent="0.25">
      <c r="A1055" s="2293"/>
      <c r="B1055" s="2093"/>
      <c r="C1055" s="1983"/>
      <c r="D1055" s="2295"/>
      <c r="E1055" s="2296"/>
      <c r="F1055" s="1869"/>
      <c r="G1055" s="1869"/>
      <c r="H1055" s="1904"/>
      <c r="I1055" s="1904"/>
      <c r="J1055" s="1904"/>
      <c r="K1055" s="901" t="s">
        <v>1564</v>
      </c>
      <c r="L1055" s="897" t="s">
        <v>1565</v>
      </c>
      <c r="M1055" s="897">
        <v>3500</v>
      </c>
      <c r="N1055" s="897">
        <v>3800</v>
      </c>
      <c r="O1055" s="897">
        <v>4000</v>
      </c>
      <c r="P1055" s="897">
        <v>4200</v>
      </c>
      <c r="Q1055" s="897">
        <v>4300</v>
      </c>
    </row>
    <row r="1056" spans="1:17" x14ac:dyDescent="0.25">
      <c r="A1056" s="1823" t="s">
        <v>1566</v>
      </c>
      <c r="B1056" s="1823"/>
      <c r="C1056" s="1823"/>
      <c r="D1056" s="1823"/>
      <c r="E1056" s="1840"/>
      <c r="F1056" s="46">
        <v>0</v>
      </c>
      <c r="G1056" s="46">
        <v>0</v>
      </c>
      <c r="H1056" s="46">
        <f>H1051</f>
        <v>18157.599999999999</v>
      </c>
      <c r="I1056" s="46">
        <v>17157.599999999999</v>
      </c>
      <c r="J1056" s="46">
        <v>17157.599999999999</v>
      </c>
      <c r="K1056" s="791"/>
      <c r="L1056" s="2275"/>
      <c r="M1056" s="2275"/>
      <c r="N1056" s="2275"/>
      <c r="O1056" s="2275"/>
      <c r="P1056" s="2275"/>
      <c r="Q1056" s="2275"/>
    </row>
    <row r="1057" spans="1:17" x14ac:dyDescent="0.25">
      <c r="A1057" s="1826" t="s">
        <v>1567</v>
      </c>
      <c r="B1057" s="1827"/>
      <c r="C1057" s="1827"/>
      <c r="D1057" s="1827"/>
      <c r="E1057" s="1827"/>
      <c r="F1057" s="1827"/>
      <c r="G1057" s="1827"/>
      <c r="H1057" s="1827"/>
      <c r="I1057" s="1827"/>
      <c r="J1057" s="1827"/>
      <c r="K1057" s="1827"/>
      <c r="L1057" s="1827"/>
      <c r="M1057" s="1827"/>
      <c r="N1057" s="1827"/>
      <c r="O1057" s="1827"/>
      <c r="P1057" s="1827"/>
      <c r="Q1057" s="1828"/>
    </row>
    <row r="1058" spans="1:17" ht="73.5" x14ac:dyDescent="0.25">
      <c r="A1058" s="1228">
        <v>45</v>
      </c>
      <c r="B1058" s="1229">
        <v>1</v>
      </c>
      <c r="C1058" s="1230"/>
      <c r="D1058" s="1230"/>
      <c r="E1058" s="647" t="s">
        <v>810</v>
      </c>
      <c r="F1058" s="1231">
        <v>65486.1</v>
      </c>
      <c r="G1058" s="1231">
        <v>52321</v>
      </c>
      <c r="H1058" s="794">
        <f>SUM(H1059:H1065)</f>
        <v>76140.5</v>
      </c>
      <c r="I1058" s="1231">
        <v>78158.825399999987</v>
      </c>
      <c r="J1058" s="1231">
        <v>79174.890130199987</v>
      </c>
      <c r="K1058" s="1232" t="s">
        <v>1568</v>
      </c>
      <c r="L1058" s="226" t="s">
        <v>182</v>
      </c>
      <c r="M1058" s="226">
        <v>100</v>
      </c>
      <c r="N1058" s="226">
        <v>100</v>
      </c>
      <c r="O1058" s="226">
        <v>100</v>
      </c>
      <c r="P1058" s="226">
        <v>100</v>
      </c>
      <c r="Q1058" s="226">
        <v>100</v>
      </c>
    </row>
    <row r="1059" spans="1:17" x14ac:dyDescent="0.25">
      <c r="A1059" s="1233"/>
      <c r="B1059" s="1234"/>
      <c r="C1059" s="1233">
        <v>1</v>
      </c>
      <c r="D1059" s="1235"/>
      <c r="E1059" s="1058" t="s">
        <v>7</v>
      </c>
      <c r="F1059" s="1236">
        <v>11263.58</v>
      </c>
      <c r="G1059" s="1237">
        <v>8999</v>
      </c>
      <c r="H1059" s="1017">
        <v>12246.8</v>
      </c>
      <c r="I1059" s="1237">
        <v>12995.777</v>
      </c>
      <c r="J1059" s="1237">
        <v>13164.722100999999</v>
      </c>
      <c r="K1059" s="1232" t="s">
        <v>183</v>
      </c>
      <c r="L1059" s="169" t="s">
        <v>184</v>
      </c>
      <c r="M1059" s="169">
        <v>100</v>
      </c>
      <c r="N1059" s="169">
        <v>100</v>
      </c>
      <c r="O1059" s="169">
        <v>100</v>
      </c>
      <c r="P1059" s="169">
        <v>100</v>
      </c>
      <c r="Q1059" s="169">
        <v>100</v>
      </c>
    </row>
    <row r="1060" spans="1:17" x14ac:dyDescent="0.25">
      <c r="A1060" s="1233"/>
      <c r="B1060" s="1234"/>
      <c r="C1060" s="1233">
        <v>2</v>
      </c>
      <c r="D1060" s="1235"/>
      <c r="E1060" s="1058" t="s">
        <v>9</v>
      </c>
      <c r="F1060" s="1236">
        <v>6286.63</v>
      </c>
      <c r="G1060" s="1237">
        <v>4985.1000000000004</v>
      </c>
      <c r="H1060" s="1017">
        <v>7243.6</v>
      </c>
      <c r="I1060" s="1237">
        <v>7400.9779999999992</v>
      </c>
      <c r="J1060" s="1237">
        <v>7497.1907139999994</v>
      </c>
      <c r="K1060" s="1232" t="s">
        <v>1569</v>
      </c>
      <c r="L1060" s="169" t="s">
        <v>182</v>
      </c>
      <c r="M1060" s="169">
        <v>100</v>
      </c>
      <c r="N1060" s="169">
        <v>100</v>
      </c>
      <c r="O1060" s="169">
        <v>100</v>
      </c>
      <c r="P1060" s="169">
        <v>100</v>
      </c>
      <c r="Q1060" s="169">
        <v>100</v>
      </c>
    </row>
    <row r="1061" spans="1:17" ht="30" x14ac:dyDescent="0.25">
      <c r="A1061" s="1233"/>
      <c r="B1061" s="1234"/>
      <c r="C1061" s="1233">
        <v>3</v>
      </c>
      <c r="D1061" s="1235"/>
      <c r="E1061" s="1058" t="s">
        <v>11</v>
      </c>
      <c r="F1061" s="1236">
        <v>7596.38</v>
      </c>
      <c r="G1061" s="1237">
        <v>6084</v>
      </c>
      <c r="H1061" s="1017">
        <v>8382.2999999999993</v>
      </c>
      <c r="I1061" s="1237">
        <v>8541.919899999999</v>
      </c>
      <c r="J1061" s="1237">
        <v>8652.9648586999992</v>
      </c>
      <c r="K1061" s="1232" t="s">
        <v>186</v>
      </c>
      <c r="L1061" s="169" t="s">
        <v>182</v>
      </c>
      <c r="M1061" s="169">
        <v>90</v>
      </c>
      <c r="N1061" s="169">
        <v>90</v>
      </c>
      <c r="O1061" s="169">
        <v>90</v>
      </c>
      <c r="P1061" s="169">
        <v>90</v>
      </c>
      <c r="Q1061" s="169">
        <v>90</v>
      </c>
    </row>
    <row r="1062" spans="1:17" ht="30" x14ac:dyDescent="0.25">
      <c r="A1062" s="1233"/>
      <c r="B1062" s="1234"/>
      <c r="C1062" s="1233">
        <v>4</v>
      </c>
      <c r="D1062" s="1235"/>
      <c r="E1062" s="1058" t="s">
        <v>13</v>
      </c>
      <c r="F1062" s="1236">
        <v>2881.41</v>
      </c>
      <c r="G1062" s="1237">
        <v>2299</v>
      </c>
      <c r="H1062" s="1017">
        <v>3577.8</v>
      </c>
      <c r="I1062" s="1237">
        <v>3624.3114</v>
      </c>
      <c r="J1062" s="1237">
        <v>3671.4274482000001</v>
      </c>
      <c r="K1062" s="1232" t="s">
        <v>1570</v>
      </c>
      <c r="L1062" s="169" t="s">
        <v>423</v>
      </c>
      <c r="M1062" s="1238">
        <v>10</v>
      </c>
      <c r="N1062" s="169">
        <v>10</v>
      </c>
      <c r="O1062" s="169">
        <v>10</v>
      </c>
      <c r="P1062" s="169">
        <v>10</v>
      </c>
      <c r="Q1062" s="169">
        <v>10</v>
      </c>
    </row>
    <row r="1063" spans="1:17" ht="45" x14ac:dyDescent="0.25">
      <c r="A1063" s="1233"/>
      <c r="B1063" s="1234"/>
      <c r="C1063" s="1233">
        <v>5</v>
      </c>
      <c r="D1063" s="1235"/>
      <c r="E1063" s="1058" t="s">
        <v>15</v>
      </c>
      <c r="F1063" s="1236">
        <v>5173.46</v>
      </c>
      <c r="G1063" s="1237">
        <v>4124</v>
      </c>
      <c r="H1063" s="1017">
        <v>5823.8</v>
      </c>
      <c r="I1063" s="1237">
        <v>6000.8093999999992</v>
      </c>
      <c r="J1063" s="1237">
        <v>6078.8199221999994</v>
      </c>
      <c r="K1063" s="1232" t="s">
        <v>1571</v>
      </c>
      <c r="L1063" s="169" t="s">
        <v>1572</v>
      </c>
      <c r="M1063" s="169">
        <v>204</v>
      </c>
      <c r="N1063" s="169">
        <v>282</v>
      </c>
      <c r="O1063" s="169">
        <v>282</v>
      </c>
      <c r="P1063" s="169">
        <v>282</v>
      </c>
      <c r="Q1063" s="169">
        <v>282</v>
      </c>
    </row>
    <row r="1064" spans="1:17" x14ac:dyDescent="0.25">
      <c r="A1064" s="1233"/>
      <c r="B1064" s="1234"/>
      <c r="C1064" s="1233">
        <v>6</v>
      </c>
      <c r="D1064" s="1235"/>
      <c r="E1064" s="901" t="s">
        <v>17</v>
      </c>
      <c r="F1064" s="1237">
        <v>26914.75</v>
      </c>
      <c r="G1064" s="1237">
        <v>21530.9</v>
      </c>
      <c r="H1064" s="1017">
        <v>32629</v>
      </c>
      <c r="I1064" s="1237">
        <v>32840.649599999997</v>
      </c>
      <c r="J1064" s="1237">
        <v>33267.578044799993</v>
      </c>
      <c r="K1064" s="1239"/>
      <c r="L1064" s="169" t="s">
        <v>182</v>
      </c>
      <c r="M1064" s="169">
        <v>100</v>
      </c>
      <c r="N1064" s="169">
        <v>100</v>
      </c>
      <c r="O1064" s="169">
        <v>100</v>
      </c>
      <c r="P1064" s="169">
        <v>100</v>
      </c>
      <c r="Q1064" s="169">
        <v>100</v>
      </c>
    </row>
    <row r="1065" spans="1:17" ht="30" x14ac:dyDescent="0.25">
      <c r="A1065" s="1233"/>
      <c r="B1065" s="1234"/>
      <c r="C1065" s="1233">
        <v>7</v>
      </c>
      <c r="D1065" s="1235"/>
      <c r="E1065" s="901" t="s">
        <v>1573</v>
      </c>
      <c r="F1065" s="1237">
        <v>5369.89</v>
      </c>
      <c r="G1065" s="1237">
        <v>4299</v>
      </c>
      <c r="H1065" s="1017">
        <v>6237.2</v>
      </c>
      <c r="I1065" s="1237">
        <v>6754.3801000000003</v>
      </c>
      <c r="J1065" s="1237">
        <v>6842.1870412999997</v>
      </c>
      <c r="K1065" s="1239"/>
      <c r="L1065" s="169" t="s">
        <v>182</v>
      </c>
      <c r="M1065" s="169">
        <v>100</v>
      </c>
      <c r="N1065" s="169">
        <v>100</v>
      </c>
      <c r="O1065" s="169">
        <v>100</v>
      </c>
      <c r="P1065" s="169">
        <v>100</v>
      </c>
      <c r="Q1065" s="169">
        <v>100</v>
      </c>
    </row>
    <row r="1066" spans="1:17" ht="88.5" x14ac:dyDescent="0.25">
      <c r="A1066" s="1228">
        <v>45</v>
      </c>
      <c r="B1066" s="1223">
        <v>2</v>
      </c>
      <c r="C1066" s="1240"/>
      <c r="D1066" s="1240"/>
      <c r="E1066" s="647" t="s">
        <v>1574</v>
      </c>
      <c r="F1066" s="794">
        <v>187343.59999999998</v>
      </c>
      <c r="G1066" s="794">
        <v>325034.5</v>
      </c>
      <c r="H1066" s="794">
        <f>SUM(H1067:H1070)</f>
        <v>345617.19999999995</v>
      </c>
      <c r="I1066" s="794">
        <v>433315.5111</v>
      </c>
      <c r="J1066" s="794">
        <v>438948.61274429993</v>
      </c>
      <c r="K1066" s="1241" t="s">
        <v>1575</v>
      </c>
      <c r="L1066" s="20" t="s">
        <v>182</v>
      </c>
      <c r="M1066" s="20">
        <v>90</v>
      </c>
      <c r="N1066" s="28">
        <v>90</v>
      </c>
      <c r="O1066" s="28">
        <v>90</v>
      </c>
      <c r="P1066" s="28">
        <v>90</v>
      </c>
      <c r="Q1066" s="28">
        <v>90</v>
      </c>
    </row>
    <row r="1067" spans="1:17" ht="60" x14ac:dyDescent="0.25">
      <c r="A1067" s="1242"/>
      <c r="B1067" s="1243"/>
      <c r="C1067" s="1244" t="s">
        <v>6</v>
      </c>
      <c r="D1067" s="1244"/>
      <c r="E1067" s="914" t="s">
        <v>1576</v>
      </c>
      <c r="F1067" s="1237">
        <v>12694.4</v>
      </c>
      <c r="G1067" s="1237">
        <v>13119.9</v>
      </c>
      <c r="H1067" s="1017">
        <v>17848.8</v>
      </c>
      <c r="I1067" s="1237">
        <v>17072.089</v>
      </c>
      <c r="J1067" s="1237">
        <v>17294.026157</v>
      </c>
      <c r="K1067" s="1232" t="s">
        <v>1577</v>
      </c>
      <c r="L1067" s="169" t="s">
        <v>182</v>
      </c>
      <c r="M1067" s="169">
        <v>85</v>
      </c>
      <c r="N1067" s="1235">
        <v>85</v>
      </c>
      <c r="O1067" s="1235">
        <v>85</v>
      </c>
      <c r="P1067" s="1235">
        <v>85</v>
      </c>
      <c r="Q1067" s="1235">
        <v>85</v>
      </c>
    </row>
    <row r="1068" spans="1:17" x14ac:dyDescent="0.25">
      <c r="A1068" s="2248"/>
      <c r="B1068" s="2249"/>
      <c r="C1068" s="2251" t="s">
        <v>8</v>
      </c>
      <c r="D1068" s="2251"/>
      <c r="E1068" s="2190" t="s">
        <v>1578</v>
      </c>
      <c r="F1068" s="1237">
        <v>138059.1</v>
      </c>
      <c r="G1068" s="1237">
        <v>138631.9</v>
      </c>
      <c r="H1068" s="1017">
        <v>143352</v>
      </c>
      <c r="I1068" s="1237">
        <v>145215.576</v>
      </c>
      <c r="J1068" s="1237">
        <v>147103.37848799999</v>
      </c>
      <c r="K1068" s="2276" t="s">
        <v>1579</v>
      </c>
      <c r="L1068" s="169" t="s">
        <v>182</v>
      </c>
      <c r="M1068" s="169">
        <v>87</v>
      </c>
      <c r="N1068" s="1235">
        <v>87</v>
      </c>
      <c r="O1068" s="1235">
        <v>87</v>
      </c>
      <c r="P1068" s="1235">
        <v>87</v>
      </c>
      <c r="Q1068" s="1235">
        <v>87</v>
      </c>
    </row>
    <row r="1069" spans="1:17" x14ac:dyDescent="0.25">
      <c r="A1069" s="2248"/>
      <c r="B1069" s="2250"/>
      <c r="C1069" s="2251"/>
      <c r="D1069" s="2251"/>
      <c r="E1069" s="2190"/>
      <c r="F1069" s="1237">
        <v>1657.8</v>
      </c>
      <c r="G1069" s="1237">
        <v>1500</v>
      </c>
      <c r="H1069" s="1017">
        <v>1917.3</v>
      </c>
      <c r="I1069" s="1237">
        <v>1519.5</v>
      </c>
      <c r="J1069" s="1237">
        <v>1539.2535</v>
      </c>
      <c r="K1069" s="2277"/>
      <c r="L1069" s="169" t="s">
        <v>182</v>
      </c>
      <c r="M1069" s="169">
        <v>87</v>
      </c>
      <c r="N1069" s="1235">
        <v>87</v>
      </c>
      <c r="O1069" s="1235">
        <v>87</v>
      </c>
      <c r="P1069" s="1235">
        <v>87</v>
      </c>
      <c r="Q1069" s="1235">
        <v>87</v>
      </c>
    </row>
    <row r="1070" spans="1:17" ht="30" x14ac:dyDescent="0.25">
      <c r="A1070" s="1242"/>
      <c r="B1070" s="1243"/>
      <c r="C1070" s="1244" t="s">
        <v>10</v>
      </c>
      <c r="D1070" s="1244"/>
      <c r="E1070" s="914" t="s">
        <v>1580</v>
      </c>
      <c r="F1070" s="1237">
        <v>34932.300000000003</v>
      </c>
      <c r="G1070" s="1237">
        <v>171782.7</v>
      </c>
      <c r="H1070" s="1245">
        <v>182499.1</v>
      </c>
      <c r="I1070" s="1237">
        <v>269508.34609999997</v>
      </c>
      <c r="J1070" s="1237">
        <v>273011.95459929993</v>
      </c>
      <c r="K1070" s="1246" t="s">
        <v>1581</v>
      </c>
      <c r="L1070" s="169"/>
      <c r="M1070" s="169"/>
      <c r="N1070" s="1235"/>
      <c r="O1070" s="1235"/>
      <c r="P1070" s="1235"/>
      <c r="Q1070" s="1235"/>
    </row>
    <row r="1071" spans="1:17" ht="28.5" x14ac:dyDescent="0.25">
      <c r="A1071" s="2278">
        <v>45</v>
      </c>
      <c r="B1071" s="2269">
        <v>3</v>
      </c>
      <c r="C1071" s="2258"/>
      <c r="D1071" s="2258"/>
      <c r="E1071" s="2199" t="s">
        <v>1582</v>
      </c>
      <c r="F1071" s="2281">
        <v>524340.80000000005</v>
      </c>
      <c r="G1071" s="2281">
        <v>375047.5</v>
      </c>
      <c r="H1071" s="2284">
        <f>SUM(H1075:H1079)</f>
        <v>424346.5</v>
      </c>
      <c r="I1071" s="2281">
        <v>396460.84899999993</v>
      </c>
      <c r="J1071" s="2281">
        <v>401614.8400369999</v>
      </c>
      <c r="K1071" s="234" t="s">
        <v>1583</v>
      </c>
      <c r="L1071" s="226" t="s">
        <v>420</v>
      </c>
      <c r="M1071" s="1247">
        <v>531569.4</v>
      </c>
      <c r="N1071" s="1235"/>
      <c r="O1071" s="1235"/>
      <c r="P1071" s="1235"/>
      <c r="Q1071" s="1235"/>
    </row>
    <row r="1072" spans="1:17" x14ac:dyDescent="0.25">
      <c r="A1072" s="2279"/>
      <c r="B1072" s="2270"/>
      <c r="C1072" s="2259"/>
      <c r="D1072" s="2259"/>
      <c r="E1072" s="2272"/>
      <c r="F1072" s="2282"/>
      <c r="G1072" s="2282"/>
      <c r="H1072" s="2285"/>
      <c r="I1072" s="2282"/>
      <c r="J1072" s="2282"/>
      <c r="K1072" s="1248" t="s">
        <v>1584</v>
      </c>
      <c r="L1072" s="226" t="s">
        <v>189</v>
      </c>
      <c r="M1072" s="226">
        <v>102</v>
      </c>
      <c r="N1072" s="1235"/>
      <c r="O1072" s="1235"/>
      <c r="P1072" s="1235"/>
      <c r="Q1072" s="1235"/>
    </row>
    <row r="1073" spans="1:17" x14ac:dyDescent="0.25">
      <c r="A1073" s="2279"/>
      <c r="B1073" s="2270"/>
      <c r="C1073" s="2259"/>
      <c r="D1073" s="2259"/>
      <c r="E1073" s="2272"/>
      <c r="F1073" s="2282"/>
      <c r="G1073" s="2282"/>
      <c r="H1073" s="2285"/>
      <c r="I1073" s="2282"/>
      <c r="J1073" s="2282"/>
      <c r="K1073" s="1248" t="s">
        <v>1585</v>
      </c>
      <c r="L1073" s="226" t="s">
        <v>189</v>
      </c>
      <c r="M1073" s="226">
        <v>20976</v>
      </c>
      <c r="N1073" s="1235"/>
      <c r="O1073" s="1235"/>
      <c r="P1073" s="1235"/>
      <c r="Q1073" s="1235"/>
    </row>
    <row r="1074" spans="1:17" x14ac:dyDescent="0.25">
      <c r="A1074" s="2280"/>
      <c r="B1074" s="2271"/>
      <c r="C1074" s="2260"/>
      <c r="D1074" s="2260"/>
      <c r="E1074" s="2200"/>
      <c r="F1074" s="2283"/>
      <c r="G1074" s="2283"/>
      <c r="H1074" s="2286"/>
      <c r="I1074" s="2283"/>
      <c r="J1074" s="2283"/>
      <c r="K1074" s="1248" t="s">
        <v>1586</v>
      </c>
      <c r="L1074" s="226" t="s">
        <v>1587</v>
      </c>
      <c r="M1074" s="226">
        <v>21298</v>
      </c>
      <c r="N1074" s="1230"/>
      <c r="O1074" s="1230"/>
      <c r="P1074" s="1230"/>
      <c r="Q1074" s="1230"/>
    </row>
    <row r="1075" spans="1:17" x14ac:dyDescent="0.25">
      <c r="A1075" s="2248"/>
      <c r="B1075" s="2249"/>
      <c r="C1075" s="2251" t="s">
        <v>6</v>
      </c>
      <c r="D1075" s="2251"/>
      <c r="E1075" s="2190" t="s">
        <v>1588</v>
      </c>
      <c r="F1075" s="2267">
        <v>495162.80000000005</v>
      </c>
      <c r="G1075" s="2267">
        <v>359315.7</v>
      </c>
      <c r="H1075" s="1950">
        <v>387332.8</v>
      </c>
      <c r="I1075" s="2267">
        <v>359183.76589999994</v>
      </c>
      <c r="J1075" s="2267">
        <v>363853.15485669993</v>
      </c>
      <c r="K1075" s="1239" t="s">
        <v>1589</v>
      </c>
      <c r="L1075" s="169" t="s">
        <v>420</v>
      </c>
      <c r="M1075" s="1249">
        <v>526045.4</v>
      </c>
      <c r="N1075" s="1235"/>
      <c r="O1075" s="1235"/>
      <c r="P1075" s="1235"/>
      <c r="Q1075" s="1235"/>
    </row>
    <row r="1076" spans="1:17" x14ac:dyDescent="0.25">
      <c r="A1076" s="2248"/>
      <c r="B1076" s="2266"/>
      <c r="C1076" s="2251"/>
      <c r="D1076" s="2251"/>
      <c r="E1076" s="2190"/>
      <c r="F1076" s="2267"/>
      <c r="G1076" s="2267"/>
      <c r="H1076" s="1950"/>
      <c r="I1076" s="2267"/>
      <c r="J1076" s="2267"/>
      <c r="K1076" s="1239" t="s">
        <v>1584</v>
      </c>
      <c r="L1076" s="169" t="s">
        <v>189</v>
      </c>
      <c r="M1076" s="169">
        <v>102</v>
      </c>
      <c r="N1076" s="1235"/>
      <c r="O1076" s="1235"/>
      <c r="P1076" s="1235"/>
      <c r="Q1076" s="1235"/>
    </row>
    <row r="1077" spans="1:17" x14ac:dyDescent="0.25">
      <c r="A1077" s="2248"/>
      <c r="B1077" s="2266"/>
      <c r="C1077" s="2251"/>
      <c r="D1077" s="2251"/>
      <c r="E1077" s="2190"/>
      <c r="F1077" s="2267"/>
      <c r="G1077" s="2267"/>
      <c r="H1077" s="1950"/>
      <c r="I1077" s="2267"/>
      <c r="J1077" s="2267"/>
      <c r="K1077" s="1239" t="s">
        <v>1585</v>
      </c>
      <c r="L1077" s="169" t="s">
        <v>189</v>
      </c>
      <c r="M1077" s="169">
        <v>20976</v>
      </c>
      <c r="N1077" s="1235"/>
      <c r="O1077" s="1235"/>
      <c r="P1077" s="1235"/>
      <c r="Q1077" s="1235"/>
    </row>
    <row r="1078" spans="1:17" x14ac:dyDescent="0.25">
      <c r="A1078" s="2248"/>
      <c r="B1078" s="2250"/>
      <c r="C1078" s="2251"/>
      <c r="D1078" s="2251"/>
      <c r="E1078" s="2190"/>
      <c r="F1078" s="2267"/>
      <c r="G1078" s="2267"/>
      <c r="H1078" s="1950"/>
      <c r="I1078" s="2267"/>
      <c r="J1078" s="2267"/>
      <c r="K1078" s="1239" t="s">
        <v>1586</v>
      </c>
      <c r="L1078" s="169" t="s">
        <v>1587</v>
      </c>
      <c r="M1078" s="169">
        <v>21298</v>
      </c>
      <c r="N1078" s="1235"/>
      <c r="O1078" s="1235"/>
      <c r="P1078" s="1235"/>
      <c r="Q1078" s="1235"/>
    </row>
    <row r="1079" spans="1:17" ht="75" x14ac:dyDescent="0.25">
      <c r="A1079" s="1242"/>
      <c r="B1079" s="1243"/>
      <c r="C1079" s="1244" t="s">
        <v>8</v>
      </c>
      <c r="D1079" s="1244"/>
      <c r="E1079" s="914" t="s">
        <v>1590</v>
      </c>
      <c r="F1079" s="1237">
        <v>29178</v>
      </c>
      <c r="G1079" s="1237">
        <v>15731.8</v>
      </c>
      <c r="H1079" s="1017">
        <v>37013.699999999997</v>
      </c>
      <c r="I1079" s="1237">
        <v>37277.083099999996</v>
      </c>
      <c r="J1079" s="1237">
        <v>37761.685180299995</v>
      </c>
      <c r="K1079" s="1232" t="s">
        <v>1589</v>
      </c>
      <c r="L1079" s="169" t="s">
        <v>420</v>
      </c>
      <c r="M1079" s="227">
        <v>5524</v>
      </c>
      <c r="N1079" s="1235"/>
      <c r="O1079" s="1235"/>
      <c r="P1079" s="1235"/>
      <c r="Q1079" s="1235"/>
    </row>
    <row r="1080" spans="1:17" x14ac:dyDescent="0.25">
      <c r="A1080" s="2268">
        <v>45</v>
      </c>
      <c r="B1080" s="2269">
        <v>4</v>
      </c>
      <c r="C1080" s="2251"/>
      <c r="D1080" s="2251"/>
      <c r="E1080" s="2199" t="s">
        <v>1591</v>
      </c>
      <c r="F1080" s="2273">
        <v>1385222.2</v>
      </c>
      <c r="G1080" s="2273">
        <v>1271957.3</v>
      </c>
      <c r="H1080" s="2274">
        <f>SUM(H1083:H1087)</f>
        <v>1287960.2</v>
      </c>
      <c r="I1080" s="2273">
        <v>1288162.1726099998</v>
      </c>
      <c r="J1080" s="2273">
        <v>1304908.2808539297</v>
      </c>
      <c r="K1080" s="1250" t="s">
        <v>1592</v>
      </c>
      <c r="L1080" s="226" t="s">
        <v>191</v>
      </c>
      <c r="M1080" s="226">
        <v>321</v>
      </c>
      <c r="N1080" s="1230"/>
      <c r="O1080" s="1230"/>
      <c r="P1080" s="1230"/>
      <c r="Q1080" s="1230"/>
    </row>
    <row r="1081" spans="1:17" x14ac:dyDescent="0.25">
      <c r="A1081" s="2268"/>
      <c r="B1081" s="2270"/>
      <c r="C1081" s="2251"/>
      <c r="D1081" s="2251"/>
      <c r="E1081" s="2272"/>
      <c r="F1081" s="2273"/>
      <c r="G1081" s="2273"/>
      <c r="H1081" s="2274"/>
      <c r="I1081" s="2273"/>
      <c r="J1081" s="2273"/>
      <c r="K1081" s="1248" t="s">
        <v>1593</v>
      </c>
      <c r="L1081" s="226" t="s">
        <v>191</v>
      </c>
      <c r="M1081" s="226">
        <v>88</v>
      </c>
      <c r="N1081" s="1230"/>
      <c r="O1081" s="1230"/>
      <c r="P1081" s="1230"/>
      <c r="Q1081" s="1230"/>
    </row>
    <row r="1082" spans="1:17" ht="87.75" customHeight="1" x14ac:dyDescent="0.25">
      <c r="A1082" s="2268"/>
      <c r="B1082" s="2271"/>
      <c r="C1082" s="2251"/>
      <c r="D1082" s="2251"/>
      <c r="E1082" s="2200"/>
      <c r="F1082" s="2273"/>
      <c r="G1082" s="2273"/>
      <c r="H1082" s="2274"/>
      <c r="I1082" s="2273"/>
      <c r="J1082" s="2273"/>
      <c r="K1082" s="1248" t="s">
        <v>1594</v>
      </c>
      <c r="L1082" s="226" t="s">
        <v>420</v>
      </c>
      <c r="M1082" s="226">
        <v>622630.9</v>
      </c>
      <c r="N1082" s="1230"/>
      <c r="O1082" s="1230"/>
      <c r="P1082" s="1230"/>
      <c r="Q1082" s="1230"/>
    </row>
    <row r="1083" spans="1:17" x14ac:dyDescent="0.25">
      <c r="A1083" s="2248"/>
      <c r="B1083" s="2249"/>
      <c r="C1083" s="2251" t="s">
        <v>6</v>
      </c>
      <c r="D1083" s="2251"/>
      <c r="E1083" s="2190" t="s">
        <v>2894</v>
      </c>
      <c r="F1083" s="1237">
        <v>872797.7</v>
      </c>
      <c r="G1083" s="1237">
        <v>476083.1</v>
      </c>
      <c r="H1083" s="1017">
        <f>1282130.9</f>
        <v>1282130.8999999999</v>
      </c>
      <c r="I1083" s="1237">
        <v>1282743.4633999998</v>
      </c>
      <c r="J1083" s="1237">
        <v>1299419.1284241998</v>
      </c>
      <c r="K1083" s="2254" t="s">
        <v>1592</v>
      </c>
      <c r="L1083" s="169" t="s">
        <v>191</v>
      </c>
      <c r="M1083" s="169">
        <v>321</v>
      </c>
      <c r="N1083" s="1235"/>
      <c r="O1083" s="1235"/>
      <c r="P1083" s="1235"/>
      <c r="Q1083" s="1235"/>
    </row>
    <row r="1084" spans="1:17" ht="56.25" customHeight="1" x14ac:dyDescent="0.25">
      <c r="A1084" s="2248"/>
      <c r="B1084" s="2250"/>
      <c r="C1084" s="2251"/>
      <c r="D1084" s="2251"/>
      <c r="E1084" s="2190"/>
      <c r="F1084" s="1237">
        <v>4620</v>
      </c>
      <c r="G1084" s="1237">
        <v>3106</v>
      </c>
      <c r="H1084" s="944">
        <v>5829.3</v>
      </c>
      <c r="I1084" s="1237">
        <v>5418.70921</v>
      </c>
      <c r="J1084" s="1237">
        <v>5489.1524297299993</v>
      </c>
      <c r="K1084" s="2254"/>
      <c r="L1084" s="169"/>
      <c r="M1084" s="169"/>
      <c r="N1084" s="1235"/>
      <c r="O1084" s="1235"/>
      <c r="P1084" s="1235"/>
      <c r="Q1084" s="1235"/>
    </row>
    <row r="1085" spans="1:17" x14ac:dyDescent="0.25">
      <c r="A1085" s="2255"/>
      <c r="B1085" s="1251"/>
      <c r="C1085" s="2258" t="s">
        <v>8</v>
      </c>
      <c r="D1085" s="2258"/>
      <c r="E1085" s="2261" t="s">
        <v>1595</v>
      </c>
      <c r="F1085" s="2264">
        <v>507404.5</v>
      </c>
      <c r="G1085" s="2264">
        <v>790582.1</v>
      </c>
      <c r="H1085" s="1835">
        <v>0</v>
      </c>
      <c r="I1085" s="2264">
        <v>0</v>
      </c>
      <c r="J1085" s="2264">
        <v>0</v>
      </c>
      <c r="K1085" s="1239" t="s">
        <v>1596</v>
      </c>
      <c r="L1085" s="169" t="s">
        <v>191</v>
      </c>
      <c r="M1085" s="169">
        <v>88</v>
      </c>
      <c r="N1085" s="1235"/>
      <c r="O1085" s="1235"/>
      <c r="P1085" s="1235"/>
      <c r="Q1085" s="1235"/>
    </row>
    <row r="1086" spans="1:17" ht="30" x14ac:dyDescent="0.25">
      <c r="A1086" s="2256"/>
      <c r="B1086" s="1252"/>
      <c r="C1086" s="2259"/>
      <c r="D1086" s="2259"/>
      <c r="E1086" s="2262"/>
      <c r="F1086" s="2265"/>
      <c r="G1086" s="2265"/>
      <c r="H1086" s="1836"/>
      <c r="I1086" s="2265"/>
      <c r="J1086" s="2265"/>
      <c r="K1086" s="1239" t="s">
        <v>1594</v>
      </c>
      <c r="L1086" s="169" t="s">
        <v>420</v>
      </c>
      <c r="M1086" s="169">
        <v>622630.9</v>
      </c>
      <c r="N1086" s="1253"/>
      <c r="O1086" s="1235"/>
      <c r="P1086" s="1235"/>
      <c r="Q1086" s="1235"/>
    </row>
    <row r="1087" spans="1:17" ht="30" x14ac:dyDescent="0.25">
      <c r="A1087" s="2257"/>
      <c r="B1087" s="1254"/>
      <c r="C1087" s="2260"/>
      <c r="D1087" s="2260"/>
      <c r="E1087" s="2263"/>
      <c r="F1087" s="1237">
        <v>400</v>
      </c>
      <c r="G1087" s="1237">
        <v>2186.1</v>
      </c>
      <c r="H1087" s="1017">
        <v>0</v>
      </c>
      <c r="I1087" s="1237">
        <v>0</v>
      </c>
      <c r="J1087" s="1237">
        <v>0</v>
      </c>
      <c r="K1087" s="1239" t="s">
        <v>1594</v>
      </c>
      <c r="L1087" s="169"/>
      <c r="M1087" s="169"/>
      <c r="N1087" s="1235"/>
      <c r="O1087" s="1235"/>
      <c r="P1087" s="1235"/>
      <c r="Q1087" s="1235"/>
    </row>
    <row r="1088" spans="1:17" ht="132.75" x14ac:dyDescent="0.25">
      <c r="A1088" s="1255">
        <v>45</v>
      </c>
      <c r="B1088" s="1256">
        <v>5</v>
      </c>
      <c r="C1088" s="1244"/>
      <c r="D1088" s="1244"/>
      <c r="E1088" s="647" t="s">
        <v>1597</v>
      </c>
      <c r="F1088" s="1231">
        <v>25117.399999999998</v>
      </c>
      <c r="G1088" s="1231">
        <v>22318.6</v>
      </c>
      <c r="H1088" s="794">
        <f>SUM(H1089:H1092)</f>
        <v>25827.9</v>
      </c>
      <c r="I1088" s="1231">
        <v>25852.063900000005</v>
      </c>
      <c r="J1088" s="1231">
        <v>26188.140730700001</v>
      </c>
      <c r="K1088" s="234" t="s">
        <v>1598</v>
      </c>
      <c r="L1088" s="226" t="s">
        <v>191</v>
      </c>
      <c r="M1088" s="226">
        <v>34373</v>
      </c>
      <c r="N1088" s="226">
        <v>34373</v>
      </c>
      <c r="O1088" s="226">
        <v>33912</v>
      </c>
      <c r="P1088" s="226">
        <v>34932</v>
      </c>
      <c r="Q1088" s="226">
        <v>35952</v>
      </c>
    </row>
    <row r="1089" spans="1:17" x14ac:dyDescent="0.25">
      <c r="A1089" s="2248"/>
      <c r="B1089" s="2249"/>
      <c r="C1089" s="2251" t="s">
        <v>6</v>
      </c>
      <c r="D1089" s="2251"/>
      <c r="E1089" s="2190" t="s">
        <v>1599</v>
      </c>
      <c r="F1089" s="1237">
        <v>13767.4</v>
      </c>
      <c r="G1089" s="1237">
        <v>11525.2</v>
      </c>
      <c r="H1089" s="1017">
        <v>13729.5</v>
      </c>
      <c r="I1089" s="1237">
        <v>13782.0676</v>
      </c>
      <c r="J1089" s="1237">
        <v>13961.234478799999</v>
      </c>
      <c r="K1089" s="2252" t="s">
        <v>1600</v>
      </c>
      <c r="L1089" s="169" t="s">
        <v>191</v>
      </c>
      <c r="M1089" s="169">
        <v>33728</v>
      </c>
      <c r="N1089" s="169">
        <v>33728</v>
      </c>
      <c r="O1089" s="169">
        <v>33748</v>
      </c>
      <c r="P1089" s="1235">
        <v>34748</v>
      </c>
      <c r="Q1089" s="1235">
        <v>35748</v>
      </c>
    </row>
    <row r="1090" spans="1:17" x14ac:dyDescent="0.25">
      <c r="A1090" s="2248"/>
      <c r="B1090" s="2250"/>
      <c r="C1090" s="2251"/>
      <c r="D1090" s="2251"/>
      <c r="E1090" s="2190"/>
      <c r="F1090" s="1237">
        <v>20</v>
      </c>
      <c r="G1090" s="1237">
        <v>720</v>
      </c>
      <c r="H1090" s="1017">
        <v>748.1</v>
      </c>
      <c r="I1090" s="1237">
        <v>729.36</v>
      </c>
      <c r="J1090" s="1237">
        <v>738.84168</v>
      </c>
      <c r="K1090" s="2253"/>
      <c r="L1090" s="169" t="s">
        <v>191</v>
      </c>
      <c r="M1090" s="169">
        <v>368</v>
      </c>
      <c r="N1090" s="169">
        <v>368</v>
      </c>
      <c r="O1090" s="169"/>
      <c r="P1090" s="1235"/>
      <c r="Q1090" s="1235"/>
    </row>
    <row r="1091" spans="1:17" x14ac:dyDescent="0.25">
      <c r="A1091" s="2248"/>
      <c r="B1091" s="2249"/>
      <c r="C1091" s="2251" t="s">
        <v>8</v>
      </c>
      <c r="D1091" s="2251"/>
      <c r="E1091" s="2190" t="s">
        <v>1601</v>
      </c>
      <c r="F1091" s="1237">
        <v>10269.4</v>
      </c>
      <c r="G1091" s="1237">
        <v>8873.4</v>
      </c>
      <c r="H1091" s="977">
        <v>9825.2000000000007</v>
      </c>
      <c r="I1091" s="1237">
        <v>10094.6463</v>
      </c>
      <c r="J1091" s="1237">
        <v>10225.876701900001</v>
      </c>
      <c r="K1091" s="2252" t="s">
        <v>1602</v>
      </c>
      <c r="L1091" s="169" t="s">
        <v>191</v>
      </c>
      <c r="M1091" s="169">
        <v>158</v>
      </c>
      <c r="N1091" s="169">
        <v>158</v>
      </c>
      <c r="O1091" s="169">
        <v>164</v>
      </c>
      <c r="P1091" s="1235">
        <v>184</v>
      </c>
      <c r="Q1091" s="1235">
        <v>204</v>
      </c>
    </row>
    <row r="1092" spans="1:17" x14ac:dyDescent="0.25">
      <c r="A1092" s="2248"/>
      <c r="B1092" s="2250"/>
      <c r="C1092" s="2251"/>
      <c r="D1092" s="2251"/>
      <c r="E1092" s="2190"/>
      <c r="F1092" s="1237">
        <v>1060.5999999999999</v>
      </c>
      <c r="G1092" s="1237">
        <v>1200</v>
      </c>
      <c r="H1092" s="1017">
        <v>1525.1</v>
      </c>
      <c r="I1092" s="1237">
        <v>1245.99</v>
      </c>
      <c r="J1092" s="1237">
        <v>1262.18787</v>
      </c>
      <c r="K1092" s="2253"/>
      <c r="L1092" s="169" t="s">
        <v>191</v>
      </c>
      <c r="M1092" s="169">
        <v>119</v>
      </c>
      <c r="N1092" s="169">
        <v>119</v>
      </c>
      <c r="O1092" s="169"/>
      <c r="P1092" s="1235"/>
      <c r="Q1092" s="1235"/>
    </row>
    <row r="1093" spans="1:17" ht="39.75" customHeight="1" x14ac:dyDescent="0.25">
      <c r="A1093" s="1821" t="s">
        <v>1603</v>
      </c>
      <c r="B1093" s="1822"/>
      <c r="C1093" s="1841"/>
      <c r="D1093" s="1841"/>
      <c r="E1093" s="1841"/>
      <c r="F1093" s="46">
        <v>2187510.1</v>
      </c>
      <c r="G1093" s="46">
        <v>2046678.9000000001</v>
      </c>
      <c r="H1093" s="46">
        <f>H1058+H1066+H1071+H1080+H1088</f>
        <v>2159892.2999999998</v>
      </c>
      <c r="I1093" s="46">
        <v>2221949.4220099994</v>
      </c>
      <c r="J1093" s="46">
        <v>2250834.7644961295</v>
      </c>
      <c r="K1093" s="16"/>
      <c r="L1093" s="24"/>
      <c r="M1093" s="18"/>
      <c r="N1093" s="18"/>
      <c r="O1093" s="18"/>
      <c r="P1093" s="18"/>
      <c r="Q1093" s="17"/>
    </row>
    <row r="1094" spans="1:17" ht="15.75" thickBot="1" x14ac:dyDescent="0.3">
      <c r="A1094" s="1826" t="s">
        <v>1604</v>
      </c>
      <c r="B1094" s="1827"/>
      <c r="C1094" s="1827"/>
      <c r="D1094" s="1827"/>
      <c r="E1094" s="1827"/>
      <c r="F1094" s="1827"/>
      <c r="G1094" s="1827"/>
      <c r="H1094" s="1827"/>
      <c r="I1094" s="1827"/>
      <c r="J1094" s="1827"/>
      <c r="K1094" s="1827"/>
      <c r="L1094" s="1827"/>
      <c r="M1094" s="1827"/>
      <c r="N1094" s="1827"/>
      <c r="O1094" s="1827"/>
      <c r="P1094" s="1827"/>
      <c r="Q1094" s="1828"/>
    </row>
    <row r="1095" spans="1:17" ht="73.5" x14ac:dyDescent="0.25">
      <c r="A1095" s="556">
        <v>46</v>
      </c>
      <c r="B1095" s="979">
        <v>1</v>
      </c>
      <c r="C1095" s="939"/>
      <c r="D1095" s="53"/>
      <c r="E1095" s="391" t="s">
        <v>810</v>
      </c>
      <c r="F1095" s="720">
        <v>13472.009999999998</v>
      </c>
      <c r="G1095" s="720">
        <v>26197.47</v>
      </c>
      <c r="H1095" s="720">
        <f>SUM(H1096:H1102)</f>
        <v>10399.5</v>
      </c>
      <c r="I1095" s="720">
        <v>3212.8</v>
      </c>
      <c r="J1095" s="720">
        <v>3255.3</v>
      </c>
      <c r="K1095" s="954" t="s">
        <v>181</v>
      </c>
      <c r="L1095" s="1011" t="s">
        <v>182</v>
      </c>
      <c r="M1095" s="360">
        <v>21.6</v>
      </c>
      <c r="N1095" s="360">
        <v>21.671667719519899</v>
      </c>
      <c r="O1095" s="360">
        <v>21.671667719519899</v>
      </c>
      <c r="P1095" s="360">
        <v>21.667071776451422</v>
      </c>
      <c r="Q1095" s="360">
        <v>21.665918678754149</v>
      </c>
    </row>
    <row r="1096" spans="1:17" x14ac:dyDescent="0.25">
      <c r="A1096" s="902"/>
      <c r="B1096" s="1129"/>
      <c r="C1096" s="960">
        <v>1</v>
      </c>
      <c r="D1096" s="253"/>
      <c r="E1096" s="55" t="s">
        <v>7</v>
      </c>
      <c r="F1096" s="700">
        <v>497.19</v>
      </c>
      <c r="G1096" s="700">
        <v>485.43</v>
      </c>
      <c r="H1096" s="700">
        <v>10399.5</v>
      </c>
      <c r="I1096" s="700">
        <v>494.2</v>
      </c>
      <c r="J1096" s="700">
        <v>500.8</v>
      </c>
      <c r="K1096" s="914" t="s">
        <v>183</v>
      </c>
      <c r="L1096" s="1002" t="s">
        <v>184</v>
      </c>
      <c r="M1096" s="1002">
        <v>1</v>
      </c>
      <c r="N1096" s="1002">
        <v>1</v>
      </c>
      <c r="O1096" s="1002">
        <v>1</v>
      </c>
      <c r="P1096" s="1002">
        <v>1</v>
      </c>
      <c r="Q1096" s="1002">
        <v>1</v>
      </c>
    </row>
    <row r="1097" spans="1:17" x14ac:dyDescent="0.25">
      <c r="A1097" s="902"/>
      <c r="B1097" s="1257"/>
      <c r="C1097" s="432">
        <v>2</v>
      </c>
      <c r="D1097" s="253"/>
      <c r="E1097" s="667" t="s">
        <v>9</v>
      </c>
      <c r="F1097" s="700">
        <v>994.37</v>
      </c>
      <c r="G1097" s="700">
        <v>987.19</v>
      </c>
      <c r="H1097" s="700"/>
      <c r="I1097" s="700">
        <v>988.7</v>
      </c>
      <c r="J1097" s="700">
        <v>1001.7</v>
      </c>
      <c r="K1097" s="914" t="s">
        <v>185</v>
      </c>
      <c r="L1097" s="1002" t="s">
        <v>182</v>
      </c>
      <c r="M1097" s="1002">
        <v>100</v>
      </c>
      <c r="N1097" s="1002">
        <v>100</v>
      </c>
      <c r="O1097" s="1002">
        <v>100</v>
      </c>
      <c r="P1097" s="1002">
        <v>100</v>
      </c>
      <c r="Q1097" s="1002">
        <v>100</v>
      </c>
    </row>
    <row r="1098" spans="1:17" ht="30" x14ac:dyDescent="0.25">
      <c r="A1098" s="902"/>
      <c r="B1098" s="1257"/>
      <c r="C1098" s="432">
        <v>3</v>
      </c>
      <c r="D1098" s="253"/>
      <c r="E1098" s="667" t="s">
        <v>11</v>
      </c>
      <c r="F1098" s="700">
        <v>248.59</v>
      </c>
      <c r="G1098" s="700">
        <v>235.70000000000002</v>
      </c>
      <c r="H1098" s="700"/>
      <c r="I1098" s="700">
        <v>247.1</v>
      </c>
      <c r="J1098" s="700">
        <v>250.4</v>
      </c>
      <c r="K1098" s="56" t="s">
        <v>186</v>
      </c>
      <c r="L1098" s="1002" t="s">
        <v>182</v>
      </c>
      <c r="M1098" s="640"/>
      <c r="N1098" s="640"/>
      <c r="O1098" s="640"/>
      <c r="P1098" s="640"/>
      <c r="Q1098" s="640"/>
    </row>
    <row r="1099" spans="1:17" ht="30" x14ac:dyDescent="0.25">
      <c r="A1099" s="902"/>
      <c r="B1099" s="1257"/>
      <c r="C1099" s="432">
        <v>4</v>
      </c>
      <c r="D1099" s="253"/>
      <c r="E1099" s="667" t="s">
        <v>13</v>
      </c>
      <c r="F1099" s="700"/>
      <c r="G1099" s="700"/>
      <c r="H1099" s="700"/>
      <c r="I1099" s="700"/>
      <c r="J1099" s="700"/>
      <c r="K1099" s="914" t="s">
        <v>187</v>
      </c>
      <c r="L1099" s="1002" t="s">
        <v>423</v>
      </c>
      <c r="M1099" s="640"/>
      <c r="N1099" s="640"/>
      <c r="O1099" s="640"/>
      <c r="P1099" s="640"/>
      <c r="Q1099" s="640"/>
    </row>
    <row r="1100" spans="1:17" ht="30" x14ac:dyDescent="0.25">
      <c r="A1100" s="902"/>
      <c r="B1100" s="1257"/>
      <c r="C1100" s="432">
        <v>5</v>
      </c>
      <c r="D1100" s="253"/>
      <c r="E1100" s="667" t="s">
        <v>15</v>
      </c>
      <c r="F1100" s="700"/>
      <c r="G1100" s="700"/>
      <c r="H1100" s="700"/>
      <c r="I1100" s="700"/>
      <c r="J1100" s="700"/>
      <c r="K1100" s="914" t="s">
        <v>188</v>
      </c>
      <c r="L1100" s="1002" t="s">
        <v>189</v>
      </c>
      <c r="M1100" s="640"/>
      <c r="N1100" s="640"/>
      <c r="O1100" s="640"/>
      <c r="P1100" s="640"/>
      <c r="Q1100" s="640"/>
    </row>
    <row r="1101" spans="1:17" ht="30" x14ac:dyDescent="0.25">
      <c r="A1101" s="902"/>
      <c r="B1101" s="1129"/>
      <c r="C1101" s="948">
        <v>6</v>
      </c>
      <c r="D1101" s="253"/>
      <c r="E1101" s="692" t="s">
        <v>17</v>
      </c>
      <c r="F1101" s="700">
        <v>1491.56</v>
      </c>
      <c r="G1101" s="700">
        <v>1489.1499999999999</v>
      </c>
      <c r="H1101" s="700"/>
      <c r="I1101" s="1258">
        <v>1482.8</v>
      </c>
      <c r="J1101" s="700">
        <v>1502.4</v>
      </c>
      <c r="K1101" s="914" t="s">
        <v>190</v>
      </c>
      <c r="L1101" s="1002" t="s">
        <v>182</v>
      </c>
      <c r="M1101" s="1002">
        <v>10</v>
      </c>
      <c r="N1101" s="1002">
        <v>10</v>
      </c>
      <c r="O1101" s="1002">
        <v>10</v>
      </c>
      <c r="P1101" s="1002">
        <v>10</v>
      </c>
      <c r="Q1101" s="1002">
        <v>10</v>
      </c>
    </row>
    <row r="1102" spans="1:17" ht="19.5" customHeight="1" x14ac:dyDescent="0.25">
      <c r="A1102" s="902"/>
      <c r="B1102" s="1129"/>
      <c r="C1102" s="948">
        <v>38</v>
      </c>
      <c r="D1102" s="253"/>
      <c r="E1102" s="898" t="s">
        <v>1605</v>
      </c>
      <c r="F1102" s="1145">
        <v>10240.299999999999</v>
      </c>
      <c r="G1102" s="700">
        <v>23000</v>
      </c>
      <c r="H1102" s="700"/>
      <c r="I1102" s="700"/>
      <c r="J1102" s="700"/>
      <c r="K1102" s="914"/>
      <c r="L1102" s="1002"/>
      <c r="M1102" s="640"/>
      <c r="N1102" s="640"/>
      <c r="O1102" s="640"/>
      <c r="P1102" s="640"/>
      <c r="Q1102" s="640"/>
    </row>
    <row r="1103" spans="1:17" ht="50.25" customHeight="1" x14ac:dyDescent="0.25">
      <c r="A1103" s="902">
        <v>46</v>
      </c>
      <c r="B1103" s="1257">
        <v>2</v>
      </c>
      <c r="C1103" s="432"/>
      <c r="D1103" s="1259"/>
      <c r="E1103" s="171" t="s">
        <v>1606</v>
      </c>
      <c r="F1103" s="721">
        <v>7996.8900000000012</v>
      </c>
      <c r="G1103" s="721">
        <v>11726.48</v>
      </c>
      <c r="H1103" s="721">
        <f>SUM(H1104:H1111)</f>
        <v>2795.8</v>
      </c>
      <c r="I1103" s="721">
        <v>11908.1</v>
      </c>
      <c r="J1103" s="721">
        <v>12065.599999999999</v>
      </c>
      <c r="K1103" s="692" t="s">
        <v>1607</v>
      </c>
      <c r="L1103" s="692"/>
      <c r="M1103" s="11"/>
      <c r="N1103" s="11"/>
      <c r="O1103" s="11"/>
      <c r="P1103" s="11"/>
      <c r="Q1103" s="11"/>
    </row>
    <row r="1104" spans="1:17" x14ac:dyDescent="0.25">
      <c r="A1104" s="1882"/>
      <c r="B1104" s="1891"/>
      <c r="C1104" s="2028" t="s">
        <v>6</v>
      </c>
      <c r="D1104" s="2028"/>
      <c r="E1104" s="2020" t="s">
        <v>1608</v>
      </c>
      <c r="F1104" s="1938">
        <v>2060.89</v>
      </c>
      <c r="G1104" s="1938">
        <v>2994.87</v>
      </c>
      <c r="H1104" s="1938">
        <v>2795.8</v>
      </c>
      <c r="I1104" s="1938">
        <v>3040.1</v>
      </c>
      <c r="J1104" s="1938">
        <v>3080.3</v>
      </c>
      <c r="K1104" s="692" t="s">
        <v>1609</v>
      </c>
      <c r="L1104" s="692" t="s">
        <v>1610</v>
      </c>
      <c r="M1104" s="1141">
        <v>20</v>
      </c>
      <c r="N1104" s="1141">
        <v>22</v>
      </c>
      <c r="O1104" s="1141">
        <v>23</v>
      </c>
      <c r="P1104" s="1141">
        <v>23</v>
      </c>
      <c r="Q1104" s="1141">
        <v>23</v>
      </c>
    </row>
    <row r="1105" spans="1:17" x14ac:dyDescent="0.25">
      <c r="A1105" s="1883"/>
      <c r="B1105" s="1817"/>
      <c r="C1105" s="1820"/>
      <c r="D1105" s="1820"/>
      <c r="E1105" s="2022"/>
      <c r="F1105" s="1939"/>
      <c r="G1105" s="1939"/>
      <c r="H1105" s="1939"/>
      <c r="I1105" s="1939"/>
      <c r="J1105" s="1939"/>
      <c r="K1105" s="692" t="s">
        <v>1611</v>
      </c>
      <c r="L1105" s="692" t="s">
        <v>1612</v>
      </c>
      <c r="M1105" s="1141">
        <v>6</v>
      </c>
      <c r="N1105" s="1141">
        <v>6</v>
      </c>
      <c r="O1105" s="1141">
        <v>8</v>
      </c>
      <c r="P1105" s="1141">
        <v>8</v>
      </c>
      <c r="Q1105" s="1141">
        <v>8</v>
      </c>
    </row>
    <row r="1106" spans="1:17" x14ac:dyDescent="0.25">
      <c r="A1106" s="1882"/>
      <c r="B1106" s="1891"/>
      <c r="C1106" s="2028" t="s">
        <v>8</v>
      </c>
      <c r="D1106" s="2028"/>
      <c r="E1106" s="2020" t="s">
        <v>1613</v>
      </c>
      <c r="F1106" s="1938">
        <v>2061.1999999999998</v>
      </c>
      <c r="G1106" s="1940">
        <v>2994.87</v>
      </c>
      <c r="H1106" s="1938"/>
      <c r="I1106" s="1938">
        <v>3040.1</v>
      </c>
      <c r="J1106" s="1938">
        <v>3080.3</v>
      </c>
      <c r="K1106" s="692" t="s">
        <v>1614</v>
      </c>
      <c r="L1106" s="692" t="s">
        <v>1615</v>
      </c>
      <c r="M1106" s="1141">
        <v>7</v>
      </c>
      <c r="N1106" s="1141">
        <v>7</v>
      </c>
      <c r="O1106" s="1141">
        <v>7</v>
      </c>
      <c r="P1106" s="1141">
        <v>7</v>
      </c>
      <c r="Q1106" s="1141">
        <v>7</v>
      </c>
    </row>
    <row r="1107" spans="1:17" ht="30" x14ac:dyDescent="0.25">
      <c r="A1107" s="1883"/>
      <c r="B1107" s="1817"/>
      <c r="C1107" s="1820"/>
      <c r="D1107" s="1820"/>
      <c r="E1107" s="2022"/>
      <c r="F1107" s="1939"/>
      <c r="G1107" s="1941"/>
      <c r="H1107" s="1939"/>
      <c r="I1107" s="1939"/>
      <c r="J1107" s="1939"/>
      <c r="K1107" s="692" t="s">
        <v>1616</v>
      </c>
      <c r="L1107" s="692" t="s">
        <v>1617</v>
      </c>
      <c r="M1107" s="43">
        <v>3</v>
      </c>
      <c r="N1107" s="43">
        <v>3</v>
      </c>
      <c r="O1107" s="43">
        <v>3</v>
      </c>
      <c r="P1107" s="43">
        <v>3</v>
      </c>
      <c r="Q1107" s="43">
        <v>3</v>
      </c>
    </row>
    <row r="1108" spans="1:17" x14ac:dyDescent="0.25">
      <c r="A1108" s="1882"/>
      <c r="B1108" s="1891"/>
      <c r="C1108" s="2028" t="s">
        <v>10</v>
      </c>
      <c r="D1108" s="2028"/>
      <c r="E1108" s="2020" t="s">
        <v>1618</v>
      </c>
      <c r="F1108" s="1938">
        <v>3304.2000000000003</v>
      </c>
      <c r="G1108" s="1938">
        <v>4247.87</v>
      </c>
      <c r="H1108" s="1938"/>
      <c r="I1108" s="1938">
        <v>4306.7</v>
      </c>
      <c r="J1108" s="1938">
        <v>4363.7</v>
      </c>
      <c r="K1108" s="692" t="s">
        <v>1619</v>
      </c>
      <c r="L1108" s="692" t="s">
        <v>1620</v>
      </c>
      <c r="M1108" s="43">
        <v>30</v>
      </c>
      <c r="N1108" s="43">
        <v>30</v>
      </c>
      <c r="O1108" s="43">
        <v>30</v>
      </c>
      <c r="P1108" s="43">
        <v>30</v>
      </c>
      <c r="Q1108" s="43">
        <v>30</v>
      </c>
    </row>
    <row r="1109" spans="1:17" x14ac:dyDescent="0.25">
      <c r="A1109" s="1883"/>
      <c r="B1109" s="1817"/>
      <c r="C1109" s="1820"/>
      <c r="D1109" s="1820"/>
      <c r="E1109" s="2022"/>
      <c r="F1109" s="1939"/>
      <c r="G1109" s="1939"/>
      <c r="H1109" s="1939"/>
      <c r="I1109" s="1939"/>
      <c r="J1109" s="1939"/>
      <c r="K1109" s="692"/>
      <c r="L1109" s="692"/>
      <c r="M1109" s="1141"/>
      <c r="N1109" s="1141"/>
      <c r="O1109" s="1141"/>
      <c r="P1109" s="1141"/>
      <c r="Q1109" s="1141"/>
    </row>
    <row r="1110" spans="1:17" x14ac:dyDescent="0.25">
      <c r="A1110" s="1882"/>
      <c r="B1110" s="1891"/>
      <c r="C1110" s="2028" t="s">
        <v>12</v>
      </c>
      <c r="D1110" s="2028"/>
      <c r="E1110" s="2020" t="s">
        <v>1621</v>
      </c>
      <c r="F1110" s="1938">
        <v>570.59999999999991</v>
      </c>
      <c r="G1110" s="1938">
        <v>1488.87</v>
      </c>
      <c r="H1110" s="1938"/>
      <c r="I1110" s="1938">
        <v>1521.2</v>
      </c>
      <c r="J1110" s="1938">
        <v>1541.3</v>
      </c>
      <c r="K1110" s="692"/>
      <c r="L1110" s="692"/>
      <c r="M1110" s="1141"/>
      <c r="N1110" s="1141"/>
      <c r="O1110" s="1141"/>
      <c r="P1110" s="1141"/>
      <c r="Q1110" s="1141"/>
    </row>
    <row r="1111" spans="1:17" x14ac:dyDescent="0.25">
      <c r="A1111" s="1883"/>
      <c r="B1111" s="1817"/>
      <c r="C1111" s="1820"/>
      <c r="D1111" s="1820"/>
      <c r="E1111" s="2022"/>
      <c r="F1111" s="1939"/>
      <c r="G1111" s="1939"/>
      <c r="H1111" s="1939"/>
      <c r="I1111" s="1939"/>
      <c r="J1111" s="1939"/>
      <c r="K1111" s="692"/>
      <c r="L1111" s="692"/>
      <c r="M1111" s="692"/>
      <c r="N1111" s="692"/>
      <c r="O1111" s="692"/>
      <c r="P1111" s="692"/>
      <c r="Q1111" s="692"/>
    </row>
    <row r="1112" spans="1:17" ht="30" customHeight="1" x14ac:dyDescent="0.25">
      <c r="A1112" s="1840" t="s">
        <v>1622</v>
      </c>
      <c r="B1112" s="1841"/>
      <c r="C1112" s="1841"/>
      <c r="D1112" s="1841"/>
      <c r="E1112" s="1841"/>
      <c r="F1112" s="46">
        <v>21468.9</v>
      </c>
      <c r="G1112" s="46">
        <v>37923.949999999997</v>
      </c>
      <c r="H1112" s="46">
        <f>H1095+H1103</f>
        <v>13195.3</v>
      </c>
      <c r="I1112" s="46">
        <v>15120.900000000001</v>
      </c>
      <c r="J1112" s="46">
        <v>15320.899999999998</v>
      </c>
      <c r="K1112" s="16"/>
      <c r="L1112" s="995"/>
      <c r="M1112" s="996"/>
      <c r="N1112" s="996"/>
      <c r="O1112" s="996"/>
      <c r="P1112" s="996"/>
      <c r="Q1112" s="997"/>
    </row>
    <row r="1113" spans="1:17" x14ac:dyDescent="0.25">
      <c r="A1113" s="1826" t="s">
        <v>1623</v>
      </c>
      <c r="B1113" s="1827"/>
      <c r="C1113" s="1827"/>
      <c r="D1113" s="1827"/>
      <c r="E1113" s="1827"/>
      <c r="F1113" s="1827"/>
      <c r="G1113" s="1827"/>
      <c r="H1113" s="1827"/>
      <c r="I1113" s="1827"/>
      <c r="J1113" s="1827"/>
      <c r="K1113" s="1827"/>
      <c r="L1113" s="1827"/>
      <c r="M1113" s="1827"/>
      <c r="N1113" s="1827"/>
      <c r="O1113" s="1827"/>
      <c r="P1113" s="1827"/>
      <c r="Q1113" s="1828"/>
    </row>
    <row r="1114" spans="1:17" ht="73.5" x14ac:dyDescent="0.25">
      <c r="A1114" s="902">
        <v>47</v>
      </c>
      <c r="B1114" s="1129">
        <v>1</v>
      </c>
      <c r="C1114" s="1015"/>
      <c r="D1114" s="4"/>
      <c r="E1114" s="1260" t="s">
        <v>1624</v>
      </c>
      <c r="F1114" s="145">
        <v>129424.7</v>
      </c>
      <c r="G1114" s="145">
        <v>156048.4</v>
      </c>
      <c r="H1114" s="145">
        <f>SUM(H1115:H1120)</f>
        <v>254662.5</v>
      </c>
      <c r="I1114" s="145">
        <v>182626.87087717606</v>
      </c>
      <c r="J1114" s="145">
        <v>184499.8806633802</v>
      </c>
      <c r="K1114" s="1261" t="s">
        <v>181</v>
      </c>
      <c r="L1114" s="1015" t="s">
        <v>182</v>
      </c>
      <c r="M1114" s="1015" t="s">
        <v>1625</v>
      </c>
      <c r="N1114" s="1015" t="s">
        <v>1626</v>
      </c>
      <c r="O1114" s="1015"/>
      <c r="P1114" s="1015"/>
      <c r="Q1114" s="1015"/>
    </row>
    <row r="1115" spans="1:17" ht="30" x14ac:dyDescent="0.25">
      <c r="A1115" s="902"/>
      <c r="B1115" s="1129"/>
      <c r="C1115" s="904" t="s">
        <v>6</v>
      </c>
      <c r="D1115" s="253"/>
      <c r="E1115" s="303" t="s">
        <v>1627</v>
      </c>
      <c r="F1115" s="1136">
        <v>12259.3</v>
      </c>
      <c r="G1115" s="1136">
        <v>10587.5</v>
      </c>
      <c r="H1115" s="961">
        <f>7990.3+1933.5</f>
        <v>9923.7999999999993</v>
      </c>
      <c r="I1115" s="928">
        <v>8183.1847681381259</v>
      </c>
      <c r="J1115" s="928">
        <v>8267.1155270180752</v>
      </c>
      <c r="K1115" s="914" t="s">
        <v>1628</v>
      </c>
      <c r="L1115" s="1002" t="s">
        <v>1545</v>
      </c>
      <c r="M1115" s="1002">
        <v>20.5</v>
      </c>
      <c r="N1115" s="1002">
        <v>20.5</v>
      </c>
      <c r="O1115" s="1002">
        <v>20.5</v>
      </c>
      <c r="P1115" s="1002">
        <v>20.5</v>
      </c>
      <c r="Q1115" s="1002"/>
    </row>
    <row r="1116" spans="1:17" x14ac:dyDescent="0.25">
      <c r="A1116" s="902"/>
      <c r="B1116" s="1257"/>
      <c r="C1116" s="1262" t="s">
        <v>8</v>
      </c>
      <c r="D1116" s="253"/>
      <c r="E1116" s="303" t="s">
        <v>9</v>
      </c>
      <c r="F1116" s="1136"/>
      <c r="G1116" s="1136"/>
      <c r="H1116" s="961">
        <f>7438+1399.5</f>
        <v>8837.5</v>
      </c>
      <c r="I1116" s="928"/>
      <c r="J1116" s="928"/>
      <c r="K1116" s="914"/>
      <c r="L1116" s="1002"/>
      <c r="M1116" s="1002"/>
      <c r="N1116" s="1002"/>
      <c r="O1116" s="1002"/>
      <c r="P1116" s="1002"/>
      <c r="Q1116" s="1002"/>
    </row>
    <row r="1117" spans="1:17" x14ac:dyDescent="0.25">
      <c r="A1117" s="971"/>
      <c r="B1117" s="1263"/>
      <c r="C1117" s="439" t="s">
        <v>16</v>
      </c>
      <c r="D1117" s="1102"/>
      <c r="E1117" s="1000" t="s">
        <v>1629</v>
      </c>
      <c r="F1117" s="1264">
        <v>12383.5</v>
      </c>
      <c r="G1117" s="1264">
        <v>11167.9</v>
      </c>
      <c r="H1117" s="1265"/>
      <c r="I1117" s="1061">
        <v>7544.6405748758852</v>
      </c>
      <c r="J1117" s="1061">
        <v>7622.0221111441751</v>
      </c>
      <c r="K1117" s="901" t="s">
        <v>185</v>
      </c>
      <c r="L1117" s="897" t="s">
        <v>182</v>
      </c>
      <c r="M1117" s="897">
        <v>100</v>
      </c>
      <c r="N1117" s="897">
        <v>100</v>
      </c>
      <c r="O1117" s="897">
        <v>100</v>
      </c>
      <c r="P1117" s="897">
        <v>100</v>
      </c>
      <c r="Q1117" s="897">
        <v>100</v>
      </c>
    </row>
    <row r="1118" spans="1:17" ht="30" x14ac:dyDescent="0.25">
      <c r="A1118" s="902"/>
      <c r="B1118" s="1129"/>
      <c r="C1118" s="912" t="s">
        <v>10</v>
      </c>
      <c r="D1118" s="253"/>
      <c r="E1118" s="978" t="s">
        <v>11</v>
      </c>
      <c r="F1118" s="1136"/>
      <c r="G1118" s="1136"/>
      <c r="H1118" s="961">
        <f>6008.3+711.8</f>
        <v>6720.1</v>
      </c>
      <c r="I1118" s="928">
        <v>6069.5539888902431</v>
      </c>
      <c r="J1118" s="928">
        <v>6131.8063132339212</v>
      </c>
      <c r="K1118" s="914" t="s">
        <v>226</v>
      </c>
      <c r="L1118" s="1002" t="s">
        <v>182</v>
      </c>
      <c r="M1118" s="1002">
        <v>70.599999999999994</v>
      </c>
      <c r="N1118" s="1002" t="s">
        <v>383</v>
      </c>
      <c r="O1118" s="1002" t="s">
        <v>383</v>
      </c>
      <c r="P1118" s="1002" t="s">
        <v>383</v>
      </c>
      <c r="Q1118" s="1002" t="s">
        <v>383</v>
      </c>
    </row>
    <row r="1119" spans="1:17" ht="30" x14ac:dyDescent="0.25">
      <c r="A1119" s="902"/>
      <c r="B1119" s="1129"/>
      <c r="C1119" s="904" t="s">
        <v>12</v>
      </c>
      <c r="D1119" s="266"/>
      <c r="E1119" s="312" t="s">
        <v>13</v>
      </c>
      <c r="F1119" s="1266"/>
      <c r="G1119" s="1266"/>
      <c r="H1119" s="347">
        <f>4019+616.7</f>
        <v>4635.7</v>
      </c>
      <c r="I1119" s="910">
        <v>4059.9732838489899</v>
      </c>
      <c r="J1119" s="910">
        <v>4101.6143622800337</v>
      </c>
      <c r="K1119" s="916" t="s">
        <v>187</v>
      </c>
      <c r="L1119" s="949" t="s">
        <v>424</v>
      </c>
      <c r="M1119" s="949" t="s">
        <v>1630</v>
      </c>
      <c r="N1119" s="949" t="s">
        <v>383</v>
      </c>
      <c r="O1119" s="949" t="s">
        <v>383</v>
      </c>
      <c r="P1119" s="949" t="s">
        <v>383</v>
      </c>
      <c r="Q1119" s="949" t="s">
        <v>383</v>
      </c>
    </row>
    <row r="1120" spans="1:17" ht="30" x14ac:dyDescent="0.25">
      <c r="A1120" s="902"/>
      <c r="B1120" s="1129"/>
      <c r="C1120" s="904" t="s">
        <v>16</v>
      </c>
      <c r="D1120" s="13"/>
      <c r="E1120" s="312" t="s">
        <v>17</v>
      </c>
      <c r="F1120" s="1266">
        <v>104781.9</v>
      </c>
      <c r="G1120" s="1266">
        <v>134293</v>
      </c>
      <c r="H1120" s="961">
        <f>206020.6+18524.8</f>
        <v>224545.4</v>
      </c>
      <c r="I1120" s="910">
        <v>156769.4182614228</v>
      </c>
      <c r="J1120" s="910">
        <v>158377.32234970399</v>
      </c>
      <c r="K1120" s="916" t="s">
        <v>292</v>
      </c>
      <c r="L1120" s="949" t="s">
        <v>182</v>
      </c>
      <c r="M1120" s="949" t="s">
        <v>1631</v>
      </c>
      <c r="N1120" s="949" t="s">
        <v>1631</v>
      </c>
      <c r="O1120" s="949" t="s">
        <v>1631</v>
      </c>
      <c r="P1120" s="949" t="s">
        <v>1631</v>
      </c>
      <c r="Q1120" s="949" t="s">
        <v>1631</v>
      </c>
    </row>
    <row r="1121" spans="1:17" ht="28.5" x14ac:dyDescent="0.25">
      <c r="A1121" s="902">
        <v>47</v>
      </c>
      <c r="B1121" s="1047">
        <v>2</v>
      </c>
      <c r="C1121" s="912"/>
      <c r="D1121" s="976"/>
      <c r="E1121" s="1006" t="s">
        <v>1632</v>
      </c>
      <c r="F1121" s="950">
        <v>742863.4</v>
      </c>
      <c r="G1121" s="950">
        <v>1082131.7999999998</v>
      </c>
      <c r="H1121" s="950">
        <f>SUM(H1122:H1124)</f>
        <v>1448047.5999999999</v>
      </c>
      <c r="I1121" s="950">
        <v>1435782.5291197486</v>
      </c>
      <c r="J1121" s="950">
        <v>1450508.5193486768</v>
      </c>
      <c r="K1121" s="953" t="s">
        <v>1633</v>
      </c>
      <c r="L1121" s="949"/>
      <c r="M1121" s="1010">
        <v>104.3</v>
      </c>
      <c r="N1121" s="1010">
        <v>114.3</v>
      </c>
      <c r="O1121" s="1010">
        <v>106.1</v>
      </c>
      <c r="P1121" s="1010">
        <v>105.1</v>
      </c>
      <c r="Q1121" s="1010"/>
    </row>
    <row r="1122" spans="1:17" ht="30" x14ac:dyDescent="0.25">
      <c r="A1122" s="906"/>
      <c r="B1122" s="979"/>
      <c r="C1122" s="909" t="s">
        <v>6</v>
      </c>
      <c r="D1122" s="299"/>
      <c r="E1122" s="312" t="s">
        <v>1634</v>
      </c>
      <c r="F1122" s="928">
        <v>376982.2</v>
      </c>
      <c r="G1122" s="347">
        <v>647651.69999999995</v>
      </c>
      <c r="H1122" s="347">
        <v>676960.8</v>
      </c>
      <c r="I1122" s="910">
        <v>657073.69312763039</v>
      </c>
      <c r="J1122" s="910">
        <v>663812.96338326228</v>
      </c>
      <c r="K1122" s="916" t="s">
        <v>1635</v>
      </c>
      <c r="L1122" s="949" t="s">
        <v>182</v>
      </c>
      <c r="M1122" s="994">
        <v>97.7</v>
      </c>
      <c r="N1122" s="994">
        <v>100</v>
      </c>
      <c r="O1122" s="994">
        <v>100</v>
      </c>
      <c r="P1122" s="994">
        <v>100</v>
      </c>
      <c r="Q1122" s="994">
        <v>100</v>
      </c>
    </row>
    <row r="1123" spans="1:17" ht="30" x14ac:dyDescent="0.25">
      <c r="A1123" s="971"/>
      <c r="B1123" s="990"/>
      <c r="C1123" s="973" t="s">
        <v>8</v>
      </c>
      <c r="D1123" s="1114"/>
      <c r="E1123" s="901" t="s">
        <v>1636</v>
      </c>
      <c r="F1123" s="988">
        <v>365881.2</v>
      </c>
      <c r="G1123" s="988">
        <v>434480.1</v>
      </c>
      <c r="H1123" s="988">
        <v>433885.6</v>
      </c>
      <c r="I1123" s="952">
        <v>438069.90509343176</v>
      </c>
      <c r="J1123" s="952">
        <v>442562.96502287599</v>
      </c>
      <c r="K1123" s="982" t="s">
        <v>1637</v>
      </c>
      <c r="L1123" s="311" t="s">
        <v>189</v>
      </c>
      <c r="M1123" s="1008">
        <v>27259</v>
      </c>
      <c r="N1123" s="1008">
        <v>50000</v>
      </c>
      <c r="O1123" s="1008" t="s">
        <v>383</v>
      </c>
      <c r="P1123" s="1008" t="s">
        <v>383</v>
      </c>
      <c r="Q1123" s="1008" t="s">
        <v>383</v>
      </c>
    </row>
    <row r="1124" spans="1:17" ht="30" x14ac:dyDescent="0.25">
      <c r="A1124" s="1267"/>
      <c r="B1124" s="1263"/>
      <c r="C1124" s="896" t="s">
        <v>10</v>
      </c>
      <c r="D1124" s="325"/>
      <c r="E1124" s="901" t="s">
        <v>1638</v>
      </c>
      <c r="F1124" s="988"/>
      <c r="G1124" s="988"/>
      <c r="H1124" s="988">
        <v>337201.2</v>
      </c>
      <c r="I1124" s="952">
        <v>340638.93089868629</v>
      </c>
      <c r="J1124" s="952">
        <v>344132.69094253861</v>
      </c>
      <c r="K1124" s="982" t="s">
        <v>1639</v>
      </c>
      <c r="L1124" s="311" t="s">
        <v>182</v>
      </c>
      <c r="M1124" s="1008">
        <v>5</v>
      </c>
      <c r="N1124" s="1008">
        <v>5</v>
      </c>
      <c r="O1124" s="1008">
        <v>5</v>
      </c>
      <c r="P1124" s="1008">
        <v>5</v>
      </c>
      <c r="Q1124" s="1008">
        <v>5</v>
      </c>
    </row>
    <row r="1125" spans="1:17" ht="32.25" customHeight="1" x14ac:dyDescent="0.25">
      <c r="A1125" s="2246" t="s">
        <v>1640</v>
      </c>
      <c r="B1125" s="2247"/>
      <c r="C1125" s="1822"/>
      <c r="D1125" s="1822"/>
      <c r="E1125" s="1822"/>
      <c r="F1125" s="795">
        <v>872288.1</v>
      </c>
      <c r="G1125" s="795">
        <v>1238180.1999999997</v>
      </c>
      <c r="H1125" s="795">
        <f>H1114+H1121</f>
        <v>1702710.0999999999</v>
      </c>
      <c r="I1125" s="795">
        <v>1618409.3999969247</v>
      </c>
      <c r="J1125" s="795">
        <v>1635008.400012057</v>
      </c>
      <c r="K1125" s="796"/>
      <c r="L1125" s="797"/>
      <c r="M1125" s="797"/>
      <c r="N1125" s="797"/>
      <c r="O1125" s="797"/>
      <c r="P1125" s="797"/>
      <c r="Q1125" s="797"/>
    </row>
    <row r="1126" spans="1:17" ht="15.75" thickBot="1" x14ac:dyDescent="0.3">
      <c r="A1126" s="1826" t="s">
        <v>1641</v>
      </c>
      <c r="B1126" s="1827"/>
      <c r="C1126" s="1827"/>
      <c r="D1126" s="1827"/>
      <c r="E1126" s="1827"/>
      <c r="F1126" s="1827"/>
      <c r="G1126" s="1827"/>
      <c r="H1126" s="1827"/>
      <c r="I1126" s="1827"/>
      <c r="J1126" s="1827"/>
      <c r="K1126" s="1827"/>
      <c r="L1126" s="1827"/>
      <c r="M1126" s="1827"/>
      <c r="N1126" s="1827"/>
      <c r="O1126" s="1827"/>
      <c r="P1126" s="1827"/>
      <c r="Q1126" s="1828"/>
    </row>
    <row r="1127" spans="1:17" ht="59.25" x14ac:dyDescent="0.25">
      <c r="A1127" s="556">
        <v>48</v>
      </c>
      <c r="B1127" s="979">
        <v>1</v>
      </c>
      <c r="C1127" s="939"/>
      <c r="D1127" s="53"/>
      <c r="E1127" s="1034" t="s">
        <v>2895</v>
      </c>
      <c r="F1127" s="720">
        <v>205974.80000000002</v>
      </c>
      <c r="G1127" s="720">
        <v>191643.7</v>
      </c>
      <c r="H1127" s="720">
        <f>SUM(H1128:H1134)</f>
        <v>357442.39999999997</v>
      </c>
      <c r="I1127" s="720">
        <v>179139.5</v>
      </c>
      <c r="J1127" s="720">
        <v>180889.7</v>
      </c>
      <c r="K1127" s="954" t="s">
        <v>181</v>
      </c>
      <c r="L1127" s="1011" t="s">
        <v>182</v>
      </c>
      <c r="M1127" s="1011" t="s">
        <v>311</v>
      </c>
      <c r="N1127" s="1011" t="s">
        <v>311</v>
      </c>
      <c r="O1127" s="1011" t="s">
        <v>311</v>
      </c>
      <c r="P1127" s="1011" t="s">
        <v>311</v>
      </c>
      <c r="Q1127" s="1011" t="s">
        <v>311</v>
      </c>
    </row>
    <row r="1128" spans="1:17" x14ac:dyDescent="0.25">
      <c r="A1128" s="902"/>
      <c r="B1128" s="1129"/>
      <c r="C1128" s="960">
        <v>1</v>
      </c>
      <c r="D1128" s="253"/>
      <c r="E1128" s="55" t="s">
        <v>1627</v>
      </c>
      <c r="F1128" s="1017">
        <v>27798.6</v>
      </c>
      <c r="G1128" s="1017">
        <v>13364.2</v>
      </c>
      <c r="H1128" s="1017">
        <f>38320.3+1970.1</f>
        <v>40290.400000000001</v>
      </c>
      <c r="I1128" s="1017">
        <v>20932.599999999999</v>
      </c>
      <c r="J1128" s="1017">
        <v>21087.3</v>
      </c>
      <c r="K1128" s="914" t="s">
        <v>183</v>
      </c>
      <c r="L1128" s="1002" t="s">
        <v>184</v>
      </c>
      <c r="M1128" s="640">
        <v>9.1</v>
      </c>
      <c r="N1128" s="640" t="s">
        <v>311</v>
      </c>
      <c r="O1128" s="640" t="s">
        <v>311</v>
      </c>
      <c r="P1128" s="640" t="s">
        <v>311</v>
      </c>
      <c r="Q1128" s="640" t="s">
        <v>311</v>
      </c>
    </row>
    <row r="1129" spans="1:17" ht="30" x14ac:dyDescent="0.25">
      <c r="A1129" s="902"/>
      <c r="B1129" s="1257"/>
      <c r="C1129" s="432">
        <v>2</v>
      </c>
      <c r="D1129" s="253"/>
      <c r="E1129" s="667" t="s">
        <v>171</v>
      </c>
      <c r="F1129" s="1017">
        <v>23843.4</v>
      </c>
      <c r="G1129" s="1017">
        <v>19855.400000000001</v>
      </c>
      <c r="H1129" s="1017">
        <f>44513.5+4967.2</f>
        <v>49480.7</v>
      </c>
      <c r="I1129" s="1017">
        <v>26022.799999999999</v>
      </c>
      <c r="J1129" s="1017">
        <v>26332.5</v>
      </c>
      <c r="K1129" s="914" t="s">
        <v>1642</v>
      </c>
      <c r="L1129" s="1002" t="s">
        <v>182</v>
      </c>
      <c r="M1129" s="640">
        <v>99.4</v>
      </c>
      <c r="N1129" s="640">
        <v>100</v>
      </c>
      <c r="O1129" s="640">
        <v>100</v>
      </c>
      <c r="P1129" s="640">
        <v>100</v>
      </c>
      <c r="Q1129" s="640">
        <v>100</v>
      </c>
    </row>
    <row r="1130" spans="1:17" ht="30" x14ac:dyDescent="0.25">
      <c r="A1130" s="902"/>
      <c r="B1130" s="1257"/>
      <c r="C1130" s="432">
        <v>3</v>
      </c>
      <c r="D1130" s="253"/>
      <c r="E1130" s="667" t="s">
        <v>1643</v>
      </c>
      <c r="F1130" s="1017">
        <v>31728.6</v>
      </c>
      <c r="G1130" s="1017">
        <v>21000.799999999999</v>
      </c>
      <c r="H1130" s="1017">
        <f>41451.4+5435.2</f>
        <v>46886.6</v>
      </c>
      <c r="I1130" s="1017">
        <v>25379.5</v>
      </c>
      <c r="J1130" s="1017">
        <v>25702.7</v>
      </c>
      <c r="K1130" s="56" t="s">
        <v>186</v>
      </c>
      <c r="L1130" s="1002" t="s">
        <v>182</v>
      </c>
      <c r="M1130" s="640" t="s">
        <v>1644</v>
      </c>
      <c r="N1130" s="640" t="s">
        <v>311</v>
      </c>
      <c r="O1130" s="640" t="s">
        <v>311</v>
      </c>
      <c r="P1130" s="640" t="s">
        <v>311</v>
      </c>
      <c r="Q1130" s="640" t="s">
        <v>311</v>
      </c>
    </row>
    <row r="1131" spans="1:17" ht="30" x14ac:dyDescent="0.25">
      <c r="A1131" s="902"/>
      <c r="B1131" s="1257"/>
      <c r="C1131" s="432">
        <v>4</v>
      </c>
      <c r="D1131" s="253"/>
      <c r="E1131" s="667" t="s">
        <v>1645</v>
      </c>
      <c r="F1131" s="1017">
        <v>10494.8</v>
      </c>
      <c r="G1131" s="1017">
        <v>8018.5</v>
      </c>
      <c r="H1131" s="1017">
        <f>23830+3017.2</f>
        <v>26847.200000000001</v>
      </c>
      <c r="I1131" s="1017">
        <v>12915.6</v>
      </c>
      <c r="J1131" s="1017">
        <v>13083.8</v>
      </c>
      <c r="K1131" s="914" t="s">
        <v>187</v>
      </c>
      <c r="L1131" s="1002" t="s">
        <v>423</v>
      </c>
      <c r="M1131" s="640">
        <v>30</v>
      </c>
      <c r="N1131" s="640" t="s">
        <v>311</v>
      </c>
      <c r="O1131" s="640" t="s">
        <v>311</v>
      </c>
      <c r="P1131" s="640" t="s">
        <v>311</v>
      </c>
      <c r="Q1131" s="640" t="s">
        <v>311</v>
      </c>
    </row>
    <row r="1132" spans="1:17" ht="30" x14ac:dyDescent="0.25">
      <c r="A1132" s="902"/>
      <c r="B1132" s="1257"/>
      <c r="C1132" s="432">
        <v>5</v>
      </c>
      <c r="D1132" s="253"/>
      <c r="E1132" s="667" t="s">
        <v>1646</v>
      </c>
      <c r="F1132" s="1017">
        <v>30467.5</v>
      </c>
      <c r="G1132" s="1017">
        <v>24819.200000000001</v>
      </c>
      <c r="H1132" s="1017">
        <f>50542.3+5677.5</f>
        <v>56219.8</v>
      </c>
      <c r="I1132" s="1017">
        <v>30817.200000000001</v>
      </c>
      <c r="J1132" s="1017">
        <v>31187.5</v>
      </c>
      <c r="K1132" s="914" t="s">
        <v>466</v>
      </c>
      <c r="L1132" s="1002" t="s">
        <v>189</v>
      </c>
      <c r="M1132" s="640">
        <v>82</v>
      </c>
      <c r="N1132" s="640" t="s">
        <v>311</v>
      </c>
      <c r="O1132" s="640" t="s">
        <v>311</v>
      </c>
      <c r="P1132" s="640" t="s">
        <v>311</v>
      </c>
      <c r="Q1132" s="640" t="s">
        <v>311</v>
      </c>
    </row>
    <row r="1133" spans="1:17" ht="45" x14ac:dyDescent="0.25">
      <c r="A1133" s="902"/>
      <c r="B1133" s="1129"/>
      <c r="C1133" s="948">
        <v>6</v>
      </c>
      <c r="D1133" s="253"/>
      <c r="E1133" s="692" t="s">
        <v>895</v>
      </c>
      <c r="F1133" s="1017">
        <v>56270.5</v>
      </c>
      <c r="G1133" s="1017">
        <v>86439.5</v>
      </c>
      <c r="H1133" s="1017">
        <f>60107.9+18644.5</f>
        <v>78752.399999999994</v>
      </c>
      <c r="I1133" s="1017">
        <v>30274.9</v>
      </c>
      <c r="J1133" s="1017">
        <v>30274.9</v>
      </c>
      <c r="K1133" s="914" t="s">
        <v>1647</v>
      </c>
      <c r="L1133" s="1002" t="s">
        <v>182</v>
      </c>
      <c r="M1133" s="1268">
        <v>20</v>
      </c>
      <c r="N1133" s="640">
        <v>20</v>
      </c>
      <c r="O1133" s="640">
        <v>20</v>
      </c>
      <c r="P1133" s="640">
        <v>20</v>
      </c>
      <c r="Q1133" s="640">
        <v>20</v>
      </c>
    </row>
    <row r="1134" spans="1:17" ht="45" x14ac:dyDescent="0.25">
      <c r="A1134" s="902"/>
      <c r="B1134" s="1129"/>
      <c r="C1134" s="948">
        <v>7</v>
      </c>
      <c r="D1134" s="253"/>
      <c r="E1134" s="692" t="s">
        <v>1648</v>
      </c>
      <c r="F1134" s="1017">
        <v>25371.4</v>
      </c>
      <c r="G1134" s="1017">
        <v>18146.099999999999</v>
      </c>
      <c r="H1134" s="1017">
        <f>51927.5+7037.8</f>
        <v>58965.3</v>
      </c>
      <c r="I1134" s="1017">
        <v>32796.9</v>
      </c>
      <c r="J1134" s="1017">
        <v>33221</v>
      </c>
      <c r="K1134" s="914" t="s">
        <v>1649</v>
      </c>
      <c r="L1134" s="1002" t="s">
        <v>189</v>
      </c>
      <c r="M1134" s="640" t="s">
        <v>311</v>
      </c>
      <c r="N1134" s="640" t="s">
        <v>311</v>
      </c>
      <c r="O1134" s="640" t="s">
        <v>311</v>
      </c>
      <c r="P1134" s="640" t="s">
        <v>311</v>
      </c>
      <c r="Q1134" s="640" t="s">
        <v>311</v>
      </c>
    </row>
    <row r="1135" spans="1:17" ht="30" x14ac:dyDescent="0.25">
      <c r="A1135" s="902">
        <v>48</v>
      </c>
      <c r="B1135" s="1129">
        <v>2</v>
      </c>
      <c r="C1135" s="906"/>
      <c r="D1135" s="1269"/>
      <c r="E1135" s="647" t="s">
        <v>1650</v>
      </c>
      <c r="F1135" s="794">
        <v>137319.20000000001</v>
      </c>
      <c r="G1135" s="794">
        <v>48492.800000000003</v>
      </c>
      <c r="H1135" s="794">
        <f>SUM(H1136:H1137)</f>
        <v>95151.1</v>
      </c>
      <c r="I1135" s="794">
        <v>50962</v>
      </c>
      <c r="J1135" s="794">
        <v>51608.6</v>
      </c>
      <c r="K1135" s="692" t="s">
        <v>1651</v>
      </c>
      <c r="L1135" s="692"/>
      <c r="M1135" s="692"/>
      <c r="N1135" s="11"/>
      <c r="O1135" s="11"/>
      <c r="P1135" s="11"/>
      <c r="Q1135" s="11"/>
    </row>
    <row r="1136" spans="1:17" ht="30" x14ac:dyDescent="0.25">
      <c r="A1136" s="902"/>
      <c r="B1136" s="1129"/>
      <c r="C1136" s="948">
        <v>1</v>
      </c>
      <c r="D1136" s="962"/>
      <c r="E1136" s="692" t="s">
        <v>1652</v>
      </c>
      <c r="F1136" s="977">
        <v>129645.5</v>
      </c>
      <c r="G1136" s="977">
        <v>46965.5</v>
      </c>
      <c r="H1136" s="1017">
        <f>76271+12247.3</f>
        <v>88518.3</v>
      </c>
      <c r="I1136" s="1017">
        <v>48555.4</v>
      </c>
      <c r="J1136" s="1017">
        <v>49174.7</v>
      </c>
      <c r="K1136" s="692" t="s">
        <v>1653</v>
      </c>
      <c r="L1136" s="692">
        <v>98.4</v>
      </c>
      <c r="M1136" s="692">
        <v>100</v>
      </c>
      <c r="N1136" s="43">
        <v>100</v>
      </c>
      <c r="O1136" s="43">
        <v>100</v>
      </c>
      <c r="P1136" s="43">
        <v>100</v>
      </c>
      <c r="Q1136" s="43">
        <v>100</v>
      </c>
    </row>
    <row r="1137" spans="1:17" ht="30" x14ac:dyDescent="0.25">
      <c r="A1137" s="902"/>
      <c r="B1137" s="1129"/>
      <c r="C1137" s="948">
        <v>2</v>
      </c>
      <c r="D1137" s="962"/>
      <c r="E1137" s="692" t="s">
        <v>1654</v>
      </c>
      <c r="F1137" s="977">
        <v>7673.7</v>
      </c>
      <c r="G1137" s="977">
        <v>1527.3</v>
      </c>
      <c r="H1137" s="1017">
        <f>5919+713.8</f>
        <v>6632.8</v>
      </c>
      <c r="I1137" s="1017">
        <v>2406.6</v>
      </c>
      <c r="J1137" s="1017">
        <v>2433.9</v>
      </c>
      <c r="K1137" s="692" t="s">
        <v>1655</v>
      </c>
      <c r="L1137" s="692" t="s">
        <v>311</v>
      </c>
      <c r="M1137" s="692">
        <v>9</v>
      </c>
      <c r="N1137" s="44">
        <v>3</v>
      </c>
      <c r="O1137" s="43" t="s">
        <v>311</v>
      </c>
      <c r="P1137" s="43" t="s">
        <v>311</v>
      </c>
      <c r="Q1137" s="43" t="s">
        <v>311</v>
      </c>
    </row>
    <row r="1138" spans="1:17" ht="59.25" x14ac:dyDescent="0.25">
      <c r="A1138" s="902">
        <v>48</v>
      </c>
      <c r="B1138" s="1129">
        <v>3</v>
      </c>
      <c r="C1138" s="906"/>
      <c r="D1138" s="1269"/>
      <c r="E1138" s="647" t="s">
        <v>1656</v>
      </c>
      <c r="F1138" s="794">
        <v>310965.8</v>
      </c>
      <c r="G1138" s="794">
        <v>331731.40000000002</v>
      </c>
      <c r="H1138" s="794">
        <f>H1139</f>
        <v>589745.9</v>
      </c>
      <c r="I1138" s="794">
        <v>349309.5</v>
      </c>
      <c r="J1138" s="794">
        <v>354579.8</v>
      </c>
      <c r="K1138" s="692" t="s">
        <v>1657</v>
      </c>
      <c r="L1138" s="692"/>
      <c r="M1138" s="692"/>
      <c r="N1138" s="11"/>
      <c r="O1138" s="11"/>
      <c r="P1138" s="11"/>
      <c r="Q1138" s="11"/>
    </row>
    <row r="1139" spans="1:17" ht="30" x14ac:dyDescent="0.25">
      <c r="A1139" s="1882"/>
      <c r="B1139" s="1891"/>
      <c r="C1139" s="2028">
        <v>1</v>
      </c>
      <c r="D1139" s="1884"/>
      <c r="E1139" s="2020" t="s">
        <v>1658</v>
      </c>
      <c r="F1139" s="1835">
        <v>310965.8</v>
      </c>
      <c r="G1139" s="1835">
        <v>331731.40000000002</v>
      </c>
      <c r="H1139" s="1835">
        <f>527723.3+62022.6</f>
        <v>589745.9</v>
      </c>
      <c r="I1139" s="1835">
        <v>349309.5</v>
      </c>
      <c r="J1139" s="1835">
        <v>354579.8</v>
      </c>
      <c r="K1139" s="692" t="s">
        <v>1659</v>
      </c>
      <c r="L1139" s="692">
        <v>195</v>
      </c>
      <c r="M1139" s="1002" t="s">
        <v>311</v>
      </c>
      <c r="N1139" s="43" t="s">
        <v>311</v>
      </c>
      <c r="O1139" s="43" t="s">
        <v>311</v>
      </c>
      <c r="P1139" s="43" t="s">
        <v>311</v>
      </c>
      <c r="Q1139" s="43" t="s">
        <v>311</v>
      </c>
    </row>
    <row r="1140" spans="1:17" ht="30" x14ac:dyDescent="0.25">
      <c r="A1140" s="1883"/>
      <c r="B1140" s="1817"/>
      <c r="C1140" s="1820"/>
      <c r="D1140" s="1885"/>
      <c r="E1140" s="2022"/>
      <c r="F1140" s="1836"/>
      <c r="G1140" s="1836"/>
      <c r="H1140" s="1836"/>
      <c r="I1140" s="1836"/>
      <c r="J1140" s="1836"/>
      <c r="K1140" s="692" t="s">
        <v>1660</v>
      </c>
      <c r="L1140" s="692"/>
      <c r="M1140" s="1002" t="s">
        <v>311</v>
      </c>
      <c r="N1140" s="43" t="s">
        <v>311</v>
      </c>
      <c r="O1140" s="43" t="s">
        <v>311</v>
      </c>
      <c r="P1140" s="43" t="s">
        <v>311</v>
      </c>
      <c r="Q1140" s="43" t="s">
        <v>311</v>
      </c>
    </row>
    <row r="1141" spans="1:17" ht="36.75" customHeight="1" x14ac:dyDescent="0.25">
      <c r="A1141" s="1840" t="s">
        <v>1661</v>
      </c>
      <c r="B1141" s="1841"/>
      <c r="C1141" s="1841"/>
      <c r="D1141" s="1841"/>
      <c r="E1141" s="1841"/>
      <c r="F1141" s="46">
        <v>654259.80000000005</v>
      </c>
      <c r="G1141" s="46">
        <v>571867.9</v>
      </c>
      <c r="H1141" s="46">
        <f>H1127+H1135+H1138</f>
        <v>1042339.4</v>
      </c>
      <c r="I1141" s="46">
        <v>579411</v>
      </c>
      <c r="J1141" s="46">
        <v>587078.1</v>
      </c>
      <c r="K1141" s="16"/>
      <c r="L1141" s="797"/>
      <c r="M1141" s="797"/>
      <c r="N1141" s="797"/>
      <c r="O1141" s="797"/>
      <c r="P1141" s="797"/>
      <c r="Q1141" s="797"/>
    </row>
    <row r="1142" spans="1:17" x14ac:dyDescent="0.25">
      <c r="A1142" s="1826" t="s">
        <v>1662</v>
      </c>
      <c r="B1142" s="1827"/>
      <c r="C1142" s="1827"/>
      <c r="D1142" s="1827"/>
      <c r="E1142" s="1827"/>
      <c r="F1142" s="1827"/>
      <c r="G1142" s="1827"/>
      <c r="H1142" s="1827"/>
      <c r="I1142" s="1827"/>
      <c r="J1142" s="1827"/>
      <c r="K1142" s="1827"/>
      <c r="L1142" s="1827"/>
      <c r="M1142" s="1827"/>
      <c r="N1142" s="1827"/>
      <c r="O1142" s="1827"/>
      <c r="P1142" s="1827"/>
      <c r="Q1142" s="1828"/>
    </row>
    <row r="1143" spans="1:17" ht="57" x14ac:dyDescent="0.25">
      <c r="A1143" s="2165">
        <v>49</v>
      </c>
      <c r="B1143" s="2244">
        <v>2</v>
      </c>
      <c r="C1143" s="2234"/>
      <c r="D1143" s="2239"/>
      <c r="E1143" s="2070" t="s">
        <v>1663</v>
      </c>
      <c r="F1143" s="2061">
        <v>9853.7000000000007</v>
      </c>
      <c r="G1143" s="2061">
        <v>11692.6</v>
      </c>
      <c r="H1143" s="2176">
        <f>SUM(H1145:H1150)</f>
        <v>11692.6</v>
      </c>
      <c r="I1143" s="2178">
        <v>11846.8</v>
      </c>
      <c r="J1143" s="2178">
        <v>12003.6</v>
      </c>
      <c r="K1143" s="1026" t="s">
        <v>1664</v>
      </c>
      <c r="L1143" s="897" t="s">
        <v>225</v>
      </c>
      <c r="M1143" s="897">
        <v>420</v>
      </c>
      <c r="N1143" s="897">
        <v>450</v>
      </c>
      <c r="O1143" s="897">
        <v>450</v>
      </c>
      <c r="P1143" s="897">
        <v>450</v>
      </c>
      <c r="Q1143" s="897">
        <v>450</v>
      </c>
    </row>
    <row r="1144" spans="1:17" ht="57" x14ac:dyDescent="0.25">
      <c r="A1144" s="2166"/>
      <c r="B1144" s="2245"/>
      <c r="C1144" s="2243"/>
      <c r="D1144" s="2240"/>
      <c r="E1144" s="2071"/>
      <c r="F1144" s="2062"/>
      <c r="G1144" s="2062"/>
      <c r="H1144" s="2176"/>
      <c r="I1144" s="2178"/>
      <c r="J1144" s="2178"/>
      <c r="K1144" s="1026" t="s">
        <v>1665</v>
      </c>
      <c r="L1144" s="454" t="s">
        <v>1666</v>
      </c>
      <c r="M1144" s="897" t="s">
        <v>1667</v>
      </c>
      <c r="N1144" s="897" t="s">
        <v>1668</v>
      </c>
      <c r="O1144" s="897" t="s">
        <v>1669</v>
      </c>
      <c r="P1144" s="897" t="s">
        <v>1670</v>
      </c>
      <c r="Q1144" s="897" t="s">
        <v>1671</v>
      </c>
    </row>
    <row r="1145" spans="1:17" ht="30" x14ac:dyDescent="0.25">
      <c r="A1145" s="1919"/>
      <c r="B1145" s="1920"/>
      <c r="C1145" s="1922" t="s">
        <v>6</v>
      </c>
      <c r="D1145" s="2239"/>
      <c r="E1145" s="2012" t="s">
        <v>1672</v>
      </c>
      <c r="F1145" s="1868">
        <v>1598.3</v>
      </c>
      <c r="G1145" s="1868">
        <v>1610</v>
      </c>
      <c r="H1145" s="1870">
        <v>1716</v>
      </c>
      <c r="I1145" s="1872">
        <v>1610</v>
      </c>
      <c r="J1145" s="1872">
        <v>1610</v>
      </c>
      <c r="K1145" s="901" t="s">
        <v>1673</v>
      </c>
      <c r="L1145" s="897" t="s">
        <v>222</v>
      </c>
      <c r="M1145" s="897">
        <v>6</v>
      </c>
      <c r="N1145" s="1116">
        <v>8</v>
      </c>
      <c r="O1145" s="1116">
        <v>9</v>
      </c>
      <c r="P1145" s="1116">
        <v>10</v>
      </c>
      <c r="Q1145" s="1116">
        <v>10</v>
      </c>
    </row>
    <row r="1146" spans="1:17" x14ac:dyDescent="0.25">
      <c r="A1146" s="1919"/>
      <c r="B1146" s="1921"/>
      <c r="C1146" s="1922"/>
      <c r="D1146" s="2240"/>
      <c r="E1146" s="2012"/>
      <c r="F1146" s="1869"/>
      <c r="G1146" s="1869"/>
      <c r="H1146" s="2238"/>
      <c r="I1146" s="2232"/>
      <c r="J1146" s="2232"/>
      <c r="K1146" s="901" t="s">
        <v>1674</v>
      </c>
      <c r="L1146" s="897" t="s">
        <v>191</v>
      </c>
      <c r="M1146" s="897">
        <v>774</v>
      </c>
      <c r="N1146" s="1116">
        <v>2100</v>
      </c>
      <c r="O1146" s="1116">
        <v>2150</v>
      </c>
      <c r="P1146" s="1116">
        <v>2200</v>
      </c>
      <c r="Q1146" s="1116">
        <v>2200</v>
      </c>
    </row>
    <row r="1147" spans="1:17" x14ac:dyDescent="0.25">
      <c r="A1147" s="1062"/>
      <c r="B1147" s="1920"/>
      <c r="C1147" s="2217" t="s">
        <v>8</v>
      </c>
      <c r="D1147" s="2239"/>
      <c r="E1147" s="1874" t="s">
        <v>1675</v>
      </c>
      <c r="F1147" s="1868">
        <v>105.9</v>
      </c>
      <c r="G1147" s="1868">
        <v>106</v>
      </c>
      <c r="H1147" s="1872">
        <v>59.5</v>
      </c>
      <c r="I1147" s="1872">
        <v>107.3</v>
      </c>
      <c r="J1147" s="1872">
        <v>107.7</v>
      </c>
      <c r="K1147" s="901"/>
      <c r="L1147" s="897"/>
      <c r="M1147" s="897"/>
      <c r="N1147" s="1116"/>
      <c r="O1147" s="1116"/>
      <c r="P1147" s="1116"/>
      <c r="Q1147" s="1116"/>
    </row>
    <row r="1148" spans="1:17" ht="30" x14ac:dyDescent="0.25">
      <c r="A1148" s="572"/>
      <c r="B1148" s="2216"/>
      <c r="C1148" s="2218"/>
      <c r="D1148" s="2241"/>
      <c r="E1148" s="1969"/>
      <c r="F1148" s="2145"/>
      <c r="G1148" s="2145"/>
      <c r="H1148" s="2242"/>
      <c r="I1148" s="2242"/>
      <c r="J1148" s="2242"/>
      <c r="K1148" s="901" t="s">
        <v>1676</v>
      </c>
      <c r="L1148" s="897" t="s">
        <v>222</v>
      </c>
      <c r="M1148" s="897">
        <v>162</v>
      </c>
      <c r="N1148" s="897">
        <v>160</v>
      </c>
      <c r="O1148" s="897">
        <v>165</v>
      </c>
      <c r="P1148" s="897">
        <v>170</v>
      </c>
      <c r="Q1148" s="897">
        <v>175</v>
      </c>
    </row>
    <row r="1149" spans="1:17" ht="45" x14ac:dyDescent="0.25">
      <c r="A1149" s="572"/>
      <c r="B1149" s="1921"/>
      <c r="C1149" s="2001"/>
      <c r="D1149" s="2240"/>
      <c r="E1149" s="1875"/>
      <c r="F1149" s="1869"/>
      <c r="G1149" s="1869"/>
      <c r="H1149" s="2232"/>
      <c r="I1149" s="2232"/>
      <c r="J1149" s="2232"/>
      <c r="K1149" s="982" t="s">
        <v>1677</v>
      </c>
      <c r="L1149" s="311" t="s">
        <v>1678</v>
      </c>
      <c r="M1149" s="311">
        <v>5821</v>
      </c>
      <c r="N1149" s="311">
        <v>6150</v>
      </c>
      <c r="O1149" s="311">
        <v>6200</v>
      </c>
      <c r="P1149" s="311">
        <v>6250</v>
      </c>
      <c r="Q1149" s="311">
        <v>6300</v>
      </c>
    </row>
    <row r="1150" spans="1:17" ht="45" x14ac:dyDescent="0.25">
      <c r="A1150" s="1062"/>
      <c r="B1150" s="493"/>
      <c r="C1150" s="1049" t="s">
        <v>10</v>
      </c>
      <c r="D1150" s="214"/>
      <c r="E1150" s="998" t="s">
        <v>1679</v>
      </c>
      <c r="F1150" s="1220">
        <v>8149.5</v>
      </c>
      <c r="G1150" s="1220">
        <v>9976.6</v>
      </c>
      <c r="H1150" s="988">
        <v>9917.1</v>
      </c>
      <c r="I1150" s="952">
        <v>10129.5</v>
      </c>
      <c r="J1150" s="952">
        <v>10285.9</v>
      </c>
      <c r="K1150" s="982" t="s">
        <v>1680</v>
      </c>
      <c r="L1150" s="311" t="s">
        <v>182</v>
      </c>
      <c r="M1150" s="311">
        <v>30</v>
      </c>
      <c r="N1150" s="1016">
        <v>50</v>
      </c>
      <c r="O1150" s="1016">
        <v>55</v>
      </c>
      <c r="P1150" s="1016">
        <v>60</v>
      </c>
      <c r="Q1150" s="1016">
        <v>65</v>
      </c>
    </row>
    <row r="1151" spans="1:17" ht="42.75" x14ac:dyDescent="0.25">
      <c r="A1151" s="2165">
        <v>49</v>
      </c>
      <c r="B1151" s="2161">
        <v>3</v>
      </c>
      <c r="C1151" s="2234"/>
      <c r="D1151" s="2239"/>
      <c r="E1151" s="2070" t="s">
        <v>1681</v>
      </c>
      <c r="F1151" s="2061">
        <v>50999.7</v>
      </c>
      <c r="G1151" s="2061">
        <v>28008.7</v>
      </c>
      <c r="H1151" s="2176">
        <f>SUM(H1153:H1156)</f>
        <v>28008.7</v>
      </c>
      <c r="I1151" s="2178">
        <v>28378.2</v>
      </c>
      <c r="J1151" s="2178">
        <v>28753.600526299997</v>
      </c>
      <c r="K1151" s="1026" t="s">
        <v>1682</v>
      </c>
      <c r="L1151" s="454" t="s">
        <v>191</v>
      </c>
      <c r="M1151" s="897">
        <v>195</v>
      </c>
      <c r="N1151" s="897">
        <v>201</v>
      </c>
      <c r="O1151" s="897">
        <v>259</v>
      </c>
      <c r="P1151" s="897">
        <v>270</v>
      </c>
      <c r="Q1151" s="897">
        <v>270</v>
      </c>
    </row>
    <row r="1152" spans="1:17" ht="60" x14ac:dyDescent="0.25">
      <c r="A1152" s="2166"/>
      <c r="B1152" s="2162"/>
      <c r="C1152" s="2243"/>
      <c r="D1152" s="2240"/>
      <c r="E1152" s="2071"/>
      <c r="F1152" s="2062"/>
      <c r="G1152" s="2062"/>
      <c r="H1152" s="2176"/>
      <c r="I1152" s="2178"/>
      <c r="J1152" s="2178"/>
      <c r="K1152" s="901" t="s">
        <v>1683</v>
      </c>
      <c r="L1152" s="1025" t="s">
        <v>1684</v>
      </c>
      <c r="M1152" s="1270">
        <v>171580</v>
      </c>
      <c r="N1152" s="1002">
        <v>160273</v>
      </c>
      <c r="O1152" s="1002">
        <v>160273</v>
      </c>
      <c r="P1152" s="1002">
        <v>162356</v>
      </c>
      <c r="Q1152" s="1002">
        <v>164467</v>
      </c>
    </row>
    <row r="1153" spans="1:17" ht="30" x14ac:dyDescent="0.25">
      <c r="A1153" s="1919"/>
      <c r="B1153" s="1920"/>
      <c r="C1153" s="1922" t="s">
        <v>6</v>
      </c>
      <c r="D1153" s="2239"/>
      <c r="E1153" s="2012" t="s">
        <v>1685</v>
      </c>
      <c r="F1153" s="1868">
        <v>32223.7</v>
      </c>
      <c r="G1153" s="1868">
        <v>19232.7</v>
      </c>
      <c r="H1153" s="1870">
        <v>19232.7</v>
      </c>
      <c r="I1153" s="2014">
        <v>19482.7</v>
      </c>
      <c r="J1153" s="2014">
        <v>19736.000526299998</v>
      </c>
      <c r="K1153" s="983" t="s">
        <v>1686</v>
      </c>
      <c r="L1153" s="999" t="s">
        <v>203</v>
      </c>
      <c r="M1153" s="1043">
        <v>13423</v>
      </c>
      <c r="N1153" s="1043">
        <v>13500</v>
      </c>
      <c r="O1153" s="1043">
        <v>13500</v>
      </c>
      <c r="P1153" s="1271">
        <v>13700</v>
      </c>
      <c r="Q1153" s="1271">
        <v>14000</v>
      </c>
    </row>
    <row r="1154" spans="1:17" ht="45" x14ac:dyDescent="0.25">
      <c r="A1154" s="1919"/>
      <c r="B1154" s="1921"/>
      <c r="C1154" s="1922"/>
      <c r="D1154" s="2240"/>
      <c r="E1154" s="2012"/>
      <c r="F1154" s="1869"/>
      <c r="G1154" s="1869"/>
      <c r="H1154" s="2238"/>
      <c r="I1154" s="2014"/>
      <c r="J1154" s="2014"/>
      <c r="K1154" s="998" t="s">
        <v>1687</v>
      </c>
      <c r="L1154" s="1125" t="s">
        <v>420</v>
      </c>
      <c r="M1154" s="25">
        <v>9062</v>
      </c>
      <c r="N1154" s="1116">
        <v>10000</v>
      </c>
      <c r="O1154" s="1116">
        <v>10000</v>
      </c>
      <c r="P1154" s="1116">
        <v>10000</v>
      </c>
      <c r="Q1154" s="1116">
        <v>10000</v>
      </c>
    </row>
    <row r="1155" spans="1:17" x14ac:dyDescent="0.25">
      <c r="A1155" s="1919"/>
      <c r="B1155" s="1920"/>
      <c r="C1155" s="1922" t="s">
        <v>8</v>
      </c>
      <c r="D1155" s="2239"/>
      <c r="E1155" s="1866" t="s">
        <v>1688</v>
      </c>
      <c r="F1155" s="1868">
        <v>18776</v>
      </c>
      <c r="G1155" s="1868">
        <v>8776</v>
      </c>
      <c r="H1155" s="1870">
        <v>8776</v>
      </c>
      <c r="I1155" s="1872">
        <v>8895.5</v>
      </c>
      <c r="J1155" s="1872">
        <v>9017.6</v>
      </c>
      <c r="K1155" s="1272"/>
      <c r="L1155" s="1273"/>
      <c r="M1155" s="1274"/>
      <c r="N1155" s="1273"/>
      <c r="O1155" s="1273"/>
      <c r="P1155" s="1273"/>
      <c r="Q1155" s="1273"/>
    </row>
    <row r="1156" spans="1:17" x14ac:dyDescent="0.25">
      <c r="A1156" s="1919"/>
      <c r="B1156" s="1921"/>
      <c r="C1156" s="1922"/>
      <c r="D1156" s="2240"/>
      <c r="E1156" s="1867"/>
      <c r="F1156" s="1869"/>
      <c r="G1156" s="1869"/>
      <c r="H1156" s="2238"/>
      <c r="I1156" s="2232"/>
      <c r="J1156" s="2232"/>
      <c r="K1156" s="1272"/>
      <c r="L1156" s="1273"/>
      <c r="M1156" s="1275"/>
      <c r="N1156" s="1273"/>
      <c r="O1156" s="1273"/>
      <c r="P1156" s="1273"/>
      <c r="Q1156" s="1273"/>
    </row>
    <row r="1157" spans="1:17" ht="36.75" customHeight="1" x14ac:dyDescent="0.25">
      <c r="A1157" s="1823" t="s">
        <v>1689</v>
      </c>
      <c r="B1157" s="1823"/>
      <c r="C1157" s="1823"/>
      <c r="D1157" s="1823"/>
      <c r="E1157" s="1840"/>
      <c r="F1157" s="46">
        <v>60853.399999999994</v>
      </c>
      <c r="G1157" s="46">
        <v>39701.300000000003</v>
      </c>
      <c r="H1157" s="46">
        <f>H1143+H1151</f>
        <v>39701.300000000003</v>
      </c>
      <c r="I1157" s="46">
        <v>40225</v>
      </c>
      <c r="J1157" s="46">
        <v>40757.200526299996</v>
      </c>
      <c r="K1157" s="16"/>
      <c r="L1157" s="958"/>
      <c r="M1157" s="958"/>
      <c r="N1157" s="958"/>
      <c r="O1157" s="958"/>
      <c r="P1157" s="958"/>
      <c r="Q1157" s="958"/>
    </row>
    <row r="1158" spans="1:17" x14ac:dyDescent="0.25">
      <c r="A1158" s="1826" t="s">
        <v>1690</v>
      </c>
      <c r="B1158" s="1827"/>
      <c r="C1158" s="1827"/>
      <c r="D1158" s="1827"/>
      <c r="E1158" s="1827"/>
      <c r="F1158" s="1827"/>
      <c r="G1158" s="1827"/>
      <c r="H1158" s="1827"/>
      <c r="I1158" s="1827"/>
      <c r="J1158" s="1827"/>
      <c r="K1158" s="1827"/>
      <c r="L1158" s="1827"/>
      <c r="M1158" s="1827"/>
      <c r="N1158" s="1827"/>
      <c r="O1158" s="1827"/>
      <c r="P1158" s="1827"/>
      <c r="Q1158" s="1828"/>
    </row>
    <row r="1159" spans="1:17" ht="73.5" x14ac:dyDescent="0.25">
      <c r="A1159" s="792">
        <v>50</v>
      </c>
      <c r="B1159" s="507">
        <v>1</v>
      </c>
      <c r="C1159" s="896"/>
      <c r="D1159" s="1216"/>
      <c r="E1159" s="1051" t="s">
        <v>810</v>
      </c>
      <c r="F1159" s="1276">
        <v>5775.1</v>
      </c>
      <c r="G1159" s="1276">
        <v>5851.8</v>
      </c>
      <c r="H1159" s="1276">
        <f>SUM(H1160:H1163)</f>
        <v>32535.899999999998</v>
      </c>
      <c r="I1159" s="1276">
        <v>5930.4</v>
      </c>
      <c r="J1159" s="1276">
        <v>6007.5</v>
      </c>
      <c r="K1159" s="1026" t="s">
        <v>181</v>
      </c>
      <c r="L1159" s="454" t="s">
        <v>182</v>
      </c>
      <c r="M1159" s="1277">
        <v>1</v>
      </c>
      <c r="N1159" s="1277">
        <v>1</v>
      </c>
      <c r="O1159" s="454"/>
      <c r="P1159" s="454"/>
      <c r="Q1159" s="454"/>
    </row>
    <row r="1160" spans="1:17" x14ac:dyDescent="0.25">
      <c r="A1160" s="576"/>
      <c r="B1160" s="1278"/>
      <c r="C1160" s="973" t="s">
        <v>6</v>
      </c>
      <c r="D1160" s="1095"/>
      <c r="E1160" s="969" t="s">
        <v>1627</v>
      </c>
      <c r="F1160" s="1220">
        <v>2180.1</v>
      </c>
      <c r="G1160" s="1220">
        <v>2209</v>
      </c>
      <c r="H1160" s="1023">
        <v>1451.2</v>
      </c>
      <c r="I1160" s="1061">
        <v>2251.1</v>
      </c>
      <c r="J1160" s="1061">
        <v>2280.3000000000002</v>
      </c>
      <c r="K1160" s="1026"/>
      <c r="L1160" s="454"/>
      <c r="M1160" s="1277"/>
      <c r="N1160" s="1277"/>
      <c r="O1160" s="454"/>
      <c r="P1160" s="454"/>
      <c r="Q1160" s="454"/>
    </row>
    <row r="1161" spans="1:17" x14ac:dyDescent="0.25">
      <c r="A1161" s="576"/>
      <c r="B1161" s="1279"/>
      <c r="C1161" s="1280" t="s">
        <v>8</v>
      </c>
      <c r="D1161" s="1102"/>
      <c r="E1161" s="1000" t="s">
        <v>9</v>
      </c>
      <c r="F1161" s="1220">
        <v>3595</v>
      </c>
      <c r="G1161" s="1220">
        <v>3642.8</v>
      </c>
      <c r="H1161" s="1023">
        <v>1378.6</v>
      </c>
      <c r="I1161" s="1061">
        <v>3679.3</v>
      </c>
      <c r="J1161" s="1061">
        <v>3727.2</v>
      </c>
      <c r="K1161" s="901" t="s">
        <v>185</v>
      </c>
      <c r="L1161" s="897" t="s">
        <v>182</v>
      </c>
      <c r="M1161" s="1281">
        <v>1</v>
      </c>
      <c r="N1161" s="1281">
        <v>1</v>
      </c>
      <c r="O1161" s="454"/>
      <c r="P1161" s="454"/>
      <c r="Q1161" s="454"/>
    </row>
    <row r="1162" spans="1:17" x14ac:dyDescent="0.25">
      <c r="A1162" s="576"/>
      <c r="B1162" s="1279"/>
      <c r="C1162" s="1282" t="s">
        <v>10</v>
      </c>
      <c r="D1162" s="1218"/>
      <c r="E1162" s="993" t="s">
        <v>11</v>
      </c>
      <c r="F1162" s="1283"/>
      <c r="G1162" s="1283"/>
      <c r="H1162" s="988">
        <v>237</v>
      </c>
      <c r="I1162" s="952"/>
      <c r="J1162" s="952"/>
      <c r="K1162" s="982"/>
      <c r="L1162" s="311"/>
      <c r="M1162" s="1284"/>
      <c r="N1162" s="1284"/>
      <c r="O1162" s="1021"/>
      <c r="P1162" s="1021"/>
      <c r="Q1162" s="1021"/>
    </row>
    <row r="1163" spans="1:17" ht="30" x14ac:dyDescent="0.25">
      <c r="A1163" s="576"/>
      <c r="B1163" s="1279"/>
      <c r="C1163" s="1282" t="s">
        <v>48</v>
      </c>
      <c r="D1163" s="1285"/>
      <c r="E1163" s="993" t="s">
        <v>66</v>
      </c>
      <c r="F1163" s="1283"/>
      <c r="G1163" s="1283"/>
      <c r="H1163" s="988">
        <v>29469.1</v>
      </c>
      <c r="I1163" s="952"/>
      <c r="J1163" s="952"/>
      <c r="K1163" s="982"/>
      <c r="L1163" s="311"/>
      <c r="M1163" s="1284"/>
      <c r="N1163" s="1284"/>
      <c r="O1163" s="1021"/>
      <c r="P1163" s="1021"/>
      <c r="Q1163" s="1021"/>
    </row>
    <row r="1164" spans="1:17" x14ac:dyDescent="0.25">
      <c r="A1164" s="2165">
        <v>50</v>
      </c>
      <c r="B1164" s="2161">
        <v>2</v>
      </c>
      <c r="C1164" s="2234"/>
      <c r="D1164" s="2236"/>
      <c r="E1164" s="2070" t="s">
        <v>1691</v>
      </c>
      <c r="F1164" s="2178">
        <v>12542.2</v>
      </c>
      <c r="G1164" s="2063">
        <v>24551.699999999997</v>
      </c>
      <c r="H1164" s="2063">
        <f>SUM(H1166:H1178)</f>
        <v>0</v>
      </c>
      <c r="I1164" s="2063">
        <v>24874.1</v>
      </c>
      <c r="J1164" s="2063">
        <v>25204.7</v>
      </c>
      <c r="K1164" s="1019"/>
      <c r="L1164" s="1021"/>
      <c r="M1164" s="1021"/>
      <c r="N1164" s="1021"/>
      <c r="O1164" s="1021"/>
      <c r="P1164" s="1021"/>
      <c r="Q1164" s="1021"/>
    </row>
    <row r="1165" spans="1:17" ht="28.5" x14ac:dyDescent="0.25">
      <c r="A1165" s="2221"/>
      <c r="B1165" s="2162"/>
      <c r="C1165" s="2235"/>
      <c r="D1165" s="2237"/>
      <c r="E1165" s="2071"/>
      <c r="F1165" s="2178">
        <v>24549.7</v>
      </c>
      <c r="G1165" s="2064">
        <v>24550.7</v>
      </c>
      <c r="H1165" s="2064">
        <v>24551.699999999997</v>
      </c>
      <c r="I1165" s="2064">
        <v>24552.7</v>
      </c>
      <c r="J1165" s="2064">
        <v>24553.7</v>
      </c>
      <c r="K1165" s="1020" t="s">
        <v>1692</v>
      </c>
      <c r="L1165" s="1022"/>
      <c r="M1165" s="1022"/>
      <c r="N1165" s="1022"/>
      <c r="O1165" s="1022"/>
      <c r="P1165" s="1022"/>
      <c r="Q1165" s="1022"/>
    </row>
    <row r="1166" spans="1:17" ht="45" x14ac:dyDescent="0.25">
      <c r="A1166" s="2165"/>
      <c r="B1166" s="1286"/>
      <c r="C1166" s="2217" t="s">
        <v>6</v>
      </c>
      <c r="D1166" s="2236"/>
      <c r="E1166" s="1866" t="s">
        <v>1693</v>
      </c>
      <c r="F1166" s="1868">
        <v>1200</v>
      </c>
      <c r="G1166" s="1868">
        <v>3524.9</v>
      </c>
      <c r="H1166" s="1870"/>
      <c r="I1166" s="1872">
        <v>3684.7</v>
      </c>
      <c r="J1166" s="1872">
        <v>3798.2</v>
      </c>
      <c r="K1166" s="982" t="s">
        <v>1694</v>
      </c>
      <c r="L1166" s="311"/>
      <c r="M1166" s="1287">
        <v>0.5</v>
      </c>
      <c r="N1166" s="311"/>
      <c r="O1166" s="311"/>
      <c r="P1166" s="311"/>
      <c r="Q1166" s="311"/>
    </row>
    <row r="1167" spans="1:17" x14ac:dyDescent="0.25">
      <c r="A1167" s="2221"/>
      <c r="B1167" s="1054"/>
      <c r="C1167" s="2001"/>
      <c r="D1167" s="2237"/>
      <c r="E1167" s="1867"/>
      <c r="F1167" s="1869"/>
      <c r="G1167" s="1869"/>
      <c r="H1167" s="2238"/>
      <c r="I1167" s="2232">
        <v>3571.5</v>
      </c>
      <c r="J1167" s="2232">
        <v>3585.2</v>
      </c>
      <c r="K1167" s="1046"/>
      <c r="L1167" s="1043"/>
      <c r="M1167" s="1043"/>
      <c r="N1167" s="1043"/>
      <c r="O1167" s="1043"/>
      <c r="P1167" s="1043"/>
      <c r="Q1167" s="1043"/>
    </row>
    <row r="1168" spans="1:17" ht="30" x14ac:dyDescent="0.25">
      <c r="A1168" s="971"/>
      <c r="B1168" s="990"/>
      <c r="C1168" s="973" t="s">
        <v>8</v>
      </c>
      <c r="D1168" s="325"/>
      <c r="E1168" s="998" t="s">
        <v>1695</v>
      </c>
      <c r="F1168" s="1220">
        <v>1600</v>
      </c>
      <c r="G1168" s="1220">
        <v>4092.5</v>
      </c>
      <c r="H1168" s="1023"/>
      <c r="I1168" s="1061">
        <v>4133.5</v>
      </c>
      <c r="J1168" s="1061">
        <v>4726.1000000000004</v>
      </c>
      <c r="K1168" s="901" t="s">
        <v>1696</v>
      </c>
      <c r="L1168" s="897"/>
      <c r="M1168" s="1105">
        <v>1</v>
      </c>
      <c r="N1168" s="1288">
        <v>1</v>
      </c>
      <c r="O1168" s="1013"/>
      <c r="P1168" s="1013"/>
      <c r="Q1168" s="1013"/>
    </row>
    <row r="1169" spans="1:17" ht="30" x14ac:dyDescent="0.25">
      <c r="A1169" s="971"/>
      <c r="B1169" s="990"/>
      <c r="C1169" s="973" t="s">
        <v>10</v>
      </c>
      <c r="D1169" s="1114"/>
      <c r="E1169" s="998" t="s">
        <v>1697</v>
      </c>
      <c r="F1169" s="1220"/>
      <c r="G1169" s="1220">
        <v>3295.1</v>
      </c>
      <c r="H1169" s="1023"/>
      <c r="I1169" s="1061">
        <v>3280</v>
      </c>
      <c r="J1169" s="1061">
        <v>3322.6</v>
      </c>
      <c r="K1169" s="901" t="s">
        <v>1696</v>
      </c>
      <c r="L1169" s="897"/>
      <c r="M1169" s="897"/>
      <c r="N1169" s="895"/>
      <c r="O1169" s="895"/>
      <c r="P1169" s="895"/>
      <c r="Q1169" s="895"/>
    </row>
    <row r="1170" spans="1:17" x14ac:dyDescent="0.25">
      <c r="A1170" s="2213"/>
      <c r="B1170" s="964"/>
      <c r="C1170" s="2217" t="s">
        <v>12</v>
      </c>
      <c r="D1170" s="2230"/>
      <c r="E1170" s="1866" t="s">
        <v>1698</v>
      </c>
      <c r="F1170" s="1868">
        <v>0</v>
      </c>
      <c r="G1170" s="1868">
        <v>300</v>
      </c>
      <c r="H1170" s="1872"/>
      <c r="I1170" s="1872">
        <v>303</v>
      </c>
      <c r="J1170" s="1872">
        <v>306.89999999999998</v>
      </c>
      <c r="K1170" s="901" t="s">
        <v>1699</v>
      </c>
      <c r="L1170" s="897"/>
      <c r="M1170" s="1105">
        <v>1</v>
      </c>
      <c r="N1170" s="895">
        <v>1</v>
      </c>
      <c r="O1170" s="895"/>
      <c r="P1170" s="895"/>
      <c r="Q1170" s="895"/>
    </row>
    <row r="1171" spans="1:17" x14ac:dyDescent="0.25">
      <c r="A1171" s="2215"/>
      <c r="B1171" s="965"/>
      <c r="C1171" s="2001"/>
      <c r="D1171" s="2231"/>
      <c r="E1171" s="1867"/>
      <c r="F1171" s="1869"/>
      <c r="G1171" s="1869"/>
      <c r="H1171" s="2232"/>
      <c r="I1171" s="2232"/>
      <c r="J1171" s="2232"/>
      <c r="K1171" s="901" t="s">
        <v>1696</v>
      </c>
      <c r="L1171" s="897"/>
      <c r="M1171" s="897"/>
      <c r="N1171" s="895"/>
      <c r="O1171" s="895"/>
      <c r="P1171" s="895"/>
      <c r="Q1171" s="895"/>
    </row>
    <row r="1172" spans="1:17" ht="90" x14ac:dyDescent="0.25">
      <c r="A1172" s="971"/>
      <c r="B1172" s="990"/>
      <c r="C1172" s="973" t="s">
        <v>14</v>
      </c>
      <c r="D1172" s="1114"/>
      <c r="E1172" s="969" t="s">
        <v>1700</v>
      </c>
      <c r="F1172" s="1220">
        <v>1700</v>
      </c>
      <c r="G1172" s="1220">
        <v>2119.6</v>
      </c>
      <c r="H1172" s="1023"/>
      <c r="I1172" s="1061">
        <v>2140.8000000000002</v>
      </c>
      <c r="J1172" s="1061">
        <v>2168.6</v>
      </c>
      <c r="K1172" s="901" t="s">
        <v>1701</v>
      </c>
      <c r="L1172" s="897"/>
      <c r="M1172" s="1105">
        <v>1</v>
      </c>
      <c r="N1172" s="895">
        <v>1</v>
      </c>
      <c r="O1172" s="1013"/>
      <c r="P1172" s="1013"/>
      <c r="Q1172" s="1013"/>
    </row>
    <row r="1173" spans="1:17" x14ac:dyDescent="0.25">
      <c r="A1173" s="971"/>
      <c r="B1173" s="990"/>
      <c r="C1173" s="973" t="s">
        <v>16</v>
      </c>
      <c r="D1173" s="1114"/>
      <c r="E1173" s="998" t="s">
        <v>1702</v>
      </c>
      <c r="F1173" s="1220">
        <v>1600</v>
      </c>
      <c r="G1173" s="1220">
        <v>1059.8</v>
      </c>
      <c r="H1173" s="1023"/>
      <c r="I1173" s="1061">
        <v>1070.4000000000001</v>
      </c>
      <c r="J1173" s="1061">
        <v>1084.3</v>
      </c>
      <c r="K1173" s="901" t="s">
        <v>1703</v>
      </c>
      <c r="L1173" s="897"/>
      <c r="M1173" s="897"/>
      <c r="N1173" s="1013"/>
      <c r="O1173" s="1013"/>
      <c r="P1173" s="1013"/>
      <c r="Q1173" s="1013"/>
    </row>
    <row r="1174" spans="1:17" x14ac:dyDescent="0.25">
      <c r="A1174" s="971"/>
      <c r="B1174" s="990"/>
      <c r="C1174" s="973" t="s">
        <v>48</v>
      </c>
      <c r="D1174" s="1114"/>
      <c r="E1174" s="998" t="s">
        <v>1704</v>
      </c>
      <c r="F1174" s="1220"/>
      <c r="G1174" s="1220">
        <v>1059.8</v>
      </c>
      <c r="H1174" s="1023"/>
      <c r="I1174" s="1061">
        <v>1070.4000000000001</v>
      </c>
      <c r="J1174" s="1061">
        <v>1084.3</v>
      </c>
      <c r="K1174" s="901" t="s">
        <v>1696</v>
      </c>
      <c r="L1174" s="897"/>
      <c r="M1174" s="897"/>
      <c r="N1174" s="1013"/>
      <c r="O1174" s="1013"/>
      <c r="P1174" s="1013"/>
      <c r="Q1174" s="1013"/>
    </row>
    <row r="1175" spans="1:17" ht="45" x14ac:dyDescent="0.25">
      <c r="A1175" s="971"/>
      <c r="B1175" s="990"/>
      <c r="C1175" s="973" t="s">
        <v>49</v>
      </c>
      <c r="D1175" s="1114"/>
      <c r="E1175" s="969" t="s">
        <v>1705</v>
      </c>
      <c r="F1175" s="1220">
        <v>1142.2</v>
      </c>
      <c r="G1175" s="1220">
        <v>2800</v>
      </c>
      <c r="H1175" s="1023"/>
      <c r="I1175" s="1061">
        <v>2828.1</v>
      </c>
      <c r="J1175" s="1061">
        <v>2864.8</v>
      </c>
      <c r="K1175" s="901" t="s">
        <v>1703</v>
      </c>
      <c r="L1175" s="897"/>
      <c r="M1175" s="897"/>
      <c r="N1175" s="1013"/>
      <c r="O1175" s="1013"/>
      <c r="P1175" s="1013"/>
      <c r="Q1175" s="1013"/>
    </row>
    <row r="1176" spans="1:17" x14ac:dyDescent="0.25">
      <c r="A1176" s="2213"/>
      <c r="B1176" s="964"/>
      <c r="C1176" s="1922" t="s">
        <v>124</v>
      </c>
      <c r="D1176" s="2233"/>
      <c r="E1176" s="1866" t="s">
        <v>1706</v>
      </c>
      <c r="F1176" s="1868">
        <v>5000</v>
      </c>
      <c r="G1176" s="1868">
        <v>6000</v>
      </c>
      <c r="H1176" s="1870"/>
      <c r="I1176" s="1872">
        <v>6060.2</v>
      </c>
      <c r="J1176" s="1872">
        <v>5542</v>
      </c>
      <c r="K1176" s="901" t="s">
        <v>1696</v>
      </c>
      <c r="L1176" s="897"/>
      <c r="M1176" s="897"/>
      <c r="N1176" s="897"/>
      <c r="O1176" s="897"/>
      <c r="P1176" s="897"/>
      <c r="Q1176" s="897"/>
    </row>
    <row r="1177" spans="1:17" x14ac:dyDescent="0.25">
      <c r="A1177" s="2214"/>
      <c r="B1177" s="1048"/>
      <c r="C1177" s="1922"/>
      <c r="D1177" s="2233"/>
      <c r="E1177" s="1867"/>
      <c r="F1177" s="1869"/>
      <c r="G1177" s="1869"/>
      <c r="H1177" s="1871"/>
      <c r="I1177" s="1873"/>
      <c r="J1177" s="1873"/>
      <c r="K1177" s="901"/>
      <c r="L1177" s="897"/>
      <c r="M1177" s="897"/>
      <c r="N1177" s="897"/>
      <c r="O1177" s="897"/>
      <c r="P1177" s="897"/>
      <c r="Q1177" s="897"/>
    </row>
    <row r="1178" spans="1:17" ht="30" x14ac:dyDescent="0.25">
      <c r="A1178" s="1289"/>
      <c r="B1178" s="816"/>
      <c r="C1178" s="896" t="s">
        <v>157</v>
      </c>
      <c r="D1178" s="325"/>
      <c r="E1178" s="998" t="s">
        <v>1707</v>
      </c>
      <c r="F1178" s="1220">
        <v>300</v>
      </c>
      <c r="G1178" s="1220">
        <v>300</v>
      </c>
      <c r="H1178" s="1004"/>
      <c r="I1178" s="1290">
        <v>303</v>
      </c>
      <c r="J1178" s="923">
        <v>306.89999999999998</v>
      </c>
      <c r="K1178" s="901" t="s">
        <v>1708</v>
      </c>
      <c r="L1178" s="897"/>
      <c r="M1178" s="897"/>
      <c r="N1178" s="895"/>
      <c r="O1178" s="895"/>
      <c r="P1178" s="895"/>
      <c r="Q1178" s="895"/>
    </row>
    <row r="1179" spans="1:17" ht="45.75" customHeight="1" x14ac:dyDescent="0.25">
      <c r="A1179" s="1840" t="s">
        <v>1709</v>
      </c>
      <c r="B1179" s="1841"/>
      <c r="C1179" s="1841"/>
      <c r="D1179" s="1841"/>
      <c r="E1179" s="1841"/>
      <c r="F1179" s="46">
        <v>18317.300000000003</v>
      </c>
      <c r="G1179" s="46">
        <v>30403.499999999996</v>
      </c>
      <c r="H1179" s="46">
        <f>H1159+H1164</f>
        <v>32535.899999999998</v>
      </c>
      <c r="I1179" s="46">
        <v>30804.5</v>
      </c>
      <c r="J1179" s="46">
        <v>31212.2</v>
      </c>
      <c r="K1179" s="16"/>
      <c r="L1179" s="995"/>
      <c r="M1179" s="996"/>
      <c r="N1179" s="996"/>
      <c r="O1179" s="996"/>
      <c r="P1179" s="996"/>
      <c r="Q1179" s="997"/>
    </row>
    <row r="1180" spans="1:17" x14ac:dyDescent="0.25">
      <c r="A1180" s="2224" t="s">
        <v>1710</v>
      </c>
      <c r="B1180" s="2225"/>
      <c r="C1180" s="2225"/>
      <c r="D1180" s="2225"/>
      <c r="E1180" s="2225"/>
      <c r="F1180" s="2225"/>
      <c r="G1180" s="2225"/>
      <c r="H1180" s="2225"/>
      <c r="I1180" s="2225"/>
      <c r="J1180" s="2225"/>
      <c r="K1180" s="2225"/>
      <c r="L1180" s="2225"/>
      <c r="M1180" s="2225"/>
      <c r="N1180" s="2225"/>
      <c r="O1180" s="2225"/>
      <c r="P1180" s="2225"/>
      <c r="Q1180" s="2226"/>
    </row>
    <row r="1181" spans="1:17" ht="73.5" x14ac:dyDescent="0.25">
      <c r="A1181" s="906">
        <v>51</v>
      </c>
      <c r="B1181" s="1047">
        <v>1</v>
      </c>
      <c r="C1181" s="1003"/>
      <c r="D1181" s="13"/>
      <c r="E1181" s="171" t="s">
        <v>810</v>
      </c>
      <c r="F1181" s="794">
        <v>14880.300000000001</v>
      </c>
      <c r="G1181" s="794">
        <v>14797.3</v>
      </c>
      <c r="H1181" s="794">
        <f>SUM(H1182:H1187)</f>
        <v>18089.8</v>
      </c>
      <c r="I1181" s="794">
        <v>15062.5</v>
      </c>
      <c r="J1181" s="794">
        <v>15422.400000000001</v>
      </c>
      <c r="K1181" s="914" t="s">
        <v>181</v>
      </c>
      <c r="L1181" s="1002" t="s">
        <v>182</v>
      </c>
      <c r="M1181" s="640">
        <v>4.5</v>
      </c>
      <c r="N1181" s="640">
        <v>4.5</v>
      </c>
      <c r="O1181" s="640">
        <v>4.5</v>
      </c>
      <c r="P1181" s="640">
        <v>4.5</v>
      </c>
      <c r="Q1181" s="640">
        <v>4.5</v>
      </c>
    </row>
    <row r="1182" spans="1:17" x14ac:dyDescent="0.25">
      <c r="A1182" s="948"/>
      <c r="B1182" s="753"/>
      <c r="C1182" s="912" t="s">
        <v>6</v>
      </c>
      <c r="D1182" s="13"/>
      <c r="E1182" s="1291" t="s">
        <v>7</v>
      </c>
      <c r="F1182" s="1017">
        <v>6300.4</v>
      </c>
      <c r="G1182" s="1017">
        <v>6211.7</v>
      </c>
      <c r="H1182" s="1017">
        <v>5156.2</v>
      </c>
      <c r="I1182" s="1017">
        <v>6377.5</v>
      </c>
      <c r="J1182" s="1017">
        <v>6708.7</v>
      </c>
      <c r="K1182" s="914" t="s">
        <v>183</v>
      </c>
      <c r="L1182" s="1002"/>
      <c r="M1182" s="640"/>
      <c r="N1182" s="640"/>
      <c r="O1182" s="640"/>
      <c r="P1182" s="640"/>
      <c r="Q1182" s="640"/>
    </row>
    <row r="1183" spans="1:17" x14ac:dyDescent="0.25">
      <c r="A1183" s="948"/>
      <c r="B1183" s="753"/>
      <c r="C1183" s="912" t="s">
        <v>8</v>
      </c>
      <c r="D1183" s="13"/>
      <c r="E1183" s="692" t="s">
        <v>171</v>
      </c>
      <c r="F1183" s="1017">
        <v>1796</v>
      </c>
      <c r="G1183" s="1017">
        <v>1794.2</v>
      </c>
      <c r="H1183" s="1017">
        <v>3724.7</v>
      </c>
      <c r="I1183" s="1017">
        <v>1818</v>
      </c>
      <c r="J1183" s="1017">
        <v>1824</v>
      </c>
      <c r="K1183" s="914" t="s">
        <v>185</v>
      </c>
      <c r="L1183" s="1002"/>
      <c r="M1183" s="1002">
        <v>52</v>
      </c>
      <c r="N1183" s="1002">
        <v>54</v>
      </c>
      <c r="O1183" s="1002">
        <v>56</v>
      </c>
      <c r="P1183" s="1002">
        <v>60</v>
      </c>
      <c r="Q1183" s="1002">
        <v>62</v>
      </c>
    </row>
    <row r="1184" spans="1:17" ht="30" x14ac:dyDescent="0.25">
      <c r="A1184" s="948"/>
      <c r="B1184" s="753"/>
      <c r="C1184" s="912" t="s">
        <v>10</v>
      </c>
      <c r="D1184" s="13"/>
      <c r="E1184" s="692" t="s">
        <v>11</v>
      </c>
      <c r="F1184" s="1017">
        <v>2219.5</v>
      </c>
      <c r="G1184" s="1017">
        <v>2231.4</v>
      </c>
      <c r="H1184" s="1017">
        <v>2365.5</v>
      </c>
      <c r="I1184" s="1017">
        <v>2246.6</v>
      </c>
      <c r="J1184" s="1017">
        <v>2254</v>
      </c>
      <c r="K1184" s="914" t="s">
        <v>186</v>
      </c>
      <c r="L1184" s="1002"/>
      <c r="M1184" s="2227">
        <v>40</v>
      </c>
      <c r="N1184" s="2227">
        <v>45</v>
      </c>
      <c r="O1184" s="2227">
        <v>50</v>
      </c>
      <c r="P1184" s="2227">
        <v>55</v>
      </c>
      <c r="Q1184" s="2227">
        <v>60</v>
      </c>
    </row>
    <row r="1185" spans="1:17" ht="30" x14ac:dyDescent="0.25">
      <c r="A1185" s="948"/>
      <c r="B1185" s="753"/>
      <c r="C1185" s="912" t="s">
        <v>14</v>
      </c>
      <c r="D1185" s="13"/>
      <c r="E1185" s="692" t="s">
        <v>1711</v>
      </c>
      <c r="F1185" s="1017">
        <v>546</v>
      </c>
      <c r="G1185" s="1017">
        <v>545.5</v>
      </c>
      <c r="H1185" s="1017">
        <v>525.5</v>
      </c>
      <c r="I1185" s="1017">
        <v>552.79999999999995</v>
      </c>
      <c r="J1185" s="1017">
        <v>555</v>
      </c>
      <c r="K1185" s="914" t="s">
        <v>466</v>
      </c>
      <c r="L1185" s="1002"/>
      <c r="M1185" s="2227"/>
      <c r="N1185" s="2227"/>
      <c r="O1185" s="2227"/>
      <c r="P1185" s="2227"/>
      <c r="Q1185" s="2227"/>
    </row>
    <row r="1186" spans="1:17" ht="30" x14ac:dyDescent="0.25">
      <c r="A1186" s="948"/>
      <c r="B1186" s="753"/>
      <c r="C1186" s="912" t="s">
        <v>12</v>
      </c>
      <c r="D1186" s="13"/>
      <c r="E1186" s="98" t="s">
        <v>13</v>
      </c>
      <c r="F1186" s="1017">
        <v>2337.3000000000002</v>
      </c>
      <c r="G1186" s="1017">
        <v>2335</v>
      </c>
      <c r="H1186" s="1017">
        <v>2185</v>
      </c>
      <c r="I1186" s="1017">
        <v>2365.9</v>
      </c>
      <c r="J1186" s="1017">
        <v>2373.5</v>
      </c>
      <c r="K1186" s="914" t="s">
        <v>186</v>
      </c>
      <c r="L1186" s="1002"/>
      <c r="M1186" s="1002">
        <v>28</v>
      </c>
      <c r="N1186" s="1002">
        <v>20</v>
      </c>
      <c r="O1186" s="1002">
        <v>16</v>
      </c>
      <c r="P1186" s="1002">
        <v>12</v>
      </c>
      <c r="Q1186" s="1002">
        <v>10</v>
      </c>
    </row>
    <row r="1187" spans="1:17" ht="30" x14ac:dyDescent="0.25">
      <c r="A1187" s="948"/>
      <c r="B1187" s="753"/>
      <c r="C1187" s="912" t="s">
        <v>16</v>
      </c>
      <c r="D1187" s="13"/>
      <c r="E1187" s="98" t="s">
        <v>895</v>
      </c>
      <c r="F1187" s="1017">
        <v>1681.1</v>
      </c>
      <c r="G1187" s="1017">
        <v>1679.5</v>
      </c>
      <c r="H1187" s="1017">
        <v>4132.8999999999996</v>
      </c>
      <c r="I1187" s="1017">
        <v>1701.7</v>
      </c>
      <c r="J1187" s="1017">
        <v>1707.2</v>
      </c>
      <c r="K1187" s="914" t="s">
        <v>190</v>
      </c>
      <c r="L1187" s="1002"/>
      <c r="M1187" s="1002">
        <v>5</v>
      </c>
      <c r="N1187" s="1002"/>
      <c r="O1187" s="1002"/>
      <c r="P1187" s="1002"/>
      <c r="Q1187" s="1002"/>
    </row>
    <row r="1188" spans="1:17" ht="28.5" x14ac:dyDescent="0.25">
      <c r="A1188" s="906">
        <v>51</v>
      </c>
      <c r="B1188" s="1047">
        <v>2</v>
      </c>
      <c r="C1188" s="1003"/>
      <c r="D1188" s="13"/>
      <c r="E1188" s="171" t="s">
        <v>1712</v>
      </c>
      <c r="F1188" s="794">
        <v>18601.199999999997</v>
      </c>
      <c r="G1188" s="794">
        <v>19465</v>
      </c>
      <c r="H1188" s="794">
        <f>SUM(H1189:H1190)</f>
        <v>36360.050000000003</v>
      </c>
      <c r="I1188" s="794">
        <v>16048.6</v>
      </c>
      <c r="J1188" s="794">
        <v>16100.400000000001</v>
      </c>
      <c r="K1188" s="914"/>
      <c r="L1188" s="1002"/>
      <c r="M1188" s="1002"/>
      <c r="N1188" s="1002"/>
      <c r="O1188" s="1002"/>
      <c r="P1188" s="1002"/>
      <c r="Q1188" s="1002"/>
    </row>
    <row r="1189" spans="1:17" ht="30" x14ac:dyDescent="0.25">
      <c r="A1189" s="948"/>
      <c r="B1189" s="753"/>
      <c r="C1189" s="948">
        <v>1</v>
      </c>
      <c r="D1189" s="13"/>
      <c r="E1189" s="692" t="s">
        <v>1713</v>
      </c>
      <c r="F1189" s="1017">
        <v>9705.4</v>
      </c>
      <c r="G1189" s="1017">
        <v>7954.4</v>
      </c>
      <c r="H1189" s="1017">
        <v>21274.7</v>
      </c>
      <c r="I1189" s="1017">
        <v>8024.5</v>
      </c>
      <c r="J1189" s="1017">
        <v>8050.3</v>
      </c>
      <c r="K1189" s="1058" t="s">
        <v>1714</v>
      </c>
      <c r="L1189" s="1002" t="s">
        <v>182</v>
      </c>
      <c r="M1189" s="692">
        <v>26</v>
      </c>
      <c r="N1189" s="692">
        <v>26</v>
      </c>
      <c r="O1189" s="692">
        <v>28</v>
      </c>
      <c r="P1189" s="692">
        <v>29</v>
      </c>
      <c r="Q1189" s="692">
        <v>30</v>
      </c>
    </row>
    <row r="1190" spans="1:17" ht="28.5" x14ac:dyDescent="0.25">
      <c r="A1190" s="948"/>
      <c r="B1190" s="753"/>
      <c r="C1190" s="948">
        <v>2</v>
      </c>
      <c r="D1190" s="13"/>
      <c r="E1190" s="692" t="s">
        <v>1715</v>
      </c>
      <c r="F1190" s="1017">
        <v>8895.7999999999993</v>
      </c>
      <c r="G1190" s="1017">
        <v>11510.6</v>
      </c>
      <c r="H1190" s="1017">
        <f>11239.25+3842.5+3.6</f>
        <v>15085.35</v>
      </c>
      <c r="I1190" s="1017">
        <v>8024.1</v>
      </c>
      <c r="J1190" s="1017">
        <v>8050.1</v>
      </c>
      <c r="K1190" s="1292" t="s">
        <v>1716</v>
      </c>
      <c r="L1190" s="1002" t="s">
        <v>189</v>
      </c>
      <c r="M1190" s="692">
        <v>26</v>
      </c>
      <c r="N1190" s="692">
        <v>26</v>
      </c>
      <c r="O1190" s="692">
        <v>26</v>
      </c>
      <c r="P1190" s="692">
        <v>26</v>
      </c>
      <c r="Q1190" s="692">
        <v>26</v>
      </c>
    </row>
    <row r="1191" spans="1:17" x14ac:dyDescent="0.25">
      <c r="A1191" s="906">
        <v>51</v>
      </c>
      <c r="B1191" s="1047">
        <v>992</v>
      </c>
      <c r="C1191" s="948"/>
      <c r="D1191" s="13"/>
      <c r="E1191" s="1026" t="s">
        <v>867</v>
      </c>
      <c r="F1191" s="915">
        <v>0</v>
      </c>
      <c r="G1191" s="915">
        <v>0</v>
      </c>
      <c r="H1191" s="915">
        <f>H1192</f>
        <v>1496789.6</v>
      </c>
      <c r="I1191" s="915">
        <v>2903211.4</v>
      </c>
      <c r="J1191" s="915">
        <v>2108417.5</v>
      </c>
      <c r="K1191" s="1293"/>
      <c r="L1191" s="933"/>
      <c r="M1191" s="1034"/>
      <c r="N1191" s="1034"/>
      <c r="O1191" s="1034"/>
      <c r="P1191" s="1034"/>
      <c r="Q1191" s="1034"/>
    </row>
    <row r="1192" spans="1:17" x14ac:dyDescent="0.25">
      <c r="A1192" s="948"/>
      <c r="B1192" s="753"/>
      <c r="C1192" s="948">
        <v>1</v>
      </c>
      <c r="D1192" s="13"/>
      <c r="E1192" s="1056" t="s">
        <v>868</v>
      </c>
      <c r="F1192" s="928"/>
      <c r="G1192" s="928"/>
      <c r="H1192" s="928">
        <v>1496789.6</v>
      </c>
      <c r="I1192" s="928">
        <v>2903211.4</v>
      </c>
      <c r="J1192" s="928">
        <v>2108417.5</v>
      </c>
      <c r="K1192" s="1293"/>
      <c r="L1192" s="933"/>
      <c r="M1192" s="1034"/>
      <c r="N1192" s="1034"/>
      <c r="O1192" s="1034"/>
      <c r="P1192" s="1034"/>
      <c r="Q1192" s="1034"/>
    </row>
    <row r="1193" spans="1:17" ht="28.5" customHeight="1" x14ac:dyDescent="0.25">
      <c r="A1193" s="2228" t="s">
        <v>1717</v>
      </c>
      <c r="B1193" s="2229"/>
      <c r="C1193" s="2229"/>
      <c r="D1193" s="2229"/>
      <c r="E1193" s="2229"/>
      <c r="F1193" s="1294">
        <v>33481.5</v>
      </c>
      <c r="G1193" s="1294">
        <v>34262.300000000003</v>
      </c>
      <c r="H1193" s="1294">
        <f>H1181+H1188+H1191</f>
        <v>1551239.4500000002</v>
      </c>
      <c r="I1193" s="1294">
        <v>2934322.5</v>
      </c>
      <c r="J1193" s="1294">
        <v>2139940.2999999998</v>
      </c>
      <c r="K1193" s="1295"/>
      <c r="L1193" s="1296"/>
      <c r="M1193" s="1296"/>
      <c r="N1193" s="1296"/>
      <c r="O1193" s="1296"/>
      <c r="P1193" s="1296"/>
      <c r="Q1193" s="1296"/>
    </row>
    <row r="1194" spans="1:17" x14ac:dyDescent="0.25">
      <c r="A1194" s="1826" t="s">
        <v>1718</v>
      </c>
      <c r="B1194" s="1827"/>
      <c r="C1194" s="1827"/>
      <c r="D1194" s="1827"/>
      <c r="E1194" s="1827"/>
      <c r="F1194" s="1827"/>
      <c r="G1194" s="1827"/>
      <c r="H1194" s="1827"/>
      <c r="I1194" s="1827"/>
      <c r="J1194" s="1827"/>
      <c r="K1194" s="1827"/>
      <c r="L1194" s="1827"/>
      <c r="M1194" s="1827"/>
      <c r="N1194" s="1827"/>
      <c r="O1194" s="1827"/>
      <c r="P1194" s="1827"/>
      <c r="Q1194" s="1828"/>
    </row>
    <row r="1195" spans="1:17" ht="73.5" x14ac:dyDescent="0.25">
      <c r="A1195" s="809">
        <v>52</v>
      </c>
      <c r="B1195" s="49">
        <v>1</v>
      </c>
      <c r="C1195" s="897"/>
      <c r="D1195" s="897"/>
      <c r="E1195" s="1026" t="s">
        <v>2927</v>
      </c>
      <c r="F1195" s="804">
        <v>38672.300000000003</v>
      </c>
      <c r="G1195" s="804">
        <v>38672.300000000003</v>
      </c>
      <c r="H1195" s="804">
        <f>SUM(H1196:H1202)</f>
        <v>119665.60000000001</v>
      </c>
      <c r="I1195" s="804">
        <v>26256.899999999998</v>
      </c>
      <c r="J1195" s="804">
        <v>25256.899999999998</v>
      </c>
      <c r="K1195" s="1026" t="s">
        <v>1719</v>
      </c>
      <c r="L1195" s="897" t="s">
        <v>182</v>
      </c>
      <c r="M1195" s="897"/>
      <c r="N1195" s="897"/>
      <c r="O1195" s="897"/>
      <c r="P1195" s="897"/>
      <c r="Q1195" s="897"/>
    </row>
    <row r="1196" spans="1:17" x14ac:dyDescent="0.25">
      <c r="A1196" s="1062"/>
      <c r="B1196" s="493"/>
      <c r="C1196" s="1062">
        <v>1</v>
      </c>
      <c r="D1196" s="897"/>
      <c r="E1196" s="1056" t="s">
        <v>7</v>
      </c>
      <c r="F1196" s="895">
        <v>3567.4</v>
      </c>
      <c r="G1196" s="895">
        <v>3567.4</v>
      </c>
      <c r="H1196" s="895">
        <v>3841.6000000000004</v>
      </c>
      <c r="I1196" s="895">
        <v>3841.6000000000004</v>
      </c>
      <c r="J1196" s="895">
        <v>3841.6000000000004</v>
      </c>
      <c r="K1196" s="901" t="s">
        <v>183</v>
      </c>
      <c r="L1196" s="897" t="s">
        <v>184</v>
      </c>
      <c r="M1196" s="897"/>
      <c r="N1196" s="897"/>
      <c r="O1196" s="897"/>
      <c r="P1196" s="897"/>
      <c r="Q1196" s="897"/>
    </row>
    <row r="1197" spans="1:17" x14ac:dyDescent="0.25">
      <c r="A1197" s="1062"/>
      <c r="B1197" s="493"/>
      <c r="C1197" s="1062">
        <v>2</v>
      </c>
      <c r="D1197" s="897"/>
      <c r="E1197" s="1056" t="s">
        <v>9</v>
      </c>
      <c r="F1197" s="895">
        <v>1705.2</v>
      </c>
      <c r="G1197" s="895">
        <v>1705.2</v>
      </c>
      <c r="H1197" s="895">
        <v>3180</v>
      </c>
      <c r="I1197" s="895">
        <v>3180</v>
      </c>
      <c r="J1197" s="895">
        <v>3180</v>
      </c>
      <c r="K1197" s="901" t="s">
        <v>185</v>
      </c>
      <c r="L1197" s="897" t="s">
        <v>182</v>
      </c>
      <c r="M1197" s="897"/>
      <c r="N1197" s="897"/>
      <c r="O1197" s="897">
        <v>100</v>
      </c>
      <c r="P1197" s="897">
        <v>100</v>
      </c>
      <c r="Q1197" s="897">
        <v>100</v>
      </c>
    </row>
    <row r="1198" spans="1:17" ht="30" x14ac:dyDescent="0.25">
      <c r="A1198" s="1062"/>
      <c r="B1198" s="493"/>
      <c r="C1198" s="1062">
        <v>3</v>
      </c>
      <c r="D1198" s="897"/>
      <c r="E1198" s="1056" t="s">
        <v>11</v>
      </c>
      <c r="F1198" s="895">
        <v>1058.9000000000001</v>
      </c>
      <c r="G1198" s="895">
        <v>1058.9000000000001</v>
      </c>
      <c r="H1198" s="895">
        <v>5019.3999999999996</v>
      </c>
      <c r="I1198" s="895">
        <v>5019.3999999999996</v>
      </c>
      <c r="J1198" s="895">
        <v>5019.3999999999996</v>
      </c>
      <c r="K1198" s="901" t="s">
        <v>186</v>
      </c>
      <c r="L1198" s="897" t="s">
        <v>182</v>
      </c>
      <c r="M1198" s="897"/>
      <c r="N1198" s="897"/>
      <c r="O1198" s="897">
        <v>100</v>
      </c>
      <c r="P1198" s="897">
        <v>100</v>
      </c>
      <c r="Q1198" s="897">
        <v>100</v>
      </c>
    </row>
    <row r="1199" spans="1:17" ht="30" x14ac:dyDescent="0.25">
      <c r="A1199" s="1062"/>
      <c r="B1199" s="493"/>
      <c r="C1199" s="1062">
        <v>4</v>
      </c>
      <c r="D1199" s="897"/>
      <c r="E1199" s="1056" t="s">
        <v>13</v>
      </c>
      <c r="F1199" s="895">
        <v>178.6</v>
      </c>
      <c r="G1199" s="895">
        <v>178.6</v>
      </c>
      <c r="H1199" s="895">
        <v>1923.3</v>
      </c>
      <c r="I1199" s="895">
        <v>1923.3</v>
      </c>
      <c r="J1199" s="895">
        <v>1923.3</v>
      </c>
      <c r="K1199" s="901" t="s">
        <v>187</v>
      </c>
      <c r="L1199" s="897" t="s">
        <v>423</v>
      </c>
      <c r="M1199" s="897"/>
      <c r="N1199" s="897"/>
      <c r="O1199" s="897">
        <v>100</v>
      </c>
      <c r="P1199" s="897">
        <v>100</v>
      </c>
      <c r="Q1199" s="897">
        <v>100</v>
      </c>
    </row>
    <row r="1200" spans="1:17" ht="30" x14ac:dyDescent="0.25">
      <c r="A1200" s="1062"/>
      <c r="B1200" s="493"/>
      <c r="C1200" s="1062">
        <v>5</v>
      </c>
      <c r="D1200" s="897"/>
      <c r="E1200" s="1056" t="s">
        <v>15</v>
      </c>
      <c r="F1200" s="895">
        <v>1980</v>
      </c>
      <c r="G1200" s="895">
        <v>1980</v>
      </c>
      <c r="H1200" s="895">
        <f>1878.3+494.1</f>
        <v>2372.4</v>
      </c>
      <c r="I1200" s="895">
        <v>1878.3</v>
      </c>
      <c r="J1200" s="895">
        <v>1878.3</v>
      </c>
      <c r="K1200" s="901" t="s">
        <v>188</v>
      </c>
      <c r="L1200" s="897" t="s">
        <v>189</v>
      </c>
      <c r="M1200" s="897"/>
      <c r="N1200" s="897"/>
      <c r="O1200" s="897">
        <v>15</v>
      </c>
      <c r="P1200" s="897">
        <v>15</v>
      </c>
      <c r="Q1200" s="897">
        <v>15</v>
      </c>
    </row>
    <row r="1201" spans="1:17" ht="60" x14ac:dyDescent="0.25">
      <c r="A1201" s="1062"/>
      <c r="B1201" s="493"/>
      <c r="C1201" s="1062">
        <v>39</v>
      </c>
      <c r="D1201" s="897"/>
      <c r="E1201" s="901" t="s">
        <v>1720</v>
      </c>
      <c r="F1201" s="895">
        <v>30182.2</v>
      </c>
      <c r="G1201" s="895">
        <v>30182.2</v>
      </c>
      <c r="H1201" s="895">
        <v>1414.3</v>
      </c>
      <c r="I1201" s="895">
        <v>1414.3</v>
      </c>
      <c r="J1201" s="895">
        <v>1414.3</v>
      </c>
      <c r="K1201" s="901" t="s">
        <v>1721</v>
      </c>
      <c r="L1201" s="897" t="s">
        <v>182</v>
      </c>
      <c r="M1201" s="897"/>
      <c r="N1201" s="897"/>
      <c r="O1201" s="897">
        <v>15</v>
      </c>
      <c r="P1201" s="897">
        <v>15</v>
      </c>
      <c r="Q1201" s="897">
        <v>15</v>
      </c>
    </row>
    <row r="1202" spans="1:17" ht="30" x14ac:dyDescent="0.25">
      <c r="A1202" s="1062"/>
      <c r="B1202" s="493"/>
      <c r="C1202" s="1049" t="s">
        <v>1722</v>
      </c>
      <c r="D1202" s="1049"/>
      <c r="E1202" s="901" t="s">
        <v>1723</v>
      </c>
      <c r="F1202" s="895"/>
      <c r="G1202" s="895"/>
      <c r="H1202" s="895">
        <f>94883.1+7431.5-400</f>
        <v>101914.6</v>
      </c>
      <c r="I1202" s="895">
        <v>9000</v>
      </c>
      <c r="J1202" s="895">
        <v>8000</v>
      </c>
      <c r="K1202" s="901" t="s">
        <v>1724</v>
      </c>
      <c r="L1202" s="897" t="s">
        <v>270</v>
      </c>
      <c r="M1202" s="897"/>
      <c r="N1202" s="897"/>
      <c r="O1202" s="897" t="s">
        <v>393</v>
      </c>
      <c r="P1202" s="897" t="s">
        <v>393</v>
      </c>
      <c r="Q1202" s="897" t="s">
        <v>393</v>
      </c>
    </row>
    <row r="1203" spans="1:17" ht="104.25" x14ac:dyDescent="0.25">
      <c r="A1203" s="809">
        <v>52</v>
      </c>
      <c r="B1203" s="49">
        <v>2</v>
      </c>
      <c r="C1203" s="1297"/>
      <c r="D1203" s="1297"/>
      <c r="E1203" s="1026" t="s">
        <v>2926</v>
      </c>
      <c r="F1203" s="804">
        <v>150492.20000000001</v>
      </c>
      <c r="G1203" s="804">
        <v>151096.20000000001</v>
      </c>
      <c r="H1203" s="804">
        <f>SUM(H1204:H1225)</f>
        <v>92017.7</v>
      </c>
      <c r="I1203" s="804">
        <v>146983.5</v>
      </c>
      <c r="J1203" s="804">
        <v>147318.9</v>
      </c>
      <c r="K1203" s="1026" t="s">
        <v>1725</v>
      </c>
      <c r="L1203" s="454" t="s">
        <v>422</v>
      </c>
      <c r="M1203" s="454">
        <v>71</v>
      </c>
      <c r="N1203" s="454">
        <v>99</v>
      </c>
      <c r="O1203" s="454">
        <v>99</v>
      </c>
      <c r="P1203" s="454">
        <v>71</v>
      </c>
      <c r="Q1203" s="454">
        <v>71</v>
      </c>
    </row>
    <row r="1204" spans="1:17" ht="45" x14ac:dyDescent="0.25">
      <c r="A1204" s="2213"/>
      <c r="B1204" s="1920"/>
      <c r="C1204" s="2217" t="s">
        <v>6</v>
      </c>
      <c r="D1204" s="2217"/>
      <c r="E1204" s="2219" t="s">
        <v>1726</v>
      </c>
      <c r="F1204" s="1906">
        <v>2780</v>
      </c>
      <c r="G1204" s="1906">
        <v>2781</v>
      </c>
      <c r="H1204" s="1906">
        <v>2078.8000000000002</v>
      </c>
      <c r="I1204" s="1906">
        <v>2278.8000000000002</v>
      </c>
      <c r="J1204" s="1906">
        <v>2478.8000000000002</v>
      </c>
      <c r="K1204" s="901" t="s">
        <v>1727</v>
      </c>
      <c r="L1204" s="897" t="s">
        <v>270</v>
      </c>
      <c r="M1204" s="897">
        <v>1</v>
      </c>
      <c r="N1204" s="897">
        <v>2</v>
      </c>
      <c r="O1204" s="897">
        <v>3</v>
      </c>
      <c r="P1204" s="897">
        <v>3</v>
      </c>
      <c r="Q1204" s="897">
        <v>3</v>
      </c>
    </row>
    <row r="1205" spans="1:17" ht="75" x14ac:dyDescent="0.25">
      <c r="A1205" s="2215"/>
      <c r="B1205" s="1921"/>
      <c r="C1205" s="2001"/>
      <c r="D1205" s="2001"/>
      <c r="E1205" s="2219"/>
      <c r="F1205" s="1906"/>
      <c r="G1205" s="1906"/>
      <c r="H1205" s="1906"/>
      <c r="I1205" s="1906"/>
      <c r="J1205" s="1906"/>
      <c r="K1205" s="901" t="s">
        <v>1728</v>
      </c>
      <c r="L1205" s="897" t="s">
        <v>189</v>
      </c>
      <c r="M1205" s="897">
        <v>12</v>
      </c>
      <c r="N1205" s="897">
        <v>12</v>
      </c>
      <c r="O1205" s="897">
        <v>15</v>
      </c>
      <c r="P1205" s="897">
        <v>15</v>
      </c>
      <c r="Q1205" s="897">
        <v>15</v>
      </c>
    </row>
    <row r="1206" spans="1:17" ht="45" x14ac:dyDescent="0.25">
      <c r="A1206" s="2213"/>
      <c r="B1206" s="1920"/>
      <c r="C1206" s="2217" t="s">
        <v>8</v>
      </c>
      <c r="D1206" s="2217"/>
      <c r="E1206" s="2219" t="s">
        <v>1729</v>
      </c>
      <c r="F1206" s="1906">
        <v>5603</v>
      </c>
      <c r="G1206" s="1906">
        <v>5604</v>
      </c>
      <c r="H1206" s="1906">
        <v>3276</v>
      </c>
      <c r="I1206" s="1906">
        <v>4306.1000000000004</v>
      </c>
      <c r="J1206" s="1906">
        <v>4306.1000000000004</v>
      </c>
      <c r="K1206" s="901" t="s">
        <v>1730</v>
      </c>
      <c r="L1206" s="897" t="s">
        <v>189</v>
      </c>
      <c r="M1206" s="897">
        <v>1717</v>
      </c>
      <c r="N1206" s="897" t="s">
        <v>1731</v>
      </c>
      <c r="O1206" s="897" t="s">
        <v>1731</v>
      </c>
      <c r="P1206" s="897" t="s">
        <v>1731</v>
      </c>
      <c r="Q1206" s="897" t="s">
        <v>1731</v>
      </c>
    </row>
    <row r="1207" spans="1:17" ht="45" x14ac:dyDescent="0.25">
      <c r="A1207" s="2214"/>
      <c r="B1207" s="2216"/>
      <c r="C1207" s="2218"/>
      <c r="D1207" s="2218"/>
      <c r="E1207" s="2219"/>
      <c r="F1207" s="1906"/>
      <c r="G1207" s="1906"/>
      <c r="H1207" s="1906"/>
      <c r="I1207" s="1906"/>
      <c r="J1207" s="1906"/>
      <c r="K1207" s="901" t="s">
        <v>1732</v>
      </c>
      <c r="L1207" s="897" t="s">
        <v>189</v>
      </c>
      <c r="M1207" s="897">
        <v>1653</v>
      </c>
      <c r="N1207" s="897" t="s">
        <v>1733</v>
      </c>
      <c r="O1207" s="897" t="s">
        <v>1733</v>
      </c>
      <c r="P1207" s="897" t="s">
        <v>1733</v>
      </c>
      <c r="Q1207" s="897" t="s">
        <v>1733</v>
      </c>
    </row>
    <row r="1208" spans="1:17" ht="45" x14ac:dyDescent="0.25">
      <c r="A1208" s="2214"/>
      <c r="B1208" s="2216"/>
      <c r="C1208" s="2218"/>
      <c r="D1208" s="2218"/>
      <c r="E1208" s="2219"/>
      <c r="F1208" s="1906"/>
      <c r="G1208" s="1906"/>
      <c r="H1208" s="1906"/>
      <c r="I1208" s="1906"/>
      <c r="J1208" s="1906"/>
      <c r="K1208" s="901" t="s">
        <v>1734</v>
      </c>
      <c r="L1208" s="897" t="s">
        <v>189</v>
      </c>
      <c r="M1208" s="897">
        <v>64</v>
      </c>
      <c r="N1208" s="897" t="s">
        <v>1733</v>
      </c>
      <c r="O1208" s="897" t="s">
        <v>1733</v>
      </c>
      <c r="P1208" s="897" t="s">
        <v>1733</v>
      </c>
      <c r="Q1208" s="897" t="s">
        <v>1733</v>
      </c>
    </row>
    <row r="1209" spans="1:17" ht="45" x14ac:dyDescent="0.25">
      <c r="A1209" s="2214"/>
      <c r="B1209" s="2216"/>
      <c r="C1209" s="2218"/>
      <c r="D1209" s="2218"/>
      <c r="E1209" s="2219"/>
      <c r="F1209" s="1906"/>
      <c r="G1209" s="1906"/>
      <c r="H1209" s="1906"/>
      <c r="I1209" s="1906"/>
      <c r="J1209" s="1906"/>
      <c r="K1209" s="901" t="s">
        <v>1735</v>
      </c>
      <c r="L1209" s="897" t="s">
        <v>189</v>
      </c>
      <c r="M1209" s="897">
        <v>792</v>
      </c>
      <c r="N1209" s="897" t="s">
        <v>1733</v>
      </c>
      <c r="O1209" s="897" t="s">
        <v>1733</v>
      </c>
      <c r="P1209" s="897" t="s">
        <v>1733</v>
      </c>
      <c r="Q1209" s="897" t="s">
        <v>1733</v>
      </c>
    </row>
    <row r="1210" spans="1:17" ht="30" x14ac:dyDescent="0.25">
      <c r="A1210" s="2214"/>
      <c r="B1210" s="2216"/>
      <c r="C1210" s="2218"/>
      <c r="D1210" s="2218"/>
      <c r="E1210" s="2219"/>
      <c r="F1210" s="1906"/>
      <c r="G1210" s="1906"/>
      <c r="H1210" s="1906"/>
      <c r="I1210" s="1906"/>
      <c r="J1210" s="1906"/>
      <c r="K1210" s="901" t="s">
        <v>1736</v>
      </c>
      <c r="L1210" s="897" t="s">
        <v>189</v>
      </c>
      <c r="M1210" s="897">
        <v>254</v>
      </c>
      <c r="N1210" s="897" t="s">
        <v>1733</v>
      </c>
      <c r="O1210" s="897" t="s">
        <v>1733</v>
      </c>
      <c r="P1210" s="897" t="s">
        <v>1733</v>
      </c>
      <c r="Q1210" s="897" t="s">
        <v>1733</v>
      </c>
    </row>
    <row r="1211" spans="1:17" ht="30" x14ac:dyDescent="0.25">
      <c r="A1211" s="2214"/>
      <c r="B1211" s="2216"/>
      <c r="C1211" s="2218"/>
      <c r="D1211" s="2218"/>
      <c r="E1211" s="2219"/>
      <c r="F1211" s="1906"/>
      <c r="G1211" s="1906"/>
      <c r="H1211" s="1906"/>
      <c r="I1211" s="1906"/>
      <c r="J1211" s="1906"/>
      <c r="K1211" s="901" t="s">
        <v>1737</v>
      </c>
      <c r="L1211" s="897"/>
      <c r="M1211" s="897">
        <v>1309</v>
      </c>
      <c r="N1211" s="897" t="s">
        <v>1733</v>
      </c>
      <c r="O1211" s="897" t="s">
        <v>1733</v>
      </c>
      <c r="P1211" s="897" t="s">
        <v>1733</v>
      </c>
      <c r="Q1211" s="897" t="s">
        <v>1733</v>
      </c>
    </row>
    <row r="1212" spans="1:17" ht="60" x14ac:dyDescent="0.25">
      <c r="A1212" s="2215"/>
      <c r="B1212" s="1921"/>
      <c r="C1212" s="2001"/>
      <c r="D1212" s="2001"/>
      <c r="E1212" s="2219"/>
      <c r="F1212" s="1906"/>
      <c r="G1212" s="1906"/>
      <c r="H1212" s="1906"/>
      <c r="I1212" s="1906"/>
      <c r="J1212" s="1906"/>
      <c r="K1212" s="1056" t="s">
        <v>1738</v>
      </c>
      <c r="L1212" s="897"/>
      <c r="M1212" s="897">
        <v>546</v>
      </c>
      <c r="N1212" s="897" t="s">
        <v>1733</v>
      </c>
      <c r="O1212" s="897" t="s">
        <v>1733</v>
      </c>
      <c r="P1212" s="897" t="s">
        <v>1733</v>
      </c>
      <c r="Q1212" s="897" t="s">
        <v>1733</v>
      </c>
    </row>
    <row r="1213" spans="1:17" ht="30" x14ac:dyDescent="0.25">
      <c r="A1213" s="2213"/>
      <c r="B1213" s="1920"/>
      <c r="C1213" s="2217" t="s">
        <v>10</v>
      </c>
      <c r="D1213" s="2217"/>
      <c r="E1213" s="2219" t="s">
        <v>1739</v>
      </c>
      <c r="F1213" s="1906">
        <v>51435.4</v>
      </c>
      <c r="G1213" s="1906">
        <v>51436.4</v>
      </c>
      <c r="H1213" s="1906">
        <f>72172.4+8945.6</f>
        <v>81118</v>
      </c>
      <c r="I1213" s="1906">
        <v>78161.8</v>
      </c>
      <c r="J1213" s="1906">
        <v>78161.8</v>
      </c>
      <c r="K1213" s="1056" t="s">
        <v>1740</v>
      </c>
      <c r="L1213" s="1299" t="s">
        <v>189</v>
      </c>
      <c r="M1213" s="897">
        <v>1643</v>
      </c>
      <c r="N1213" s="897" t="s">
        <v>393</v>
      </c>
      <c r="O1213" s="897" t="s">
        <v>393</v>
      </c>
      <c r="P1213" s="897" t="s">
        <v>393</v>
      </c>
      <c r="Q1213" s="897" t="s">
        <v>393</v>
      </c>
    </row>
    <row r="1214" spans="1:17" ht="30" x14ac:dyDescent="0.25">
      <c r="A1214" s="2214"/>
      <c r="B1214" s="2216"/>
      <c r="C1214" s="2218"/>
      <c r="D1214" s="2218"/>
      <c r="E1214" s="2219"/>
      <c r="F1214" s="1906"/>
      <c r="G1214" s="1906"/>
      <c r="H1214" s="1906"/>
      <c r="I1214" s="1906"/>
      <c r="J1214" s="1906"/>
      <c r="K1214" s="1056" t="s">
        <v>1741</v>
      </c>
      <c r="L1214" s="1299" t="s">
        <v>189</v>
      </c>
      <c r="M1214" s="897">
        <v>10974</v>
      </c>
      <c r="N1214" s="897" t="s">
        <v>393</v>
      </c>
      <c r="O1214" s="897" t="s">
        <v>393</v>
      </c>
      <c r="P1214" s="897" t="s">
        <v>393</v>
      </c>
      <c r="Q1214" s="897" t="s">
        <v>393</v>
      </c>
    </row>
    <row r="1215" spans="1:17" ht="30" x14ac:dyDescent="0.25">
      <c r="A1215" s="2214"/>
      <c r="B1215" s="2216"/>
      <c r="C1215" s="2218"/>
      <c r="D1215" s="2218"/>
      <c r="E1215" s="2219"/>
      <c r="F1215" s="1906"/>
      <c r="G1215" s="1906"/>
      <c r="H1215" s="1906"/>
      <c r="I1215" s="1906"/>
      <c r="J1215" s="1906"/>
      <c r="K1215" s="1056" t="s">
        <v>1742</v>
      </c>
      <c r="L1215" s="83" t="s">
        <v>270</v>
      </c>
      <c r="M1215" s="897">
        <v>5879</v>
      </c>
      <c r="N1215" s="897" t="s">
        <v>393</v>
      </c>
      <c r="O1215" s="897" t="s">
        <v>393</v>
      </c>
      <c r="P1215" s="897" t="s">
        <v>393</v>
      </c>
      <c r="Q1215" s="897" t="s">
        <v>393</v>
      </c>
    </row>
    <row r="1216" spans="1:17" ht="30" x14ac:dyDescent="0.25">
      <c r="A1216" s="2214"/>
      <c r="B1216" s="2216"/>
      <c r="C1216" s="2218"/>
      <c r="D1216" s="2218"/>
      <c r="E1216" s="2219"/>
      <c r="F1216" s="1906"/>
      <c r="G1216" s="1906"/>
      <c r="H1216" s="1906"/>
      <c r="I1216" s="1906"/>
      <c r="J1216" s="1906"/>
      <c r="K1216" s="1300" t="s">
        <v>1743</v>
      </c>
      <c r="L1216" s="897" t="s">
        <v>189</v>
      </c>
      <c r="M1216" s="897">
        <v>17</v>
      </c>
      <c r="N1216" s="897">
        <v>17</v>
      </c>
      <c r="O1216" s="897">
        <v>17</v>
      </c>
      <c r="P1216" s="897">
        <v>17</v>
      </c>
      <c r="Q1216" s="897">
        <v>17</v>
      </c>
    </row>
    <row r="1217" spans="1:17" ht="30" x14ac:dyDescent="0.25">
      <c r="A1217" s="2215"/>
      <c r="B1217" s="1921"/>
      <c r="C1217" s="2001"/>
      <c r="D1217" s="2001"/>
      <c r="E1217" s="2219"/>
      <c r="F1217" s="1906"/>
      <c r="G1217" s="1906"/>
      <c r="H1217" s="1906"/>
      <c r="I1217" s="1906"/>
      <c r="J1217" s="1906"/>
      <c r="K1217" s="1300" t="s">
        <v>1744</v>
      </c>
      <c r="L1217" s="897" t="s">
        <v>189</v>
      </c>
      <c r="M1217" s="897">
        <v>0</v>
      </c>
      <c r="N1217" s="897">
        <v>36</v>
      </c>
      <c r="O1217" s="897">
        <v>45</v>
      </c>
      <c r="P1217" s="897">
        <v>61</v>
      </c>
      <c r="Q1217" s="897">
        <v>61</v>
      </c>
    </row>
    <row r="1218" spans="1:17" ht="60" x14ac:dyDescent="0.25">
      <c r="A1218" s="2213"/>
      <c r="B1218" s="1920"/>
      <c r="C1218" s="2217" t="s">
        <v>12</v>
      </c>
      <c r="D1218" s="2217"/>
      <c r="E1218" s="2219" t="s">
        <v>1745</v>
      </c>
      <c r="F1218" s="1906">
        <v>7273.8</v>
      </c>
      <c r="G1218" s="1906">
        <v>7274.8</v>
      </c>
      <c r="H1218" s="1906">
        <v>4521.8999999999996</v>
      </c>
      <c r="I1218" s="1906">
        <v>7824.6</v>
      </c>
      <c r="J1218" s="1906">
        <v>7960</v>
      </c>
      <c r="K1218" s="901" t="s">
        <v>1746</v>
      </c>
      <c r="L1218" s="897" t="s">
        <v>222</v>
      </c>
      <c r="M1218" s="897">
        <v>1</v>
      </c>
      <c r="N1218" s="897">
        <v>1</v>
      </c>
      <c r="O1218" s="897">
        <v>1</v>
      </c>
      <c r="P1218" s="897">
        <v>1</v>
      </c>
      <c r="Q1218" s="897">
        <v>1</v>
      </c>
    </row>
    <row r="1219" spans="1:17" ht="60" x14ac:dyDescent="0.25">
      <c r="A1219" s="2214"/>
      <c r="B1219" s="2216"/>
      <c r="C1219" s="2218"/>
      <c r="D1219" s="2218"/>
      <c r="E1219" s="2219"/>
      <c r="F1219" s="1906"/>
      <c r="G1219" s="1906"/>
      <c r="H1219" s="1906"/>
      <c r="I1219" s="1906"/>
      <c r="J1219" s="1906"/>
      <c r="K1219" s="901" t="s">
        <v>1747</v>
      </c>
      <c r="L1219" s="897" t="s">
        <v>222</v>
      </c>
      <c r="M1219" s="897">
        <v>2</v>
      </c>
      <c r="N1219" s="897">
        <v>2</v>
      </c>
      <c r="O1219" s="897">
        <v>2</v>
      </c>
      <c r="P1219" s="897">
        <v>2</v>
      </c>
      <c r="Q1219" s="897">
        <v>2</v>
      </c>
    </row>
    <row r="1220" spans="1:17" ht="60" x14ac:dyDescent="0.25">
      <c r="A1220" s="2215"/>
      <c r="B1220" s="1921"/>
      <c r="C1220" s="2001"/>
      <c r="D1220" s="2001"/>
      <c r="E1220" s="2219"/>
      <c r="F1220" s="1906"/>
      <c r="G1220" s="1906"/>
      <c r="H1220" s="1906"/>
      <c r="I1220" s="1906"/>
      <c r="J1220" s="1906"/>
      <c r="K1220" s="901" t="s">
        <v>1748</v>
      </c>
      <c r="L1220" s="897" t="s">
        <v>222</v>
      </c>
      <c r="M1220" s="897">
        <v>3</v>
      </c>
      <c r="N1220" s="897">
        <v>3</v>
      </c>
      <c r="O1220" s="897">
        <v>3</v>
      </c>
      <c r="P1220" s="897">
        <v>3</v>
      </c>
      <c r="Q1220" s="897">
        <v>3</v>
      </c>
    </row>
    <row r="1221" spans="1:17" ht="30" x14ac:dyDescent="0.25">
      <c r="A1221" s="2213"/>
      <c r="B1221" s="1920"/>
      <c r="C1221" s="2217" t="s">
        <v>14</v>
      </c>
      <c r="D1221" s="2217"/>
      <c r="E1221" s="2219" t="s">
        <v>1749</v>
      </c>
      <c r="F1221" s="1906">
        <v>83400</v>
      </c>
      <c r="G1221" s="1906">
        <v>84000</v>
      </c>
      <c r="H1221" s="1906">
        <f>5000-3977</f>
        <v>1023</v>
      </c>
      <c r="I1221" s="1906">
        <v>5000</v>
      </c>
      <c r="J1221" s="1906">
        <v>5000</v>
      </c>
      <c r="K1221" s="901" t="s">
        <v>1750</v>
      </c>
      <c r="L1221" s="897" t="s">
        <v>222</v>
      </c>
      <c r="M1221" s="897">
        <v>100</v>
      </c>
      <c r="N1221" s="897">
        <v>100</v>
      </c>
      <c r="O1221" s="897">
        <v>100</v>
      </c>
      <c r="P1221" s="897">
        <v>100</v>
      </c>
      <c r="Q1221" s="897">
        <v>100</v>
      </c>
    </row>
    <row r="1222" spans="1:17" ht="30" x14ac:dyDescent="0.25">
      <c r="A1222" s="2214"/>
      <c r="B1222" s="2216"/>
      <c r="C1222" s="2218"/>
      <c r="D1222" s="2218"/>
      <c r="E1222" s="2219"/>
      <c r="F1222" s="1906"/>
      <c r="G1222" s="1906"/>
      <c r="H1222" s="1906"/>
      <c r="I1222" s="1906"/>
      <c r="J1222" s="1906"/>
      <c r="K1222" s="901" t="s">
        <v>1751</v>
      </c>
      <c r="L1222" s="897" t="s">
        <v>222</v>
      </c>
      <c r="M1222" s="897">
        <v>5</v>
      </c>
      <c r="N1222" s="897">
        <v>5</v>
      </c>
      <c r="O1222" s="897">
        <v>5</v>
      </c>
      <c r="P1222" s="897">
        <v>5</v>
      </c>
      <c r="Q1222" s="897">
        <v>5</v>
      </c>
    </row>
    <row r="1223" spans="1:17" x14ac:dyDescent="0.25">
      <c r="A1223" s="2214"/>
      <c r="B1223" s="2216"/>
      <c r="C1223" s="2218"/>
      <c r="D1223" s="2218"/>
      <c r="E1223" s="2219"/>
      <c r="F1223" s="1906"/>
      <c r="G1223" s="1906"/>
      <c r="H1223" s="1906"/>
      <c r="I1223" s="1906"/>
      <c r="J1223" s="1906"/>
      <c r="K1223" s="901" t="s">
        <v>1752</v>
      </c>
      <c r="L1223" s="897" t="s">
        <v>1753</v>
      </c>
      <c r="M1223" s="897">
        <v>33</v>
      </c>
      <c r="N1223" s="897">
        <v>33</v>
      </c>
      <c r="O1223" s="897">
        <v>33</v>
      </c>
      <c r="P1223" s="897">
        <v>33</v>
      </c>
      <c r="Q1223" s="897">
        <v>33</v>
      </c>
    </row>
    <row r="1224" spans="1:17" ht="30" x14ac:dyDescent="0.25">
      <c r="A1224" s="2215"/>
      <c r="B1224" s="1921"/>
      <c r="C1224" s="2001"/>
      <c r="D1224" s="2001"/>
      <c r="E1224" s="2219"/>
      <c r="F1224" s="1906"/>
      <c r="G1224" s="1906"/>
      <c r="H1224" s="1906"/>
      <c r="I1224" s="1906"/>
      <c r="J1224" s="1906"/>
      <c r="K1224" s="901" t="s">
        <v>1754</v>
      </c>
      <c r="L1224" s="897" t="s">
        <v>1678</v>
      </c>
      <c r="M1224" s="897">
        <v>30</v>
      </c>
      <c r="N1224" s="897">
        <v>30</v>
      </c>
      <c r="O1224" s="897">
        <v>30</v>
      </c>
      <c r="P1224" s="897">
        <v>30</v>
      </c>
      <c r="Q1224" s="897">
        <v>30</v>
      </c>
    </row>
    <row r="1225" spans="1:17" ht="30" x14ac:dyDescent="0.25">
      <c r="A1225" s="1062"/>
      <c r="B1225" s="493"/>
      <c r="C1225" s="1049" t="s">
        <v>16</v>
      </c>
      <c r="D1225" s="1049"/>
      <c r="E1225" s="901" t="s">
        <v>1723</v>
      </c>
      <c r="F1225" s="895"/>
      <c r="G1225" s="895"/>
      <c r="H1225" s="895"/>
      <c r="I1225" s="895">
        <v>49412.2</v>
      </c>
      <c r="J1225" s="895">
        <v>49412.2</v>
      </c>
      <c r="K1225" s="901" t="s">
        <v>1755</v>
      </c>
      <c r="L1225" s="897" t="s">
        <v>270</v>
      </c>
      <c r="M1225" s="897"/>
      <c r="N1225" s="897"/>
      <c r="O1225" s="897" t="s">
        <v>393</v>
      </c>
      <c r="P1225" s="897" t="s">
        <v>393</v>
      </c>
      <c r="Q1225" s="897" t="s">
        <v>393</v>
      </c>
    </row>
    <row r="1226" spans="1:17" ht="59.25" x14ac:dyDescent="0.25">
      <c r="A1226" s="809">
        <v>52</v>
      </c>
      <c r="B1226" s="49">
        <v>3</v>
      </c>
      <c r="C1226" s="1049"/>
      <c r="D1226" s="1049"/>
      <c r="E1226" s="1026" t="s">
        <v>2925</v>
      </c>
      <c r="F1226" s="804">
        <v>287343.90000000002</v>
      </c>
      <c r="G1226" s="804">
        <v>328545.3</v>
      </c>
      <c r="H1226" s="804">
        <f>SUM(H1227:H1238)</f>
        <v>285325.89999999997</v>
      </c>
      <c r="I1226" s="804">
        <v>344642.89999999997</v>
      </c>
      <c r="J1226" s="804">
        <v>350892.49999999994</v>
      </c>
      <c r="K1226" s="901" t="s">
        <v>1756</v>
      </c>
      <c r="L1226" s="454" t="s">
        <v>1386</v>
      </c>
      <c r="M1226" s="454">
        <v>767548.29999999993</v>
      </c>
      <c r="N1226" s="454">
        <v>768637</v>
      </c>
      <c r="O1226" s="454">
        <v>768637</v>
      </c>
      <c r="P1226" s="454">
        <v>768637</v>
      </c>
      <c r="Q1226" s="454">
        <v>768637</v>
      </c>
    </row>
    <row r="1227" spans="1:17" ht="30" x14ac:dyDescent="0.25">
      <c r="A1227" s="1919"/>
      <c r="B1227" s="1920"/>
      <c r="C1227" s="1922" t="s">
        <v>6</v>
      </c>
      <c r="D1227" s="1922"/>
      <c r="E1227" s="2219" t="s">
        <v>1757</v>
      </c>
      <c r="F1227" s="1906">
        <v>211693.2</v>
      </c>
      <c r="G1227" s="1906">
        <v>230899.20000000001</v>
      </c>
      <c r="H1227" s="1906">
        <f>181824.7+4850.1</f>
        <v>186674.80000000002</v>
      </c>
      <c r="I1227" s="1906">
        <v>187392.4</v>
      </c>
      <c r="J1227" s="1906">
        <v>187392.4</v>
      </c>
      <c r="K1227" s="901" t="s">
        <v>1758</v>
      </c>
      <c r="L1227" s="897" t="s">
        <v>1386</v>
      </c>
      <c r="M1227" s="897">
        <v>2546323</v>
      </c>
      <c r="N1227" s="897">
        <v>2546323</v>
      </c>
      <c r="O1227" s="897">
        <v>2546323</v>
      </c>
      <c r="P1227" s="897">
        <v>2546323</v>
      </c>
      <c r="Q1227" s="897">
        <v>2546323</v>
      </c>
    </row>
    <row r="1228" spans="1:17" ht="30" x14ac:dyDescent="0.25">
      <c r="A1228" s="1919"/>
      <c r="B1228" s="1921"/>
      <c r="C1228" s="1922"/>
      <c r="D1228" s="1922"/>
      <c r="E1228" s="2219"/>
      <c r="F1228" s="1906"/>
      <c r="G1228" s="1906"/>
      <c r="H1228" s="1906"/>
      <c r="I1228" s="1906"/>
      <c r="J1228" s="1906"/>
      <c r="K1228" s="901" t="s">
        <v>1759</v>
      </c>
      <c r="L1228" s="897" t="s">
        <v>182</v>
      </c>
      <c r="M1228" s="897">
        <v>100</v>
      </c>
      <c r="N1228" s="897">
        <v>100</v>
      </c>
      <c r="O1228" s="897">
        <v>100</v>
      </c>
      <c r="P1228" s="897">
        <v>100</v>
      </c>
      <c r="Q1228" s="897">
        <v>100</v>
      </c>
    </row>
    <row r="1229" spans="1:17" ht="45" x14ac:dyDescent="0.25">
      <c r="A1229" s="1062"/>
      <c r="B1229" s="493"/>
      <c r="C1229" s="1049" t="s">
        <v>8</v>
      </c>
      <c r="D1229" s="1049"/>
      <c r="E1229" s="901" t="s">
        <v>1760</v>
      </c>
      <c r="F1229" s="895">
        <v>1726.4</v>
      </c>
      <c r="G1229" s="895">
        <v>2779.5</v>
      </c>
      <c r="H1229" s="895">
        <v>1500</v>
      </c>
      <c r="I1229" s="895">
        <v>2833.8</v>
      </c>
      <c r="J1229" s="895">
        <v>2833.8</v>
      </c>
      <c r="K1229" s="901" t="s">
        <v>1761</v>
      </c>
      <c r="L1229" s="897" t="s">
        <v>182</v>
      </c>
      <c r="M1229" s="897">
        <v>100</v>
      </c>
      <c r="N1229" s="897">
        <v>100</v>
      </c>
      <c r="O1229" s="897">
        <v>100</v>
      </c>
      <c r="P1229" s="897">
        <v>100</v>
      </c>
      <c r="Q1229" s="897">
        <v>100</v>
      </c>
    </row>
    <row r="1230" spans="1:17" x14ac:dyDescent="0.25">
      <c r="A1230" s="1919"/>
      <c r="B1230" s="1920"/>
      <c r="C1230" s="1922" t="s">
        <v>10</v>
      </c>
      <c r="D1230" s="1922"/>
      <c r="E1230" s="2219" t="s">
        <v>1762</v>
      </c>
      <c r="F1230" s="1906">
        <v>71362.599999999991</v>
      </c>
      <c r="G1230" s="1906">
        <v>90469.9</v>
      </c>
      <c r="H1230" s="1906">
        <f>51273.8+17599.2</f>
        <v>68873</v>
      </c>
      <c r="I1230" s="1906">
        <v>70183.8</v>
      </c>
      <c r="J1230" s="1906">
        <v>70183.8</v>
      </c>
      <c r="K1230" s="901" t="s">
        <v>1763</v>
      </c>
      <c r="L1230" s="897" t="s">
        <v>182</v>
      </c>
      <c r="M1230" s="897">
        <v>59</v>
      </c>
      <c r="N1230" s="897">
        <v>60</v>
      </c>
      <c r="O1230" s="897">
        <v>61</v>
      </c>
      <c r="P1230" s="897">
        <v>62</v>
      </c>
      <c r="Q1230" s="897">
        <v>62</v>
      </c>
    </row>
    <row r="1231" spans="1:17" ht="30" x14ac:dyDescent="0.25">
      <c r="A1231" s="1919"/>
      <c r="B1231" s="2216"/>
      <c r="C1231" s="1922"/>
      <c r="D1231" s="1922"/>
      <c r="E1231" s="2219"/>
      <c r="F1231" s="1906"/>
      <c r="G1231" s="1906"/>
      <c r="H1231" s="1906"/>
      <c r="I1231" s="1906"/>
      <c r="J1231" s="1906"/>
      <c r="K1231" s="901" t="s">
        <v>1764</v>
      </c>
      <c r="L1231" s="897" t="s">
        <v>1386</v>
      </c>
      <c r="M1231" s="897">
        <v>1100</v>
      </c>
      <c r="N1231" s="897">
        <v>1110</v>
      </c>
      <c r="O1231" s="897">
        <v>1120</v>
      </c>
      <c r="P1231" s="897">
        <v>1130</v>
      </c>
      <c r="Q1231" s="897">
        <v>1130</v>
      </c>
    </row>
    <row r="1232" spans="1:17" x14ac:dyDescent="0.25">
      <c r="A1232" s="1919"/>
      <c r="B1232" s="1921"/>
      <c r="C1232" s="1922"/>
      <c r="D1232" s="1922"/>
      <c r="E1232" s="2219"/>
      <c r="F1232" s="1906"/>
      <c r="G1232" s="1906"/>
      <c r="H1232" s="1906"/>
      <c r="I1232" s="1906"/>
      <c r="J1232" s="1906"/>
      <c r="K1232" s="901" t="s">
        <v>1765</v>
      </c>
      <c r="L1232" s="897" t="s">
        <v>1409</v>
      </c>
      <c r="M1232" s="897">
        <v>15</v>
      </c>
      <c r="N1232" s="897">
        <v>15</v>
      </c>
      <c r="O1232" s="897">
        <v>13</v>
      </c>
      <c r="P1232" s="897">
        <v>13</v>
      </c>
      <c r="Q1232" s="897">
        <v>13</v>
      </c>
    </row>
    <row r="1233" spans="1:17" x14ac:dyDescent="0.25">
      <c r="A1233" s="1062"/>
      <c r="B1233" s="493"/>
      <c r="C1233" s="1049" t="s">
        <v>12</v>
      </c>
      <c r="D1233" s="1049"/>
      <c r="E1233" s="901" t="s">
        <v>1766</v>
      </c>
      <c r="F1233" s="895">
        <v>1377.3</v>
      </c>
      <c r="G1233" s="895">
        <v>2965.7</v>
      </c>
      <c r="H1233" s="895">
        <f>3097.5+1759.7</f>
        <v>4857.2</v>
      </c>
      <c r="I1233" s="895">
        <v>3185.8</v>
      </c>
      <c r="J1233" s="895">
        <v>3281.3</v>
      </c>
      <c r="K1233" s="901" t="s">
        <v>1767</v>
      </c>
      <c r="L1233" s="897" t="s">
        <v>1386</v>
      </c>
      <c r="M1233" s="897">
        <v>309.60000000000002</v>
      </c>
      <c r="N1233" s="897">
        <v>754</v>
      </c>
      <c r="O1233" s="897">
        <v>754</v>
      </c>
      <c r="P1233" s="897">
        <v>754</v>
      </c>
      <c r="Q1233" s="897">
        <v>760</v>
      </c>
    </row>
    <row r="1234" spans="1:17" ht="45" x14ac:dyDescent="0.25">
      <c r="A1234" s="1919"/>
      <c r="B1234" s="1920"/>
      <c r="C1234" s="1922" t="s">
        <v>14</v>
      </c>
      <c r="D1234" s="1922"/>
      <c r="E1234" s="2219" t="s">
        <v>1768</v>
      </c>
      <c r="F1234" s="1906">
        <v>1184.4000000000001</v>
      </c>
      <c r="G1234" s="1906">
        <v>1431</v>
      </c>
      <c r="H1234" s="1906">
        <f>1613+215.5</f>
        <v>1828.5</v>
      </c>
      <c r="I1234" s="1906">
        <v>1679.7</v>
      </c>
      <c r="J1234" s="1906">
        <v>1730.1</v>
      </c>
      <c r="K1234" s="901" t="s">
        <v>1769</v>
      </c>
      <c r="L1234" s="897" t="s">
        <v>1770</v>
      </c>
      <c r="M1234" s="897">
        <v>0</v>
      </c>
      <c r="N1234" s="458">
        <v>2.5</v>
      </c>
      <c r="O1234" s="458">
        <v>5</v>
      </c>
      <c r="P1234" s="458">
        <v>10</v>
      </c>
      <c r="Q1234" s="458">
        <v>15</v>
      </c>
    </row>
    <row r="1235" spans="1:17" ht="30" x14ac:dyDescent="0.25">
      <c r="A1235" s="1919"/>
      <c r="B1235" s="1921"/>
      <c r="C1235" s="1922"/>
      <c r="D1235" s="1922"/>
      <c r="E1235" s="2219"/>
      <c r="F1235" s="1906"/>
      <c r="G1235" s="1906"/>
      <c r="H1235" s="1906"/>
      <c r="I1235" s="1906"/>
      <c r="J1235" s="1906"/>
      <c r="K1235" s="901" t="s">
        <v>1771</v>
      </c>
      <c r="L1235" s="897" t="s">
        <v>1770</v>
      </c>
      <c r="M1235" s="897">
        <v>1000</v>
      </c>
      <c r="N1235" s="897">
        <v>1010</v>
      </c>
      <c r="O1235" s="897">
        <v>1020</v>
      </c>
      <c r="P1235" s="897">
        <v>1030</v>
      </c>
      <c r="Q1235" s="897">
        <v>1040</v>
      </c>
    </row>
    <row r="1236" spans="1:17" ht="45" x14ac:dyDescent="0.25">
      <c r="A1236" s="1062"/>
      <c r="B1236" s="493"/>
      <c r="C1236" s="1049" t="s">
        <v>16</v>
      </c>
      <c r="D1236" s="1049"/>
      <c r="E1236" s="901" t="s">
        <v>1772</v>
      </c>
      <c r="F1236" s="895"/>
      <c r="G1236" s="895"/>
      <c r="H1236" s="895">
        <v>2867.3</v>
      </c>
      <c r="I1236" s="895">
        <v>2887.6</v>
      </c>
      <c r="J1236" s="895">
        <v>2974.3</v>
      </c>
      <c r="K1236" s="901" t="s">
        <v>1773</v>
      </c>
      <c r="L1236" s="897" t="s">
        <v>182</v>
      </c>
      <c r="M1236" s="897">
        <v>0.7</v>
      </c>
      <c r="N1236" s="897">
        <v>0.7</v>
      </c>
      <c r="O1236" s="897">
        <v>0.7</v>
      </c>
      <c r="P1236" s="897">
        <v>0.7</v>
      </c>
      <c r="Q1236" s="897">
        <v>0.7</v>
      </c>
    </row>
    <row r="1237" spans="1:17" ht="45" x14ac:dyDescent="0.25">
      <c r="A1237" s="1062"/>
      <c r="B1237" s="493"/>
      <c r="C1237" s="1049" t="s">
        <v>48</v>
      </c>
      <c r="D1237" s="1049"/>
      <c r="E1237" s="901" t="s">
        <v>1774</v>
      </c>
      <c r="F1237" s="895"/>
      <c r="G1237" s="895"/>
      <c r="H1237" s="895">
        <f>17610.4+1114.7</f>
        <v>18725.100000000002</v>
      </c>
      <c r="I1237" s="895">
        <v>31479.8</v>
      </c>
      <c r="J1237" s="895">
        <v>37496.800000000003</v>
      </c>
      <c r="K1237" s="901" t="s">
        <v>1775</v>
      </c>
      <c r="L1237" s="897" t="s">
        <v>182</v>
      </c>
      <c r="M1237" s="897">
        <v>29.6</v>
      </c>
      <c r="N1237" s="897">
        <v>29.6</v>
      </c>
      <c r="O1237" s="897">
        <v>29.6</v>
      </c>
      <c r="P1237" s="897">
        <v>29.6</v>
      </c>
      <c r="Q1237" s="897">
        <v>29.6</v>
      </c>
    </row>
    <row r="1238" spans="1:17" ht="30" x14ac:dyDescent="0.25">
      <c r="A1238" s="1062"/>
      <c r="B1238" s="493"/>
      <c r="C1238" s="1049" t="s">
        <v>49</v>
      </c>
      <c r="D1238" s="1049"/>
      <c r="E1238" s="901" t="s">
        <v>1723</v>
      </c>
      <c r="F1238" s="895"/>
      <c r="G1238" s="895"/>
      <c r="H1238" s="895"/>
      <c r="I1238" s="895">
        <v>45000</v>
      </c>
      <c r="J1238" s="895">
        <v>45000</v>
      </c>
      <c r="K1238" s="901" t="s">
        <v>1755</v>
      </c>
      <c r="L1238" s="897" t="s">
        <v>270</v>
      </c>
      <c r="M1238" s="897"/>
      <c r="N1238" s="897"/>
      <c r="O1238" s="897" t="s">
        <v>393</v>
      </c>
      <c r="P1238" s="897" t="s">
        <v>393</v>
      </c>
      <c r="Q1238" s="897" t="s">
        <v>393</v>
      </c>
    </row>
    <row r="1239" spans="1:17" ht="128.25" x14ac:dyDescent="0.25">
      <c r="A1239" s="809">
        <v>52</v>
      </c>
      <c r="B1239" s="49">
        <v>4</v>
      </c>
      <c r="C1239" s="1049"/>
      <c r="D1239" s="1049"/>
      <c r="E1239" s="647" t="s">
        <v>2924</v>
      </c>
      <c r="F1239" s="804">
        <v>36085.100000000006</v>
      </c>
      <c r="G1239" s="804">
        <v>42500</v>
      </c>
      <c r="H1239" s="804">
        <f>SUM(H1240:H1254)</f>
        <v>52483.199999999997</v>
      </c>
      <c r="I1239" s="804">
        <v>49000</v>
      </c>
      <c r="J1239" s="804">
        <v>49000</v>
      </c>
      <c r="K1239" s="1026" t="s">
        <v>1776</v>
      </c>
      <c r="L1239" s="454" t="s">
        <v>1454</v>
      </c>
      <c r="M1239" s="1301">
        <v>6240.02</v>
      </c>
      <c r="N1239" s="1301">
        <v>7003.86</v>
      </c>
      <c r="O1239" s="1301">
        <v>3665.49</v>
      </c>
      <c r="P1239" s="1301">
        <v>4641.8999999999996</v>
      </c>
      <c r="Q1239" s="1301">
        <v>4641.8999999999996</v>
      </c>
    </row>
    <row r="1240" spans="1:17" ht="45" x14ac:dyDescent="0.25">
      <c r="A1240" s="1062"/>
      <c r="B1240" s="493"/>
      <c r="C1240" s="1049" t="s">
        <v>6</v>
      </c>
      <c r="D1240" s="1049"/>
      <c r="E1240" s="914" t="s">
        <v>1777</v>
      </c>
      <c r="F1240" s="895"/>
      <c r="G1240" s="895"/>
      <c r="H1240" s="895">
        <f>5364.1+11769</f>
        <v>17133.099999999999</v>
      </c>
      <c r="I1240" s="895">
        <v>6980</v>
      </c>
      <c r="J1240" s="895">
        <v>6980</v>
      </c>
      <c r="K1240" s="901" t="s">
        <v>1778</v>
      </c>
      <c r="L1240" s="454" t="s">
        <v>182</v>
      </c>
      <c r="M1240" s="1301"/>
      <c r="N1240" s="1301"/>
      <c r="O1240" s="1301"/>
      <c r="P1240" s="1301"/>
      <c r="Q1240" s="1301"/>
    </row>
    <row r="1241" spans="1:17" ht="30" x14ac:dyDescent="0.25">
      <c r="A1241" s="1062"/>
      <c r="B1241" s="493"/>
      <c r="C1241" s="1049" t="s">
        <v>8</v>
      </c>
      <c r="D1241" s="1049"/>
      <c r="E1241" s="901" t="s">
        <v>1779</v>
      </c>
      <c r="F1241" s="895">
        <v>16132.2</v>
      </c>
      <c r="G1241" s="895">
        <v>19000</v>
      </c>
      <c r="H1241" s="895">
        <f>10989+299.4</f>
        <v>11288.4</v>
      </c>
      <c r="I1241" s="895">
        <v>10987</v>
      </c>
      <c r="J1241" s="895">
        <v>10987</v>
      </c>
      <c r="K1241" s="901" t="s">
        <v>1780</v>
      </c>
      <c r="L1241" s="897" t="s">
        <v>1454</v>
      </c>
      <c r="M1241" s="1301"/>
      <c r="N1241" s="1301"/>
      <c r="O1241" s="897">
        <v>558.29999999999995</v>
      </c>
      <c r="P1241" s="897">
        <v>1116.5999999999999</v>
      </c>
      <c r="Q1241" s="897">
        <v>1116.5999999999999</v>
      </c>
    </row>
    <row r="1242" spans="1:17" x14ac:dyDescent="0.25">
      <c r="A1242" s="2213"/>
      <c r="B1242" s="1920"/>
      <c r="C1242" s="2217" t="s">
        <v>10</v>
      </c>
      <c r="D1242" s="2217"/>
      <c r="E1242" s="2219" t="s">
        <v>1781</v>
      </c>
      <c r="F1242" s="1906">
        <v>10931.7</v>
      </c>
      <c r="G1242" s="1906">
        <v>12875</v>
      </c>
      <c r="H1242" s="1906">
        <f>6038.3+7286.7</f>
        <v>13325</v>
      </c>
      <c r="I1242" s="1906">
        <v>13325</v>
      </c>
      <c r="J1242" s="1906">
        <v>13325</v>
      </c>
      <c r="K1242" s="901" t="s">
        <v>1782</v>
      </c>
      <c r="L1242" s="897" t="s">
        <v>1454</v>
      </c>
      <c r="M1242" s="897">
        <v>479.9</v>
      </c>
      <c r="N1242" s="897">
        <v>333.6</v>
      </c>
      <c r="O1242" s="897">
        <v>308.29000000000002</v>
      </c>
      <c r="P1242" s="897">
        <v>303.3</v>
      </c>
      <c r="Q1242" s="897">
        <v>293.8</v>
      </c>
    </row>
    <row r="1243" spans="1:17" x14ac:dyDescent="0.25">
      <c r="A1243" s="2214"/>
      <c r="B1243" s="2216"/>
      <c r="C1243" s="2218"/>
      <c r="D1243" s="2218"/>
      <c r="E1243" s="2219"/>
      <c r="F1243" s="1906"/>
      <c r="G1243" s="1906"/>
      <c r="H1243" s="1906"/>
      <c r="I1243" s="1906"/>
      <c r="J1243" s="1906"/>
      <c r="K1243" s="901" t="s">
        <v>1783</v>
      </c>
      <c r="L1243" s="897" t="s">
        <v>1454</v>
      </c>
      <c r="M1243" s="897">
        <v>479.9</v>
      </c>
      <c r="N1243" s="897">
        <v>333.6</v>
      </c>
      <c r="O1243" s="897">
        <v>308.29000000000002</v>
      </c>
      <c r="P1243" s="897">
        <v>303.3</v>
      </c>
      <c r="Q1243" s="897">
        <v>293.8</v>
      </c>
    </row>
    <row r="1244" spans="1:17" ht="30" x14ac:dyDescent="0.25">
      <c r="A1244" s="2214"/>
      <c r="B1244" s="2216"/>
      <c r="C1244" s="2218"/>
      <c r="D1244" s="2218"/>
      <c r="E1244" s="2219"/>
      <c r="F1244" s="1906"/>
      <c r="G1244" s="1906"/>
      <c r="H1244" s="1906"/>
      <c r="I1244" s="1906"/>
      <c r="J1244" s="1906"/>
      <c r="K1244" s="901" t="s">
        <v>1784</v>
      </c>
      <c r="L1244" s="897" t="s">
        <v>189</v>
      </c>
      <c r="M1244" s="897">
        <v>2635</v>
      </c>
      <c r="N1244" s="897">
        <v>1835</v>
      </c>
      <c r="O1244" s="897">
        <v>1769</v>
      </c>
      <c r="P1244" s="897">
        <v>1689</v>
      </c>
      <c r="Q1244" s="897">
        <v>1451</v>
      </c>
    </row>
    <row r="1245" spans="1:17" x14ac:dyDescent="0.25">
      <c r="A1245" s="2215"/>
      <c r="B1245" s="1921"/>
      <c r="C1245" s="2001"/>
      <c r="D1245" s="2001"/>
      <c r="E1245" s="2219"/>
      <c r="F1245" s="1906"/>
      <c r="G1245" s="1906"/>
      <c r="H1245" s="1906"/>
      <c r="I1245" s="1906"/>
      <c r="J1245" s="1906"/>
      <c r="K1245" s="901" t="s">
        <v>1785</v>
      </c>
      <c r="L1245" s="897" t="s">
        <v>189</v>
      </c>
      <c r="M1245" s="897">
        <v>11</v>
      </c>
      <c r="N1245" s="897">
        <v>11</v>
      </c>
      <c r="O1245" s="897">
        <v>12</v>
      </c>
      <c r="P1245" s="897">
        <v>14</v>
      </c>
      <c r="Q1245" s="897">
        <v>7</v>
      </c>
    </row>
    <row r="1246" spans="1:17" ht="30" x14ac:dyDescent="0.25">
      <c r="A1246" s="2213"/>
      <c r="B1246" s="1920"/>
      <c r="C1246" s="2217" t="s">
        <v>12</v>
      </c>
      <c r="D1246" s="2217"/>
      <c r="E1246" s="2219" t="s">
        <v>1786</v>
      </c>
      <c r="F1246" s="1906">
        <v>9021.2000000000007</v>
      </c>
      <c r="G1246" s="1906">
        <v>10625</v>
      </c>
      <c r="H1246" s="1906">
        <f>4028.6+4093.1</f>
        <v>8121.7</v>
      </c>
      <c r="I1246" s="1906">
        <v>10093</v>
      </c>
      <c r="J1246" s="1906">
        <v>10093</v>
      </c>
      <c r="K1246" s="901" t="s">
        <v>1787</v>
      </c>
      <c r="L1246" s="897" t="s">
        <v>1454</v>
      </c>
      <c r="M1246" s="897">
        <v>2631.3</v>
      </c>
      <c r="N1246" s="897">
        <v>4491.6000000000004</v>
      </c>
      <c r="O1246" s="897">
        <v>1274.5</v>
      </c>
      <c r="P1246" s="897">
        <v>1341.7</v>
      </c>
      <c r="Q1246" s="897">
        <v>1000</v>
      </c>
    </row>
    <row r="1247" spans="1:17" x14ac:dyDescent="0.25">
      <c r="A1247" s="2214"/>
      <c r="B1247" s="2216"/>
      <c r="C1247" s="2218"/>
      <c r="D1247" s="2218"/>
      <c r="E1247" s="2219"/>
      <c r="F1247" s="1906"/>
      <c r="G1247" s="1906"/>
      <c r="H1247" s="1906"/>
      <c r="I1247" s="1906"/>
      <c r="J1247" s="1906"/>
      <c r="K1247" s="901" t="s">
        <v>1788</v>
      </c>
      <c r="L1247" s="897" t="s">
        <v>222</v>
      </c>
      <c r="M1247" s="897">
        <v>750</v>
      </c>
      <c r="N1247" s="897">
        <v>800</v>
      </c>
      <c r="O1247" s="897">
        <v>350</v>
      </c>
      <c r="P1247" s="897">
        <v>365</v>
      </c>
      <c r="Q1247" s="897">
        <v>317</v>
      </c>
    </row>
    <row r="1248" spans="1:17" ht="30" x14ac:dyDescent="0.25">
      <c r="A1248" s="2214"/>
      <c r="B1248" s="2216"/>
      <c r="C1248" s="2218"/>
      <c r="D1248" s="2218"/>
      <c r="E1248" s="2219"/>
      <c r="F1248" s="1906"/>
      <c r="G1248" s="1906"/>
      <c r="H1248" s="1906"/>
      <c r="I1248" s="1906"/>
      <c r="J1248" s="1906"/>
      <c r="K1248" s="901" t="s">
        <v>1789</v>
      </c>
      <c r="L1248" s="897" t="s">
        <v>1790</v>
      </c>
      <c r="M1248" s="897">
        <v>4300</v>
      </c>
      <c r="N1248" s="897">
        <v>4300</v>
      </c>
      <c r="O1248" s="897">
        <v>1800</v>
      </c>
      <c r="P1248" s="897">
        <v>2100</v>
      </c>
      <c r="Q1248" s="897">
        <v>1650</v>
      </c>
    </row>
    <row r="1249" spans="1:17" x14ac:dyDescent="0.25">
      <c r="A1249" s="2215"/>
      <c r="B1249" s="1921"/>
      <c r="C1249" s="2001"/>
      <c r="D1249" s="2001"/>
      <c r="E1249" s="2219"/>
      <c r="F1249" s="1906"/>
      <c r="G1249" s="1906"/>
      <c r="H1249" s="1906"/>
      <c r="I1249" s="1906"/>
      <c r="J1249" s="1906"/>
      <c r="K1249" s="901" t="s">
        <v>1791</v>
      </c>
      <c r="L1249" s="897" t="s">
        <v>222</v>
      </c>
      <c r="M1249" s="897">
        <v>2</v>
      </c>
      <c r="N1249" s="897">
        <v>2</v>
      </c>
      <c r="O1249" s="897">
        <v>2</v>
      </c>
      <c r="P1249" s="897">
        <v>1</v>
      </c>
      <c r="Q1249" s="897">
        <v>1</v>
      </c>
    </row>
    <row r="1250" spans="1:17" x14ac:dyDescent="0.25">
      <c r="A1250" s="2213"/>
      <c r="B1250" s="1920"/>
      <c r="C1250" s="2217" t="s">
        <v>14</v>
      </c>
      <c r="D1250" s="2217"/>
      <c r="E1250" s="2219" t="s">
        <v>1792</v>
      </c>
      <c r="F1250" s="1906"/>
      <c r="G1250" s="1906"/>
      <c r="H1250" s="1906">
        <v>2615</v>
      </c>
      <c r="I1250" s="1906">
        <v>2615</v>
      </c>
      <c r="J1250" s="1906">
        <v>2615</v>
      </c>
      <c r="K1250" s="901" t="s">
        <v>1793</v>
      </c>
      <c r="L1250" s="897" t="s">
        <v>1454</v>
      </c>
      <c r="M1250" s="897">
        <v>3111.2</v>
      </c>
      <c r="N1250" s="897">
        <v>4825.2</v>
      </c>
      <c r="O1250" s="897">
        <v>2141.1</v>
      </c>
      <c r="P1250" s="897">
        <v>2761.6</v>
      </c>
      <c r="Q1250" s="897">
        <v>1293.8</v>
      </c>
    </row>
    <row r="1251" spans="1:17" ht="30" x14ac:dyDescent="0.25">
      <c r="A1251" s="2214"/>
      <c r="B1251" s="2216"/>
      <c r="C1251" s="2218"/>
      <c r="D1251" s="2218"/>
      <c r="E1251" s="2219"/>
      <c r="F1251" s="1906"/>
      <c r="G1251" s="1906"/>
      <c r="H1251" s="1906"/>
      <c r="I1251" s="1906"/>
      <c r="J1251" s="1906"/>
      <c r="K1251" s="901" t="s">
        <v>1794</v>
      </c>
      <c r="L1251" s="897" t="s">
        <v>222</v>
      </c>
      <c r="M1251" s="897">
        <v>33054</v>
      </c>
      <c r="N1251" s="897">
        <v>33773</v>
      </c>
      <c r="O1251" s="897">
        <v>34345</v>
      </c>
      <c r="P1251" s="897">
        <v>34556</v>
      </c>
      <c r="Q1251" s="897">
        <v>17859</v>
      </c>
    </row>
    <row r="1252" spans="1:17" x14ac:dyDescent="0.25">
      <c r="A1252" s="2214"/>
      <c r="B1252" s="2216"/>
      <c r="C1252" s="2218"/>
      <c r="D1252" s="2218"/>
      <c r="E1252" s="2219"/>
      <c r="F1252" s="1906"/>
      <c r="G1252" s="1906"/>
      <c r="H1252" s="1906"/>
      <c r="I1252" s="1906"/>
      <c r="J1252" s="1906"/>
      <c r="K1252" s="901" t="s">
        <v>1795</v>
      </c>
      <c r="L1252" s="897" t="s">
        <v>222</v>
      </c>
      <c r="M1252" s="897">
        <v>104</v>
      </c>
      <c r="N1252" s="897">
        <v>138</v>
      </c>
      <c r="O1252" s="897">
        <v>154</v>
      </c>
      <c r="P1252" s="897">
        <v>182</v>
      </c>
      <c r="Q1252" s="897">
        <v>91</v>
      </c>
    </row>
    <row r="1253" spans="1:17" x14ac:dyDescent="0.25">
      <c r="A1253" s="2215"/>
      <c r="B1253" s="1921"/>
      <c r="C1253" s="2001"/>
      <c r="D1253" s="2001"/>
      <c r="E1253" s="2219"/>
      <c r="F1253" s="1906"/>
      <c r="G1253" s="1906"/>
      <c r="H1253" s="1906"/>
      <c r="I1253" s="1906"/>
      <c r="J1253" s="1906"/>
      <c r="K1253" s="901" t="s">
        <v>1796</v>
      </c>
      <c r="L1253" s="897" t="s">
        <v>222</v>
      </c>
      <c r="M1253" s="897">
        <v>223</v>
      </c>
      <c r="N1253" s="897">
        <v>236</v>
      </c>
      <c r="O1253" s="897">
        <v>264</v>
      </c>
      <c r="P1253" s="897">
        <v>282</v>
      </c>
      <c r="Q1253" s="897">
        <v>148</v>
      </c>
    </row>
    <row r="1254" spans="1:17" ht="30" x14ac:dyDescent="0.25">
      <c r="A1254" s="1062"/>
      <c r="B1254" s="493"/>
      <c r="C1254" s="1049" t="s">
        <v>16</v>
      </c>
      <c r="D1254" s="1049"/>
      <c r="E1254" s="901" t="s">
        <v>1723</v>
      </c>
      <c r="F1254" s="895"/>
      <c r="G1254" s="895"/>
      <c r="H1254" s="895"/>
      <c r="I1254" s="895">
        <v>5000</v>
      </c>
      <c r="J1254" s="895">
        <v>5000</v>
      </c>
      <c r="K1254" s="901" t="s">
        <v>1755</v>
      </c>
      <c r="L1254" s="897" t="s">
        <v>270</v>
      </c>
      <c r="M1254" s="897"/>
      <c r="N1254" s="897"/>
      <c r="O1254" s="897" t="s">
        <v>393</v>
      </c>
      <c r="P1254" s="897" t="s">
        <v>393</v>
      </c>
      <c r="Q1254" s="897" t="s">
        <v>393</v>
      </c>
    </row>
    <row r="1255" spans="1:17" ht="42.75" x14ac:dyDescent="0.25">
      <c r="A1255" s="2165">
        <v>52</v>
      </c>
      <c r="B1255" s="2161">
        <v>5</v>
      </c>
      <c r="C1255" s="2217"/>
      <c r="D1255" s="2217"/>
      <c r="E1255" s="2163" t="s">
        <v>1797</v>
      </c>
      <c r="F1255" s="2223">
        <v>225779.80000000002</v>
      </c>
      <c r="G1255" s="2223">
        <v>200830.8</v>
      </c>
      <c r="H1255" s="2223">
        <f>SUM(H1258:H1286)</f>
        <v>231082.80000000002</v>
      </c>
      <c r="I1255" s="2223">
        <v>223791.30000000002</v>
      </c>
      <c r="J1255" s="2223">
        <v>223791.30000000002</v>
      </c>
      <c r="K1255" s="1026" t="s">
        <v>1798</v>
      </c>
      <c r="L1255" s="454" t="s">
        <v>312</v>
      </c>
      <c r="M1255" s="454">
        <v>58</v>
      </c>
      <c r="N1255" s="454">
        <v>58</v>
      </c>
      <c r="O1255" s="454">
        <v>58</v>
      </c>
      <c r="P1255" s="454">
        <v>58</v>
      </c>
      <c r="Q1255" s="454">
        <v>58</v>
      </c>
    </row>
    <row r="1256" spans="1:17" ht="28.5" x14ac:dyDescent="0.25">
      <c r="A1256" s="2220"/>
      <c r="B1256" s="2222"/>
      <c r="C1256" s="2218"/>
      <c r="D1256" s="2218"/>
      <c r="E1256" s="2163"/>
      <c r="F1256" s="2223"/>
      <c r="G1256" s="2223"/>
      <c r="H1256" s="2223"/>
      <c r="I1256" s="2223"/>
      <c r="J1256" s="2223"/>
      <c r="K1256" s="1026" t="s">
        <v>1799</v>
      </c>
      <c r="L1256" s="454" t="s">
        <v>312</v>
      </c>
      <c r="M1256" s="454">
        <v>57</v>
      </c>
      <c r="N1256" s="454">
        <v>57</v>
      </c>
      <c r="O1256" s="454">
        <v>57</v>
      </c>
      <c r="P1256" s="454">
        <v>57</v>
      </c>
      <c r="Q1256" s="454">
        <v>57</v>
      </c>
    </row>
    <row r="1257" spans="1:17" ht="40.5" customHeight="1" x14ac:dyDescent="0.25">
      <c r="A1257" s="2221"/>
      <c r="B1257" s="2162"/>
      <c r="C1257" s="2001"/>
      <c r="D1257" s="2001"/>
      <c r="E1257" s="2163"/>
      <c r="F1257" s="2223"/>
      <c r="G1257" s="2223"/>
      <c r="H1257" s="2223"/>
      <c r="I1257" s="2223"/>
      <c r="J1257" s="2223"/>
      <c r="K1257" s="1026" t="s">
        <v>1800</v>
      </c>
      <c r="L1257" s="454" t="s">
        <v>312</v>
      </c>
      <c r="M1257" s="454">
        <v>85</v>
      </c>
      <c r="N1257" s="454">
        <v>85</v>
      </c>
      <c r="O1257" s="454">
        <v>85</v>
      </c>
      <c r="P1257" s="454">
        <v>85</v>
      </c>
      <c r="Q1257" s="454">
        <v>85</v>
      </c>
    </row>
    <row r="1258" spans="1:17" ht="45" x14ac:dyDescent="0.25">
      <c r="A1258" s="2213"/>
      <c r="B1258" s="1920"/>
      <c r="C1258" s="2217" t="s">
        <v>6</v>
      </c>
      <c r="D1258" s="2217"/>
      <c r="E1258" s="2219" t="s">
        <v>1801</v>
      </c>
      <c r="F1258" s="1906">
        <v>93703</v>
      </c>
      <c r="G1258" s="1906">
        <v>93703</v>
      </c>
      <c r="H1258" s="1906">
        <f>101329.2+2658.5</f>
        <v>103987.7</v>
      </c>
      <c r="I1258" s="1906">
        <v>96007.3</v>
      </c>
      <c r="J1258" s="1906">
        <v>96007.3</v>
      </c>
      <c r="K1258" s="901" t="s">
        <v>1778</v>
      </c>
      <c r="L1258" s="454" t="s">
        <v>182</v>
      </c>
      <c r="M1258" s="1301"/>
      <c r="N1258" s="1301"/>
      <c r="O1258" s="1301"/>
      <c r="P1258" s="1301"/>
      <c r="Q1258" s="1301"/>
    </row>
    <row r="1259" spans="1:17" ht="30" x14ac:dyDescent="0.25">
      <c r="A1259" s="2214"/>
      <c r="B1259" s="2216"/>
      <c r="C1259" s="2218"/>
      <c r="D1259" s="2218"/>
      <c r="E1259" s="2219"/>
      <c r="F1259" s="1906"/>
      <c r="G1259" s="1906"/>
      <c r="H1259" s="1906"/>
      <c r="I1259" s="1906"/>
      <c r="J1259" s="1906"/>
      <c r="K1259" s="1303" t="s">
        <v>1802</v>
      </c>
      <c r="L1259" s="897" t="s">
        <v>189</v>
      </c>
      <c r="M1259" s="897">
        <v>5</v>
      </c>
      <c r="N1259" s="897">
        <v>7</v>
      </c>
      <c r="O1259" s="897">
        <v>20</v>
      </c>
      <c r="P1259" s="897">
        <v>22</v>
      </c>
      <c r="Q1259" s="897">
        <v>22</v>
      </c>
    </row>
    <row r="1260" spans="1:17" ht="30" x14ac:dyDescent="0.25">
      <c r="A1260" s="2214"/>
      <c r="B1260" s="2216"/>
      <c r="C1260" s="2218"/>
      <c r="D1260" s="2218"/>
      <c r="E1260" s="2219"/>
      <c r="F1260" s="1906"/>
      <c r="G1260" s="1906"/>
      <c r="H1260" s="1906"/>
      <c r="I1260" s="1906"/>
      <c r="J1260" s="1906"/>
      <c r="K1260" s="901" t="s">
        <v>1803</v>
      </c>
      <c r="L1260" s="897" t="s">
        <v>1804</v>
      </c>
      <c r="M1260" s="897">
        <v>7.38</v>
      </c>
      <c r="N1260" s="897">
        <v>7.38</v>
      </c>
      <c r="O1260" s="897">
        <v>7.6</v>
      </c>
      <c r="P1260" s="897">
        <v>8</v>
      </c>
      <c r="Q1260" s="897">
        <v>10</v>
      </c>
    </row>
    <row r="1261" spans="1:17" ht="30" x14ac:dyDescent="0.25">
      <c r="A1261" s="2214"/>
      <c r="B1261" s="2216"/>
      <c r="C1261" s="2218"/>
      <c r="D1261" s="2218"/>
      <c r="E1261" s="2219"/>
      <c r="F1261" s="1906"/>
      <c r="G1261" s="1906"/>
      <c r="H1261" s="1906"/>
      <c r="I1261" s="1906"/>
      <c r="J1261" s="1906"/>
      <c r="K1261" s="901" t="s">
        <v>1805</v>
      </c>
      <c r="L1261" s="897" t="s">
        <v>1454</v>
      </c>
      <c r="M1261" s="897">
        <v>1476121.6000000001</v>
      </c>
      <c r="N1261" s="897">
        <v>1476121.6000000001</v>
      </c>
      <c r="O1261" s="897">
        <v>1516121.6</v>
      </c>
      <c r="P1261" s="897">
        <v>1616121.6</v>
      </c>
      <c r="Q1261" s="897"/>
    </row>
    <row r="1262" spans="1:17" ht="30" x14ac:dyDescent="0.25">
      <c r="A1262" s="2214"/>
      <c r="B1262" s="2216"/>
      <c r="C1262" s="2218"/>
      <c r="D1262" s="2218"/>
      <c r="E1262" s="2219"/>
      <c r="F1262" s="1906"/>
      <c r="G1262" s="1906"/>
      <c r="H1262" s="1906"/>
      <c r="I1262" s="1906"/>
      <c r="J1262" s="1906"/>
      <c r="K1262" s="901" t="s">
        <v>1806</v>
      </c>
      <c r="L1262" s="897" t="s">
        <v>189</v>
      </c>
      <c r="M1262" s="897">
        <v>0</v>
      </c>
      <c r="N1262" s="897">
        <v>0</v>
      </c>
      <c r="O1262" s="897">
        <v>1</v>
      </c>
      <c r="P1262" s="897">
        <v>5</v>
      </c>
      <c r="Q1262" s="897">
        <v>6</v>
      </c>
    </row>
    <row r="1263" spans="1:17" x14ac:dyDescent="0.25">
      <c r="A1263" s="2214"/>
      <c r="B1263" s="2216"/>
      <c r="C1263" s="2218"/>
      <c r="D1263" s="2218"/>
      <c r="E1263" s="2219"/>
      <c r="F1263" s="1906"/>
      <c r="G1263" s="1906"/>
      <c r="H1263" s="1906"/>
      <c r="I1263" s="1906"/>
      <c r="J1263" s="1906"/>
      <c r="K1263" s="901" t="s">
        <v>1807</v>
      </c>
      <c r="L1263" s="897" t="s">
        <v>189</v>
      </c>
      <c r="M1263" s="897">
        <v>0</v>
      </c>
      <c r="N1263" s="897">
        <v>0</v>
      </c>
      <c r="O1263" s="897">
        <v>1</v>
      </c>
      <c r="P1263" s="897">
        <v>2</v>
      </c>
      <c r="Q1263" s="897">
        <v>3</v>
      </c>
    </row>
    <row r="1264" spans="1:17" ht="30" x14ac:dyDescent="0.25">
      <c r="A1264" s="2215"/>
      <c r="B1264" s="1921"/>
      <c r="C1264" s="2001"/>
      <c r="D1264" s="2001"/>
      <c r="E1264" s="2219"/>
      <c r="F1264" s="1906"/>
      <c r="G1264" s="1906"/>
      <c r="H1264" s="1906"/>
      <c r="I1264" s="1906"/>
      <c r="J1264" s="1906"/>
      <c r="K1264" s="901" t="s">
        <v>1808</v>
      </c>
      <c r="L1264" s="897" t="s">
        <v>270</v>
      </c>
      <c r="M1264" s="897"/>
      <c r="N1264" s="897"/>
      <c r="O1264" s="897"/>
      <c r="P1264" s="897"/>
      <c r="Q1264" s="897"/>
    </row>
    <row r="1265" spans="1:17" ht="30" x14ac:dyDescent="0.25">
      <c r="A1265" s="2213"/>
      <c r="B1265" s="1920"/>
      <c r="C1265" s="2217" t="s">
        <v>8</v>
      </c>
      <c r="D1265" s="2217"/>
      <c r="E1265" s="2219" t="s">
        <v>1809</v>
      </c>
      <c r="F1265" s="1906">
        <v>93703.3</v>
      </c>
      <c r="G1265" s="1906">
        <v>93703.3</v>
      </c>
      <c r="H1265" s="1906">
        <f>38115+5120</f>
        <v>43235</v>
      </c>
      <c r="I1265" s="1906">
        <v>39139</v>
      </c>
      <c r="J1265" s="1906">
        <v>39139</v>
      </c>
      <c r="K1265" s="901" t="s">
        <v>1810</v>
      </c>
      <c r="L1265" s="897" t="s">
        <v>189</v>
      </c>
      <c r="M1265" s="897"/>
      <c r="N1265" s="897"/>
      <c r="O1265" s="897"/>
      <c r="P1265" s="897"/>
      <c r="Q1265" s="897"/>
    </row>
    <row r="1266" spans="1:17" ht="30" x14ac:dyDescent="0.25">
      <c r="A1266" s="2214"/>
      <c r="B1266" s="2216"/>
      <c r="C1266" s="2218"/>
      <c r="D1266" s="2218"/>
      <c r="E1266" s="2219"/>
      <c r="F1266" s="1906"/>
      <c r="G1266" s="1906"/>
      <c r="H1266" s="1906"/>
      <c r="I1266" s="1906"/>
      <c r="J1266" s="1906"/>
      <c r="K1266" s="901" t="s">
        <v>1811</v>
      </c>
      <c r="L1266" s="897" t="s">
        <v>189</v>
      </c>
      <c r="M1266" s="897"/>
      <c r="N1266" s="897"/>
      <c r="O1266" s="897"/>
      <c r="P1266" s="897"/>
      <c r="Q1266" s="897"/>
    </row>
    <row r="1267" spans="1:17" x14ac:dyDescent="0.25">
      <c r="A1267" s="2214"/>
      <c r="B1267" s="2216"/>
      <c r="C1267" s="2218"/>
      <c r="D1267" s="2218"/>
      <c r="E1267" s="2219"/>
      <c r="F1267" s="1906"/>
      <c r="G1267" s="1906"/>
      <c r="H1267" s="1906"/>
      <c r="I1267" s="1906"/>
      <c r="J1267" s="1906"/>
      <c r="K1267" s="901" t="s">
        <v>1812</v>
      </c>
      <c r="L1267" s="897" t="s">
        <v>189</v>
      </c>
      <c r="M1267" s="897"/>
      <c r="N1267" s="897"/>
      <c r="O1267" s="897"/>
      <c r="P1267" s="897"/>
      <c r="Q1267" s="897"/>
    </row>
    <row r="1268" spans="1:17" ht="30" x14ac:dyDescent="0.25">
      <c r="A1268" s="2214"/>
      <c r="B1268" s="2216"/>
      <c r="C1268" s="2218"/>
      <c r="D1268" s="2218"/>
      <c r="E1268" s="2219"/>
      <c r="F1268" s="1906"/>
      <c r="G1268" s="1906"/>
      <c r="H1268" s="1906"/>
      <c r="I1268" s="1906"/>
      <c r="J1268" s="1906"/>
      <c r="K1268" s="901" t="s">
        <v>1813</v>
      </c>
      <c r="L1268" s="897" t="s">
        <v>182</v>
      </c>
      <c r="M1268" s="897"/>
      <c r="N1268" s="897"/>
      <c r="O1268" s="897"/>
      <c r="P1268" s="897"/>
      <c r="Q1268" s="897"/>
    </row>
    <row r="1269" spans="1:17" ht="60" x14ac:dyDescent="0.25">
      <c r="A1269" s="2215"/>
      <c r="B1269" s="1921"/>
      <c r="C1269" s="2001"/>
      <c r="D1269" s="2001"/>
      <c r="E1269" s="2219"/>
      <c r="F1269" s="1906"/>
      <c r="G1269" s="1906"/>
      <c r="H1269" s="1906"/>
      <c r="I1269" s="1906"/>
      <c r="J1269" s="1906"/>
      <c r="K1269" s="901" t="s">
        <v>1814</v>
      </c>
      <c r="L1269" s="897" t="s">
        <v>189</v>
      </c>
      <c r="M1269" s="897">
        <v>25</v>
      </c>
      <c r="N1269" s="897">
        <v>20</v>
      </c>
      <c r="O1269" s="897">
        <v>10</v>
      </c>
      <c r="P1269" s="897">
        <v>5</v>
      </c>
      <c r="Q1269" s="897"/>
    </row>
    <row r="1270" spans="1:17" ht="30" x14ac:dyDescent="0.25">
      <c r="A1270" s="1062"/>
      <c r="B1270" s="493"/>
      <c r="C1270" s="1049" t="s">
        <v>10</v>
      </c>
      <c r="D1270" s="1049"/>
      <c r="E1270" s="901" t="s">
        <v>2896</v>
      </c>
      <c r="F1270" s="895"/>
      <c r="G1270" s="895"/>
      <c r="H1270" s="895">
        <f>3840+9257.8</f>
        <v>13097.8</v>
      </c>
      <c r="I1270" s="895">
        <v>10000</v>
      </c>
      <c r="J1270" s="895">
        <v>10000</v>
      </c>
      <c r="K1270" s="901" t="s">
        <v>1815</v>
      </c>
      <c r="L1270" s="897" t="s">
        <v>189</v>
      </c>
      <c r="M1270" s="897">
        <v>53</v>
      </c>
      <c r="N1270" s="897">
        <v>53</v>
      </c>
      <c r="O1270" s="897"/>
      <c r="P1270" s="897"/>
      <c r="Q1270" s="897"/>
    </row>
    <row r="1271" spans="1:17" ht="30" x14ac:dyDescent="0.25">
      <c r="A1271" s="2213"/>
      <c r="B1271" s="1920"/>
      <c r="C1271" s="2217" t="s">
        <v>12</v>
      </c>
      <c r="D1271" s="2217"/>
      <c r="E1271" s="2219" t="s">
        <v>1816</v>
      </c>
      <c r="F1271" s="1906">
        <v>11029.2</v>
      </c>
      <c r="G1271" s="1906">
        <v>4821.7</v>
      </c>
      <c r="H1271" s="1906">
        <f>1816.6+25195</f>
        <v>27011.599999999999</v>
      </c>
      <c r="I1271" s="1906">
        <v>26681.600000000002</v>
      </c>
      <c r="J1271" s="1906">
        <v>26681.600000000002</v>
      </c>
      <c r="K1271" s="901" t="s">
        <v>1817</v>
      </c>
      <c r="L1271" s="897" t="s">
        <v>189</v>
      </c>
      <c r="M1271" s="897">
        <v>14</v>
      </c>
      <c r="N1271" s="897">
        <v>14</v>
      </c>
      <c r="O1271" s="897">
        <v>14</v>
      </c>
      <c r="P1271" s="897">
        <v>15</v>
      </c>
      <c r="Q1271" s="897">
        <v>15</v>
      </c>
    </row>
    <row r="1272" spans="1:17" ht="45" x14ac:dyDescent="0.25">
      <c r="A1272" s="2214"/>
      <c r="B1272" s="2216"/>
      <c r="C1272" s="2218"/>
      <c r="D1272" s="2218"/>
      <c r="E1272" s="2219"/>
      <c r="F1272" s="1906"/>
      <c r="G1272" s="1906"/>
      <c r="H1272" s="1906"/>
      <c r="I1272" s="1906"/>
      <c r="J1272" s="1906"/>
      <c r="K1272" s="901" t="s">
        <v>1818</v>
      </c>
      <c r="L1272" s="897" t="s">
        <v>189</v>
      </c>
      <c r="M1272" s="897">
        <v>12</v>
      </c>
      <c r="N1272" s="897">
        <v>12</v>
      </c>
      <c r="O1272" s="897">
        <v>12</v>
      </c>
      <c r="P1272" s="897">
        <v>14</v>
      </c>
      <c r="Q1272" s="897">
        <v>15</v>
      </c>
    </row>
    <row r="1273" spans="1:17" x14ac:dyDescent="0.25">
      <c r="A1273" s="2214"/>
      <c r="B1273" s="2216"/>
      <c r="C1273" s="2218"/>
      <c r="D1273" s="2218"/>
      <c r="E1273" s="2219"/>
      <c r="F1273" s="1906"/>
      <c r="G1273" s="1906"/>
      <c r="H1273" s="1906"/>
      <c r="I1273" s="1906"/>
      <c r="J1273" s="1906"/>
      <c r="K1273" s="901" t="s">
        <v>1819</v>
      </c>
      <c r="L1273" s="897" t="s">
        <v>424</v>
      </c>
      <c r="M1273" s="897">
        <v>0</v>
      </c>
      <c r="N1273" s="897">
        <v>0</v>
      </c>
      <c r="O1273" s="897">
        <v>0</v>
      </c>
      <c r="P1273" s="897">
        <v>2</v>
      </c>
      <c r="Q1273" s="897">
        <v>5</v>
      </c>
    </row>
    <row r="1274" spans="1:17" ht="45" x14ac:dyDescent="0.25">
      <c r="A1274" s="2215"/>
      <c r="B1274" s="1921"/>
      <c r="C1274" s="2001"/>
      <c r="D1274" s="2001"/>
      <c r="E1274" s="2219"/>
      <c r="F1274" s="1906"/>
      <c r="G1274" s="1906"/>
      <c r="H1274" s="1906"/>
      <c r="I1274" s="1906"/>
      <c r="J1274" s="1906"/>
      <c r="K1274" s="901" t="s">
        <v>1820</v>
      </c>
      <c r="L1274" s="897" t="s">
        <v>189</v>
      </c>
      <c r="M1274" s="897">
        <v>26</v>
      </c>
      <c r="N1274" s="897">
        <v>26</v>
      </c>
      <c r="O1274" s="897">
        <v>26</v>
      </c>
      <c r="P1274" s="897">
        <v>29</v>
      </c>
      <c r="Q1274" s="897">
        <v>30</v>
      </c>
    </row>
    <row r="1275" spans="1:17" x14ac:dyDescent="0.25">
      <c r="A1275" s="2213"/>
      <c r="B1275" s="1920"/>
      <c r="C1275" s="2217" t="s">
        <v>14</v>
      </c>
      <c r="D1275" s="2217"/>
      <c r="E1275" s="2219" t="s">
        <v>1821</v>
      </c>
      <c r="F1275" s="1906">
        <v>10775.1</v>
      </c>
      <c r="G1275" s="1906">
        <v>4551.3999999999996</v>
      </c>
      <c r="H1275" s="1906">
        <f>2946.9+12047.6-393</f>
        <v>14601.5</v>
      </c>
      <c r="I1275" s="1906">
        <v>20981.7</v>
      </c>
      <c r="J1275" s="1906">
        <v>20981.7</v>
      </c>
      <c r="K1275" s="901" t="s">
        <v>1822</v>
      </c>
      <c r="L1275" s="897" t="s">
        <v>189</v>
      </c>
      <c r="M1275" s="897">
        <v>1350</v>
      </c>
      <c r="N1275" s="897">
        <v>1200</v>
      </c>
      <c r="O1275" s="897">
        <v>1200</v>
      </c>
      <c r="P1275" s="897">
        <v>1100</v>
      </c>
      <c r="Q1275" s="897">
        <v>1000</v>
      </c>
    </row>
    <row r="1276" spans="1:17" ht="30" x14ac:dyDescent="0.25">
      <c r="A1276" s="2214"/>
      <c r="B1276" s="2216"/>
      <c r="C1276" s="2218"/>
      <c r="D1276" s="2218"/>
      <c r="E1276" s="2219"/>
      <c r="F1276" s="1906"/>
      <c r="G1276" s="1906"/>
      <c r="H1276" s="1906"/>
      <c r="I1276" s="1906"/>
      <c r="J1276" s="1906"/>
      <c r="K1276" s="901" t="s">
        <v>1823</v>
      </c>
      <c r="L1276" s="897" t="s">
        <v>189</v>
      </c>
      <c r="M1276" s="897">
        <v>85</v>
      </c>
      <c r="N1276" s="897">
        <v>85</v>
      </c>
      <c r="O1276" s="897">
        <v>85</v>
      </c>
      <c r="P1276" s="897">
        <v>85</v>
      </c>
      <c r="Q1276" s="897">
        <v>85</v>
      </c>
    </row>
    <row r="1277" spans="1:17" ht="30" x14ac:dyDescent="0.25">
      <c r="A1277" s="2214"/>
      <c r="B1277" s="2216"/>
      <c r="C1277" s="2218"/>
      <c r="D1277" s="2218"/>
      <c r="E1277" s="2219"/>
      <c r="F1277" s="1906"/>
      <c r="G1277" s="1906"/>
      <c r="H1277" s="1906"/>
      <c r="I1277" s="1906"/>
      <c r="J1277" s="1906"/>
      <c r="K1277" s="901" t="s">
        <v>1824</v>
      </c>
      <c r="L1277" s="897" t="s">
        <v>189</v>
      </c>
      <c r="M1277" s="897">
        <v>273</v>
      </c>
      <c r="N1277" s="897">
        <v>273</v>
      </c>
      <c r="O1277" s="897">
        <v>273</v>
      </c>
      <c r="P1277" s="897">
        <v>277</v>
      </c>
      <c r="Q1277" s="897">
        <v>279</v>
      </c>
    </row>
    <row r="1278" spans="1:17" ht="45" x14ac:dyDescent="0.25">
      <c r="A1278" s="2215"/>
      <c r="B1278" s="1921"/>
      <c r="C1278" s="2001"/>
      <c r="D1278" s="2001"/>
      <c r="E1278" s="2219"/>
      <c r="F1278" s="1906"/>
      <c r="G1278" s="1906"/>
      <c r="H1278" s="1906"/>
      <c r="I1278" s="1906"/>
      <c r="J1278" s="1906"/>
      <c r="K1278" s="901" t="s">
        <v>1825</v>
      </c>
      <c r="L1278" s="897" t="s">
        <v>189</v>
      </c>
      <c r="M1278" s="897">
        <v>0</v>
      </c>
      <c r="N1278" s="897">
        <v>0</v>
      </c>
      <c r="O1278" s="897">
        <v>2</v>
      </c>
      <c r="P1278" s="897">
        <v>4</v>
      </c>
      <c r="Q1278" s="897">
        <v>6</v>
      </c>
    </row>
    <row r="1279" spans="1:17" ht="30" x14ac:dyDescent="0.25">
      <c r="A1279" s="2213"/>
      <c r="B1279" s="1920"/>
      <c r="C1279" s="2217" t="s">
        <v>16</v>
      </c>
      <c r="D1279" s="2217"/>
      <c r="E1279" s="2219" t="s">
        <v>1826</v>
      </c>
      <c r="F1279" s="1906">
        <v>16569.2</v>
      </c>
      <c r="G1279" s="1906">
        <v>4051.4</v>
      </c>
      <c r="H1279" s="1906">
        <f>18841.7+10307.5</f>
        <v>29149.200000000001</v>
      </c>
      <c r="I1279" s="1906">
        <v>20981.7</v>
      </c>
      <c r="J1279" s="1906">
        <v>20981.7</v>
      </c>
      <c r="K1279" s="901" t="s">
        <v>1827</v>
      </c>
      <c r="L1279" s="897" t="s">
        <v>189</v>
      </c>
      <c r="M1279" s="897" t="s">
        <v>1828</v>
      </c>
      <c r="N1279" s="897" t="s">
        <v>1829</v>
      </c>
      <c r="O1279" s="897" t="s">
        <v>1830</v>
      </c>
      <c r="P1279" s="897" t="s">
        <v>1831</v>
      </c>
      <c r="Q1279" s="897" t="s">
        <v>1831</v>
      </c>
    </row>
    <row r="1280" spans="1:17" ht="30" x14ac:dyDescent="0.25">
      <c r="A1280" s="2214"/>
      <c r="B1280" s="2216"/>
      <c r="C1280" s="2218"/>
      <c r="D1280" s="2218"/>
      <c r="E1280" s="2219"/>
      <c r="F1280" s="1906"/>
      <c r="G1280" s="1906"/>
      <c r="H1280" s="1906"/>
      <c r="I1280" s="1906"/>
      <c r="J1280" s="1906"/>
      <c r="K1280" s="901" t="s">
        <v>1832</v>
      </c>
      <c r="L1280" s="897" t="s">
        <v>189</v>
      </c>
      <c r="M1280" s="897">
        <v>445</v>
      </c>
      <c r="N1280" s="897">
        <v>425</v>
      </c>
      <c r="O1280" s="897">
        <v>420</v>
      </c>
      <c r="P1280" s="897">
        <v>415</v>
      </c>
      <c r="Q1280" s="897">
        <v>410</v>
      </c>
    </row>
    <row r="1281" spans="1:17" ht="30" x14ac:dyDescent="0.25">
      <c r="A1281" s="2214"/>
      <c r="B1281" s="2216"/>
      <c r="C1281" s="2218"/>
      <c r="D1281" s="2218"/>
      <c r="E1281" s="2219"/>
      <c r="F1281" s="1906"/>
      <c r="G1281" s="1906"/>
      <c r="H1281" s="1906"/>
      <c r="I1281" s="1906"/>
      <c r="J1281" s="1906"/>
      <c r="K1281" s="901" t="s">
        <v>1833</v>
      </c>
      <c r="L1281" s="897" t="s">
        <v>182</v>
      </c>
      <c r="M1281" s="897">
        <v>90</v>
      </c>
      <c r="N1281" s="897">
        <v>90</v>
      </c>
      <c r="O1281" s="897">
        <v>90</v>
      </c>
      <c r="P1281" s="897">
        <v>90</v>
      </c>
      <c r="Q1281" s="897">
        <v>90</v>
      </c>
    </row>
    <row r="1282" spans="1:17" ht="45" x14ac:dyDescent="0.25">
      <c r="A1282" s="2214"/>
      <c r="B1282" s="2216"/>
      <c r="C1282" s="2218"/>
      <c r="D1282" s="2218"/>
      <c r="E1282" s="2219"/>
      <c r="F1282" s="1906"/>
      <c r="G1282" s="1906"/>
      <c r="H1282" s="1906"/>
      <c r="I1282" s="1906"/>
      <c r="J1282" s="1906"/>
      <c r="K1282" s="901" t="s">
        <v>1834</v>
      </c>
      <c r="L1282" s="897" t="s">
        <v>1297</v>
      </c>
      <c r="M1282" s="897">
        <v>8402.9</v>
      </c>
      <c r="N1282" s="897">
        <v>8823</v>
      </c>
      <c r="O1282" s="897">
        <v>9264.2000000000007</v>
      </c>
      <c r="P1282" s="897">
        <v>9727.4</v>
      </c>
      <c r="Q1282" s="897">
        <v>10190.6</v>
      </c>
    </row>
    <row r="1283" spans="1:17" ht="30" x14ac:dyDescent="0.25">
      <c r="A1283" s="2214"/>
      <c r="B1283" s="2216"/>
      <c r="C1283" s="2218"/>
      <c r="D1283" s="2218"/>
      <c r="E1283" s="2219"/>
      <c r="F1283" s="1906"/>
      <c r="G1283" s="1906"/>
      <c r="H1283" s="1906"/>
      <c r="I1283" s="1906"/>
      <c r="J1283" s="1906"/>
      <c r="K1283" s="901" t="s">
        <v>1835</v>
      </c>
      <c r="L1283" s="897" t="s">
        <v>270</v>
      </c>
      <c r="M1283" s="897">
        <v>7</v>
      </c>
      <c r="N1283" s="897">
        <v>7</v>
      </c>
      <c r="O1283" s="897">
        <v>9</v>
      </c>
      <c r="P1283" s="897">
        <v>9</v>
      </c>
      <c r="Q1283" s="897">
        <v>9</v>
      </c>
    </row>
    <row r="1284" spans="1:17" ht="45" x14ac:dyDescent="0.25">
      <c r="A1284" s="2214"/>
      <c r="B1284" s="2216"/>
      <c r="C1284" s="2218"/>
      <c r="D1284" s="2218"/>
      <c r="E1284" s="2219"/>
      <c r="F1284" s="1906"/>
      <c r="G1284" s="1906"/>
      <c r="H1284" s="1906"/>
      <c r="I1284" s="1906"/>
      <c r="J1284" s="1906"/>
      <c r="K1284" s="901" t="s">
        <v>1836</v>
      </c>
      <c r="L1284" s="897" t="s">
        <v>1837</v>
      </c>
      <c r="M1284" s="897">
        <v>50</v>
      </c>
      <c r="N1284" s="897">
        <v>50</v>
      </c>
      <c r="O1284" s="897">
        <v>62</v>
      </c>
      <c r="P1284" s="897">
        <v>70</v>
      </c>
      <c r="Q1284" s="897">
        <v>75</v>
      </c>
    </row>
    <row r="1285" spans="1:17" ht="30" x14ac:dyDescent="0.25">
      <c r="A1285" s="2215"/>
      <c r="B1285" s="1921"/>
      <c r="C1285" s="2001"/>
      <c r="D1285" s="2001"/>
      <c r="E1285" s="2219"/>
      <c r="F1285" s="1906"/>
      <c r="G1285" s="1906"/>
      <c r="H1285" s="1906"/>
      <c r="I1285" s="1906"/>
      <c r="J1285" s="1906"/>
      <c r="K1285" s="901" t="s">
        <v>1838</v>
      </c>
      <c r="L1285" s="897" t="s">
        <v>270</v>
      </c>
      <c r="M1285" s="897">
        <v>17000</v>
      </c>
      <c r="N1285" s="897">
        <v>18000</v>
      </c>
      <c r="O1285" s="897">
        <v>19000</v>
      </c>
      <c r="P1285" s="897">
        <v>20000</v>
      </c>
      <c r="Q1285" s="897">
        <v>21000</v>
      </c>
    </row>
    <row r="1286" spans="1:17" ht="30" x14ac:dyDescent="0.25">
      <c r="A1286" s="1062"/>
      <c r="B1286" s="493"/>
      <c r="C1286" s="1049" t="s">
        <v>48</v>
      </c>
      <c r="D1286" s="1049"/>
      <c r="E1286" s="901" t="s">
        <v>1723</v>
      </c>
      <c r="F1286" s="895"/>
      <c r="G1286" s="895"/>
      <c r="H1286" s="895"/>
      <c r="I1286" s="895">
        <v>10000</v>
      </c>
      <c r="J1286" s="895">
        <v>10000</v>
      </c>
      <c r="K1286" s="901" t="s">
        <v>1755</v>
      </c>
      <c r="L1286" s="897" t="s">
        <v>270</v>
      </c>
      <c r="M1286" s="897"/>
      <c r="N1286" s="897"/>
      <c r="O1286" s="897" t="s">
        <v>393</v>
      </c>
      <c r="P1286" s="897" t="s">
        <v>393</v>
      </c>
      <c r="Q1286" s="897" t="s">
        <v>393</v>
      </c>
    </row>
    <row r="1287" spans="1:17" x14ac:dyDescent="0.25">
      <c r="A1287" s="809">
        <v>52</v>
      </c>
      <c r="B1287" s="49">
        <v>6</v>
      </c>
      <c r="C1287" s="1049"/>
      <c r="D1287" s="1049"/>
      <c r="E1287" s="1026" t="s">
        <v>867</v>
      </c>
      <c r="F1287" s="915">
        <v>0</v>
      </c>
      <c r="G1287" s="915">
        <v>0</v>
      </c>
      <c r="H1287" s="915">
        <f>H1288</f>
        <v>195440</v>
      </c>
      <c r="I1287" s="915">
        <v>246750</v>
      </c>
      <c r="J1287" s="915">
        <v>427200</v>
      </c>
      <c r="K1287" s="901"/>
      <c r="L1287" s="897"/>
      <c r="M1287" s="897"/>
      <c r="N1287" s="897"/>
      <c r="O1287" s="897"/>
      <c r="P1287" s="897"/>
      <c r="Q1287" s="897"/>
    </row>
    <row r="1288" spans="1:17" x14ac:dyDescent="0.25">
      <c r="A1288" s="1062"/>
      <c r="B1288" s="493"/>
      <c r="C1288" s="1049" t="s">
        <v>6</v>
      </c>
      <c r="D1288" s="1049"/>
      <c r="E1288" s="1056" t="s">
        <v>868</v>
      </c>
      <c r="F1288" s="928"/>
      <c r="G1288" s="928"/>
      <c r="H1288" s="928">
        <v>195440</v>
      </c>
      <c r="I1288" s="928">
        <v>246750</v>
      </c>
      <c r="J1288" s="928">
        <v>427200</v>
      </c>
      <c r="K1288" s="901"/>
      <c r="L1288" s="897"/>
      <c r="M1288" s="897"/>
      <c r="N1288" s="897"/>
      <c r="O1288" s="897"/>
      <c r="P1288" s="897"/>
      <c r="Q1288" s="897"/>
    </row>
    <row r="1289" spans="1:17" ht="33" customHeight="1" x14ac:dyDescent="0.25">
      <c r="A1289" s="1821" t="s">
        <v>1839</v>
      </c>
      <c r="B1289" s="1822"/>
      <c r="C1289" s="1841"/>
      <c r="D1289" s="1841"/>
      <c r="E1289" s="1841"/>
      <c r="F1289" s="80">
        <v>738373.3</v>
      </c>
      <c r="G1289" s="80">
        <v>761644.60000000009</v>
      </c>
      <c r="H1289" s="80">
        <f>H1195+H1203+H1226+H1239+H1255+H1287</f>
        <v>976015.2</v>
      </c>
      <c r="I1289" s="80">
        <v>1037424.6</v>
      </c>
      <c r="J1289" s="80">
        <v>1223459.6000000001</v>
      </c>
      <c r="K1289" s="796"/>
      <c r="L1289" s="795"/>
      <c r="M1289" s="795"/>
      <c r="N1289" s="795"/>
      <c r="O1289" s="795"/>
      <c r="P1289" s="795"/>
      <c r="Q1289" s="795"/>
    </row>
    <row r="1290" spans="1:17" x14ac:dyDescent="0.25">
      <c r="A1290" s="1826" t="s">
        <v>1840</v>
      </c>
      <c r="B1290" s="1827"/>
      <c r="C1290" s="1827"/>
      <c r="D1290" s="1827"/>
      <c r="E1290" s="1827"/>
      <c r="F1290" s="1827"/>
      <c r="G1290" s="1827"/>
      <c r="H1290" s="1827"/>
      <c r="I1290" s="1827"/>
      <c r="J1290" s="1827"/>
      <c r="K1290" s="1827"/>
      <c r="L1290" s="1827"/>
      <c r="M1290" s="1827"/>
      <c r="N1290" s="1827"/>
      <c r="O1290" s="1827"/>
      <c r="P1290" s="1827"/>
      <c r="Q1290" s="1828"/>
    </row>
    <row r="1291" spans="1:17" ht="74.25" x14ac:dyDescent="0.25">
      <c r="A1291" s="571">
        <v>53</v>
      </c>
      <c r="B1291" s="64">
        <v>1</v>
      </c>
      <c r="C1291" s="27"/>
      <c r="D1291" s="27"/>
      <c r="E1291" s="1304" t="s">
        <v>2897</v>
      </c>
      <c r="F1291" s="915">
        <v>0</v>
      </c>
      <c r="G1291" s="915">
        <v>250239.5</v>
      </c>
      <c r="H1291" s="915">
        <f>SUM(H1292:H1298)</f>
        <v>414898.60000000003</v>
      </c>
      <c r="I1291" s="915">
        <v>543658.27</v>
      </c>
      <c r="J1291" s="915">
        <v>356240.44999999995</v>
      </c>
      <c r="K1291" s="914" t="s">
        <v>181</v>
      </c>
      <c r="L1291" s="640" t="s">
        <v>182</v>
      </c>
      <c r="M1291" s="640"/>
      <c r="N1291" s="640"/>
      <c r="O1291" s="640"/>
      <c r="P1291" s="640"/>
      <c r="Q1291" s="640"/>
    </row>
    <row r="1292" spans="1:17" x14ac:dyDescent="0.25">
      <c r="A1292" s="572"/>
      <c r="B1292" s="494"/>
      <c r="C1292" s="30" t="s">
        <v>6</v>
      </c>
      <c r="D1292" s="30"/>
      <c r="E1292" s="978" t="s">
        <v>1627</v>
      </c>
      <c r="F1292" s="1136"/>
      <c r="G1292" s="1200">
        <v>20289.7</v>
      </c>
      <c r="H1292" s="1200">
        <f>6747.3+5740.9</f>
        <v>12488.2</v>
      </c>
      <c r="I1292" s="1200">
        <v>30740.69052</v>
      </c>
      <c r="J1292" s="1200">
        <v>31936.4578</v>
      </c>
      <c r="K1292" s="914" t="s">
        <v>183</v>
      </c>
      <c r="L1292" s="640" t="s">
        <v>184</v>
      </c>
      <c r="M1292" s="1002"/>
      <c r="N1292" s="640"/>
      <c r="O1292" s="640"/>
      <c r="P1292" s="640"/>
      <c r="Q1292" s="640"/>
    </row>
    <row r="1293" spans="1:17" x14ac:dyDescent="0.25">
      <c r="A1293" s="572"/>
      <c r="B1293" s="494"/>
      <c r="C1293" s="30" t="s">
        <v>8</v>
      </c>
      <c r="D1293" s="30"/>
      <c r="E1293" s="978" t="s">
        <v>171</v>
      </c>
      <c r="F1293" s="1136"/>
      <c r="G1293" s="1200">
        <v>22544.1</v>
      </c>
      <c r="H1293" s="1200">
        <f>3761.8+4286.3</f>
        <v>8048.1</v>
      </c>
      <c r="I1293" s="1200">
        <v>22057.99452</v>
      </c>
      <c r="J1293" s="1200">
        <v>22916.017800000001</v>
      </c>
      <c r="K1293" s="914" t="s">
        <v>185</v>
      </c>
      <c r="L1293" s="640" t="s">
        <v>182</v>
      </c>
      <c r="M1293" s="1002"/>
      <c r="N1293" s="1002"/>
      <c r="O1293" s="1002"/>
      <c r="P1293" s="1002"/>
      <c r="Q1293" s="1002"/>
    </row>
    <row r="1294" spans="1:17" ht="30" x14ac:dyDescent="0.25">
      <c r="A1294" s="572"/>
      <c r="B1294" s="494"/>
      <c r="C1294" s="30" t="s">
        <v>10</v>
      </c>
      <c r="D1294" s="30"/>
      <c r="E1294" s="978" t="s">
        <v>1643</v>
      </c>
      <c r="F1294" s="1136"/>
      <c r="G1294" s="1200">
        <v>13526.5</v>
      </c>
      <c r="H1294" s="1200">
        <f>2806.8+3125.2</f>
        <v>5932</v>
      </c>
      <c r="I1294" s="1200">
        <v>17032.624559999997</v>
      </c>
      <c r="J1294" s="1200">
        <v>17695.168399999999</v>
      </c>
      <c r="K1294" s="914" t="s">
        <v>186</v>
      </c>
      <c r="L1294" s="640" t="s">
        <v>182</v>
      </c>
      <c r="M1294" s="1305"/>
      <c r="N1294" s="1306"/>
      <c r="O1294" s="1307"/>
      <c r="P1294" s="1308"/>
      <c r="Q1294" s="1309"/>
    </row>
    <row r="1295" spans="1:17" ht="30" x14ac:dyDescent="0.25">
      <c r="A1295" s="572"/>
      <c r="B1295" s="494"/>
      <c r="C1295" s="30" t="s">
        <v>12</v>
      </c>
      <c r="D1295" s="30"/>
      <c r="E1295" s="978" t="s">
        <v>1645</v>
      </c>
      <c r="F1295" s="1136"/>
      <c r="G1295" s="1200">
        <v>18035.3</v>
      </c>
      <c r="H1295" s="1200">
        <f>2871.2+3191</f>
        <v>6062.2</v>
      </c>
      <c r="I1295" s="1200">
        <v>16953.587100000001</v>
      </c>
      <c r="J1295" s="1200">
        <v>17613.056499999999</v>
      </c>
      <c r="K1295" s="914" t="s">
        <v>187</v>
      </c>
      <c r="L1295" s="640" t="s">
        <v>1841</v>
      </c>
      <c r="M1295" s="1305"/>
      <c r="N1295" s="1306"/>
      <c r="O1295" s="1307"/>
      <c r="P1295" s="1308"/>
      <c r="Q1295" s="1309"/>
    </row>
    <row r="1296" spans="1:17" ht="30" x14ac:dyDescent="0.25">
      <c r="A1296" s="572"/>
      <c r="B1296" s="494"/>
      <c r="C1296" s="30" t="s">
        <v>14</v>
      </c>
      <c r="D1296" s="30"/>
      <c r="E1296" s="978" t="s">
        <v>15</v>
      </c>
      <c r="F1296" s="1136"/>
      <c r="G1296" s="1200">
        <v>13526.5</v>
      </c>
      <c r="H1296" s="1200">
        <f>2822.3+3134.1</f>
        <v>5956.4</v>
      </c>
      <c r="I1296" s="1200">
        <v>17023.173299999999</v>
      </c>
      <c r="J1296" s="1200">
        <v>17685.3495</v>
      </c>
      <c r="K1296" s="914" t="s">
        <v>188</v>
      </c>
      <c r="L1296" s="640" t="s">
        <v>189</v>
      </c>
      <c r="M1296" s="640"/>
      <c r="N1296" s="640"/>
      <c r="O1296" s="640"/>
      <c r="P1296" s="640"/>
      <c r="Q1296" s="640"/>
    </row>
    <row r="1297" spans="1:17" ht="30" x14ac:dyDescent="0.25">
      <c r="A1297" s="572"/>
      <c r="B1297" s="494"/>
      <c r="C1297" s="30" t="s">
        <v>16</v>
      </c>
      <c r="D1297" s="30"/>
      <c r="E1297" s="978" t="s">
        <v>895</v>
      </c>
      <c r="F1297" s="1136"/>
      <c r="G1297" s="1200">
        <v>126246.9</v>
      </c>
      <c r="H1297" s="1200">
        <f>138343.1+243484.6-15647</f>
        <v>366180.7</v>
      </c>
      <c r="I1297" s="1200">
        <v>411094</v>
      </c>
      <c r="J1297" s="1200">
        <v>218527.3</v>
      </c>
      <c r="K1297" s="914" t="s">
        <v>190</v>
      </c>
      <c r="L1297" s="640" t="s">
        <v>182</v>
      </c>
      <c r="M1297" s="640"/>
      <c r="N1297" s="640"/>
      <c r="O1297" s="640"/>
      <c r="P1297" s="640"/>
      <c r="Q1297" s="640"/>
    </row>
    <row r="1298" spans="1:17" ht="30" x14ac:dyDescent="0.25">
      <c r="A1298" s="572"/>
      <c r="B1298" s="494"/>
      <c r="C1298" s="30" t="s">
        <v>48</v>
      </c>
      <c r="D1298" s="30"/>
      <c r="E1298" s="978" t="s">
        <v>1648</v>
      </c>
      <c r="F1298" s="1136"/>
      <c r="G1298" s="1310">
        <v>36070.5</v>
      </c>
      <c r="H1298" s="1200">
        <f>5039.4+5191.6</f>
        <v>10231</v>
      </c>
      <c r="I1298" s="1200">
        <v>28756.2</v>
      </c>
      <c r="J1298" s="1200">
        <v>29867.1</v>
      </c>
      <c r="K1298" s="914" t="s">
        <v>1842</v>
      </c>
      <c r="L1298" s="640" t="s">
        <v>182</v>
      </c>
      <c r="M1298" s="640"/>
      <c r="N1298" s="640"/>
      <c r="O1298" s="640"/>
      <c r="P1298" s="640"/>
      <c r="Q1298" s="640"/>
    </row>
    <row r="1299" spans="1:17" ht="28.5" x14ac:dyDescent="0.25">
      <c r="A1299" s="571">
        <v>53</v>
      </c>
      <c r="B1299" s="64">
        <v>2</v>
      </c>
      <c r="C1299" s="30"/>
      <c r="D1299" s="30"/>
      <c r="E1299" s="1009" t="s">
        <v>1843</v>
      </c>
      <c r="F1299" s="145">
        <v>0</v>
      </c>
      <c r="G1299" s="145">
        <v>217826.8</v>
      </c>
      <c r="H1299" s="145">
        <f>SUM(H1300:H1301)</f>
        <v>288952.40000000002</v>
      </c>
      <c r="I1299" s="145">
        <v>269477.8</v>
      </c>
      <c r="J1299" s="145">
        <v>276662.90000000002</v>
      </c>
      <c r="K1299" s="914" t="s">
        <v>1844</v>
      </c>
      <c r="L1299" s="640" t="s">
        <v>182</v>
      </c>
      <c r="M1299" s="1010"/>
      <c r="N1299" s="1010"/>
      <c r="O1299" s="1010"/>
      <c r="P1299" s="1010"/>
      <c r="Q1299" s="1010"/>
    </row>
    <row r="1300" spans="1:17" x14ac:dyDescent="0.25">
      <c r="A1300" s="572"/>
      <c r="B1300" s="494"/>
      <c r="C1300" s="30" t="s">
        <v>6</v>
      </c>
      <c r="D1300" s="30"/>
      <c r="E1300" s="978" t="s">
        <v>1845</v>
      </c>
      <c r="F1300" s="1136"/>
      <c r="G1300" s="1136">
        <v>130696.1</v>
      </c>
      <c r="H1300" s="1311">
        <f>117683.9+91085.8</f>
        <v>208769.7</v>
      </c>
      <c r="I1300" s="1017">
        <v>188634.46</v>
      </c>
      <c r="J1300" s="1017">
        <v>193664.03</v>
      </c>
      <c r="K1300" s="914" t="s">
        <v>1846</v>
      </c>
      <c r="L1300" s="640" t="s">
        <v>222</v>
      </c>
      <c r="M1300" s="977">
        <v>876.9</v>
      </c>
      <c r="N1300" s="977">
        <v>964.6</v>
      </c>
      <c r="O1300" s="977">
        <v>1061.0999999999999</v>
      </c>
      <c r="P1300" s="977">
        <v>1145.9000000000001</v>
      </c>
      <c r="Q1300" s="977">
        <v>1260.5</v>
      </c>
    </row>
    <row r="1301" spans="1:17" ht="30" x14ac:dyDescent="0.25">
      <c r="A1301" s="572"/>
      <c r="B1301" s="494"/>
      <c r="C1301" s="30" t="s">
        <v>8</v>
      </c>
      <c r="D1301" s="30"/>
      <c r="E1301" s="978" t="s">
        <v>1847</v>
      </c>
      <c r="F1301" s="1136"/>
      <c r="G1301" s="1136">
        <v>87130.7</v>
      </c>
      <c r="H1301" s="1311">
        <f>50445.9+29736.8</f>
        <v>80182.7</v>
      </c>
      <c r="I1301" s="1017">
        <v>80843.34</v>
      </c>
      <c r="J1301" s="1017">
        <v>82998.87000000001</v>
      </c>
      <c r="K1301" s="914" t="s">
        <v>1848</v>
      </c>
      <c r="L1301" s="640" t="s">
        <v>222</v>
      </c>
      <c r="M1301" s="977">
        <v>302.39999999999998</v>
      </c>
      <c r="N1301" s="977">
        <v>332.6</v>
      </c>
      <c r="O1301" s="977">
        <v>365.9</v>
      </c>
      <c r="P1301" s="977">
        <v>402.5</v>
      </c>
      <c r="Q1301" s="1017">
        <v>442.7</v>
      </c>
    </row>
    <row r="1302" spans="1:17" ht="28.5" x14ac:dyDescent="0.25">
      <c r="A1302" s="902">
        <v>53</v>
      </c>
      <c r="B1302" s="1129">
        <v>3</v>
      </c>
      <c r="C1302" s="904"/>
      <c r="D1302" s="962"/>
      <c r="E1302" s="647" t="s">
        <v>1849</v>
      </c>
      <c r="F1302" s="794">
        <v>0</v>
      </c>
      <c r="G1302" s="794">
        <v>40306.300000000003</v>
      </c>
      <c r="H1302" s="794">
        <f>SUM(H1303:H1304)</f>
        <v>182497.6</v>
      </c>
      <c r="I1302" s="794">
        <v>49234.6</v>
      </c>
      <c r="J1302" s="794">
        <v>50374.6</v>
      </c>
      <c r="K1302" s="171" t="s">
        <v>1850</v>
      </c>
      <c r="L1302" s="692"/>
      <c r="M1302" s="692"/>
      <c r="N1302" s="11"/>
      <c r="O1302" s="11"/>
      <c r="P1302" s="11"/>
      <c r="Q1302" s="11"/>
    </row>
    <row r="1303" spans="1:17" x14ac:dyDescent="0.25">
      <c r="A1303" s="902"/>
      <c r="B1303" s="1129"/>
      <c r="C1303" s="904" t="s">
        <v>6</v>
      </c>
      <c r="D1303" s="962"/>
      <c r="E1303" s="692" t="s">
        <v>1851</v>
      </c>
      <c r="F1303" s="700"/>
      <c r="G1303" s="1200">
        <v>18943.900000000001</v>
      </c>
      <c r="H1303" s="1200">
        <f>4131.7+93594</f>
        <v>97725.7</v>
      </c>
      <c r="I1303" s="1200">
        <v>26094.338</v>
      </c>
      <c r="J1303" s="1200">
        <v>26698.538</v>
      </c>
      <c r="K1303" s="692" t="s">
        <v>1852</v>
      </c>
      <c r="L1303" s="692" t="s">
        <v>189</v>
      </c>
      <c r="M1303" s="133">
        <v>123548</v>
      </c>
      <c r="N1303" s="1312">
        <v>222634</v>
      </c>
      <c r="O1303" s="133">
        <v>233766</v>
      </c>
      <c r="P1303" s="133">
        <v>245454</v>
      </c>
      <c r="Q1303" s="133">
        <v>250363</v>
      </c>
    </row>
    <row r="1304" spans="1:17" x14ac:dyDescent="0.25">
      <c r="A1304" s="902"/>
      <c r="B1304" s="1129"/>
      <c r="C1304" s="904" t="s">
        <v>8</v>
      </c>
      <c r="D1304" s="962"/>
      <c r="E1304" s="692" t="s">
        <v>1853</v>
      </c>
      <c r="F1304" s="700"/>
      <c r="G1304" s="1200">
        <v>21362.400000000001</v>
      </c>
      <c r="H1304" s="1200">
        <f>3679.1+81092.8</f>
        <v>84771.900000000009</v>
      </c>
      <c r="I1304" s="1200">
        <v>23140.261999999999</v>
      </c>
      <c r="J1304" s="1200">
        <v>23676.061999999998</v>
      </c>
      <c r="K1304" s="692" t="s">
        <v>1854</v>
      </c>
      <c r="L1304" s="692" t="s">
        <v>222</v>
      </c>
      <c r="M1304" s="692">
        <v>111156</v>
      </c>
      <c r="N1304" s="1312">
        <v>118220</v>
      </c>
      <c r="O1304" s="133">
        <v>120584</v>
      </c>
      <c r="P1304" s="133">
        <v>122996</v>
      </c>
      <c r="Q1304" s="133">
        <v>125456</v>
      </c>
    </row>
    <row r="1305" spans="1:17" x14ac:dyDescent="0.25">
      <c r="A1305" s="1313">
        <v>53</v>
      </c>
      <c r="B1305" s="1314">
        <v>4</v>
      </c>
      <c r="C1305" s="912"/>
      <c r="D1305" s="976"/>
      <c r="E1305" s="647" t="s">
        <v>1855</v>
      </c>
      <c r="F1305" s="794">
        <v>0</v>
      </c>
      <c r="G1305" s="794">
        <v>19446.8</v>
      </c>
      <c r="H1305" s="794">
        <f>H1306</f>
        <v>21682.300000000003</v>
      </c>
      <c r="I1305" s="794">
        <v>23393.671781464996</v>
      </c>
      <c r="J1305" s="794">
        <v>23702.217197039998</v>
      </c>
      <c r="K1305" s="171" t="s">
        <v>1850</v>
      </c>
      <c r="L1305" s="692"/>
      <c r="M1305" s="692"/>
      <c r="N1305" s="43"/>
      <c r="O1305" s="43"/>
      <c r="P1305" s="43"/>
      <c r="Q1305" s="43"/>
    </row>
    <row r="1306" spans="1:17" x14ac:dyDescent="0.25">
      <c r="A1306" s="906"/>
      <c r="B1306" s="1047"/>
      <c r="C1306" s="912" t="s">
        <v>6</v>
      </c>
      <c r="D1306" s="976"/>
      <c r="E1306" s="692" t="s">
        <v>1856</v>
      </c>
      <c r="F1306" s="1145"/>
      <c r="G1306" s="1310">
        <v>19446.8</v>
      </c>
      <c r="H1306" s="1200">
        <f>9537.7+12144.6</f>
        <v>21682.300000000003</v>
      </c>
      <c r="I1306" s="1200">
        <v>23694.6</v>
      </c>
      <c r="J1306" s="1200">
        <v>24323.1</v>
      </c>
      <c r="K1306" s="692" t="s">
        <v>1857</v>
      </c>
      <c r="L1306" s="692" t="s">
        <v>182</v>
      </c>
      <c r="M1306" s="692"/>
      <c r="N1306" s="43"/>
      <c r="O1306" s="43"/>
      <c r="P1306" s="43"/>
      <c r="Q1306" s="43"/>
    </row>
    <row r="1307" spans="1:17" ht="57" x14ac:dyDescent="0.25">
      <c r="A1307" s="906">
        <v>53</v>
      </c>
      <c r="B1307" s="1047">
        <v>5</v>
      </c>
      <c r="C1307" s="912"/>
      <c r="D1307" s="976"/>
      <c r="E1307" s="135" t="s">
        <v>1858</v>
      </c>
      <c r="F1307" s="721">
        <v>0</v>
      </c>
      <c r="G1307" s="721">
        <v>255866.19999999998</v>
      </c>
      <c r="H1307" s="721">
        <f>SUM(H1308:H1309)</f>
        <v>274268.40000000002</v>
      </c>
      <c r="I1307" s="721">
        <v>276414.95941662998</v>
      </c>
      <c r="J1307" s="721">
        <v>280060.67050127999</v>
      </c>
      <c r="K1307" s="171" t="s">
        <v>1859</v>
      </c>
      <c r="L1307" s="692" t="s">
        <v>1860</v>
      </c>
      <c r="M1307" s="692">
        <v>20878</v>
      </c>
      <c r="N1307" s="44">
        <v>18678</v>
      </c>
      <c r="O1307" s="44">
        <v>18678</v>
      </c>
      <c r="P1307" s="44">
        <v>18678</v>
      </c>
      <c r="Q1307" s="44">
        <v>18678</v>
      </c>
    </row>
    <row r="1308" spans="1:17" ht="45" x14ac:dyDescent="0.25">
      <c r="A1308" s="906"/>
      <c r="B1308" s="1047"/>
      <c r="C1308" s="912" t="s">
        <v>6</v>
      </c>
      <c r="D1308" s="976"/>
      <c r="E1308" s="62" t="s">
        <v>1861</v>
      </c>
      <c r="F1308" s="977"/>
      <c r="G1308" s="977">
        <v>254586.8</v>
      </c>
      <c r="H1308" s="1017">
        <f>239507.7+33315.8</f>
        <v>272823.5</v>
      </c>
      <c r="I1308" s="1017">
        <v>259515.7</v>
      </c>
      <c r="J1308" s="1017">
        <v>262505.59999999998</v>
      </c>
      <c r="K1308" s="692" t="s">
        <v>1862</v>
      </c>
      <c r="L1308" s="692" t="s">
        <v>1863</v>
      </c>
      <c r="M1308" s="692">
        <v>44783</v>
      </c>
      <c r="N1308" s="44">
        <v>40317</v>
      </c>
      <c r="O1308" s="44">
        <v>40317</v>
      </c>
      <c r="P1308" s="44">
        <v>40317</v>
      </c>
      <c r="Q1308" s="44">
        <v>40317</v>
      </c>
    </row>
    <row r="1309" spans="1:17" ht="75" x14ac:dyDescent="0.25">
      <c r="A1309" s="906"/>
      <c r="B1309" s="1047"/>
      <c r="C1309" s="912" t="s">
        <v>8</v>
      </c>
      <c r="D1309" s="976"/>
      <c r="E1309" s="692" t="s">
        <v>1864</v>
      </c>
      <c r="F1309" s="977"/>
      <c r="G1309" s="977">
        <v>1279.4000000000001</v>
      </c>
      <c r="H1309" s="1017">
        <v>1444.9</v>
      </c>
      <c r="I1309" s="1017">
        <v>1368.4</v>
      </c>
      <c r="J1309" s="1017">
        <v>1386.4</v>
      </c>
      <c r="K1309" s="692" t="s">
        <v>1865</v>
      </c>
      <c r="L1309" s="692" t="s">
        <v>1860</v>
      </c>
      <c r="M1309" s="692">
        <v>3774</v>
      </c>
      <c r="N1309" s="44">
        <v>4271</v>
      </c>
      <c r="O1309" s="44">
        <v>4271</v>
      </c>
      <c r="P1309" s="44">
        <v>4271</v>
      </c>
      <c r="Q1309" s="44">
        <v>4271</v>
      </c>
    </row>
    <row r="1310" spans="1:17" ht="71.25" x14ac:dyDescent="0.25">
      <c r="A1310" s="906">
        <v>53</v>
      </c>
      <c r="B1310" s="1047">
        <v>6</v>
      </c>
      <c r="C1310" s="912"/>
      <c r="D1310" s="976"/>
      <c r="E1310" s="647" t="s">
        <v>1866</v>
      </c>
      <c r="F1310" s="794">
        <v>0</v>
      </c>
      <c r="G1310" s="794">
        <v>0</v>
      </c>
      <c r="H1310" s="794">
        <f>SUM(H1311:H1312)</f>
        <v>0</v>
      </c>
      <c r="I1310" s="794">
        <v>2431.6587599999998</v>
      </c>
      <c r="J1310" s="794">
        <v>2463.73056</v>
      </c>
      <c r="K1310" s="171" t="s">
        <v>1867</v>
      </c>
      <c r="L1310" s="692" t="s">
        <v>1868</v>
      </c>
      <c r="M1310" s="692" t="s">
        <v>1869</v>
      </c>
      <c r="N1310" s="1315" t="s">
        <v>1870</v>
      </c>
      <c r="O1310" s="1315" t="s">
        <v>1871</v>
      </c>
      <c r="P1310" s="1315" t="s">
        <v>1872</v>
      </c>
      <c r="Q1310" s="1315" t="s">
        <v>1873</v>
      </c>
    </row>
    <row r="1311" spans="1:17" ht="30" x14ac:dyDescent="0.25">
      <c r="A1311" s="906"/>
      <c r="B1311" s="1047"/>
      <c r="C1311" s="912" t="s">
        <v>6</v>
      </c>
      <c r="D1311" s="976"/>
      <c r="E1311" s="692" t="s">
        <v>1874</v>
      </c>
      <c r="F1311" s="1017"/>
      <c r="G1311" s="1017"/>
      <c r="H1311" s="1017"/>
      <c r="I1311" s="1017">
        <v>1215.9000000000001</v>
      </c>
      <c r="J1311" s="1017">
        <v>1231.9000000000001</v>
      </c>
      <c r="K1311" s="692" t="s">
        <v>1875</v>
      </c>
      <c r="L1311" s="692" t="s">
        <v>1876</v>
      </c>
      <c r="M1311" s="692">
        <v>80</v>
      </c>
      <c r="N1311" s="692">
        <v>80</v>
      </c>
      <c r="O1311" s="692">
        <v>80</v>
      </c>
      <c r="P1311" s="692">
        <v>80</v>
      </c>
      <c r="Q1311" s="692">
        <v>80</v>
      </c>
    </row>
    <row r="1312" spans="1:17" ht="45" x14ac:dyDescent="0.25">
      <c r="A1312" s="906"/>
      <c r="B1312" s="1047"/>
      <c r="C1312" s="912" t="s">
        <v>8</v>
      </c>
      <c r="D1312" s="976"/>
      <c r="E1312" s="692" t="s">
        <v>1877</v>
      </c>
      <c r="F1312" s="1017"/>
      <c r="G1312" s="1017"/>
      <c r="H1312" s="1017"/>
      <c r="I1312" s="1017">
        <v>1215.8</v>
      </c>
      <c r="J1312" s="1017">
        <v>1231.8</v>
      </c>
      <c r="K1312" s="692" t="s">
        <v>1878</v>
      </c>
      <c r="L1312" s="692" t="s">
        <v>1868</v>
      </c>
      <c r="M1312" s="692" t="s">
        <v>1869</v>
      </c>
      <c r="N1312" s="1315" t="s">
        <v>1870</v>
      </c>
      <c r="O1312" s="1315" t="s">
        <v>1871</v>
      </c>
      <c r="P1312" s="1315" t="s">
        <v>1872</v>
      </c>
      <c r="Q1312" s="1315" t="s">
        <v>1873</v>
      </c>
    </row>
    <row r="1313" spans="1:17" x14ac:dyDescent="0.25">
      <c r="A1313" s="906">
        <v>53</v>
      </c>
      <c r="B1313" s="1047">
        <v>7</v>
      </c>
      <c r="C1313" s="912"/>
      <c r="D1313" s="976"/>
      <c r="E1313" s="1026" t="s">
        <v>867</v>
      </c>
      <c r="F1313" s="794">
        <v>0</v>
      </c>
      <c r="G1313" s="794">
        <v>0</v>
      </c>
      <c r="H1313" s="794">
        <f>H1314</f>
        <v>115170</v>
      </c>
      <c r="I1313" s="794">
        <v>229026.3</v>
      </c>
      <c r="J1313" s="794">
        <v>0</v>
      </c>
      <c r="K1313" s="692"/>
      <c r="L1313" s="692"/>
      <c r="M1313" s="692"/>
      <c r="N1313" s="1315"/>
      <c r="O1313" s="1315"/>
      <c r="P1313" s="1315"/>
      <c r="Q1313" s="1315"/>
    </row>
    <row r="1314" spans="1:17" x14ac:dyDescent="0.25">
      <c r="A1314" s="906"/>
      <c r="B1314" s="1047"/>
      <c r="C1314" s="912" t="s">
        <v>6</v>
      </c>
      <c r="D1314" s="976"/>
      <c r="E1314" s="1056" t="s">
        <v>868</v>
      </c>
      <c r="F1314" s="1017"/>
      <c r="G1314" s="1017"/>
      <c r="H1314" s="1017">
        <v>115170</v>
      </c>
      <c r="I1314" s="1017">
        <v>229026.3</v>
      </c>
      <c r="J1314" s="1017"/>
      <c r="K1314" s="692"/>
      <c r="L1314" s="692"/>
      <c r="M1314" s="692"/>
      <c r="N1314" s="1315"/>
      <c r="O1314" s="1315"/>
      <c r="P1314" s="1315"/>
      <c r="Q1314" s="1315"/>
    </row>
    <row r="1315" spans="1:17" ht="33" customHeight="1" x14ac:dyDescent="0.25">
      <c r="A1315" s="1840" t="s">
        <v>1879</v>
      </c>
      <c r="B1315" s="1841"/>
      <c r="C1315" s="1841"/>
      <c r="D1315" s="1841"/>
      <c r="E1315" s="1842"/>
      <c r="F1315" s="46">
        <v>0</v>
      </c>
      <c r="G1315" s="46">
        <v>783685.6</v>
      </c>
      <c r="H1315" s="46">
        <f>H1291+H1299+H1302+H1305+H1307+H1310+H1313</f>
        <v>1297469.3</v>
      </c>
      <c r="I1315" s="46">
        <v>1393637.2599580952</v>
      </c>
      <c r="J1315" s="46">
        <v>989504.56825831998</v>
      </c>
      <c r="K1315" s="1316"/>
      <c r="L1315" s="17"/>
      <c r="M1315" s="17"/>
      <c r="N1315" s="17"/>
      <c r="O1315" s="17"/>
      <c r="P1315" s="17"/>
      <c r="Q1315" s="17"/>
    </row>
    <row r="1316" spans="1:17" x14ac:dyDescent="0.25">
      <c r="A1316" s="1826" t="s">
        <v>1880</v>
      </c>
      <c r="B1316" s="1827"/>
      <c r="C1316" s="1827"/>
      <c r="D1316" s="1827"/>
      <c r="E1316" s="1827"/>
      <c r="F1316" s="1827"/>
      <c r="G1316" s="1827"/>
      <c r="H1316" s="1827"/>
      <c r="I1316" s="1827"/>
      <c r="J1316" s="1827"/>
      <c r="K1316" s="1827"/>
      <c r="L1316" s="1827"/>
      <c r="M1316" s="1827"/>
      <c r="N1316" s="1827"/>
      <c r="O1316" s="1827"/>
      <c r="P1316" s="1827"/>
      <c r="Q1316" s="1828"/>
    </row>
    <row r="1317" spans="1:17" ht="72" customHeight="1" x14ac:dyDescent="0.25">
      <c r="A1317" s="906">
        <v>54</v>
      </c>
      <c r="B1317" s="1047">
        <v>1</v>
      </c>
      <c r="C1317" s="640"/>
      <c r="D1317" s="1317"/>
      <c r="E1317" s="1807" t="s">
        <v>2923</v>
      </c>
      <c r="F1317" s="794">
        <v>82461</v>
      </c>
      <c r="G1317" s="794">
        <v>74664</v>
      </c>
      <c r="H1317" s="794">
        <f>SUM(H1318:H1328)</f>
        <v>99094.2</v>
      </c>
      <c r="I1317" s="794">
        <v>75350.100000000006</v>
      </c>
      <c r="J1317" s="794">
        <v>76114.900000000009</v>
      </c>
      <c r="K1317" s="647" t="s">
        <v>181</v>
      </c>
      <c r="L1317" s="640" t="s">
        <v>182</v>
      </c>
      <c r="M1317" s="1318">
        <v>0.21299999999999999</v>
      </c>
      <c r="N1317" s="1318">
        <v>0.35099999999999998</v>
      </c>
      <c r="O1317" s="1319">
        <v>0.31</v>
      </c>
      <c r="P1317" s="1318">
        <v>0.312</v>
      </c>
      <c r="Q1317" s="1318">
        <v>0.312</v>
      </c>
    </row>
    <row r="1318" spans="1:17" x14ac:dyDescent="0.25">
      <c r="A1318" s="948"/>
      <c r="B1318" s="753"/>
      <c r="C1318" s="948">
        <v>1</v>
      </c>
      <c r="D1318" s="13"/>
      <c r="E1318" s="1058" t="s">
        <v>7</v>
      </c>
      <c r="F1318" s="1017">
        <v>18897</v>
      </c>
      <c r="G1318" s="1017">
        <v>16869.7</v>
      </c>
      <c r="H1318" s="1017">
        <v>19365.3</v>
      </c>
      <c r="I1318" s="1017">
        <v>17024.7</v>
      </c>
      <c r="J1318" s="1017">
        <v>17197.5</v>
      </c>
      <c r="K1318" s="914" t="s">
        <v>183</v>
      </c>
      <c r="L1318" s="1002" t="s">
        <v>184</v>
      </c>
      <c r="M1318" s="26">
        <v>0.47</v>
      </c>
      <c r="N1318" s="26">
        <v>0.5</v>
      </c>
      <c r="O1318" s="26">
        <v>0.6</v>
      </c>
      <c r="P1318" s="26">
        <v>0.7</v>
      </c>
      <c r="Q1318" s="26">
        <v>0.8</v>
      </c>
    </row>
    <row r="1319" spans="1:17" x14ac:dyDescent="0.25">
      <c r="A1319" s="948"/>
      <c r="B1319" s="753"/>
      <c r="C1319" s="948">
        <v>2</v>
      </c>
      <c r="D1319" s="13"/>
      <c r="E1319" s="1058" t="s">
        <v>9</v>
      </c>
      <c r="F1319" s="1017">
        <v>3779.5</v>
      </c>
      <c r="G1319" s="1017">
        <v>3436.4</v>
      </c>
      <c r="H1319" s="1017">
        <v>5790.5</v>
      </c>
      <c r="I1319" s="1017">
        <v>3468</v>
      </c>
      <c r="J1319" s="1017">
        <v>3503.2</v>
      </c>
      <c r="K1319" s="1132" t="s">
        <v>185</v>
      </c>
      <c r="L1319" s="1002" t="s">
        <v>182</v>
      </c>
      <c r="M1319" s="26">
        <v>0.97</v>
      </c>
      <c r="N1319" s="26">
        <v>0.97</v>
      </c>
      <c r="O1319" s="26">
        <v>0.98</v>
      </c>
      <c r="P1319" s="26">
        <v>0.98</v>
      </c>
      <c r="Q1319" s="26">
        <v>0.99</v>
      </c>
    </row>
    <row r="1320" spans="1:17" ht="30" x14ac:dyDescent="0.25">
      <c r="A1320" s="2028"/>
      <c r="B1320" s="1138"/>
      <c r="C1320" s="2028">
        <v>3</v>
      </c>
      <c r="D1320" s="1888"/>
      <c r="E1320" s="1985" t="s">
        <v>11</v>
      </c>
      <c r="F1320" s="1835">
        <v>2405.1</v>
      </c>
      <c r="G1320" s="1835">
        <v>2186.8000000000002</v>
      </c>
      <c r="H1320" s="1835">
        <v>3684.9</v>
      </c>
      <c r="I1320" s="1835">
        <v>2206.9</v>
      </c>
      <c r="J1320" s="1835">
        <v>2229.3000000000002</v>
      </c>
      <c r="K1320" s="1132" t="s">
        <v>1881</v>
      </c>
      <c r="L1320" s="1002" t="s">
        <v>182</v>
      </c>
      <c r="M1320" s="1002">
        <v>0</v>
      </c>
      <c r="N1320" s="1002">
        <v>0</v>
      </c>
      <c r="O1320" s="1002">
        <v>0</v>
      </c>
      <c r="P1320" s="1002">
        <v>0</v>
      </c>
      <c r="Q1320" s="1002">
        <v>0</v>
      </c>
    </row>
    <row r="1321" spans="1:17" ht="45" x14ac:dyDescent="0.25">
      <c r="A1321" s="1820"/>
      <c r="B1321" s="937"/>
      <c r="C1321" s="1820"/>
      <c r="D1321" s="1889"/>
      <c r="E1321" s="1987"/>
      <c r="F1321" s="1836"/>
      <c r="G1321" s="1836"/>
      <c r="H1321" s="1836"/>
      <c r="I1321" s="1836"/>
      <c r="J1321" s="1836"/>
      <c r="K1321" s="1132" t="s">
        <v>1882</v>
      </c>
      <c r="L1321" s="1002" t="s">
        <v>182</v>
      </c>
      <c r="M1321" s="26">
        <v>0.18</v>
      </c>
      <c r="N1321" s="1002" t="s">
        <v>393</v>
      </c>
      <c r="O1321" s="1002" t="s">
        <v>393</v>
      </c>
      <c r="P1321" s="1002" t="s">
        <v>393</v>
      </c>
      <c r="Q1321" s="1002" t="s">
        <v>393</v>
      </c>
    </row>
    <row r="1322" spans="1:17" ht="30" x14ac:dyDescent="0.25">
      <c r="A1322" s="948"/>
      <c r="B1322" s="753"/>
      <c r="C1322" s="948">
        <v>4</v>
      </c>
      <c r="D1322" s="13"/>
      <c r="E1322" s="1058" t="s">
        <v>13</v>
      </c>
      <c r="F1322" s="1017">
        <v>5153.8</v>
      </c>
      <c r="G1322" s="1017">
        <v>4686</v>
      </c>
      <c r="H1322" s="1017">
        <v>7134.5</v>
      </c>
      <c r="I1322" s="1017">
        <v>4729.1000000000004</v>
      </c>
      <c r="J1322" s="1017">
        <v>4777.1000000000004</v>
      </c>
      <c r="K1322" s="914" t="s">
        <v>187</v>
      </c>
      <c r="L1322" s="1002" t="s">
        <v>423</v>
      </c>
      <c r="M1322" s="1002" t="s">
        <v>1883</v>
      </c>
      <c r="N1322" s="1002" t="s">
        <v>393</v>
      </c>
      <c r="O1322" s="1002" t="s">
        <v>393</v>
      </c>
      <c r="P1322" s="1002" t="s">
        <v>393</v>
      </c>
      <c r="Q1322" s="1002" t="s">
        <v>393</v>
      </c>
    </row>
    <row r="1323" spans="1:17" ht="30" x14ac:dyDescent="0.25">
      <c r="A1323" s="1829"/>
      <c r="B1323" s="1320"/>
      <c r="C1323" s="2028">
        <v>5</v>
      </c>
      <c r="D1323" s="1888"/>
      <c r="E1323" s="1985" t="s">
        <v>15</v>
      </c>
      <c r="F1323" s="1835">
        <v>343.6</v>
      </c>
      <c r="G1323" s="1835">
        <v>312.39999999999998</v>
      </c>
      <c r="H1323" s="1835">
        <v>3158.3</v>
      </c>
      <c r="I1323" s="1835">
        <v>315.3</v>
      </c>
      <c r="J1323" s="1835">
        <v>318.5</v>
      </c>
      <c r="K1323" s="1132" t="s">
        <v>1884</v>
      </c>
      <c r="L1323" s="1002" t="s">
        <v>189</v>
      </c>
      <c r="M1323" s="1002">
        <v>400</v>
      </c>
      <c r="N1323" s="1002">
        <v>450</v>
      </c>
      <c r="O1323" s="1002">
        <v>500</v>
      </c>
      <c r="P1323" s="1002">
        <v>550</v>
      </c>
      <c r="Q1323" s="1002">
        <v>600</v>
      </c>
    </row>
    <row r="1324" spans="1:17" ht="30" x14ac:dyDescent="0.25">
      <c r="A1324" s="1837"/>
      <c r="B1324" s="1321"/>
      <c r="C1324" s="1819"/>
      <c r="D1324" s="2212"/>
      <c r="E1324" s="1986"/>
      <c r="F1324" s="1911"/>
      <c r="G1324" s="1911"/>
      <c r="H1324" s="1911"/>
      <c r="I1324" s="1911"/>
      <c r="J1324" s="1911"/>
      <c r="K1324" s="1132" t="s">
        <v>1885</v>
      </c>
      <c r="L1324" s="1002" t="s">
        <v>424</v>
      </c>
      <c r="M1324" s="1002">
        <v>800</v>
      </c>
      <c r="N1324" s="1002">
        <v>800</v>
      </c>
      <c r="O1324" s="1002">
        <v>850</v>
      </c>
      <c r="P1324" s="1002">
        <v>900</v>
      </c>
      <c r="Q1324" s="1002">
        <v>900</v>
      </c>
    </row>
    <row r="1325" spans="1:17" ht="60" x14ac:dyDescent="0.25">
      <c r="A1325" s="1830"/>
      <c r="B1325" s="497"/>
      <c r="C1325" s="1820"/>
      <c r="D1325" s="1889"/>
      <c r="E1325" s="1987"/>
      <c r="F1325" s="1836"/>
      <c r="G1325" s="1836"/>
      <c r="H1325" s="1836"/>
      <c r="I1325" s="1836"/>
      <c r="J1325" s="1836"/>
      <c r="K1325" s="1132" t="s">
        <v>1886</v>
      </c>
      <c r="L1325" s="1002" t="s">
        <v>424</v>
      </c>
      <c r="M1325" s="1002">
        <v>17</v>
      </c>
      <c r="N1325" s="1002">
        <v>20</v>
      </c>
      <c r="O1325" s="1002">
        <v>25</v>
      </c>
      <c r="P1325" s="1002">
        <v>30</v>
      </c>
      <c r="Q1325" s="1002">
        <v>35</v>
      </c>
    </row>
    <row r="1326" spans="1:17" x14ac:dyDescent="0.25">
      <c r="A1326" s="948"/>
      <c r="B1326" s="753"/>
      <c r="C1326" s="948">
        <v>5</v>
      </c>
      <c r="D1326" s="13"/>
      <c r="E1326" s="1058" t="s">
        <v>1480</v>
      </c>
      <c r="F1326" s="1017">
        <v>1717.9</v>
      </c>
      <c r="G1326" s="1017">
        <v>1562</v>
      </c>
      <c r="H1326" s="1017"/>
      <c r="I1326" s="1017">
        <v>1576.4</v>
      </c>
      <c r="J1326" s="1017">
        <v>1592.4</v>
      </c>
      <c r="K1326" s="914" t="s">
        <v>1887</v>
      </c>
      <c r="L1326" s="1002" t="s">
        <v>424</v>
      </c>
      <c r="M1326" s="1002">
        <v>1</v>
      </c>
      <c r="N1326" s="1002" t="s">
        <v>393</v>
      </c>
      <c r="O1326" s="1002" t="s">
        <v>393</v>
      </c>
      <c r="P1326" s="1002" t="s">
        <v>393</v>
      </c>
      <c r="Q1326" s="1002" t="s">
        <v>393</v>
      </c>
    </row>
    <row r="1327" spans="1:17" ht="45" x14ac:dyDescent="0.25">
      <c r="A1327" s="948"/>
      <c r="B1327" s="753"/>
      <c r="C1327" s="948">
        <v>6</v>
      </c>
      <c r="D1327" s="13"/>
      <c r="E1327" s="914" t="s">
        <v>17</v>
      </c>
      <c r="F1327" s="1017">
        <v>45353.8</v>
      </c>
      <c r="G1327" s="1017">
        <v>41237.1</v>
      </c>
      <c r="H1327" s="1017">
        <v>53352.5</v>
      </c>
      <c r="I1327" s="1017">
        <v>41615.9</v>
      </c>
      <c r="J1327" s="1017">
        <v>42038.3</v>
      </c>
      <c r="K1327" s="1132" t="s">
        <v>1888</v>
      </c>
      <c r="L1327" s="1002" t="s">
        <v>182</v>
      </c>
      <c r="M1327" s="26">
        <v>0.17</v>
      </c>
      <c r="N1327" s="26">
        <v>0.17</v>
      </c>
      <c r="O1327" s="26">
        <v>0.18</v>
      </c>
      <c r="P1327" s="26">
        <v>0.19</v>
      </c>
      <c r="Q1327" s="26">
        <v>0.2</v>
      </c>
    </row>
    <row r="1328" spans="1:17" ht="45" x14ac:dyDescent="0.25">
      <c r="A1328" s="948"/>
      <c r="B1328" s="753"/>
      <c r="C1328" s="948">
        <v>7</v>
      </c>
      <c r="D1328" s="13"/>
      <c r="E1328" s="914" t="s">
        <v>66</v>
      </c>
      <c r="F1328" s="944">
        <v>4810.3</v>
      </c>
      <c r="G1328" s="944">
        <v>4373.6000000000004</v>
      </c>
      <c r="H1328" s="944">
        <v>6608.2</v>
      </c>
      <c r="I1328" s="944">
        <v>4413.8</v>
      </c>
      <c r="J1328" s="944">
        <v>4458.6000000000004</v>
      </c>
      <c r="K1328" s="1132" t="s">
        <v>1889</v>
      </c>
      <c r="L1328" s="1002" t="s">
        <v>1890</v>
      </c>
      <c r="M1328" s="1002">
        <v>4</v>
      </c>
      <c r="N1328" s="1002">
        <v>4</v>
      </c>
      <c r="O1328" s="1002">
        <v>4</v>
      </c>
      <c r="P1328" s="77">
        <v>4</v>
      </c>
      <c r="Q1328" s="1002">
        <v>4</v>
      </c>
    </row>
    <row r="1329" spans="1:17" ht="73.5" x14ac:dyDescent="0.25">
      <c r="A1329" s="571">
        <v>54</v>
      </c>
      <c r="B1329" s="64">
        <v>3</v>
      </c>
      <c r="C1329" s="1002"/>
      <c r="D1329" s="1322"/>
      <c r="E1329" s="647" t="s">
        <v>1891</v>
      </c>
      <c r="F1329" s="794">
        <v>64594.799999999988</v>
      </c>
      <c r="G1329" s="794">
        <v>58731.5</v>
      </c>
      <c r="H1329" s="794">
        <f>SUM(H1330:H1345)</f>
        <v>66737.100000000006</v>
      </c>
      <c r="I1329" s="794">
        <v>59271.19999999999</v>
      </c>
      <c r="J1329" s="794">
        <v>59872.800000000003</v>
      </c>
      <c r="K1329" s="914" t="s">
        <v>1892</v>
      </c>
      <c r="L1329" s="1002" t="s">
        <v>422</v>
      </c>
      <c r="M1329" s="1002">
        <v>71</v>
      </c>
      <c r="N1329" s="1002">
        <v>99</v>
      </c>
      <c r="O1329" s="1002">
        <v>71</v>
      </c>
      <c r="P1329" s="1002">
        <v>70</v>
      </c>
      <c r="Q1329" s="1002">
        <v>70</v>
      </c>
    </row>
    <row r="1330" spans="1:17" ht="30" x14ac:dyDescent="0.25">
      <c r="A1330" s="1837"/>
      <c r="B1330" s="2038"/>
      <c r="C1330" s="1831" t="s">
        <v>6</v>
      </c>
      <c r="D1330" s="2206"/>
      <c r="E1330" s="2208" t="s">
        <v>1893</v>
      </c>
      <c r="F1330" s="1835">
        <v>38825.599999999999</v>
      </c>
      <c r="G1330" s="1835">
        <v>35301.4</v>
      </c>
      <c r="H1330" s="1835">
        <v>37711.300000000003</v>
      </c>
      <c r="I1330" s="1835">
        <v>35625.699999999997</v>
      </c>
      <c r="J1330" s="1835">
        <v>35987.300000000003</v>
      </c>
      <c r="K1330" s="1035" t="s">
        <v>1894</v>
      </c>
      <c r="L1330" s="1322" t="s">
        <v>189</v>
      </c>
      <c r="M1330" s="1322">
        <v>329</v>
      </c>
      <c r="N1330" s="1322">
        <v>325</v>
      </c>
      <c r="O1330" s="1322">
        <v>320</v>
      </c>
      <c r="P1330" s="1322">
        <v>315</v>
      </c>
      <c r="Q1330" s="1322">
        <v>310</v>
      </c>
    </row>
    <row r="1331" spans="1:17" x14ac:dyDescent="0.25">
      <c r="A1331" s="1837"/>
      <c r="B1331" s="2203"/>
      <c r="C1331" s="1838"/>
      <c r="D1331" s="2206"/>
      <c r="E1331" s="2209"/>
      <c r="F1331" s="1911"/>
      <c r="G1331" s="1911"/>
      <c r="H1331" s="1911"/>
      <c r="I1331" s="1911"/>
      <c r="J1331" s="1911"/>
      <c r="K1331" s="1132" t="s">
        <v>1895</v>
      </c>
      <c r="L1331" s="1322" t="s">
        <v>189</v>
      </c>
      <c r="M1331" s="1322">
        <v>395</v>
      </c>
      <c r="N1331" s="1322">
        <v>395</v>
      </c>
      <c r="O1331" s="1322">
        <v>395</v>
      </c>
      <c r="P1331" s="1322">
        <v>390</v>
      </c>
      <c r="Q1331" s="1322">
        <v>390</v>
      </c>
    </row>
    <row r="1332" spans="1:17" x14ac:dyDescent="0.25">
      <c r="A1332" s="1837"/>
      <c r="B1332" s="2203"/>
      <c r="C1332" s="1838"/>
      <c r="D1332" s="2206"/>
      <c r="E1332" s="2209"/>
      <c r="F1332" s="1911"/>
      <c r="G1332" s="1911"/>
      <c r="H1332" s="1911"/>
      <c r="I1332" s="1911"/>
      <c r="J1332" s="1911"/>
      <c r="K1332" s="1132" t="s">
        <v>1896</v>
      </c>
      <c r="L1332" s="1322" t="s">
        <v>189</v>
      </c>
      <c r="M1332" s="1322">
        <v>3048</v>
      </c>
      <c r="N1332" s="1322">
        <v>3055</v>
      </c>
      <c r="O1332" s="1322">
        <v>3060</v>
      </c>
      <c r="P1332" s="1322">
        <v>3065</v>
      </c>
      <c r="Q1332" s="1322">
        <v>3070</v>
      </c>
    </row>
    <row r="1333" spans="1:17" ht="30" x14ac:dyDescent="0.25">
      <c r="A1333" s="1837"/>
      <c r="B1333" s="2203"/>
      <c r="C1333" s="1838"/>
      <c r="D1333" s="2206"/>
      <c r="E1333" s="2209"/>
      <c r="F1333" s="1911"/>
      <c r="G1333" s="1911"/>
      <c r="H1333" s="1911"/>
      <c r="I1333" s="1911"/>
      <c r="J1333" s="1911"/>
      <c r="K1333" s="1132" t="s">
        <v>1897</v>
      </c>
      <c r="L1333" s="1322" t="s">
        <v>182</v>
      </c>
      <c r="M1333" s="1322">
        <v>12</v>
      </c>
      <c r="N1333" s="1322">
        <v>12.22</v>
      </c>
      <c r="O1333" s="1322">
        <v>12.24</v>
      </c>
      <c r="P1333" s="1322">
        <v>12.26</v>
      </c>
      <c r="Q1333" s="1322">
        <v>12.28</v>
      </c>
    </row>
    <row r="1334" spans="1:17" ht="45" x14ac:dyDescent="0.25">
      <c r="A1334" s="1830"/>
      <c r="B1334" s="2039"/>
      <c r="C1334" s="2057"/>
      <c r="D1334" s="2207"/>
      <c r="E1334" s="2210"/>
      <c r="F1334" s="1836"/>
      <c r="G1334" s="1836"/>
      <c r="H1334" s="1836"/>
      <c r="I1334" s="1836"/>
      <c r="J1334" s="1836"/>
      <c r="K1334" s="1132" t="s">
        <v>1898</v>
      </c>
      <c r="L1334" s="1322" t="s">
        <v>189</v>
      </c>
      <c r="M1334" s="1322">
        <v>1116</v>
      </c>
      <c r="N1334" s="1322">
        <v>1100</v>
      </c>
      <c r="O1334" s="1322">
        <v>1120</v>
      </c>
      <c r="P1334" s="1322">
        <v>1115</v>
      </c>
      <c r="Q1334" s="1322">
        <v>1120</v>
      </c>
    </row>
    <row r="1335" spans="1:17" ht="45" x14ac:dyDescent="0.25">
      <c r="A1335" s="1829"/>
      <c r="B1335" s="2038"/>
      <c r="C1335" s="1831" t="s">
        <v>8</v>
      </c>
      <c r="D1335" s="2211"/>
      <c r="E1335" s="2208" t="s">
        <v>1899</v>
      </c>
      <c r="F1335" s="1835">
        <v>6528.2</v>
      </c>
      <c r="G1335" s="1835">
        <v>5935.6</v>
      </c>
      <c r="H1335" s="1835">
        <v>7907.4</v>
      </c>
      <c r="I1335" s="1835">
        <v>5990.2</v>
      </c>
      <c r="J1335" s="1835">
        <v>6051</v>
      </c>
      <c r="K1335" s="1132" t="s">
        <v>1900</v>
      </c>
      <c r="L1335" s="1002" t="s">
        <v>189</v>
      </c>
      <c r="M1335" s="1002">
        <v>1789</v>
      </c>
      <c r="N1335" s="1002">
        <v>1856</v>
      </c>
      <c r="O1335" s="1002">
        <v>1998</v>
      </c>
      <c r="P1335" s="1002">
        <v>2055</v>
      </c>
      <c r="Q1335" s="1002">
        <v>2085</v>
      </c>
    </row>
    <row r="1336" spans="1:17" x14ac:dyDescent="0.25">
      <c r="A1336" s="1837"/>
      <c r="B1336" s="2203"/>
      <c r="C1336" s="1838"/>
      <c r="D1336" s="2206"/>
      <c r="E1336" s="2209"/>
      <c r="F1336" s="1911"/>
      <c r="G1336" s="1911"/>
      <c r="H1336" s="1911"/>
      <c r="I1336" s="1911"/>
      <c r="J1336" s="1911"/>
      <c r="K1336" s="1132" t="s">
        <v>1896</v>
      </c>
      <c r="L1336" s="1002" t="s">
        <v>189</v>
      </c>
      <c r="M1336" s="1002">
        <v>514</v>
      </c>
      <c r="N1336" s="1002">
        <v>720</v>
      </c>
      <c r="O1336" s="1002">
        <v>855</v>
      </c>
      <c r="P1336" s="1002">
        <v>965</v>
      </c>
      <c r="Q1336" s="1002">
        <v>1020</v>
      </c>
    </row>
    <row r="1337" spans="1:17" ht="30" x14ac:dyDescent="0.25">
      <c r="A1337" s="1837"/>
      <c r="B1337" s="2203"/>
      <c r="C1337" s="1838"/>
      <c r="D1337" s="2206"/>
      <c r="E1337" s="2209"/>
      <c r="F1337" s="1911"/>
      <c r="G1337" s="1911"/>
      <c r="H1337" s="1911"/>
      <c r="I1337" s="1911"/>
      <c r="J1337" s="1911"/>
      <c r="K1337" s="1132" t="s">
        <v>1897</v>
      </c>
      <c r="L1337" s="1002" t="s">
        <v>182</v>
      </c>
      <c r="M1337" s="1002">
        <v>3</v>
      </c>
      <c r="N1337" s="1002">
        <v>6</v>
      </c>
      <c r="O1337" s="1002">
        <v>9</v>
      </c>
      <c r="P1337" s="1002">
        <v>12</v>
      </c>
      <c r="Q1337" s="1002">
        <v>15</v>
      </c>
    </row>
    <row r="1338" spans="1:17" ht="45" x14ac:dyDescent="0.25">
      <c r="A1338" s="1830"/>
      <c r="B1338" s="2039"/>
      <c r="C1338" s="2057"/>
      <c r="D1338" s="2207"/>
      <c r="E1338" s="2210"/>
      <c r="F1338" s="1911"/>
      <c r="G1338" s="1911"/>
      <c r="H1338" s="1911"/>
      <c r="I1338" s="1911"/>
      <c r="J1338" s="1911"/>
      <c r="K1338" s="1132" t="s">
        <v>1898</v>
      </c>
      <c r="L1338" s="1002" t="s">
        <v>189</v>
      </c>
      <c r="M1338" s="1002">
        <v>773</v>
      </c>
      <c r="N1338" s="1002">
        <v>780</v>
      </c>
      <c r="O1338" s="1002">
        <v>785</v>
      </c>
      <c r="P1338" s="1002">
        <v>760</v>
      </c>
      <c r="Q1338" s="1002">
        <v>754</v>
      </c>
    </row>
    <row r="1339" spans="1:17" ht="30" x14ac:dyDescent="0.25">
      <c r="A1339" s="1829"/>
      <c r="B1339" s="2038"/>
      <c r="C1339" s="1831" t="s">
        <v>10</v>
      </c>
      <c r="D1339" s="2193"/>
      <c r="E1339" s="2020" t="s">
        <v>1901</v>
      </c>
      <c r="F1339" s="1835">
        <v>16492.3</v>
      </c>
      <c r="G1339" s="1835">
        <v>14995.3</v>
      </c>
      <c r="H1339" s="1835">
        <v>17108.7</v>
      </c>
      <c r="I1339" s="1835">
        <v>15133.1</v>
      </c>
      <c r="J1339" s="1835">
        <v>15286.7</v>
      </c>
      <c r="K1339" s="1132" t="s">
        <v>1902</v>
      </c>
      <c r="L1339" s="1322" t="s">
        <v>1386</v>
      </c>
      <c r="M1339" s="1323">
        <v>292974.95</v>
      </c>
      <c r="N1339" s="1323">
        <v>303075</v>
      </c>
      <c r="O1339" s="1323">
        <v>312965</v>
      </c>
      <c r="P1339" s="1323">
        <v>312985</v>
      </c>
      <c r="Q1339" s="1323">
        <v>313087</v>
      </c>
    </row>
    <row r="1340" spans="1:17" x14ac:dyDescent="0.25">
      <c r="A1340" s="1837"/>
      <c r="B1340" s="2203"/>
      <c r="C1340" s="1838"/>
      <c r="D1340" s="2204"/>
      <c r="E1340" s="2021"/>
      <c r="F1340" s="1911"/>
      <c r="G1340" s="1911"/>
      <c r="H1340" s="1911"/>
      <c r="I1340" s="1911"/>
      <c r="J1340" s="1911"/>
      <c r="K1340" s="1132" t="s">
        <v>1896</v>
      </c>
      <c r="L1340" s="1322" t="s">
        <v>189</v>
      </c>
      <c r="M1340" s="1322">
        <v>1229</v>
      </c>
      <c r="N1340" s="1322">
        <v>1250</v>
      </c>
      <c r="O1340" s="1322">
        <v>1280</v>
      </c>
      <c r="P1340" s="1322">
        <v>1290</v>
      </c>
      <c r="Q1340" s="1322">
        <v>1300</v>
      </c>
    </row>
    <row r="1341" spans="1:17" ht="30" x14ac:dyDescent="0.25">
      <c r="A1341" s="1837"/>
      <c r="B1341" s="2203"/>
      <c r="C1341" s="1838"/>
      <c r="D1341" s="2204"/>
      <c r="E1341" s="2021"/>
      <c r="F1341" s="1911"/>
      <c r="G1341" s="1911"/>
      <c r="H1341" s="1911"/>
      <c r="I1341" s="1911"/>
      <c r="J1341" s="1911"/>
      <c r="K1341" s="1132" t="s">
        <v>1897</v>
      </c>
      <c r="L1341" s="1322" t="s">
        <v>182</v>
      </c>
      <c r="M1341" s="1322">
        <v>5</v>
      </c>
      <c r="N1341" s="1322">
        <v>7</v>
      </c>
      <c r="O1341" s="1322">
        <v>9</v>
      </c>
      <c r="P1341" s="1322">
        <v>10</v>
      </c>
      <c r="Q1341" s="1322">
        <v>11</v>
      </c>
    </row>
    <row r="1342" spans="1:17" ht="45" x14ac:dyDescent="0.25">
      <c r="A1342" s="1830"/>
      <c r="B1342" s="2039"/>
      <c r="C1342" s="2057"/>
      <c r="D1342" s="2194"/>
      <c r="E1342" s="2022"/>
      <c r="F1342" s="1836"/>
      <c r="G1342" s="1836"/>
      <c r="H1342" s="1836"/>
      <c r="I1342" s="1836"/>
      <c r="J1342" s="1836"/>
      <c r="K1342" s="1132" t="s">
        <v>1903</v>
      </c>
      <c r="L1342" s="1322" t="s">
        <v>182</v>
      </c>
      <c r="M1342" s="1322">
        <v>74</v>
      </c>
      <c r="N1342" s="1322">
        <v>78</v>
      </c>
      <c r="O1342" s="1322">
        <v>79</v>
      </c>
      <c r="P1342" s="1322">
        <v>80</v>
      </c>
      <c r="Q1342" s="1322">
        <v>81</v>
      </c>
    </row>
    <row r="1343" spans="1:17" x14ac:dyDescent="0.25">
      <c r="A1343" s="2179"/>
      <c r="B1343" s="2182"/>
      <c r="C1343" s="1884" t="s">
        <v>12</v>
      </c>
      <c r="D1343" s="2032"/>
      <c r="E1343" s="2020" t="s">
        <v>1904</v>
      </c>
      <c r="F1343" s="1951">
        <v>2748.7</v>
      </c>
      <c r="G1343" s="1951">
        <v>2499.1999999999998</v>
      </c>
      <c r="H1343" s="1951">
        <v>4009.7</v>
      </c>
      <c r="I1343" s="1951">
        <v>2522.1999999999998</v>
      </c>
      <c r="J1343" s="1951">
        <v>2547.8000000000002</v>
      </c>
      <c r="K1343" s="1132" t="s">
        <v>1896</v>
      </c>
      <c r="L1343" s="1322" t="s">
        <v>189</v>
      </c>
      <c r="M1343" s="711">
        <v>48</v>
      </c>
      <c r="N1343" s="711">
        <v>50</v>
      </c>
      <c r="O1343" s="711">
        <v>52</v>
      </c>
      <c r="P1343" s="711">
        <v>56</v>
      </c>
      <c r="Q1343" s="711">
        <v>60</v>
      </c>
    </row>
    <row r="1344" spans="1:17" ht="30" x14ac:dyDescent="0.25">
      <c r="A1344" s="2180"/>
      <c r="B1344" s="2183"/>
      <c r="C1344" s="2016"/>
      <c r="D1344" s="2127"/>
      <c r="E1344" s="2021"/>
      <c r="F1344" s="2205"/>
      <c r="G1344" s="2205"/>
      <c r="H1344" s="2205"/>
      <c r="I1344" s="2205"/>
      <c r="J1344" s="2205"/>
      <c r="K1344" s="1132" t="s">
        <v>1897</v>
      </c>
      <c r="L1344" s="711" t="s">
        <v>182</v>
      </c>
      <c r="M1344" s="711">
        <v>60</v>
      </c>
      <c r="N1344" s="711">
        <v>62</v>
      </c>
      <c r="O1344" s="711">
        <v>64</v>
      </c>
      <c r="P1344" s="711">
        <v>66</v>
      </c>
      <c r="Q1344" s="711">
        <v>70</v>
      </c>
    </row>
    <row r="1345" spans="1:17" ht="45" x14ac:dyDescent="0.25">
      <c r="A1345" s="2181"/>
      <c r="B1345" s="2184"/>
      <c r="C1345" s="1885"/>
      <c r="D1345" s="2033"/>
      <c r="E1345" s="2022"/>
      <c r="F1345" s="1952"/>
      <c r="G1345" s="1952"/>
      <c r="H1345" s="1952"/>
      <c r="I1345" s="1952"/>
      <c r="J1345" s="1952"/>
      <c r="K1345" s="1132" t="s">
        <v>1903</v>
      </c>
      <c r="L1345" s="711" t="s">
        <v>182</v>
      </c>
      <c r="M1345" s="711">
        <v>30</v>
      </c>
      <c r="N1345" s="711">
        <v>20</v>
      </c>
      <c r="O1345" s="711">
        <v>15</v>
      </c>
      <c r="P1345" s="711">
        <v>10</v>
      </c>
      <c r="Q1345" s="711">
        <v>5</v>
      </c>
    </row>
    <row r="1346" spans="1:17" ht="30" x14ac:dyDescent="0.25">
      <c r="A1346" s="2195">
        <v>54</v>
      </c>
      <c r="B1346" s="2197">
        <v>4</v>
      </c>
      <c r="C1346" s="1884"/>
      <c r="D1346" s="2127"/>
      <c r="E1346" s="2199" t="s">
        <v>1905</v>
      </c>
      <c r="F1346" s="2201">
        <v>117164</v>
      </c>
      <c r="G1346" s="2201">
        <v>106529.2</v>
      </c>
      <c r="H1346" s="2201">
        <f>SUM(H1348:H1386)</f>
        <v>126681.40000000001</v>
      </c>
      <c r="I1346" s="2201">
        <v>107507.90000000001</v>
      </c>
      <c r="J1346" s="2201">
        <v>108599.1</v>
      </c>
      <c r="K1346" s="1132" t="s">
        <v>1906</v>
      </c>
      <c r="L1346" s="711" t="s">
        <v>225</v>
      </c>
      <c r="M1346" s="711">
        <v>64</v>
      </c>
      <c r="N1346" s="711" t="s">
        <v>393</v>
      </c>
      <c r="O1346" s="711" t="s">
        <v>393</v>
      </c>
      <c r="P1346" s="711" t="s">
        <v>393</v>
      </c>
      <c r="Q1346" s="711" t="s">
        <v>393</v>
      </c>
    </row>
    <row r="1347" spans="1:17" ht="45" x14ac:dyDescent="0.25">
      <c r="A1347" s="2196"/>
      <c r="B1347" s="2198"/>
      <c r="C1347" s="1885"/>
      <c r="D1347" s="2033"/>
      <c r="E1347" s="2200"/>
      <c r="F1347" s="2202"/>
      <c r="G1347" s="2202"/>
      <c r="H1347" s="2202"/>
      <c r="I1347" s="2202"/>
      <c r="J1347" s="2202"/>
      <c r="K1347" s="1132" t="s">
        <v>1907</v>
      </c>
      <c r="L1347" s="711" t="s">
        <v>225</v>
      </c>
      <c r="M1347" s="711">
        <v>143</v>
      </c>
      <c r="N1347" s="711" t="s">
        <v>393</v>
      </c>
      <c r="O1347" s="711" t="s">
        <v>393</v>
      </c>
      <c r="P1347" s="711" t="s">
        <v>393</v>
      </c>
      <c r="Q1347" s="711" t="s">
        <v>393</v>
      </c>
    </row>
    <row r="1348" spans="1:17" x14ac:dyDescent="0.25">
      <c r="A1348" s="1324"/>
      <c r="B1348" s="2182"/>
      <c r="C1348" s="1884" t="s">
        <v>6</v>
      </c>
      <c r="D1348" s="2032"/>
      <c r="E1348" s="2020" t="s">
        <v>1908</v>
      </c>
      <c r="F1348" s="1835">
        <v>10307.700000000001</v>
      </c>
      <c r="G1348" s="1835">
        <v>9372.1</v>
      </c>
      <c r="H1348" s="1835">
        <v>11060.4</v>
      </c>
      <c r="I1348" s="1835">
        <v>9458.2000000000007</v>
      </c>
      <c r="J1348" s="1835">
        <v>9554.2000000000007</v>
      </c>
      <c r="K1348" s="1132" t="s">
        <v>1896</v>
      </c>
      <c r="L1348" s="1322" t="s">
        <v>189</v>
      </c>
      <c r="M1348" s="711">
        <v>987</v>
      </c>
      <c r="N1348" s="711">
        <v>1000</v>
      </c>
      <c r="O1348" s="711">
        <v>990</v>
      </c>
      <c r="P1348" s="711">
        <v>1000</v>
      </c>
      <c r="Q1348" s="711">
        <v>1000</v>
      </c>
    </row>
    <row r="1349" spans="1:17" ht="30" x14ac:dyDescent="0.25">
      <c r="A1349" s="1324"/>
      <c r="B1349" s="2183"/>
      <c r="C1349" s="2016"/>
      <c r="D1349" s="2127"/>
      <c r="E1349" s="2021"/>
      <c r="F1349" s="1911"/>
      <c r="G1349" s="1911"/>
      <c r="H1349" s="1911"/>
      <c r="I1349" s="1911"/>
      <c r="J1349" s="1911"/>
      <c r="K1349" s="1132" t="s">
        <v>1909</v>
      </c>
      <c r="L1349" s="1322" t="s">
        <v>189</v>
      </c>
      <c r="M1349" s="711">
        <v>101</v>
      </c>
      <c r="N1349" s="711">
        <v>97</v>
      </c>
      <c r="O1349" s="711">
        <v>95</v>
      </c>
      <c r="P1349" s="711">
        <v>90</v>
      </c>
      <c r="Q1349" s="711">
        <v>87</v>
      </c>
    </row>
    <row r="1350" spans="1:17" ht="30" x14ac:dyDescent="0.25">
      <c r="A1350" s="1324"/>
      <c r="B1350" s="2184"/>
      <c r="C1350" s="1885"/>
      <c r="D1350" s="2033"/>
      <c r="E1350" s="2022"/>
      <c r="F1350" s="1836"/>
      <c r="G1350" s="1836"/>
      <c r="H1350" s="1836"/>
      <c r="I1350" s="1836"/>
      <c r="J1350" s="1836"/>
      <c r="K1350" s="1132" t="s">
        <v>1897</v>
      </c>
      <c r="L1350" s="711" t="s">
        <v>182</v>
      </c>
      <c r="M1350" s="1325">
        <v>7.0000000000000007E-2</v>
      </c>
      <c r="N1350" s="1325">
        <v>0.08</v>
      </c>
      <c r="O1350" s="1325">
        <v>7.0000000000000007E-2</v>
      </c>
      <c r="P1350" s="1325">
        <v>0.08</v>
      </c>
      <c r="Q1350" s="1325">
        <v>0.08</v>
      </c>
    </row>
    <row r="1351" spans="1:17" x14ac:dyDescent="0.25">
      <c r="A1351" s="2189"/>
      <c r="B1351" s="2182"/>
      <c r="C1351" s="1884" t="s">
        <v>8</v>
      </c>
      <c r="D1351" s="2036"/>
      <c r="E1351" s="2020" t="s">
        <v>1910</v>
      </c>
      <c r="F1351" s="1835">
        <v>15117.9</v>
      </c>
      <c r="G1351" s="1835">
        <v>13745.7</v>
      </c>
      <c r="H1351" s="1835">
        <v>16957.2</v>
      </c>
      <c r="I1351" s="1835">
        <v>13872</v>
      </c>
      <c r="J1351" s="1835">
        <v>14012.8</v>
      </c>
      <c r="K1351" s="2191" t="s">
        <v>1911</v>
      </c>
      <c r="L1351" s="2193" t="s">
        <v>189</v>
      </c>
      <c r="M1351" s="2032">
        <v>3</v>
      </c>
      <c r="N1351" s="2032">
        <v>0</v>
      </c>
      <c r="O1351" s="2032">
        <v>0</v>
      </c>
      <c r="P1351" s="2032">
        <v>0</v>
      </c>
      <c r="Q1351" s="2032">
        <v>0</v>
      </c>
    </row>
    <row r="1352" spans="1:17" x14ac:dyDescent="0.25">
      <c r="A1352" s="2189"/>
      <c r="B1352" s="2183"/>
      <c r="C1352" s="2016"/>
      <c r="D1352" s="2036"/>
      <c r="E1352" s="2021"/>
      <c r="F1352" s="1911"/>
      <c r="G1352" s="1911"/>
      <c r="H1352" s="1911"/>
      <c r="I1352" s="1911"/>
      <c r="J1352" s="1911"/>
      <c r="K1352" s="2192"/>
      <c r="L1352" s="2194"/>
      <c r="M1352" s="2033"/>
      <c r="N1352" s="2033">
        <v>0</v>
      </c>
      <c r="O1352" s="2033">
        <v>0</v>
      </c>
      <c r="P1352" s="2033">
        <v>0</v>
      </c>
      <c r="Q1352" s="2033">
        <v>0</v>
      </c>
    </row>
    <row r="1353" spans="1:17" ht="30" x14ac:dyDescent="0.25">
      <c r="A1353" s="2189"/>
      <c r="B1353" s="2183"/>
      <c r="C1353" s="2016"/>
      <c r="D1353" s="2036"/>
      <c r="E1353" s="2021"/>
      <c r="F1353" s="1911"/>
      <c r="G1353" s="1911"/>
      <c r="H1353" s="1911"/>
      <c r="I1353" s="1911"/>
      <c r="J1353" s="1911"/>
      <c r="K1353" s="1132" t="s">
        <v>1912</v>
      </c>
      <c r="L1353" s="1322" t="s">
        <v>189</v>
      </c>
      <c r="M1353" s="711">
        <v>2956</v>
      </c>
      <c r="N1353" s="711">
        <v>2958</v>
      </c>
      <c r="O1353" s="711">
        <v>2971</v>
      </c>
      <c r="P1353" s="711">
        <v>2973</v>
      </c>
      <c r="Q1353" s="711">
        <v>2978</v>
      </c>
    </row>
    <row r="1354" spans="1:17" x14ac:dyDescent="0.25">
      <c r="A1354" s="2189"/>
      <c r="B1354" s="2183"/>
      <c r="C1354" s="2016"/>
      <c r="D1354" s="2036"/>
      <c r="E1354" s="2021"/>
      <c r="F1354" s="1911"/>
      <c r="G1354" s="1911"/>
      <c r="H1354" s="1911"/>
      <c r="I1354" s="1911"/>
      <c r="J1354" s="1911"/>
      <c r="K1354" s="1132" t="s">
        <v>1896</v>
      </c>
      <c r="L1354" s="1322" t="s">
        <v>189</v>
      </c>
      <c r="M1354" s="711">
        <v>594</v>
      </c>
      <c r="N1354" s="711">
        <v>604</v>
      </c>
      <c r="O1354" s="711">
        <v>605</v>
      </c>
      <c r="P1354" s="711">
        <v>596</v>
      </c>
      <c r="Q1354" s="711">
        <v>606</v>
      </c>
    </row>
    <row r="1355" spans="1:17" ht="30" x14ac:dyDescent="0.25">
      <c r="A1355" s="2189"/>
      <c r="B1355" s="2183"/>
      <c r="C1355" s="2016"/>
      <c r="D1355" s="2036"/>
      <c r="E1355" s="2021"/>
      <c r="F1355" s="1911"/>
      <c r="G1355" s="1911"/>
      <c r="H1355" s="1911"/>
      <c r="I1355" s="1911"/>
      <c r="J1355" s="1911"/>
      <c r="K1355" s="1132" t="s">
        <v>1897</v>
      </c>
      <c r="L1355" s="711"/>
      <c r="M1355" s="711">
        <v>13445</v>
      </c>
      <c r="N1355" s="711">
        <v>13541</v>
      </c>
      <c r="O1355" s="711">
        <v>13542</v>
      </c>
      <c r="P1355" s="711">
        <v>13447</v>
      </c>
      <c r="Q1355" s="711">
        <v>13611</v>
      </c>
    </row>
    <row r="1356" spans="1:17" ht="45" x14ac:dyDescent="0.25">
      <c r="A1356" s="2189"/>
      <c r="B1356" s="2183"/>
      <c r="C1356" s="2016"/>
      <c r="D1356" s="2036"/>
      <c r="E1356" s="2022"/>
      <c r="F1356" s="1911"/>
      <c r="G1356" s="1911"/>
      <c r="H1356" s="1911"/>
      <c r="I1356" s="1911"/>
      <c r="J1356" s="1911"/>
      <c r="K1356" s="1132" t="s">
        <v>1903</v>
      </c>
      <c r="L1356" s="711" t="s">
        <v>182</v>
      </c>
      <c r="M1356" s="711">
        <v>10</v>
      </c>
      <c r="N1356" s="711">
        <v>9</v>
      </c>
      <c r="O1356" s="711">
        <v>9</v>
      </c>
      <c r="P1356" s="711">
        <v>9</v>
      </c>
      <c r="Q1356" s="711">
        <v>8</v>
      </c>
    </row>
    <row r="1357" spans="1:17" x14ac:dyDescent="0.25">
      <c r="A1357" s="2189"/>
      <c r="B1357" s="2183"/>
      <c r="C1357" s="2016"/>
      <c r="D1357" s="2036"/>
      <c r="E1357" s="2020" t="s">
        <v>1913</v>
      </c>
      <c r="F1357" s="1911"/>
      <c r="G1357" s="1911"/>
      <c r="H1357" s="1911"/>
      <c r="I1357" s="1911"/>
      <c r="J1357" s="1911"/>
      <c r="K1357" s="1132" t="s">
        <v>1896</v>
      </c>
      <c r="L1357" s="1322" t="s">
        <v>189</v>
      </c>
      <c r="M1357" s="711">
        <v>378</v>
      </c>
      <c r="N1357" s="711">
        <v>600</v>
      </c>
      <c r="O1357" s="711">
        <v>800</v>
      </c>
      <c r="P1357" s="711">
        <v>1000</v>
      </c>
      <c r="Q1357" s="711">
        <v>1200</v>
      </c>
    </row>
    <row r="1358" spans="1:17" ht="30" x14ac:dyDescent="0.25">
      <c r="A1358" s="2189"/>
      <c r="B1358" s="2183"/>
      <c r="C1358" s="2016"/>
      <c r="D1358" s="2036"/>
      <c r="E1358" s="2021"/>
      <c r="F1358" s="1911"/>
      <c r="G1358" s="1911"/>
      <c r="H1358" s="1911"/>
      <c r="I1358" s="1911"/>
      <c r="J1358" s="1911"/>
      <c r="K1358" s="1132" t="s">
        <v>1897</v>
      </c>
      <c r="L1358" s="1322" t="s">
        <v>189</v>
      </c>
      <c r="M1358" s="711">
        <v>1134</v>
      </c>
      <c r="N1358" s="711">
        <v>1300</v>
      </c>
      <c r="O1358" s="711">
        <v>1500</v>
      </c>
      <c r="P1358" s="711">
        <v>2000</v>
      </c>
      <c r="Q1358" s="711">
        <v>2400</v>
      </c>
    </row>
    <row r="1359" spans="1:17" ht="45" x14ac:dyDescent="0.25">
      <c r="A1359" s="2189"/>
      <c r="B1359" s="2183"/>
      <c r="C1359" s="2016"/>
      <c r="D1359" s="2036"/>
      <c r="E1359" s="2021"/>
      <c r="F1359" s="1911"/>
      <c r="G1359" s="1911"/>
      <c r="H1359" s="1911"/>
      <c r="I1359" s="1911"/>
      <c r="J1359" s="1911"/>
      <c r="K1359" s="1132" t="s">
        <v>1903</v>
      </c>
      <c r="L1359" s="711" t="s">
        <v>182</v>
      </c>
      <c r="M1359" s="1325">
        <v>0.5</v>
      </c>
      <c r="N1359" s="1325">
        <v>0.4</v>
      </c>
      <c r="O1359" s="1325">
        <v>0.3</v>
      </c>
      <c r="P1359" s="1325">
        <v>0.2</v>
      </c>
      <c r="Q1359" s="1325">
        <v>0.1</v>
      </c>
    </row>
    <row r="1360" spans="1:17" ht="30" x14ac:dyDescent="0.25">
      <c r="A1360" s="2189"/>
      <c r="B1360" s="2183"/>
      <c r="C1360" s="2016"/>
      <c r="D1360" s="2036"/>
      <c r="E1360" s="2021"/>
      <c r="F1360" s="1911"/>
      <c r="G1360" s="1911"/>
      <c r="H1360" s="1911"/>
      <c r="I1360" s="1911"/>
      <c r="J1360" s="1911"/>
      <c r="K1360" s="1132" t="s">
        <v>1914</v>
      </c>
      <c r="L1360" s="1322" t="s">
        <v>189</v>
      </c>
      <c r="M1360" s="711">
        <v>22</v>
      </c>
      <c r="N1360" s="711">
        <v>0</v>
      </c>
      <c r="O1360" s="711">
        <v>0</v>
      </c>
      <c r="P1360" s="711">
        <v>0</v>
      </c>
      <c r="Q1360" s="711">
        <v>0</v>
      </c>
    </row>
    <row r="1361" spans="1:17" ht="30" x14ac:dyDescent="0.25">
      <c r="A1361" s="2189"/>
      <c r="B1361" s="2183"/>
      <c r="C1361" s="2016"/>
      <c r="D1361" s="2036"/>
      <c r="E1361" s="2022"/>
      <c r="F1361" s="1911"/>
      <c r="G1361" s="1911"/>
      <c r="H1361" s="1911"/>
      <c r="I1361" s="1911"/>
      <c r="J1361" s="1911"/>
      <c r="K1361" s="1132" t="s">
        <v>1915</v>
      </c>
      <c r="L1361" s="1322" t="s">
        <v>189</v>
      </c>
      <c r="M1361" s="711">
        <v>3576</v>
      </c>
      <c r="N1361" s="711">
        <v>3000</v>
      </c>
      <c r="O1361" s="711">
        <v>2500</v>
      </c>
      <c r="P1361" s="711">
        <v>1700</v>
      </c>
      <c r="Q1361" s="711">
        <v>1500</v>
      </c>
    </row>
    <row r="1362" spans="1:17" x14ac:dyDescent="0.25">
      <c r="A1362" s="2189"/>
      <c r="B1362" s="2183"/>
      <c r="C1362" s="2016"/>
      <c r="D1362" s="2036"/>
      <c r="E1362" s="2020" t="s">
        <v>1916</v>
      </c>
      <c r="F1362" s="1911"/>
      <c r="G1362" s="1911"/>
      <c r="H1362" s="1911"/>
      <c r="I1362" s="1911"/>
      <c r="J1362" s="1911"/>
      <c r="K1362" s="1132" t="s">
        <v>1896</v>
      </c>
      <c r="L1362" s="711"/>
      <c r="M1362" s="711">
        <v>62</v>
      </c>
      <c r="N1362" s="711">
        <v>90</v>
      </c>
      <c r="O1362" s="711">
        <v>100</v>
      </c>
      <c r="P1362" s="711">
        <v>100</v>
      </c>
      <c r="Q1362" s="711">
        <v>100</v>
      </c>
    </row>
    <row r="1363" spans="1:17" ht="30" x14ac:dyDescent="0.25">
      <c r="A1363" s="2189"/>
      <c r="B1363" s="2183"/>
      <c r="C1363" s="2016"/>
      <c r="D1363" s="2036"/>
      <c r="E1363" s="2021"/>
      <c r="F1363" s="1911"/>
      <c r="G1363" s="1911"/>
      <c r="H1363" s="1911"/>
      <c r="I1363" s="1911"/>
      <c r="J1363" s="1911"/>
      <c r="K1363" s="1132" t="s">
        <v>1897</v>
      </c>
      <c r="L1363" s="711" t="s">
        <v>182</v>
      </c>
      <c r="M1363" s="711">
        <v>5</v>
      </c>
      <c r="N1363" s="711">
        <v>5</v>
      </c>
      <c r="O1363" s="711">
        <v>6</v>
      </c>
      <c r="P1363" s="711">
        <v>6.5</v>
      </c>
      <c r="Q1363" s="78">
        <v>7</v>
      </c>
    </row>
    <row r="1364" spans="1:17" ht="45" x14ac:dyDescent="0.25">
      <c r="A1364" s="2189"/>
      <c r="B1364" s="2183"/>
      <c r="C1364" s="2016"/>
      <c r="D1364" s="2036"/>
      <c r="E1364" s="2021"/>
      <c r="F1364" s="1911"/>
      <c r="G1364" s="1911"/>
      <c r="H1364" s="1911"/>
      <c r="I1364" s="1911"/>
      <c r="J1364" s="1911"/>
      <c r="K1364" s="1132" t="s">
        <v>1903</v>
      </c>
      <c r="L1364" s="711" t="s">
        <v>182</v>
      </c>
      <c r="M1364" s="711">
        <v>30</v>
      </c>
      <c r="N1364" s="711">
        <v>30</v>
      </c>
      <c r="O1364" s="711">
        <v>30</v>
      </c>
      <c r="P1364" s="711">
        <v>30</v>
      </c>
      <c r="Q1364" s="711">
        <v>30</v>
      </c>
    </row>
    <row r="1365" spans="1:17" ht="30" x14ac:dyDescent="0.25">
      <c r="A1365" s="2189"/>
      <c r="B1365" s="2183"/>
      <c r="C1365" s="2016"/>
      <c r="D1365" s="2036"/>
      <c r="E1365" s="2021"/>
      <c r="F1365" s="1911"/>
      <c r="G1365" s="1911"/>
      <c r="H1365" s="1911"/>
      <c r="I1365" s="1911"/>
      <c r="J1365" s="1911"/>
      <c r="K1365" s="1132" t="s">
        <v>1917</v>
      </c>
      <c r="L1365" s="711" t="s">
        <v>424</v>
      </c>
      <c r="M1365" s="711">
        <v>80</v>
      </c>
      <c r="N1365" s="711">
        <v>70</v>
      </c>
      <c r="O1365" s="711">
        <v>70</v>
      </c>
      <c r="P1365" s="711">
        <v>70</v>
      </c>
      <c r="Q1365" s="711">
        <v>70</v>
      </c>
    </row>
    <row r="1366" spans="1:17" ht="30" x14ac:dyDescent="0.25">
      <c r="A1366" s="2189"/>
      <c r="B1366" s="2184"/>
      <c r="C1366" s="1885"/>
      <c r="D1366" s="2036"/>
      <c r="E1366" s="2022"/>
      <c r="F1366" s="1836"/>
      <c r="G1366" s="1836"/>
      <c r="H1366" s="1836"/>
      <c r="I1366" s="1836"/>
      <c r="J1366" s="1836"/>
      <c r="K1366" s="1132" t="s">
        <v>1918</v>
      </c>
      <c r="L1366" s="711" t="s">
        <v>424</v>
      </c>
      <c r="M1366" s="711">
        <v>62</v>
      </c>
      <c r="N1366" s="711">
        <v>60</v>
      </c>
      <c r="O1366" s="711">
        <v>60</v>
      </c>
      <c r="P1366" s="711">
        <v>55</v>
      </c>
      <c r="Q1366" s="711">
        <v>54</v>
      </c>
    </row>
    <row r="1367" spans="1:17" x14ac:dyDescent="0.25">
      <c r="A1367" s="2189"/>
      <c r="B1367" s="2182"/>
      <c r="C1367" s="1884" t="s">
        <v>10</v>
      </c>
      <c r="D1367" s="2036"/>
      <c r="E1367" s="2190" t="s">
        <v>1919</v>
      </c>
      <c r="F1367" s="1950">
        <v>33328.199999999997</v>
      </c>
      <c r="G1367" s="1950">
        <v>30303</v>
      </c>
      <c r="H1367" s="1950">
        <v>34289.9</v>
      </c>
      <c r="I1367" s="1950">
        <v>30581.4</v>
      </c>
      <c r="J1367" s="1950">
        <v>30891.8</v>
      </c>
      <c r="K1367" s="1132" t="s">
        <v>1896</v>
      </c>
      <c r="L1367" s="1322" t="s">
        <v>189</v>
      </c>
      <c r="M1367" s="711">
        <v>3571</v>
      </c>
      <c r="N1367" s="711">
        <v>3606</v>
      </c>
      <c r="O1367" s="711">
        <v>3642</v>
      </c>
      <c r="P1367" s="711">
        <v>3678</v>
      </c>
      <c r="Q1367" s="711">
        <v>3714</v>
      </c>
    </row>
    <row r="1368" spans="1:17" ht="30" x14ac:dyDescent="0.25">
      <c r="A1368" s="2189"/>
      <c r="B1368" s="2183"/>
      <c r="C1368" s="2016"/>
      <c r="D1368" s="2036"/>
      <c r="E1368" s="2190"/>
      <c r="F1368" s="1950"/>
      <c r="G1368" s="1950"/>
      <c r="H1368" s="1950"/>
      <c r="I1368" s="1950"/>
      <c r="J1368" s="1950"/>
      <c r="K1368" s="1132" t="s">
        <v>1897</v>
      </c>
      <c r="L1368" s="711" t="s">
        <v>182</v>
      </c>
      <c r="M1368" s="711">
        <v>100</v>
      </c>
      <c r="N1368" s="711">
        <v>100</v>
      </c>
      <c r="O1368" s="711">
        <v>100</v>
      </c>
      <c r="P1368" s="711">
        <v>100</v>
      </c>
      <c r="Q1368" s="711">
        <v>100</v>
      </c>
    </row>
    <row r="1369" spans="1:17" ht="30" x14ac:dyDescent="0.25">
      <c r="A1369" s="2189"/>
      <c r="B1369" s="2183"/>
      <c r="C1369" s="2016"/>
      <c r="D1369" s="2036"/>
      <c r="E1369" s="2190"/>
      <c r="F1369" s="1950"/>
      <c r="G1369" s="1950"/>
      <c r="H1369" s="1950"/>
      <c r="I1369" s="1950"/>
      <c r="J1369" s="1950"/>
      <c r="K1369" s="1132" t="s">
        <v>1920</v>
      </c>
      <c r="L1369" s="711" t="s">
        <v>182</v>
      </c>
      <c r="M1369" s="711">
        <v>57</v>
      </c>
      <c r="N1369" s="711">
        <v>62</v>
      </c>
      <c r="O1369" s="711">
        <v>68</v>
      </c>
      <c r="P1369" s="711">
        <v>74</v>
      </c>
      <c r="Q1369" s="711">
        <v>81</v>
      </c>
    </row>
    <row r="1370" spans="1:17" ht="30" x14ac:dyDescent="0.25">
      <c r="A1370" s="2189"/>
      <c r="B1370" s="2184"/>
      <c r="C1370" s="1885"/>
      <c r="D1370" s="2036"/>
      <c r="E1370" s="2190"/>
      <c r="F1370" s="1950"/>
      <c r="G1370" s="1950"/>
      <c r="H1370" s="1950"/>
      <c r="I1370" s="1950"/>
      <c r="J1370" s="1950"/>
      <c r="K1370" s="1132" t="s">
        <v>1921</v>
      </c>
      <c r="L1370" s="1322" t="s">
        <v>189</v>
      </c>
      <c r="M1370" s="711">
        <v>1810</v>
      </c>
      <c r="N1370" s="711">
        <v>1629</v>
      </c>
      <c r="O1370" s="711">
        <v>1467</v>
      </c>
      <c r="P1370" s="711">
        <v>1321</v>
      </c>
      <c r="Q1370" s="711">
        <v>1189</v>
      </c>
    </row>
    <row r="1371" spans="1:17" x14ac:dyDescent="0.25">
      <c r="A1371" s="2179"/>
      <c r="B1371" s="2182"/>
      <c r="C1371" s="1884" t="s">
        <v>12</v>
      </c>
      <c r="D1371" s="2032"/>
      <c r="E1371" s="2020" t="s">
        <v>1922</v>
      </c>
      <c r="F1371" s="1950">
        <v>27143.599999999999</v>
      </c>
      <c r="G1371" s="1950">
        <v>24679.8</v>
      </c>
      <c r="H1371" s="1950">
        <v>28818.3</v>
      </c>
      <c r="I1371" s="1950">
        <v>24906.5</v>
      </c>
      <c r="J1371" s="1950">
        <v>25159.3</v>
      </c>
      <c r="K1371" s="1132" t="s">
        <v>1896</v>
      </c>
      <c r="L1371" s="711" t="s">
        <v>189</v>
      </c>
      <c r="M1371" s="711">
        <v>2355</v>
      </c>
      <c r="N1371" s="711">
        <v>2355</v>
      </c>
      <c r="O1371" s="711">
        <v>3500</v>
      </c>
      <c r="P1371" s="711">
        <v>3600</v>
      </c>
      <c r="Q1371" s="711">
        <v>3600</v>
      </c>
    </row>
    <row r="1372" spans="1:17" ht="30" x14ac:dyDescent="0.25">
      <c r="A1372" s="2180"/>
      <c r="B1372" s="2183"/>
      <c r="C1372" s="2016"/>
      <c r="D1372" s="2127"/>
      <c r="E1372" s="2021"/>
      <c r="F1372" s="1950"/>
      <c r="G1372" s="1950"/>
      <c r="H1372" s="1950"/>
      <c r="I1372" s="1950"/>
      <c r="J1372" s="1950"/>
      <c r="K1372" s="1132" t="s">
        <v>1897</v>
      </c>
      <c r="L1372" s="711" t="s">
        <v>182</v>
      </c>
      <c r="M1372" s="711">
        <v>52</v>
      </c>
      <c r="N1372" s="711">
        <v>52</v>
      </c>
      <c r="O1372" s="711">
        <v>90</v>
      </c>
      <c r="P1372" s="711">
        <v>92</v>
      </c>
      <c r="Q1372" s="711">
        <v>92</v>
      </c>
    </row>
    <row r="1373" spans="1:17" ht="45" x14ac:dyDescent="0.25">
      <c r="A1373" s="2180"/>
      <c r="B1373" s="2183"/>
      <c r="C1373" s="2016"/>
      <c r="D1373" s="2127"/>
      <c r="E1373" s="2021"/>
      <c r="F1373" s="1950"/>
      <c r="G1373" s="1950"/>
      <c r="H1373" s="1950"/>
      <c r="I1373" s="1950"/>
      <c r="J1373" s="1950"/>
      <c r="K1373" s="1132" t="s">
        <v>1898</v>
      </c>
      <c r="L1373" s="711" t="s">
        <v>189</v>
      </c>
      <c r="M1373" s="711">
        <v>9460</v>
      </c>
      <c r="N1373" s="711">
        <v>9460</v>
      </c>
      <c r="O1373" s="711">
        <v>10000</v>
      </c>
      <c r="P1373" s="711">
        <v>10500</v>
      </c>
      <c r="Q1373" s="711">
        <v>10500</v>
      </c>
    </row>
    <row r="1374" spans="1:17" ht="30" x14ac:dyDescent="0.25">
      <c r="A1374" s="2180"/>
      <c r="B1374" s="2183"/>
      <c r="C1374" s="2016"/>
      <c r="D1374" s="2127"/>
      <c r="E1374" s="2021"/>
      <c r="F1374" s="1950"/>
      <c r="G1374" s="1950"/>
      <c r="H1374" s="1950"/>
      <c r="I1374" s="1950"/>
      <c r="J1374" s="1950"/>
      <c r="K1374" s="1132" t="s">
        <v>1923</v>
      </c>
      <c r="L1374" s="711" t="s">
        <v>189</v>
      </c>
      <c r="M1374" s="711">
        <v>4965</v>
      </c>
      <c r="N1374" s="711">
        <v>4965</v>
      </c>
      <c r="O1374" s="711">
        <v>2000</v>
      </c>
      <c r="P1374" s="711">
        <v>2050</v>
      </c>
      <c r="Q1374" s="711">
        <v>2050</v>
      </c>
    </row>
    <row r="1375" spans="1:17" ht="30" x14ac:dyDescent="0.25">
      <c r="A1375" s="2181"/>
      <c r="B1375" s="2184"/>
      <c r="C1375" s="1885"/>
      <c r="D1375" s="2033"/>
      <c r="E1375" s="2022"/>
      <c r="F1375" s="1950"/>
      <c r="G1375" s="1950"/>
      <c r="H1375" s="1950"/>
      <c r="I1375" s="1950"/>
      <c r="J1375" s="1950"/>
      <c r="K1375" s="1132" t="s">
        <v>1924</v>
      </c>
      <c r="L1375" s="711" t="s">
        <v>189</v>
      </c>
      <c r="M1375" s="711">
        <v>13714</v>
      </c>
      <c r="N1375" s="711">
        <v>13714</v>
      </c>
      <c r="O1375" s="711">
        <v>19000</v>
      </c>
      <c r="P1375" s="711">
        <v>19500</v>
      </c>
      <c r="Q1375" s="711">
        <v>19500</v>
      </c>
    </row>
    <row r="1376" spans="1:17" x14ac:dyDescent="0.25">
      <c r="A1376" s="2189"/>
      <c r="B1376" s="2182"/>
      <c r="C1376" s="1884" t="s">
        <v>14</v>
      </c>
      <c r="D1376" s="2036"/>
      <c r="E1376" s="2020" t="s">
        <v>1925</v>
      </c>
      <c r="F1376" s="1950">
        <v>16148.7</v>
      </c>
      <c r="G1376" s="1950">
        <v>14682.9</v>
      </c>
      <c r="H1376" s="1950">
        <v>18144.7</v>
      </c>
      <c r="I1376" s="1950">
        <v>14817.8</v>
      </c>
      <c r="J1376" s="1950">
        <v>14968.2</v>
      </c>
      <c r="K1376" s="1132" t="s">
        <v>1896</v>
      </c>
      <c r="L1376" s="711" t="s">
        <v>270</v>
      </c>
      <c r="M1376" s="711">
        <v>3399</v>
      </c>
      <c r="N1376" s="711">
        <v>3500</v>
      </c>
      <c r="O1376" s="711">
        <v>3700</v>
      </c>
      <c r="P1376" s="711">
        <v>4000</v>
      </c>
      <c r="Q1376" s="711">
        <v>4100</v>
      </c>
    </row>
    <row r="1377" spans="1:17" ht="30" x14ac:dyDescent="0.25">
      <c r="A1377" s="2189"/>
      <c r="B1377" s="2183"/>
      <c r="C1377" s="2016"/>
      <c r="D1377" s="2036"/>
      <c r="E1377" s="2021"/>
      <c r="F1377" s="1950"/>
      <c r="G1377" s="1950"/>
      <c r="H1377" s="1950"/>
      <c r="I1377" s="1950"/>
      <c r="J1377" s="1950"/>
      <c r="K1377" s="1132" t="s">
        <v>1897</v>
      </c>
      <c r="L1377" s="711" t="s">
        <v>182</v>
      </c>
      <c r="M1377" s="711">
        <v>2</v>
      </c>
      <c r="N1377" s="711">
        <v>2.5</v>
      </c>
      <c r="O1377" s="711">
        <v>2.6</v>
      </c>
      <c r="P1377" s="711">
        <v>2.8</v>
      </c>
      <c r="Q1377" s="711">
        <v>30</v>
      </c>
    </row>
    <row r="1378" spans="1:17" ht="45" x14ac:dyDescent="0.25">
      <c r="A1378" s="2189"/>
      <c r="B1378" s="2183"/>
      <c r="C1378" s="2016"/>
      <c r="D1378" s="2036"/>
      <c r="E1378" s="2021"/>
      <c r="F1378" s="1950"/>
      <c r="G1378" s="1950"/>
      <c r="H1378" s="1950"/>
      <c r="I1378" s="1950"/>
      <c r="J1378" s="1950"/>
      <c r="K1378" s="1132" t="s">
        <v>1903</v>
      </c>
      <c r="L1378" s="711" t="s">
        <v>182</v>
      </c>
      <c r="M1378" s="711">
        <v>62</v>
      </c>
      <c r="N1378" s="711">
        <v>60</v>
      </c>
      <c r="O1378" s="711">
        <v>55</v>
      </c>
      <c r="P1378" s="711">
        <v>50</v>
      </c>
      <c r="Q1378" s="711">
        <v>45</v>
      </c>
    </row>
    <row r="1379" spans="1:17" ht="30" x14ac:dyDescent="0.25">
      <c r="A1379" s="2189"/>
      <c r="B1379" s="2184"/>
      <c r="C1379" s="1885"/>
      <c r="D1379" s="2036"/>
      <c r="E1379" s="2021"/>
      <c r="F1379" s="1950"/>
      <c r="G1379" s="1950"/>
      <c r="H1379" s="1950"/>
      <c r="I1379" s="1950"/>
      <c r="J1379" s="1950"/>
      <c r="K1379" s="1132" t="s">
        <v>1926</v>
      </c>
      <c r="L1379" s="711" t="s">
        <v>182</v>
      </c>
      <c r="M1379" s="711">
        <v>4</v>
      </c>
      <c r="N1379" s="711">
        <v>5</v>
      </c>
      <c r="O1379" s="711">
        <v>3</v>
      </c>
      <c r="P1379" s="711">
        <v>3</v>
      </c>
      <c r="Q1379" s="711">
        <v>2</v>
      </c>
    </row>
    <row r="1380" spans="1:17" x14ac:dyDescent="0.25">
      <c r="A1380" s="1324"/>
      <c r="B1380" s="2182"/>
      <c r="C1380" s="1884" t="s">
        <v>16</v>
      </c>
      <c r="D1380" s="2032"/>
      <c r="E1380" s="2020" t="s">
        <v>1927</v>
      </c>
      <c r="F1380" s="1835">
        <v>9964.1</v>
      </c>
      <c r="G1380" s="1835">
        <v>9059.7000000000007</v>
      </c>
      <c r="H1380" s="1835">
        <v>9391.2999999999993</v>
      </c>
      <c r="I1380" s="1835">
        <v>9142.9</v>
      </c>
      <c r="J1380" s="1835">
        <v>9235.7000000000007</v>
      </c>
      <c r="K1380" s="1132" t="s">
        <v>1896</v>
      </c>
      <c r="L1380" s="711" t="s">
        <v>189</v>
      </c>
      <c r="M1380" s="711">
        <v>0</v>
      </c>
      <c r="N1380" s="711">
        <v>60</v>
      </c>
      <c r="O1380" s="711">
        <v>100</v>
      </c>
      <c r="P1380" s="711">
        <v>130</v>
      </c>
      <c r="Q1380" s="711">
        <v>120</v>
      </c>
    </row>
    <row r="1381" spans="1:17" ht="30" x14ac:dyDescent="0.25">
      <c r="A1381" s="1324"/>
      <c r="B1381" s="2183"/>
      <c r="C1381" s="2016"/>
      <c r="D1381" s="2127"/>
      <c r="E1381" s="2021"/>
      <c r="F1381" s="1911"/>
      <c r="G1381" s="1911"/>
      <c r="H1381" s="1911"/>
      <c r="I1381" s="1911"/>
      <c r="J1381" s="1911"/>
      <c r="K1381" s="1132" t="s">
        <v>1897</v>
      </c>
      <c r="L1381" s="711" t="s">
        <v>182</v>
      </c>
      <c r="M1381" s="711">
        <v>0</v>
      </c>
      <c r="N1381" s="711">
        <v>15</v>
      </c>
      <c r="O1381" s="711">
        <v>25</v>
      </c>
      <c r="P1381" s="711">
        <v>32</v>
      </c>
      <c r="Q1381" s="711">
        <v>30</v>
      </c>
    </row>
    <row r="1382" spans="1:17" ht="45" x14ac:dyDescent="0.25">
      <c r="A1382" s="1324"/>
      <c r="B1382" s="2184"/>
      <c r="C1382" s="1885"/>
      <c r="D1382" s="2033"/>
      <c r="E1382" s="2021"/>
      <c r="F1382" s="1911"/>
      <c r="G1382" s="1911"/>
      <c r="H1382" s="1911"/>
      <c r="I1382" s="1911"/>
      <c r="J1382" s="1911"/>
      <c r="K1382" s="1132" t="s">
        <v>1903</v>
      </c>
      <c r="L1382" s="711" t="s">
        <v>182</v>
      </c>
      <c r="M1382" s="711">
        <v>0</v>
      </c>
      <c r="N1382" s="711">
        <v>0</v>
      </c>
      <c r="O1382" s="711">
        <v>30</v>
      </c>
      <c r="P1382" s="711">
        <v>45</v>
      </c>
      <c r="Q1382" s="711">
        <v>40</v>
      </c>
    </row>
    <row r="1383" spans="1:17" x14ac:dyDescent="0.25">
      <c r="A1383" s="2179"/>
      <c r="B1383" s="2182"/>
      <c r="C1383" s="1884" t="s">
        <v>48</v>
      </c>
      <c r="D1383" s="2032"/>
      <c r="E1383" s="2020" t="s">
        <v>1928</v>
      </c>
      <c r="F1383" s="1835">
        <v>5153.8</v>
      </c>
      <c r="G1383" s="1835">
        <v>4686</v>
      </c>
      <c r="H1383" s="1835">
        <v>8019.6</v>
      </c>
      <c r="I1383" s="1835">
        <v>4729.1000000000004</v>
      </c>
      <c r="J1383" s="1835">
        <v>4777.1000000000004</v>
      </c>
      <c r="K1383" s="1132" t="s">
        <v>1896</v>
      </c>
      <c r="L1383" s="1002" t="s">
        <v>423</v>
      </c>
      <c r="M1383" s="1003">
        <v>705</v>
      </c>
      <c r="N1383" s="1003">
        <v>720</v>
      </c>
      <c r="O1383" s="1003">
        <v>735</v>
      </c>
      <c r="P1383" s="1003">
        <v>750</v>
      </c>
      <c r="Q1383" s="1003">
        <v>777</v>
      </c>
    </row>
    <row r="1384" spans="1:17" ht="30" x14ac:dyDescent="0.25">
      <c r="A1384" s="2180"/>
      <c r="B1384" s="2183"/>
      <c r="C1384" s="2016"/>
      <c r="D1384" s="2127"/>
      <c r="E1384" s="2021"/>
      <c r="F1384" s="1911"/>
      <c r="G1384" s="1911"/>
      <c r="H1384" s="1911"/>
      <c r="I1384" s="1911"/>
      <c r="J1384" s="1911"/>
      <c r="K1384" s="1132" t="s">
        <v>1897</v>
      </c>
      <c r="L1384" s="1003" t="s">
        <v>182</v>
      </c>
      <c r="M1384" s="1003">
        <v>30</v>
      </c>
      <c r="N1384" s="1003">
        <v>35</v>
      </c>
      <c r="O1384" s="1003">
        <v>38</v>
      </c>
      <c r="P1384" s="1003">
        <v>42</v>
      </c>
      <c r="Q1384" s="1003">
        <v>46</v>
      </c>
    </row>
    <row r="1385" spans="1:17" ht="45" x14ac:dyDescent="0.25">
      <c r="A1385" s="2180"/>
      <c r="B1385" s="2183"/>
      <c r="C1385" s="2016"/>
      <c r="D1385" s="2127"/>
      <c r="E1385" s="2021"/>
      <c r="F1385" s="1911"/>
      <c r="G1385" s="1911"/>
      <c r="H1385" s="1911"/>
      <c r="I1385" s="1911"/>
      <c r="J1385" s="1911"/>
      <c r="K1385" s="1132" t="s">
        <v>1903</v>
      </c>
      <c r="L1385" s="1003" t="s">
        <v>182</v>
      </c>
      <c r="M1385" s="1003">
        <v>42</v>
      </c>
      <c r="N1385" s="1003">
        <v>46</v>
      </c>
      <c r="O1385" s="1003">
        <v>48</v>
      </c>
      <c r="P1385" s="1003">
        <v>51</v>
      </c>
      <c r="Q1385" s="1003">
        <v>54</v>
      </c>
    </row>
    <row r="1386" spans="1:17" ht="60" x14ac:dyDescent="0.25">
      <c r="A1386" s="2181"/>
      <c r="B1386" s="2184"/>
      <c r="C1386" s="1885"/>
      <c r="D1386" s="2033"/>
      <c r="E1386" s="2022"/>
      <c r="F1386" s="1911"/>
      <c r="G1386" s="1911"/>
      <c r="H1386" s="1911"/>
      <c r="I1386" s="1911"/>
      <c r="J1386" s="1911"/>
      <c r="K1386" s="1132" t="s">
        <v>1929</v>
      </c>
      <c r="L1386" s="1002" t="s">
        <v>423</v>
      </c>
      <c r="M1386" s="1003">
        <v>293</v>
      </c>
      <c r="N1386" s="1003">
        <v>350</v>
      </c>
      <c r="O1386" s="1003">
        <v>380</v>
      </c>
      <c r="P1386" s="1003">
        <v>420</v>
      </c>
      <c r="Q1386" s="1003">
        <v>450</v>
      </c>
    </row>
    <row r="1387" spans="1:17" ht="32.25" customHeight="1" x14ac:dyDescent="0.25">
      <c r="A1387" s="1821" t="s">
        <v>1930</v>
      </c>
      <c r="B1387" s="1822"/>
      <c r="C1387" s="2185"/>
      <c r="D1387" s="2185"/>
      <c r="E1387" s="2186"/>
      <c r="F1387" s="46">
        <v>264219.8</v>
      </c>
      <c r="G1387" s="46">
        <v>239924.7</v>
      </c>
      <c r="H1387" s="46">
        <f>H1317+H1329+H1346</f>
        <v>292512.7</v>
      </c>
      <c r="I1387" s="46">
        <v>242129.2</v>
      </c>
      <c r="J1387" s="46">
        <v>244586.80000000005</v>
      </c>
      <c r="K1387" s="796"/>
      <c r="L1387" s="995"/>
      <c r="M1387" s="996"/>
      <c r="N1387" s="996"/>
      <c r="O1387" s="996"/>
      <c r="P1387" s="996"/>
      <c r="Q1387" s="997"/>
    </row>
    <row r="1388" spans="1:17" x14ac:dyDescent="0.25">
      <c r="A1388" s="1826" t="s">
        <v>1931</v>
      </c>
      <c r="B1388" s="1827"/>
      <c r="C1388" s="1827"/>
      <c r="D1388" s="1827"/>
      <c r="E1388" s="1827"/>
      <c r="F1388" s="1827"/>
      <c r="G1388" s="1827"/>
      <c r="H1388" s="1827"/>
      <c r="I1388" s="1827"/>
      <c r="J1388" s="1827"/>
      <c r="K1388" s="1827"/>
      <c r="L1388" s="1827"/>
      <c r="M1388" s="1827"/>
      <c r="N1388" s="1827"/>
      <c r="O1388" s="1827"/>
      <c r="P1388" s="1827"/>
      <c r="Q1388" s="1828"/>
    </row>
    <row r="1389" spans="1:17" ht="74.25" x14ac:dyDescent="0.25">
      <c r="A1389" s="805">
        <v>55</v>
      </c>
      <c r="B1389" s="816">
        <v>1</v>
      </c>
      <c r="C1389" s="896"/>
      <c r="D1389" s="1216"/>
      <c r="E1389" s="1326" t="s">
        <v>1932</v>
      </c>
      <c r="F1389" s="1276">
        <v>47839.5</v>
      </c>
      <c r="G1389" s="1276">
        <v>28853.1</v>
      </c>
      <c r="H1389" s="1024">
        <f>SUM(H1390:H1397)</f>
        <v>34550</v>
      </c>
      <c r="I1389" s="717">
        <v>27283.512946027207</v>
      </c>
      <c r="J1389" s="717">
        <v>27748.875531061221</v>
      </c>
      <c r="K1389" s="1026" t="s">
        <v>1933</v>
      </c>
      <c r="L1389" s="454" t="s">
        <v>182</v>
      </c>
      <c r="M1389" s="897">
        <v>48.05</v>
      </c>
      <c r="N1389" s="897">
        <v>49</v>
      </c>
      <c r="O1389" s="897">
        <v>49</v>
      </c>
      <c r="P1389" s="897">
        <v>49</v>
      </c>
      <c r="Q1389" s="897">
        <v>49</v>
      </c>
    </row>
    <row r="1390" spans="1:17" x14ac:dyDescent="0.25">
      <c r="A1390" s="805"/>
      <c r="B1390" s="816"/>
      <c r="C1390" s="896" t="s">
        <v>6</v>
      </c>
      <c r="D1390" s="1218"/>
      <c r="E1390" s="1327" t="s">
        <v>7</v>
      </c>
      <c r="F1390" s="1258">
        <v>11303.8</v>
      </c>
      <c r="G1390" s="1258">
        <v>6919.5</v>
      </c>
      <c r="H1390" s="700">
        <f>6101.2+690.8</f>
        <v>6792</v>
      </c>
      <c r="I1390" s="700">
        <v>5788.5673495102037</v>
      </c>
      <c r="J1390" s="700">
        <v>5845.9408188979596</v>
      </c>
      <c r="K1390" s="901" t="s">
        <v>183</v>
      </c>
      <c r="L1390" s="897" t="s">
        <v>184</v>
      </c>
      <c r="M1390" s="1328">
        <v>32.799999999999997</v>
      </c>
      <c r="N1390" s="897">
        <v>25</v>
      </c>
      <c r="O1390" s="897">
        <v>25</v>
      </c>
      <c r="P1390" s="897">
        <v>25</v>
      </c>
      <c r="Q1390" s="897">
        <v>25</v>
      </c>
    </row>
    <row r="1391" spans="1:17" x14ac:dyDescent="0.25">
      <c r="A1391" s="805"/>
      <c r="B1391" s="816"/>
      <c r="C1391" s="896" t="s">
        <v>8</v>
      </c>
      <c r="D1391" s="1218"/>
      <c r="E1391" s="1000" t="s">
        <v>9</v>
      </c>
      <c r="F1391" s="1258">
        <v>6741.2</v>
      </c>
      <c r="G1391" s="1258">
        <v>4276.7</v>
      </c>
      <c r="H1391" s="700">
        <f>3795.6+404.5</f>
        <v>4200.1000000000004</v>
      </c>
      <c r="I1391" s="700">
        <v>3674.3673495102034</v>
      </c>
      <c r="J1391" s="700">
        <v>3731.7408188979589</v>
      </c>
      <c r="K1391" s="901" t="s">
        <v>185</v>
      </c>
      <c r="L1391" s="897" t="s">
        <v>184</v>
      </c>
      <c r="M1391" s="1328">
        <v>97.6</v>
      </c>
      <c r="N1391" s="897">
        <v>97</v>
      </c>
      <c r="O1391" s="897">
        <v>97</v>
      </c>
      <c r="P1391" s="897">
        <v>97</v>
      </c>
      <c r="Q1391" s="897">
        <v>97</v>
      </c>
    </row>
    <row r="1392" spans="1:17" ht="30" x14ac:dyDescent="0.25">
      <c r="A1392" s="805"/>
      <c r="B1392" s="816"/>
      <c r="C1392" s="896" t="s">
        <v>10</v>
      </c>
      <c r="D1392" s="1218"/>
      <c r="E1392" s="1000" t="s">
        <v>11</v>
      </c>
      <c r="F1392" s="700">
        <v>2113.5</v>
      </c>
      <c r="G1392" s="700">
        <v>1079.9000000000001</v>
      </c>
      <c r="H1392" s="700">
        <f>1284.5+156.1</f>
        <v>1440.6</v>
      </c>
      <c r="I1392" s="700">
        <v>1246.0224498367347</v>
      </c>
      <c r="J1392" s="700">
        <v>1265.1469396326531</v>
      </c>
      <c r="K1392" s="901" t="s">
        <v>186</v>
      </c>
      <c r="L1392" s="897" t="s">
        <v>182</v>
      </c>
      <c r="M1392" s="1049" t="s">
        <v>1934</v>
      </c>
      <c r="N1392" s="897">
        <v>50</v>
      </c>
      <c r="O1392" s="897">
        <v>45</v>
      </c>
      <c r="P1392" s="897">
        <v>45</v>
      </c>
      <c r="Q1392" s="897">
        <v>45</v>
      </c>
    </row>
    <row r="1393" spans="1:17" ht="30" x14ac:dyDescent="0.25">
      <c r="A1393" s="805"/>
      <c r="B1393" s="816"/>
      <c r="C1393" s="896" t="s">
        <v>12</v>
      </c>
      <c r="D1393" s="1218"/>
      <c r="E1393" s="1000" t="s">
        <v>13</v>
      </c>
      <c r="F1393" s="1258">
        <v>5227.1000000000004</v>
      </c>
      <c r="G1393" s="1258">
        <v>3039</v>
      </c>
      <c r="H1393" s="700">
        <f>3512+404.4</f>
        <v>3916.4</v>
      </c>
      <c r="I1393" s="700">
        <v>3381.0673495102037</v>
      </c>
      <c r="J1393" s="700">
        <v>3438.4408188979587</v>
      </c>
      <c r="K1393" s="901" t="s">
        <v>1935</v>
      </c>
      <c r="L1393" s="897" t="s">
        <v>423</v>
      </c>
      <c r="M1393" s="1329">
        <v>77</v>
      </c>
      <c r="N1393" s="1328">
        <v>50</v>
      </c>
      <c r="O1393" s="897">
        <v>50</v>
      </c>
      <c r="P1393" s="897">
        <v>50</v>
      </c>
      <c r="Q1393" s="897">
        <v>50</v>
      </c>
    </row>
    <row r="1394" spans="1:17" ht="30" x14ac:dyDescent="0.25">
      <c r="A1394" s="805"/>
      <c r="B1394" s="816"/>
      <c r="C1394" s="896" t="s">
        <v>14</v>
      </c>
      <c r="D1394" s="1218"/>
      <c r="E1394" s="1326" t="s">
        <v>1936</v>
      </c>
      <c r="F1394" s="1258">
        <v>3236.4</v>
      </c>
      <c r="G1394" s="1258">
        <v>2033.4</v>
      </c>
      <c r="H1394" s="700">
        <f>1990+229.6</f>
        <v>2219.6</v>
      </c>
      <c r="I1394" s="700">
        <v>1918.0707497278911</v>
      </c>
      <c r="J1394" s="700">
        <v>1949.944899387755</v>
      </c>
      <c r="K1394" s="901" t="s">
        <v>188</v>
      </c>
      <c r="L1394" s="897" t="s">
        <v>189</v>
      </c>
      <c r="M1394" s="897">
        <v>2128</v>
      </c>
      <c r="N1394" s="897">
        <v>2000</v>
      </c>
      <c r="O1394" s="897">
        <v>2000</v>
      </c>
      <c r="P1394" s="897">
        <v>2000</v>
      </c>
      <c r="Q1394" s="897">
        <v>2000</v>
      </c>
    </row>
    <row r="1395" spans="1:17" ht="30" x14ac:dyDescent="0.25">
      <c r="A1395" s="805"/>
      <c r="B1395" s="816"/>
      <c r="C1395" s="896" t="s">
        <v>16</v>
      </c>
      <c r="D1395" s="1218"/>
      <c r="E1395" s="1326" t="s">
        <v>895</v>
      </c>
      <c r="F1395" s="1258">
        <v>19217.5</v>
      </c>
      <c r="G1395" s="1258">
        <v>11504.6</v>
      </c>
      <c r="H1395" s="700">
        <f>12644.2+1780</f>
        <v>14424.2</v>
      </c>
      <c r="I1395" s="700">
        <v>9881.2952480952372</v>
      </c>
      <c r="J1395" s="700">
        <v>10104.414295714283</v>
      </c>
      <c r="K1395" s="898" t="s">
        <v>190</v>
      </c>
      <c r="L1395" s="897" t="s">
        <v>182</v>
      </c>
      <c r="M1395" s="897">
        <v>24.6</v>
      </c>
      <c r="N1395" s="1013">
        <v>24.7</v>
      </c>
      <c r="O1395" s="1013">
        <v>24.7</v>
      </c>
      <c r="P1395" s="1013">
        <v>24.7</v>
      </c>
      <c r="Q1395" s="1013">
        <v>24.7</v>
      </c>
    </row>
    <row r="1396" spans="1:17" ht="30" x14ac:dyDescent="0.25">
      <c r="A1396" s="1953"/>
      <c r="B1396" s="990"/>
      <c r="C1396" s="1955" t="s">
        <v>48</v>
      </c>
      <c r="D1396" s="2187"/>
      <c r="E1396" s="1874" t="s">
        <v>1648</v>
      </c>
      <c r="F1396" s="1940"/>
      <c r="G1396" s="1940"/>
      <c r="H1396" s="1938">
        <f>1434+123.1</f>
        <v>1557.1</v>
      </c>
      <c r="I1396" s="1938">
        <v>1394.1224498367349</v>
      </c>
      <c r="J1396" s="1938">
        <v>1413.246939632653</v>
      </c>
      <c r="K1396" s="898" t="s">
        <v>1937</v>
      </c>
      <c r="L1396" s="897" t="s">
        <v>426</v>
      </c>
      <c r="M1396" s="1330"/>
      <c r="N1396" s="1013">
        <v>50</v>
      </c>
      <c r="O1396" s="1013">
        <v>50</v>
      </c>
      <c r="P1396" s="1013">
        <v>50</v>
      </c>
      <c r="Q1396" s="1013">
        <v>50</v>
      </c>
    </row>
    <row r="1397" spans="1:17" ht="30" x14ac:dyDescent="0.25">
      <c r="A1397" s="1954"/>
      <c r="B1397" s="991"/>
      <c r="C1397" s="2156"/>
      <c r="D1397" s="2188"/>
      <c r="E1397" s="1875"/>
      <c r="F1397" s="1941"/>
      <c r="G1397" s="1941"/>
      <c r="H1397" s="1939"/>
      <c r="I1397" s="1939"/>
      <c r="J1397" s="1939"/>
      <c r="K1397" s="901" t="s">
        <v>1938</v>
      </c>
      <c r="L1397" s="1331" t="s">
        <v>426</v>
      </c>
      <c r="M1397" s="1331"/>
      <c r="N1397" s="1013">
        <v>100</v>
      </c>
      <c r="O1397" s="1013">
        <v>100</v>
      </c>
      <c r="P1397" s="1013">
        <v>100</v>
      </c>
      <c r="Q1397" s="1013">
        <v>100</v>
      </c>
    </row>
    <row r="1398" spans="1:17" x14ac:dyDescent="0.25">
      <c r="A1398" s="1861">
        <v>55</v>
      </c>
      <c r="B1398" s="1862">
        <v>2</v>
      </c>
      <c r="C1398" s="1864"/>
      <c r="D1398" s="2175"/>
      <c r="E1398" s="2174" t="s">
        <v>1939</v>
      </c>
      <c r="F1398" s="2061">
        <v>31690.2</v>
      </c>
      <c r="G1398" s="2061">
        <v>25446.800000000003</v>
      </c>
      <c r="H1398" s="2176">
        <f>SUM(H1400:H1405)</f>
        <v>63775.6</v>
      </c>
      <c r="I1398" s="2177">
        <v>24147.040147768708</v>
      </c>
      <c r="J1398" s="2178">
        <v>24408.408174979595</v>
      </c>
      <c r="K1398" s="898" t="s">
        <v>1940</v>
      </c>
      <c r="L1398" s="897" t="s">
        <v>1941</v>
      </c>
      <c r="M1398" s="897"/>
      <c r="N1398" s="1013"/>
      <c r="O1398" s="1332"/>
      <c r="P1398" s="1013"/>
      <c r="Q1398" s="1013"/>
    </row>
    <row r="1399" spans="1:17" ht="52.5" customHeight="1" x14ac:dyDescent="0.25">
      <c r="A1399" s="1861"/>
      <c r="B1399" s="1863"/>
      <c r="C1399" s="1864"/>
      <c r="D1399" s="2175"/>
      <c r="E1399" s="2174"/>
      <c r="F1399" s="2062"/>
      <c r="G1399" s="2062"/>
      <c r="H1399" s="2176"/>
      <c r="I1399" s="2177"/>
      <c r="J1399" s="2178"/>
      <c r="K1399" s="898" t="s">
        <v>1942</v>
      </c>
      <c r="L1399" s="897" t="s">
        <v>182</v>
      </c>
      <c r="M1399" s="897"/>
      <c r="N1399" s="1116"/>
      <c r="O1399" s="1116"/>
      <c r="P1399" s="1116"/>
      <c r="Q1399" s="1116"/>
    </row>
    <row r="1400" spans="1:17" ht="30" x14ac:dyDescent="0.25">
      <c r="A1400" s="805"/>
      <c r="B1400" s="816"/>
      <c r="C1400" s="896" t="s">
        <v>6</v>
      </c>
      <c r="D1400" s="1218"/>
      <c r="E1400" s="451" t="s">
        <v>1943</v>
      </c>
      <c r="F1400" s="1220">
        <v>3770.2</v>
      </c>
      <c r="G1400" s="1220">
        <v>3163</v>
      </c>
      <c r="H1400" s="1023">
        <f>2978.6+355.1</f>
        <v>3333.7</v>
      </c>
      <c r="I1400" s="1333">
        <v>2885.519049619048</v>
      </c>
      <c r="J1400" s="1061">
        <v>2930.1428591428598</v>
      </c>
      <c r="K1400" s="898" t="s">
        <v>1944</v>
      </c>
      <c r="L1400" s="897" t="s">
        <v>222</v>
      </c>
      <c r="M1400" s="897">
        <v>13</v>
      </c>
      <c r="N1400" s="1116">
        <v>8</v>
      </c>
      <c r="O1400" s="1116">
        <v>8</v>
      </c>
      <c r="P1400" s="1116">
        <v>8</v>
      </c>
      <c r="Q1400" s="1116">
        <v>8</v>
      </c>
    </row>
    <row r="1401" spans="1:17" ht="60" x14ac:dyDescent="0.25">
      <c r="A1401" s="805"/>
      <c r="B1401" s="816"/>
      <c r="C1401" s="896" t="s">
        <v>8</v>
      </c>
      <c r="D1401" s="1221"/>
      <c r="E1401" s="998" t="s">
        <v>1945</v>
      </c>
      <c r="F1401" s="1220">
        <v>5160.1000000000004</v>
      </c>
      <c r="G1401" s="1220">
        <v>4083.6</v>
      </c>
      <c r="H1401" s="1334">
        <f>1013.8+112.4</f>
        <v>1126.2</v>
      </c>
      <c r="I1401" s="1167">
        <v>941.94829989115647</v>
      </c>
      <c r="J1401" s="1061">
        <v>954.69795975510203</v>
      </c>
      <c r="K1401" s="1335" t="s">
        <v>1946</v>
      </c>
      <c r="L1401" s="1336" t="s">
        <v>182</v>
      </c>
      <c r="M1401" s="897">
        <v>100</v>
      </c>
      <c r="N1401" s="897">
        <v>100</v>
      </c>
      <c r="O1401" s="897">
        <v>100</v>
      </c>
      <c r="P1401" s="1116">
        <v>100</v>
      </c>
      <c r="Q1401" s="1116">
        <v>100</v>
      </c>
    </row>
    <row r="1402" spans="1:17" ht="60" x14ac:dyDescent="0.25">
      <c r="A1402" s="971"/>
      <c r="B1402" s="990"/>
      <c r="C1402" s="973" t="s">
        <v>10</v>
      </c>
      <c r="D1402" s="1337"/>
      <c r="E1402" s="998" t="s">
        <v>1947</v>
      </c>
      <c r="F1402" s="1220">
        <v>13436.1</v>
      </c>
      <c r="G1402" s="1220">
        <v>10839.6</v>
      </c>
      <c r="H1402" s="1061">
        <f>6793.2+43401.4</f>
        <v>50194.6</v>
      </c>
      <c r="I1402" s="1061">
        <v>12458.838099238097</v>
      </c>
      <c r="J1402" s="1061">
        <v>12548.085718285716</v>
      </c>
      <c r="K1402" s="1338" t="s">
        <v>1948</v>
      </c>
      <c r="L1402" s="1016" t="s">
        <v>1949</v>
      </c>
      <c r="M1402" s="311">
        <v>255</v>
      </c>
      <c r="N1402" s="311">
        <v>180</v>
      </c>
      <c r="O1402" s="311">
        <v>180</v>
      </c>
      <c r="P1402" s="1339">
        <v>180</v>
      </c>
      <c r="Q1402" s="1339">
        <v>180</v>
      </c>
    </row>
    <row r="1403" spans="1:17" ht="30" x14ac:dyDescent="0.25">
      <c r="A1403" s="805"/>
      <c r="B1403" s="816"/>
      <c r="C1403" s="896" t="s">
        <v>12</v>
      </c>
      <c r="D1403" s="1337"/>
      <c r="E1403" s="998" t="s">
        <v>1950</v>
      </c>
      <c r="F1403" s="1220"/>
      <c r="G1403" s="1220"/>
      <c r="H1403" s="1061"/>
      <c r="I1403" s="1061"/>
      <c r="J1403" s="1061"/>
      <c r="K1403" s="901" t="s">
        <v>1951</v>
      </c>
      <c r="L1403" s="895" t="s">
        <v>1860</v>
      </c>
      <c r="M1403" s="897">
        <v>859</v>
      </c>
      <c r="N1403" s="897">
        <v>800</v>
      </c>
      <c r="O1403" s="897">
        <v>800</v>
      </c>
      <c r="P1403" s="1116">
        <v>800</v>
      </c>
      <c r="Q1403" s="1116">
        <v>800</v>
      </c>
    </row>
    <row r="1404" spans="1:17" ht="60" x14ac:dyDescent="0.25">
      <c r="A1404" s="805"/>
      <c r="B1404" s="816"/>
      <c r="C1404" s="896" t="s">
        <v>14</v>
      </c>
      <c r="D1404" s="1337"/>
      <c r="E1404" s="901" t="s">
        <v>1952</v>
      </c>
      <c r="F1404" s="1258">
        <v>6177.3</v>
      </c>
      <c r="G1404" s="1258">
        <v>4214.1000000000004</v>
      </c>
      <c r="H1404" s="700">
        <f>4265.6+462.3</f>
        <v>4727.9000000000005</v>
      </c>
      <c r="I1404" s="700">
        <v>4072.5673495102037</v>
      </c>
      <c r="J1404" s="700">
        <v>4129.9408188979578</v>
      </c>
      <c r="K1404" s="1340" t="s">
        <v>1953</v>
      </c>
      <c r="L1404" s="311" t="s">
        <v>1949</v>
      </c>
      <c r="M1404" s="311">
        <v>911</v>
      </c>
      <c r="N1404" s="1016">
        <v>600</v>
      </c>
      <c r="O1404" s="1016">
        <v>600</v>
      </c>
      <c r="P1404" s="1016">
        <v>600</v>
      </c>
      <c r="Q1404" s="1016">
        <v>600</v>
      </c>
    </row>
    <row r="1405" spans="1:17" ht="30" x14ac:dyDescent="0.25">
      <c r="A1405" s="805"/>
      <c r="B1405" s="816"/>
      <c r="C1405" s="896" t="s">
        <v>16</v>
      </c>
      <c r="D1405" s="1337"/>
      <c r="E1405" s="901" t="s">
        <v>1954</v>
      </c>
      <c r="F1405" s="1258">
        <v>3146.5</v>
      </c>
      <c r="G1405" s="1258">
        <v>3146.5</v>
      </c>
      <c r="H1405" s="1341">
        <f>3930.8+462.4</f>
        <v>4393.2</v>
      </c>
      <c r="I1405" s="1341">
        <v>3788.1673495102041</v>
      </c>
      <c r="J1405" s="1341">
        <v>3845.5408188979591</v>
      </c>
      <c r="K1405" s="901" t="s">
        <v>1955</v>
      </c>
      <c r="L1405" s="1008" t="s">
        <v>1678</v>
      </c>
      <c r="M1405" s="1342">
        <v>369</v>
      </c>
      <c r="N1405" s="1342">
        <v>300</v>
      </c>
      <c r="O1405" s="1342">
        <v>300</v>
      </c>
      <c r="P1405" s="1342">
        <v>300</v>
      </c>
      <c r="Q1405" s="1342">
        <v>300</v>
      </c>
    </row>
    <row r="1406" spans="1:17" ht="162.75" x14ac:dyDescent="0.25">
      <c r="A1406" s="971">
        <v>55</v>
      </c>
      <c r="B1406" s="990">
        <v>3</v>
      </c>
      <c r="C1406" s="973"/>
      <c r="D1406" s="973"/>
      <c r="E1406" s="1027" t="s">
        <v>1956</v>
      </c>
      <c r="F1406" s="1032">
        <v>63153.020000000004</v>
      </c>
      <c r="G1406" s="1032">
        <v>12600</v>
      </c>
      <c r="H1406" s="1343">
        <f>SUM(H1407:H1416)</f>
        <v>50668.6</v>
      </c>
      <c r="I1406" s="1344">
        <v>13100</v>
      </c>
      <c r="J1406" s="1345">
        <v>13100</v>
      </c>
      <c r="K1406" s="1346" t="s">
        <v>1957</v>
      </c>
      <c r="L1406" s="1347"/>
      <c r="M1406" s="1008"/>
      <c r="N1406" s="1008"/>
      <c r="O1406" s="1008"/>
      <c r="P1406" s="1008"/>
      <c r="Q1406" s="1008"/>
    </row>
    <row r="1407" spans="1:17" ht="30" x14ac:dyDescent="0.25">
      <c r="A1407" s="805"/>
      <c r="B1407" s="816"/>
      <c r="C1407" s="896" t="s">
        <v>6</v>
      </c>
      <c r="D1407" s="325"/>
      <c r="E1407" s="898" t="s">
        <v>1958</v>
      </c>
      <c r="F1407" s="1220">
        <v>41719.82</v>
      </c>
      <c r="G1407" s="1220">
        <v>4200</v>
      </c>
      <c r="H1407" s="1061">
        <f>2500+22168.6</f>
        <v>24668.6</v>
      </c>
      <c r="I1407" s="1061">
        <v>3100</v>
      </c>
      <c r="J1407" s="1061">
        <v>3100</v>
      </c>
      <c r="K1407" s="1348" t="s">
        <v>1959</v>
      </c>
      <c r="L1407" s="1013" t="s">
        <v>1960</v>
      </c>
      <c r="M1407" s="1013">
        <v>232.2</v>
      </c>
      <c r="N1407" s="1013">
        <v>180.2</v>
      </c>
      <c r="O1407" s="1013">
        <v>200</v>
      </c>
      <c r="P1407" s="1013">
        <v>200</v>
      </c>
      <c r="Q1407" s="1013">
        <v>200</v>
      </c>
    </row>
    <row r="1408" spans="1:17" ht="60" x14ac:dyDescent="0.25">
      <c r="A1408" s="1953"/>
      <c r="B1408" s="990"/>
      <c r="C1408" s="1955" t="s">
        <v>8</v>
      </c>
      <c r="D1408" s="1955"/>
      <c r="E1408" s="1874" t="s">
        <v>1961</v>
      </c>
      <c r="F1408" s="2159">
        <v>10622.4</v>
      </c>
      <c r="G1408" s="2159">
        <v>4200</v>
      </c>
      <c r="H1408" s="2159">
        <v>5000</v>
      </c>
      <c r="I1408" s="2159">
        <v>5000</v>
      </c>
      <c r="J1408" s="2159">
        <v>5000</v>
      </c>
      <c r="K1408" s="898" t="s">
        <v>1962</v>
      </c>
      <c r="L1408" s="897" t="s">
        <v>1963</v>
      </c>
      <c r="M1408" s="897">
        <v>44800</v>
      </c>
      <c r="N1408" s="1013">
        <v>45200</v>
      </c>
      <c r="O1408" s="1013">
        <v>45650</v>
      </c>
      <c r="P1408" s="1013">
        <v>46100</v>
      </c>
      <c r="Q1408" s="1013">
        <v>46120</v>
      </c>
    </row>
    <row r="1409" spans="1:17" ht="30" x14ac:dyDescent="0.25">
      <c r="A1409" s="1991"/>
      <c r="B1409" s="1063"/>
      <c r="C1409" s="1978"/>
      <c r="D1409" s="1978"/>
      <c r="E1409" s="1969"/>
      <c r="F1409" s="2159"/>
      <c r="G1409" s="2159"/>
      <c r="H1409" s="2159"/>
      <c r="I1409" s="2159"/>
      <c r="J1409" s="2159"/>
      <c r="K1409" s="1874" t="s">
        <v>1964</v>
      </c>
      <c r="L1409" s="1043" t="s">
        <v>1965</v>
      </c>
      <c r="M1409" s="1043">
        <v>20</v>
      </c>
      <c r="N1409" s="992">
        <v>20</v>
      </c>
      <c r="O1409" s="992">
        <v>20</v>
      </c>
      <c r="P1409" s="992">
        <v>20</v>
      </c>
      <c r="Q1409" s="992">
        <v>20</v>
      </c>
    </row>
    <row r="1410" spans="1:17" ht="45" x14ac:dyDescent="0.25">
      <c r="A1410" s="1991"/>
      <c r="B1410" s="1063"/>
      <c r="C1410" s="1978"/>
      <c r="D1410" s="1978"/>
      <c r="E1410" s="1969"/>
      <c r="F1410" s="2159"/>
      <c r="G1410" s="2159"/>
      <c r="H1410" s="2159"/>
      <c r="I1410" s="2159"/>
      <c r="J1410" s="2159"/>
      <c r="K1410" s="1875"/>
      <c r="L1410" s="1043" t="s">
        <v>1966</v>
      </c>
      <c r="M1410" s="1043">
        <v>62</v>
      </c>
      <c r="N1410" s="992">
        <v>60</v>
      </c>
      <c r="O1410" s="992">
        <v>60</v>
      </c>
      <c r="P1410" s="992">
        <v>60</v>
      </c>
      <c r="Q1410" s="992">
        <v>60</v>
      </c>
    </row>
    <row r="1411" spans="1:17" ht="30" x14ac:dyDescent="0.25">
      <c r="A1411" s="1991"/>
      <c r="B1411" s="1063"/>
      <c r="C1411" s="1978"/>
      <c r="D1411" s="1978"/>
      <c r="E1411" s="1969"/>
      <c r="F1411" s="2159"/>
      <c r="G1411" s="2159"/>
      <c r="H1411" s="2159"/>
      <c r="I1411" s="2159"/>
      <c r="J1411" s="2159"/>
      <c r="K1411" s="983" t="s">
        <v>1967</v>
      </c>
      <c r="L1411" s="1043" t="s">
        <v>1968</v>
      </c>
      <c r="M1411" s="1043">
        <v>61</v>
      </c>
      <c r="N1411" s="992">
        <v>61</v>
      </c>
      <c r="O1411" s="992">
        <v>61</v>
      </c>
      <c r="P1411" s="992">
        <v>61</v>
      </c>
      <c r="Q1411" s="992">
        <v>61</v>
      </c>
    </row>
    <row r="1412" spans="1:17" ht="60" x14ac:dyDescent="0.25">
      <c r="A1412" s="1991"/>
      <c r="B1412" s="1063"/>
      <c r="C1412" s="1978"/>
      <c r="D1412" s="1978"/>
      <c r="E1412" s="1969"/>
      <c r="F1412" s="2159"/>
      <c r="G1412" s="2159"/>
      <c r="H1412" s="2159"/>
      <c r="I1412" s="2159"/>
      <c r="J1412" s="2159"/>
      <c r="K1412" s="983" t="s">
        <v>1969</v>
      </c>
      <c r="L1412" s="1043" t="s">
        <v>1970</v>
      </c>
      <c r="M1412" s="1043" t="s">
        <v>1971</v>
      </c>
      <c r="N1412" s="1043" t="s">
        <v>1971</v>
      </c>
      <c r="O1412" s="1043" t="s">
        <v>1971</v>
      </c>
      <c r="P1412" s="1043" t="s">
        <v>1971</v>
      </c>
      <c r="Q1412" s="1043" t="s">
        <v>1971</v>
      </c>
    </row>
    <row r="1413" spans="1:17" ht="30" x14ac:dyDescent="0.25">
      <c r="A1413" s="1991"/>
      <c r="B1413" s="1063"/>
      <c r="C1413" s="1978"/>
      <c r="D1413" s="1978"/>
      <c r="E1413" s="1969"/>
      <c r="F1413" s="2159"/>
      <c r="G1413" s="2159"/>
      <c r="H1413" s="2159"/>
      <c r="I1413" s="2159"/>
      <c r="J1413" s="2159"/>
      <c r="K1413" s="983" t="s">
        <v>1972</v>
      </c>
      <c r="L1413" s="1043" t="s">
        <v>1973</v>
      </c>
      <c r="M1413" s="1043">
        <v>53</v>
      </c>
      <c r="N1413" s="992">
        <v>53.5</v>
      </c>
      <c r="O1413" s="992">
        <v>53.5</v>
      </c>
      <c r="P1413" s="992">
        <v>53.5</v>
      </c>
      <c r="Q1413" s="992">
        <v>53.5</v>
      </c>
    </row>
    <row r="1414" spans="1:17" ht="45" x14ac:dyDescent="0.25">
      <c r="A1414" s="1954"/>
      <c r="B1414" s="991"/>
      <c r="C1414" s="1956"/>
      <c r="D1414" s="1956"/>
      <c r="E1414" s="1875"/>
      <c r="F1414" s="2159"/>
      <c r="G1414" s="2159"/>
      <c r="H1414" s="2159"/>
      <c r="I1414" s="2159"/>
      <c r="J1414" s="2159"/>
      <c r="K1414" s="983" t="s">
        <v>1974</v>
      </c>
      <c r="L1414" s="1043" t="s">
        <v>1975</v>
      </c>
      <c r="M1414" s="1043">
        <v>4</v>
      </c>
      <c r="N1414" s="992">
        <v>4</v>
      </c>
      <c r="O1414" s="992">
        <v>5</v>
      </c>
      <c r="P1414" s="992">
        <v>5</v>
      </c>
      <c r="Q1414" s="992">
        <v>5</v>
      </c>
    </row>
    <row r="1415" spans="1:17" ht="45" x14ac:dyDescent="0.25">
      <c r="A1415" s="1861"/>
      <c r="B1415" s="1862"/>
      <c r="C1415" s="1864" t="s">
        <v>10</v>
      </c>
      <c r="D1415" s="1864"/>
      <c r="E1415" s="2171" t="s">
        <v>1976</v>
      </c>
      <c r="F1415" s="2173">
        <v>10810.8</v>
      </c>
      <c r="G1415" s="2173">
        <v>4200</v>
      </c>
      <c r="H1415" s="2159">
        <f>4000+17000</f>
        <v>21000</v>
      </c>
      <c r="I1415" s="2159">
        <v>5000</v>
      </c>
      <c r="J1415" s="2159">
        <v>5000</v>
      </c>
      <c r="K1415" s="983" t="s">
        <v>1977</v>
      </c>
      <c r="L1415" s="992" t="s">
        <v>222</v>
      </c>
      <c r="M1415" s="992">
        <v>1083</v>
      </c>
      <c r="N1415" s="1349">
        <v>1000</v>
      </c>
      <c r="O1415" s="1349">
        <v>1000</v>
      </c>
      <c r="P1415" s="1349">
        <v>1000</v>
      </c>
      <c r="Q1415" s="1349">
        <v>1000</v>
      </c>
    </row>
    <row r="1416" spans="1:17" ht="30" x14ac:dyDescent="0.25">
      <c r="A1416" s="1861"/>
      <c r="B1416" s="1863"/>
      <c r="C1416" s="1864"/>
      <c r="D1416" s="1864"/>
      <c r="E1416" s="2172"/>
      <c r="F1416" s="2173"/>
      <c r="G1416" s="2173"/>
      <c r="H1416" s="2159"/>
      <c r="I1416" s="2159"/>
      <c r="J1416" s="2159"/>
      <c r="K1416" s="901" t="s">
        <v>1978</v>
      </c>
      <c r="L1416" s="897" t="s">
        <v>1979</v>
      </c>
      <c r="M1416" s="1350">
        <v>25</v>
      </c>
      <c r="N1416" s="1350">
        <v>30</v>
      </c>
      <c r="O1416" s="1350">
        <v>30</v>
      </c>
      <c r="P1416" s="1350">
        <v>30</v>
      </c>
      <c r="Q1416" s="1350">
        <v>30</v>
      </c>
    </row>
    <row r="1417" spans="1:17" ht="75" x14ac:dyDescent="0.25">
      <c r="A1417" s="2165">
        <v>55</v>
      </c>
      <c r="B1417" s="2161">
        <v>4</v>
      </c>
      <c r="C1417" s="1955"/>
      <c r="D1417" s="1955"/>
      <c r="E1417" s="2174" t="s">
        <v>1980</v>
      </c>
      <c r="F1417" s="2061">
        <v>30227.1</v>
      </c>
      <c r="G1417" s="2061">
        <v>35032.5</v>
      </c>
      <c r="H1417" s="2063">
        <f>SUM(H1419:H1422)</f>
        <v>21689.3</v>
      </c>
      <c r="I1417" s="2065">
        <v>35032.5</v>
      </c>
      <c r="J1417" s="2065">
        <v>35032.5</v>
      </c>
      <c r="K1417" s="1346" t="s">
        <v>1981</v>
      </c>
      <c r="L1417" s="1008"/>
      <c r="M1417" s="1008"/>
      <c r="N1417" s="1351"/>
      <c r="O1417" s="1351"/>
      <c r="P1417" s="1351"/>
      <c r="Q1417" s="1351"/>
    </row>
    <row r="1418" spans="1:17" x14ac:dyDescent="0.25">
      <c r="A1418" s="2166"/>
      <c r="B1418" s="2162"/>
      <c r="C1418" s="2140"/>
      <c r="D1418" s="1901"/>
      <c r="E1418" s="2174"/>
      <c r="F1418" s="2062"/>
      <c r="G1418" s="2062"/>
      <c r="H1418" s="2064"/>
      <c r="I1418" s="2066"/>
      <c r="J1418" s="2066"/>
      <c r="K1418" s="1346"/>
      <c r="L1418" s="992"/>
      <c r="M1418" s="992"/>
      <c r="N1418" s="1045"/>
      <c r="O1418" s="1045"/>
      <c r="P1418" s="1045"/>
      <c r="Q1418" s="1045"/>
    </row>
    <row r="1419" spans="1:17" ht="45" x14ac:dyDescent="0.25">
      <c r="A1419" s="2165"/>
      <c r="B1419" s="1286"/>
      <c r="C1419" s="1955" t="s">
        <v>6</v>
      </c>
      <c r="D1419" s="2167"/>
      <c r="E1419" s="1866" t="s">
        <v>1982</v>
      </c>
      <c r="F1419" s="2159">
        <v>14116.1</v>
      </c>
      <c r="G1419" s="2159">
        <v>18676.400000000001</v>
      </c>
      <c r="H1419" s="2159">
        <f>14087.3+1622.9</f>
        <v>15710.199999999999</v>
      </c>
      <c r="I1419" s="2159">
        <v>18676.400000000001</v>
      </c>
      <c r="J1419" s="1938">
        <v>18676.400000000001</v>
      </c>
      <c r="K1419" s="901" t="s">
        <v>1983</v>
      </c>
      <c r="L1419" s="897" t="s">
        <v>1984</v>
      </c>
      <c r="M1419" s="897">
        <v>69</v>
      </c>
      <c r="N1419" s="1052">
        <v>71</v>
      </c>
      <c r="O1419" s="1013">
        <v>71</v>
      </c>
      <c r="P1419" s="1013">
        <v>71</v>
      </c>
      <c r="Q1419" s="1013">
        <v>71</v>
      </c>
    </row>
    <row r="1420" spans="1:17" ht="45" x14ac:dyDescent="0.25">
      <c r="A1420" s="2166"/>
      <c r="B1420" s="1352"/>
      <c r="C1420" s="2140"/>
      <c r="D1420" s="2168"/>
      <c r="E1420" s="2169"/>
      <c r="F1420" s="2159"/>
      <c r="G1420" s="2170"/>
      <c r="H1420" s="2170"/>
      <c r="I1420" s="2170"/>
      <c r="J1420" s="1939"/>
      <c r="K1420" s="901" t="s">
        <v>1985</v>
      </c>
      <c r="L1420" s="897" t="s">
        <v>1986</v>
      </c>
      <c r="M1420" s="897">
        <v>8</v>
      </c>
      <c r="N1420" s="1013">
        <v>8</v>
      </c>
      <c r="O1420" s="1013">
        <v>8</v>
      </c>
      <c r="P1420" s="1013">
        <v>8</v>
      </c>
      <c r="Q1420" s="1013">
        <v>8</v>
      </c>
    </row>
    <row r="1421" spans="1:17" ht="30" x14ac:dyDescent="0.25">
      <c r="A1421" s="2165"/>
      <c r="B1421" s="1286"/>
      <c r="C1421" s="1955" t="s">
        <v>8</v>
      </c>
      <c r="D1421" s="1955"/>
      <c r="E1421" s="1866" t="s">
        <v>1987</v>
      </c>
      <c r="F1421" s="2159">
        <v>16111</v>
      </c>
      <c r="G1421" s="2159">
        <v>16356.1</v>
      </c>
      <c r="H1421" s="2159">
        <f>5283.5+695.6</f>
        <v>5979.1</v>
      </c>
      <c r="I1421" s="2159">
        <v>16356.1</v>
      </c>
      <c r="J1421" s="1938">
        <v>16356.1</v>
      </c>
      <c r="K1421" s="901" t="s">
        <v>1988</v>
      </c>
      <c r="L1421" s="897" t="s">
        <v>1989</v>
      </c>
      <c r="M1421" s="897">
        <v>122</v>
      </c>
      <c r="N1421" s="1116">
        <v>126</v>
      </c>
      <c r="O1421" s="1116">
        <v>126</v>
      </c>
      <c r="P1421" s="1116">
        <v>126</v>
      </c>
      <c r="Q1421" s="1116">
        <v>126</v>
      </c>
    </row>
    <row r="1422" spans="1:17" ht="30" x14ac:dyDescent="0.25">
      <c r="A1422" s="2166"/>
      <c r="B1422" s="1352"/>
      <c r="C1422" s="2140"/>
      <c r="D1422" s="1901"/>
      <c r="E1422" s="2169"/>
      <c r="F1422" s="2159"/>
      <c r="G1422" s="2170"/>
      <c r="H1422" s="2170"/>
      <c r="I1422" s="2170"/>
      <c r="J1422" s="1939"/>
      <c r="K1422" s="901" t="s">
        <v>1990</v>
      </c>
      <c r="L1422" s="897" t="s">
        <v>1989</v>
      </c>
      <c r="M1422" s="897">
        <v>119</v>
      </c>
      <c r="N1422" s="1116">
        <v>122</v>
      </c>
      <c r="O1422" s="1116">
        <v>122</v>
      </c>
      <c r="P1422" s="1116">
        <v>122</v>
      </c>
      <c r="Q1422" s="1116">
        <v>122</v>
      </c>
    </row>
    <row r="1423" spans="1:17" ht="89.25" x14ac:dyDescent="0.25">
      <c r="A1423" s="809">
        <v>55</v>
      </c>
      <c r="B1423" s="1286">
        <v>5</v>
      </c>
      <c r="C1423" s="1049"/>
      <c r="D1423" s="901"/>
      <c r="E1423" s="998" t="s">
        <v>1991</v>
      </c>
      <c r="F1423" s="1032">
        <v>44017</v>
      </c>
      <c r="G1423" s="1032">
        <v>39917.9</v>
      </c>
      <c r="H1423" s="1024">
        <f>SUM(H1424:H1427)</f>
        <v>26569.8</v>
      </c>
      <c r="I1423" s="717">
        <v>40613.199999999997</v>
      </c>
      <c r="J1423" s="717">
        <v>41315.4</v>
      </c>
      <c r="K1423" s="1346" t="s">
        <v>1992</v>
      </c>
      <c r="L1423" s="311"/>
      <c r="M1423" s="311"/>
      <c r="N1423" s="311"/>
      <c r="O1423" s="1339"/>
      <c r="P1423" s="1339"/>
      <c r="Q1423" s="1339"/>
    </row>
    <row r="1424" spans="1:17" ht="30" x14ac:dyDescent="0.25">
      <c r="A1424" s="2160"/>
      <c r="B1424" s="2161"/>
      <c r="C1424" s="1922" t="s">
        <v>6</v>
      </c>
      <c r="D1424" s="2163"/>
      <c r="E1424" s="2012" t="s">
        <v>1993</v>
      </c>
      <c r="F1424" s="2159">
        <v>25265.7</v>
      </c>
      <c r="G1424" s="2159">
        <v>22904.9</v>
      </c>
      <c r="H1424" s="2159">
        <v>12954.8</v>
      </c>
      <c r="I1424" s="2159">
        <v>23182</v>
      </c>
      <c r="J1424" s="2159">
        <v>23389.8</v>
      </c>
      <c r="K1424" s="1346" t="s">
        <v>1994</v>
      </c>
      <c r="L1424" s="897" t="s">
        <v>1995</v>
      </c>
      <c r="M1424" s="897">
        <v>0</v>
      </c>
      <c r="N1424" s="1350">
        <v>31</v>
      </c>
      <c r="O1424" s="1350">
        <v>31</v>
      </c>
      <c r="P1424" s="1350">
        <v>31</v>
      </c>
      <c r="Q1424" s="1350">
        <v>31</v>
      </c>
    </row>
    <row r="1425" spans="1:17" ht="30" x14ac:dyDescent="0.25">
      <c r="A1425" s="2160"/>
      <c r="B1425" s="2162"/>
      <c r="C1425" s="1922"/>
      <c r="D1425" s="2163"/>
      <c r="E1425" s="2012"/>
      <c r="F1425" s="2159"/>
      <c r="G1425" s="2159"/>
      <c r="H1425" s="2159"/>
      <c r="I1425" s="2159"/>
      <c r="J1425" s="2159"/>
      <c r="K1425" s="898" t="s">
        <v>1996</v>
      </c>
      <c r="L1425" s="897" t="s">
        <v>1960</v>
      </c>
      <c r="M1425" s="897">
        <v>1895.2</v>
      </c>
      <c r="N1425" s="897">
        <v>970</v>
      </c>
      <c r="O1425" s="1116">
        <v>970</v>
      </c>
      <c r="P1425" s="1116">
        <v>970</v>
      </c>
      <c r="Q1425" s="1116">
        <v>970</v>
      </c>
    </row>
    <row r="1426" spans="1:17" ht="30" x14ac:dyDescent="0.25">
      <c r="A1426" s="1919"/>
      <c r="B1426" s="1920"/>
      <c r="C1426" s="1922" t="s">
        <v>8</v>
      </c>
      <c r="D1426" s="2164"/>
      <c r="E1426" s="2012" t="s">
        <v>170</v>
      </c>
      <c r="F1426" s="2159">
        <v>18751.3</v>
      </c>
      <c r="G1426" s="2159">
        <v>17013</v>
      </c>
      <c r="H1426" s="2159">
        <v>13615</v>
      </c>
      <c r="I1426" s="2159">
        <v>17431.2</v>
      </c>
      <c r="J1426" s="2159">
        <v>17925.599999999999</v>
      </c>
      <c r="K1426" s="1353" t="s">
        <v>1997</v>
      </c>
      <c r="L1426" s="897" t="s">
        <v>1989</v>
      </c>
      <c r="M1426" s="897">
        <v>61</v>
      </c>
      <c r="N1426" s="897">
        <v>62</v>
      </c>
      <c r="O1426" s="1116">
        <v>62</v>
      </c>
      <c r="P1426" s="1116">
        <v>62</v>
      </c>
      <c r="Q1426" s="1116">
        <v>62</v>
      </c>
    </row>
    <row r="1427" spans="1:17" ht="30" x14ac:dyDescent="0.25">
      <c r="A1427" s="1919"/>
      <c r="B1427" s="1921"/>
      <c r="C1427" s="1922"/>
      <c r="D1427" s="2164"/>
      <c r="E1427" s="2012"/>
      <c r="F1427" s="2159"/>
      <c r="G1427" s="2159"/>
      <c r="H1427" s="2159"/>
      <c r="I1427" s="2159"/>
      <c r="J1427" s="2159"/>
      <c r="K1427" s="1353" t="s">
        <v>1998</v>
      </c>
      <c r="L1427" s="897" t="s">
        <v>1989</v>
      </c>
      <c r="M1427" s="897">
        <v>46</v>
      </c>
      <c r="N1427" s="897">
        <v>47</v>
      </c>
      <c r="O1427" s="1116">
        <v>47</v>
      </c>
      <c r="P1427" s="1116">
        <v>47</v>
      </c>
      <c r="Q1427" s="1116">
        <v>47</v>
      </c>
    </row>
    <row r="1428" spans="1:17" ht="74.25" x14ac:dyDescent="0.25">
      <c r="A1428" s="809">
        <v>55</v>
      </c>
      <c r="B1428" s="49">
        <v>6</v>
      </c>
      <c r="C1428" s="896"/>
      <c r="D1428" s="1337"/>
      <c r="E1428" s="1051" t="s">
        <v>2922</v>
      </c>
      <c r="F1428" s="1276">
        <v>4999.2</v>
      </c>
      <c r="G1428" s="1276">
        <v>5759.6</v>
      </c>
      <c r="H1428" s="1354">
        <f>SUM(H1429:H1432)</f>
        <v>5759.6</v>
      </c>
      <c r="I1428" s="1164">
        <v>5817.2</v>
      </c>
      <c r="J1428" s="1164">
        <v>5875.2999999999993</v>
      </c>
      <c r="K1428" s="1346" t="s">
        <v>1999</v>
      </c>
      <c r="L1428" s="454"/>
      <c r="M1428" s="897"/>
      <c r="N1428" s="897"/>
      <c r="O1428" s="897"/>
      <c r="P1428" s="897"/>
      <c r="Q1428" s="897"/>
    </row>
    <row r="1429" spans="1:17" ht="60" x14ac:dyDescent="0.25">
      <c r="A1429" s="809"/>
      <c r="B1429" s="49"/>
      <c r="C1429" s="896" t="s">
        <v>6</v>
      </c>
      <c r="D1429" s="1337"/>
      <c r="E1429" s="998" t="s">
        <v>2000</v>
      </c>
      <c r="F1429" s="1258">
        <v>2999.2</v>
      </c>
      <c r="G1429" s="1258">
        <v>3759.6</v>
      </c>
      <c r="H1429" s="1258">
        <v>3759.6</v>
      </c>
      <c r="I1429" s="1258">
        <v>5817.2</v>
      </c>
      <c r="J1429" s="1258">
        <v>5875.2999999999993</v>
      </c>
      <c r="K1429" s="1346" t="s">
        <v>2001</v>
      </c>
      <c r="L1429" s="897" t="s">
        <v>2002</v>
      </c>
      <c r="M1429" s="897" t="s">
        <v>2003</v>
      </c>
      <c r="N1429" s="1013" t="s">
        <v>2004</v>
      </c>
      <c r="O1429" s="1013">
        <v>1</v>
      </c>
      <c r="P1429" s="1013">
        <v>1</v>
      </c>
      <c r="Q1429" s="1013">
        <v>1</v>
      </c>
    </row>
    <row r="1430" spans="1:17" ht="60" x14ac:dyDescent="0.25">
      <c r="A1430" s="809"/>
      <c r="B1430" s="49"/>
      <c r="C1430" s="896" t="s">
        <v>8</v>
      </c>
      <c r="D1430" s="1337"/>
      <c r="E1430" s="998" t="s">
        <v>2005</v>
      </c>
      <c r="F1430" s="1258">
        <v>2000</v>
      </c>
      <c r="G1430" s="1258">
        <v>2000</v>
      </c>
      <c r="H1430" s="1258">
        <v>2000</v>
      </c>
      <c r="I1430" s="1258"/>
      <c r="J1430" s="1258"/>
      <c r="K1430" s="1346" t="s">
        <v>2006</v>
      </c>
      <c r="L1430" s="897" t="s">
        <v>2007</v>
      </c>
      <c r="M1430" s="897" t="s">
        <v>2008</v>
      </c>
      <c r="N1430" s="1013" t="s">
        <v>2009</v>
      </c>
      <c r="O1430" s="1013" t="s">
        <v>2010</v>
      </c>
      <c r="P1430" s="1013" t="s">
        <v>2011</v>
      </c>
      <c r="Q1430" s="1013" t="s">
        <v>2012</v>
      </c>
    </row>
    <row r="1431" spans="1:17" ht="45" x14ac:dyDescent="0.25">
      <c r="A1431" s="809"/>
      <c r="B1431" s="49"/>
      <c r="C1431" s="896" t="s">
        <v>10</v>
      </c>
      <c r="D1431" s="1337"/>
      <c r="E1431" s="998" t="s">
        <v>2013</v>
      </c>
      <c r="F1431" s="1258"/>
      <c r="G1431" s="1258"/>
      <c r="H1431" s="1258"/>
      <c r="I1431" s="1258"/>
      <c r="J1431" s="1258"/>
      <c r="K1431" s="1346" t="s">
        <v>2014</v>
      </c>
      <c r="L1431" s="897" t="s">
        <v>2015</v>
      </c>
      <c r="M1431" s="897"/>
      <c r="N1431" s="897" t="s">
        <v>2016</v>
      </c>
      <c r="O1431" s="897">
        <v>1</v>
      </c>
      <c r="P1431" s="1013">
        <v>1</v>
      </c>
      <c r="Q1431" s="1013">
        <v>1</v>
      </c>
    </row>
    <row r="1432" spans="1:17" ht="45" x14ac:dyDescent="0.25">
      <c r="A1432" s="809"/>
      <c r="B1432" s="49"/>
      <c r="C1432" s="896" t="s">
        <v>12</v>
      </c>
      <c r="D1432" s="1337"/>
      <c r="E1432" s="998" t="s">
        <v>2017</v>
      </c>
      <c r="F1432" s="1258"/>
      <c r="G1432" s="1258"/>
      <c r="H1432" s="1258"/>
      <c r="I1432" s="1258"/>
      <c r="J1432" s="1258"/>
      <c r="K1432" s="1346" t="s">
        <v>2018</v>
      </c>
      <c r="L1432" s="897" t="s">
        <v>2015</v>
      </c>
      <c r="M1432" s="897"/>
      <c r="N1432" s="897" t="s">
        <v>2019</v>
      </c>
      <c r="O1432" s="897"/>
      <c r="P1432" s="897"/>
      <c r="Q1432" s="897"/>
    </row>
    <row r="1433" spans="1:17" ht="104.25" x14ac:dyDescent="0.25">
      <c r="A1433" s="971">
        <v>55</v>
      </c>
      <c r="B1433" s="816">
        <v>7</v>
      </c>
      <c r="C1433" s="1355"/>
      <c r="D1433" s="1356"/>
      <c r="E1433" s="982" t="s">
        <v>2020</v>
      </c>
      <c r="F1433" s="1032">
        <v>8132276.5000000009</v>
      </c>
      <c r="G1433" s="1032">
        <v>6740395.3599999994</v>
      </c>
      <c r="H1433" s="1032">
        <f>SUM(H1434:H1452)</f>
        <v>5390172</v>
      </c>
      <c r="I1433" s="1032">
        <v>11397664.932998912</v>
      </c>
      <c r="J1433" s="1032">
        <v>6715559.5595975509</v>
      </c>
      <c r="K1433" s="982" t="s">
        <v>2021</v>
      </c>
      <c r="L1433" s="311" t="s">
        <v>222</v>
      </c>
      <c r="M1433" s="1357"/>
      <c r="N1433" s="1357"/>
      <c r="O1433" s="1357"/>
      <c r="P1433" s="1357"/>
      <c r="Q1433" s="1357"/>
    </row>
    <row r="1434" spans="1:17" ht="30" x14ac:dyDescent="0.25">
      <c r="A1434" s="1358"/>
      <c r="B1434" s="1359"/>
      <c r="C1434" s="1198" t="s">
        <v>6</v>
      </c>
      <c r="D1434" s="922"/>
      <c r="E1434" s="1360" t="s">
        <v>2022</v>
      </c>
      <c r="F1434" s="1258">
        <v>32403.4</v>
      </c>
      <c r="G1434" s="1258">
        <v>10032.299999999999</v>
      </c>
      <c r="H1434" s="700">
        <v>10626.3</v>
      </c>
      <c r="I1434" s="700">
        <v>9609.5829989115628</v>
      </c>
      <c r="J1434" s="700">
        <v>9737.0795975510191</v>
      </c>
      <c r="K1434" s="211" t="s">
        <v>2023</v>
      </c>
      <c r="L1434" s="211" t="s">
        <v>465</v>
      </c>
      <c r="M1434" s="1361">
        <v>25</v>
      </c>
      <c r="N1434" s="1362">
        <v>25</v>
      </c>
      <c r="O1434" s="1361">
        <v>25</v>
      </c>
      <c r="P1434" s="1361">
        <v>25</v>
      </c>
      <c r="Q1434" s="1361">
        <v>25</v>
      </c>
    </row>
    <row r="1435" spans="1:17" ht="75" x14ac:dyDescent="0.25">
      <c r="A1435" s="1358"/>
      <c r="B1435" s="1359"/>
      <c r="C1435" s="1198" t="s">
        <v>8</v>
      </c>
      <c r="D1435" s="922"/>
      <c r="E1435" s="211" t="s">
        <v>2024</v>
      </c>
      <c r="F1435" s="1258">
        <v>866773.8</v>
      </c>
      <c r="G1435" s="1258">
        <v>802735.1</v>
      </c>
      <c r="H1435" s="700">
        <f>16054+139600+254211.6+108957.8</f>
        <v>518823.39999999997</v>
      </c>
      <c r="I1435" s="1258"/>
      <c r="J1435" s="1258"/>
      <c r="K1435" s="211" t="s">
        <v>2025</v>
      </c>
      <c r="L1435" s="211" t="s">
        <v>312</v>
      </c>
      <c r="M1435" s="700" t="s">
        <v>2026</v>
      </c>
      <c r="N1435" s="700" t="s">
        <v>2026</v>
      </c>
      <c r="O1435" s="700"/>
      <c r="P1435" s="700"/>
      <c r="Q1435" s="700"/>
    </row>
    <row r="1436" spans="1:17" ht="30" x14ac:dyDescent="0.25">
      <c r="A1436" s="1358"/>
      <c r="B1436" s="1359"/>
      <c r="C1436" s="1198" t="s">
        <v>10</v>
      </c>
      <c r="D1436" s="922"/>
      <c r="E1436" s="1360" t="s">
        <v>2027</v>
      </c>
      <c r="F1436" s="1258">
        <v>178567.8</v>
      </c>
      <c r="G1436" s="1258"/>
      <c r="H1436" s="1258">
        <f>26384.4+6840.4</f>
        <v>33224.800000000003</v>
      </c>
      <c r="I1436" s="1258"/>
      <c r="J1436" s="1258"/>
      <c r="K1436" s="240" t="s">
        <v>2028</v>
      </c>
      <c r="L1436" s="211" t="s">
        <v>312</v>
      </c>
      <c r="M1436" s="1200">
        <v>12.7</v>
      </c>
      <c r="N1436" s="700"/>
      <c r="O1436" s="700"/>
      <c r="P1436" s="700"/>
      <c r="Q1436" s="700"/>
    </row>
    <row r="1437" spans="1:17" x14ac:dyDescent="0.25">
      <c r="A1437" s="1358"/>
      <c r="B1437" s="1359"/>
      <c r="C1437" s="1198" t="s">
        <v>12</v>
      </c>
      <c r="D1437" s="922"/>
      <c r="E1437" s="1360" t="s">
        <v>2029</v>
      </c>
      <c r="F1437" s="1258">
        <v>226299.3</v>
      </c>
      <c r="G1437" s="1258">
        <v>211649.6</v>
      </c>
      <c r="H1437" s="700">
        <v>52768.800000000003</v>
      </c>
      <c r="I1437" s="700">
        <v>376265.55000000005</v>
      </c>
      <c r="J1437" s="700">
        <v>143254.39999999999</v>
      </c>
      <c r="K1437" s="211" t="s">
        <v>2025</v>
      </c>
      <c r="L1437" s="211" t="s">
        <v>312</v>
      </c>
      <c r="M1437" s="287"/>
      <c r="N1437" s="700"/>
      <c r="O1437" s="700"/>
      <c r="P1437" s="700"/>
      <c r="Q1437" s="700" t="s">
        <v>2030</v>
      </c>
    </row>
    <row r="1438" spans="1:17" ht="30" x14ac:dyDescent="0.25">
      <c r="A1438" s="1358"/>
      <c r="B1438" s="1359"/>
      <c r="C1438" s="1198" t="s">
        <v>14</v>
      </c>
      <c r="D1438" s="922"/>
      <c r="E1438" s="211" t="s">
        <v>2031</v>
      </c>
      <c r="F1438" s="1258">
        <v>5092604.3</v>
      </c>
      <c r="G1438" s="1258">
        <v>1381880</v>
      </c>
      <c r="H1438" s="700">
        <v>1783735.5</v>
      </c>
      <c r="I1438" s="700"/>
      <c r="J1438" s="700"/>
      <c r="K1438" s="240" t="s">
        <v>2032</v>
      </c>
      <c r="L1438" s="211" t="s">
        <v>312</v>
      </c>
      <c r="M1438" s="700" t="s">
        <v>2033</v>
      </c>
      <c r="N1438" s="700"/>
      <c r="O1438" s="700"/>
      <c r="P1438" s="700"/>
      <c r="Q1438" s="700"/>
    </row>
    <row r="1439" spans="1:17" x14ac:dyDescent="0.25">
      <c r="A1439" s="1358"/>
      <c r="B1439" s="1359"/>
      <c r="C1439" s="1198" t="s">
        <v>16</v>
      </c>
      <c r="D1439" s="922"/>
      <c r="E1439" s="1360" t="s">
        <v>2034</v>
      </c>
      <c r="F1439" s="1258"/>
      <c r="G1439" s="1258">
        <v>1217200</v>
      </c>
      <c r="H1439" s="700">
        <f>471150+132620+767800+691020</f>
        <v>2062590</v>
      </c>
      <c r="I1439" s="1258">
        <v>6679875</v>
      </c>
      <c r="J1439" s="1258">
        <v>1281600</v>
      </c>
      <c r="K1439" s="211" t="s">
        <v>2035</v>
      </c>
      <c r="L1439" s="211" t="s">
        <v>312</v>
      </c>
      <c r="M1439" s="287"/>
      <c r="N1439" s="700"/>
      <c r="O1439" s="700" t="s">
        <v>2036</v>
      </c>
      <c r="P1439" s="700"/>
      <c r="Q1439" s="700"/>
    </row>
    <row r="1440" spans="1:17" ht="45" x14ac:dyDescent="0.25">
      <c r="A1440" s="1358"/>
      <c r="B1440" s="1359"/>
      <c r="C1440" s="1198" t="s">
        <v>48</v>
      </c>
      <c r="D1440" s="922"/>
      <c r="E1440" s="1360" t="s">
        <v>2037</v>
      </c>
      <c r="F1440" s="1258">
        <v>781368.8</v>
      </c>
      <c r="G1440" s="1258">
        <v>508581.96</v>
      </c>
      <c r="H1440" s="700">
        <f>63448.2</f>
        <v>63448.2</v>
      </c>
      <c r="I1440" s="700">
        <v>987</v>
      </c>
      <c r="J1440" s="700"/>
      <c r="K1440" s="211" t="s">
        <v>2038</v>
      </c>
      <c r="L1440" s="211" t="s">
        <v>424</v>
      </c>
      <c r="M1440" s="700" t="s">
        <v>2039</v>
      </c>
      <c r="N1440" s="700" t="s">
        <v>2040</v>
      </c>
      <c r="O1440" s="700"/>
      <c r="P1440" s="700"/>
      <c r="Q1440" s="700"/>
    </row>
    <row r="1441" spans="1:17" ht="45" x14ac:dyDescent="0.25">
      <c r="A1441" s="1358"/>
      <c r="B1441" s="1359"/>
      <c r="C1441" s="1198" t="s">
        <v>49</v>
      </c>
      <c r="D1441" s="922"/>
      <c r="E1441" s="1360" t="s">
        <v>2041</v>
      </c>
      <c r="F1441" s="1258">
        <v>5909.9</v>
      </c>
      <c r="G1441" s="1258">
        <v>386640</v>
      </c>
      <c r="H1441" s="700">
        <v>139600</v>
      </c>
      <c r="I1441" s="1258">
        <v>126900</v>
      </c>
      <c r="J1441" s="1258"/>
      <c r="K1441" s="211" t="s">
        <v>2042</v>
      </c>
      <c r="L1441" s="211" t="s">
        <v>312</v>
      </c>
      <c r="M1441" s="287"/>
      <c r="N1441" s="700"/>
      <c r="O1441" s="700" t="s">
        <v>2043</v>
      </c>
      <c r="P1441" s="700"/>
      <c r="Q1441" s="700"/>
    </row>
    <row r="1442" spans="1:17" ht="30" x14ac:dyDescent="0.25">
      <c r="A1442" s="1358"/>
      <c r="B1442" s="1359"/>
      <c r="C1442" s="1198" t="s">
        <v>124</v>
      </c>
      <c r="D1442" s="922"/>
      <c r="E1442" s="1360" t="s">
        <v>2044</v>
      </c>
      <c r="F1442" s="1258"/>
      <c r="G1442" s="1258">
        <v>34368</v>
      </c>
      <c r="H1442" s="700"/>
      <c r="I1442" s="1258">
        <v>239523.75</v>
      </c>
      <c r="J1442" s="1258">
        <v>1797800</v>
      </c>
      <c r="K1442" s="211" t="s">
        <v>2045</v>
      </c>
      <c r="L1442" s="211" t="s">
        <v>312</v>
      </c>
      <c r="M1442" s="287"/>
      <c r="N1442" s="700"/>
      <c r="O1442" s="700"/>
      <c r="P1442" s="700"/>
      <c r="Q1442" s="700" t="s">
        <v>2046</v>
      </c>
    </row>
    <row r="1443" spans="1:17" ht="30" x14ac:dyDescent="0.25">
      <c r="A1443" s="1358"/>
      <c r="B1443" s="1359"/>
      <c r="C1443" s="1198" t="s">
        <v>157</v>
      </c>
      <c r="D1443" s="922"/>
      <c r="E1443" s="211" t="s">
        <v>2047</v>
      </c>
      <c r="F1443" s="1258">
        <v>11325.9</v>
      </c>
      <c r="G1443" s="1258">
        <v>2008308.4</v>
      </c>
      <c r="H1443" s="700">
        <f>177990+97022+72654.8+32743.2+1536+12564+39506.8+59748.8</f>
        <v>493765.6</v>
      </c>
      <c r="I1443" s="1258">
        <v>2861968.6500000004</v>
      </c>
      <c r="J1443" s="1258">
        <v>3130557.2</v>
      </c>
      <c r="K1443" s="211" t="s">
        <v>2048</v>
      </c>
      <c r="L1443" s="211" t="s">
        <v>312</v>
      </c>
      <c r="M1443" s="287"/>
      <c r="N1443" s="700"/>
      <c r="O1443" s="700"/>
      <c r="P1443" s="700" t="s">
        <v>2049</v>
      </c>
      <c r="Q1443" s="700" t="s">
        <v>2050</v>
      </c>
    </row>
    <row r="1444" spans="1:17" x14ac:dyDescent="0.25">
      <c r="A1444" s="1358"/>
      <c r="B1444" s="1359"/>
      <c r="C1444" s="1198" t="s">
        <v>158</v>
      </c>
      <c r="D1444" s="922"/>
      <c r="E1444" s="1360" t="s">
        <v>2051</v>
      </c>
      <c r="F1444" s="1258"/>
      <c r="G1444" s="1258"/>
      <c r="H1444" s="1258"/>
      <c r="I1444" s="1258"/>
      <c r="J1444" s="1258"/>
      <c r="K1444" s="211" t="s">
        <v>2052</v>
      </c>
      <c r="L1444" s="211" t="s">
        <v>312</v>
      </c>
      <c r="M1444" s="287"/>
      <c r="N1444" s="700"/>
      <c r="O1444" s="700"/>
      <c r="P1444" s="700"/>
      <c r="Q1444" s="700" t="s">
        <v>2053</v>
      </c>
    </row>
    <row r="1445" spans="1:17" ht="45" x14ac:dyDescent="0.25">
      <c r="A1445" s="1358"/>
      <c r="B1445" s="1359"/>
      <c r="C1445" s="1198" t="s">
        <v>159</v>
      </c>
      <c r="D1445" s="922"/>
      <c r="E1445" s="1360" t="s">
        <v>2054</v>
      </c>
      <c r="F1445" s="1258">
        <v>397504.9</v>
      </c>
      <c r="G1445" s="1258"/>
      <c r="H1445" s="1258">
        <v>84109</v>
      </c>
      <c r="I1445" s="1258"/>
      <c r="J1445" s="1258"/>
      <c r="K1445" s="240" t="s">
        <v>2055</v>
      </c>
      <c r="L1445" s="211" t="s">
        <v>312</v>
      </c>
      <c r="M1445" s="1200" t="s">
        <v>2056</v>
      </c>
      <c r="N1445" s="700"/>
      <c r="O1445" s="700"/>
      <c r="P1445" s="700"/>
      <c r="Q1445" s="700"/>
    </row>
    <row r="1446" spans="1:17" ht="30" x14ac:dyDescent="0.25">
      <c r="A1446" s="1358"/>
      <c r="B1446" s="1359"/>
      <c r="C1446" s="1198" t="s">
        <v>160</v>
      </c>
      <c r="D1446" s="922"/>
      <c r="E1446" s="211" t="s">
        <v>2057</v>
      </c>
      <c r="F1446" s="1258">
        <v>539518.4</v>
      </c>
      <c r="G1446" s="1258">
        <v>179000</v>
      </c>
      <c r="H1446" s="700"/>
      <c r="I1446" s="700"/>
      <c r="J1446" s="700"/>
      <c r="K1446" s="211" t="s">
        <v>2058</v>
      </c>
      <c r="L1446" s="211" t="s">
        <v>312</v>
      </c>
      <c r="M1446" s="287">
        <v>2529</v>
      </c>
      <c r="N1446" s="700" t="s">
        <v>2059</v>
      </c>
      <c r="O1446" s="700"/>
      <c r="P1446" s="700"/>
      <c r="Q1446" s="700"/>
    </row>
    <row r="1447" spans="1:17" ht="105" x14ac:dyDescent="0.25">
      <c r="A1447" s="2151"/>
      <c r="B1447" s="1363"/>
      <c r="C1447" s="2153" t="s">
        <v>161</v>
      </c>
      <c r="D1447" s="2155"/>
      <c r="E1447" s="2157" t="s">
        <v>2060</v>
      </c>
      <c r="F1447" s="1940"/>
      <c r="G1447" s="1364"/>
      <c r="H1447" s="2159">
        <f>69800+69800</f>
        <v>139600</v>
      </c>
      <c r="I1447" s="1938">
        <v>506352.15</v>
      </c>
      <c r="J1447" s="1938">
        <v>158533.92000000001</v>
      </c>
      <c r="K1447" s="1855" t="s">
        <v>2061</v>
      </c>
      <c r="L1447" s="211" t="s">
        <v>2062</v>
      </c>
      <c r="M1447" s="287"/>
      <c r="N1447" s="700"/>
      <c r="O1447" s="2133" t="s">
        <v>2063</v>
      </c>
      <c r="P1447" s="2134"/>
      <c r="Q1447" s="2135"/>
    </row>
    <row r="1448" spans="1:17" ht="120" x14ac:dyDescent="0.25">
      <c r="A1448" s="2152"/>
      <c r="B1448" s="1365"/>
      <c r="C1448" s="2154"/>
      <c r="D1448" s="2156"/>
      <c r="E1448" s="2158"/>
      <c r="F1448" s="1941"/>
      <c r="G1448" s="1364"/>
      <c r="H1448" s="2159"/>
      <c r="I1448" s="1939"/>
      <c r="J1448" s="1939"/>
      <c r="K1448" s="1856"/>
      <c r="L1448" s="211" t="s">
        <v>2064</v>
      </c>
      <c r="M1448" s="287"/>
      <c r="N1448" s="700"/>
      <c r="O1448" s="2133" t="s">
        <v>2065</v>
      </c>
      <c r="P1448" s="2134"/>
      <c r="Q1448" s="2135"/>
    </row>
    <row r="1449" spans="1:17" ht="60" x14ac:dyDescent="0.25">
      <c r="A1449" s="2151"/>
      <c r="B1449" s="1363"/>
      <c r="C1449" s="2153" t="s">
        <v>162</v>
      </c>
      <c r="D1449" s="2155"/>
      <c r="E1449" s="2157" t="s">
        <v>2066</v>
      </c>
      <c r="F1449" s="1940"/>
      <c r="G1449" s="1940"/>
      <c r="H1449" s="2159"/>
      <c r="I1449" s="2159">
        <v>321444.75</v>
      </c>
      <c r="J1449" s="1938">
        <v>69120.959999999992</v>
      </c>
      <c r="K1449" s="1855" t="s">
        <v>2067</v>
      </c>
      <c r="L1449" s="211" t="s">
        <v>2068</v>
      </c>
      <c r="M1449" s="287"/>
      <c r="N1449" s="700"/>
      <c r="O1449" s="2133" t="s">
        <v>2069</v>
      </c>
      <c r="P1449" s="2134"/>
      <c r="Q1449" s="2135"/>
    </row>
    <row r="1450" spans="1:17" ht="120" x14ac:dyDescent="0.25">
      <c r="A1450" s="2152"/>
      <c r="B1450" s="1365"/>
      <c r="C1450" s="2154"/>
      <c r="D1450" s="2156"/>
      <c r="E1450" s="2158"/>
      <c r="F1450" s="1941"/>
      <c r="G1450" s="1941"/>
      <c r="H1450" s="2159"/>
      <c r="I1450" s="2159"/>
      <c r="J1450" s="1939"/>
      <c r="K1450" s="1856"/>
      <c r="L1450" s="211" t="s">
        <v>2070</v>
      </c>
      <c r="M1450" s="287"/>
      <c r="N1450" s="700"/>
      <c r="O1450" s="2133" t="s">
        <v>2071</v>
      </c>
      <c r="P1450" s="2134"/>
      <c r="Q1450" s="2135"/>
    </row>
    <row r="1451" spans="1:17" ht="60" x14ac:dyDescent="0.25">
      <c r="A1451" s="1358"/>
      <c r="B1451" s="1359"/>
      <c r="C1451" s="1198" t="s">
        <v>163</v>
      </c>
      <c r="D1451" s="922"/>
      <c r="E1451" s="211" t="s">
        <v>2072</v>
      </c>
      <c r="F1451" s="1258"/>
      <c r="G1451" s="1258"/>
      <c r="H1451" s="1017"/>
      <c r="I1451" s="700">
        <v>172513.5</v>
      </c>
      <c r="J1451" s="1258">
        <v>124956</v>
      </c>
      <c r="K1451" s="211" t="s">
        <v>2073</v>
      </c>
      <c r="L1451" s="211" t="s">
        <v>2074</v>
      </c>
      <c r="M1451" s="287"/>
      <c r="N1451" s="700"/>
      <c r="O1451" s="2133" t="s">
        <v>2075</v>
      </c>
      <c r="P1451" s="2134"/>
      <c r="Q1451" s="2135"/>
    </row>
    <row r="1452" spans="1:17" ht="60" x14ac:dyDescent="0.25">
      <c r="A1452" s="1358"/>
      <c r="B1452" s="1359"/>
      <c r="C1452" s="1198" t="s">
        <v>164</v>
      </c>
      <c r="D1452" s="922"/>
      <c r="E1452" s="211" t="s">
        <v>2076</v>
      </c>
      <c r="F1452" s="1258"/>
      <c r="G1452" s="1258"/>
      <c r="H1452" s="700">
        <v>7880.4</v>
      </c>
      <c r="I1452" s="700">
        <v>102225</v>
      </c>
      <c r="J1452" s="700"/>
      <c r="K1452" s="211" t="s">
        <v>2077</v>
      </c>
      <c r="L1452" s="211" t="s">
        <v>2078</v>
      </c>
      <c r="M1452" s="287"/>
      <c r="N1452" s="700"/>
      <c r="O1452" s="2133" t="s">
        <v>2079</v>
      </c>
      <c r="P1452" s="2134"/>
      <c r="Q1452" s="2135"/>
    </row>
    <row r="1453" spans="1:17" ht="67.5" customHeight="1" x14ac:dyDescent="0.25">
      <c r="A1453" s="805">
        <v>55</v>
      </c>
      <c r="B1453" s="816">
        <v>8</v>
      </c>
      <c r="C1453" s="896"/>
      <c r="D1453" s="656"/>
      <c r="E1453" s="451" t="s">
        <v>2080</v>
      </c>
      <c r="F1453" s="1276">
        <v>15941</v>
      </c>
      <c r="G1453" s="1276">
        <v>6500.4</v>
      </c>
      <c r="H1453" s="1366">
        <f>SUM(H1454:H1459)</f>
        <v>7117.5999999999995</v>
      </c>
      <c r="I1453" s="1366">
        <v>6386.1639492925169</v>
      </c>
      <c r="J1453" s="1366">
        <v>6469.0367384081637</v>
      </c>
      <c r="K1453" s="901" t="s">
        <v>2081</v>
      </c>
      <c r="L1453" s="311"/>
      <c r="M1453" s="1367"/>
      <c r="N1453" s="1368"/>
      <c r="O1453" s="1368"/>
      <c r="P1453" s="1368"/>
      <c r="Q1453" s="1368"/>
    </row>
    <row r="1454" spans="1:17" ht="45" x14ac:dyDescent="0.25">
      <c r="A1454" s="971"/>
      <c r="B1454" s="990"/>
      <c r="C1454" s="973" t="s">
        <v>6</v>
      </c>
      <c r="D1454" s="1356"/>
      <c r="E1454" s="969" t="s">
        <v>2082</v>
      </c>
      <c r="F1454" s="1369"/>
      <c r="G1454" s="1369"/>
      <c r="H1454" s="988"/>
      <c r="I1454" s="952"/>
      <c r="J1454" s="952"/>
      <c r="K1454" s="901" t="s">
        <v>2083</v>
      </c>
      <c r="L1454" s="1043" t="s">
        <v>1678</v>
      </c>
      <c r="M1454" s="1370"/>
      <c r="N1454" s="1371">
        <v>5</v>
      </c>
      <c r="O1454" s="1371">
        <v>5</v>
      </c>
      <c r="P1454" s="1371">
        <v>5</v>
      </c>
      <c r="Q1454" s="1371">
        <v>5</v>
      </c>
    </row>
    <row r="1455" spans="1:17" ht="30" x14ac:dyDescent="0.25">
      <c r="A1455" s="1976"/>
      <c r="B1455" s="2137"/>
      <c r="C1455" s="1955" t="s">
        <v>8</v>
      </c>
      <c r="D1455" s="2141"/>
      <c r="E1455" s="1866" t="s">
        <v>2084</v>
      </c>
      <c r="F1455" s="1868"/>
      <c r="G1455" s="1940">
        <v>3775.3</v>
      </c>
      <c r="H1455" s="1938">
        <f>3677.5+418.7</f>
        <v>4096.2</v>
      </c>
      <c r="I1455" s="1940">
        <v>3698.093199564626</v>
      </c>
      <c r="J1455" s="1938">
        <v>3749.0918390204088</v>
      </c>
      <c r="K1455" s="211" t="s">
        <v>2085</v>
      </c>
      <c r="L1455" s="211" t="s">
        <v>182</v>
      </c>
      <c r="M1455" s="1372">
        <v>107.6</v>
      </c>
      <c r="N1455" s="1373">
        <v>98.3</v>
      </c>
      <c r="O1455" s="1374">
        <v>102</v>
      </c>
      <c r="P1455" s="1374">
        <v>107.1</v>
      </c>
      <c r="Q1455" s="1373">
        <v>102.3</v>
      </c>
    </row>
    <row r="1456" spans="1:17" x14ac:dyDescent="0.25">
      <c r="A1456" s="1977"/>
      <c r="B1456" s="2138"/>
      <c r="C1456" s="1978"/>
      <c r="D1456" s="2142"/>
      <c r="E1456" s="2144"/>
      <c r="F1456" s="2145"/>
      <c r="G1456" s="2146"/>
      <c r="H1456" s="1970"/>
      <c r="I1456" s="2146"/>
      <c r="J1456" s="1970"/>
      <c r="K1456" s="898" t="s">
        <v>2086</v>
      </c>
      <c r="L1456" s="897" t="s">
        <v>182</v>
      </c>
      <c r="M1456" s="1375">
        <v>103.7</v>
      </c>
      <c r="N1456" s="1375">
        <v>94.2</v>
      </c>
      <c r="O1456" s="1375">
        <v>102.1</v>
      </c>
      <c r="P1456" s="1375">
        <v>110.6</v>
      </c>
      <c r="Q1456" s="1375">
        <v>107.2</v>
      </c>
    </row>
    <row r="1457" spans="1:17" x14ac:dyDescent="0.25">
      <c r="A1457" s="2136"/>
      <c r="B1457" s="2138"/>
      <c r="C1457" s="1992"/>
      <c r="D1457" s="2142"/>
      <c r="E1457" s="2144"/>
      <c r="F1457" s="2145"/>
      <c r="G1457" s="2146"/>
      <c r="H1457" s="1970"/>
      <c r="I1457" s="2146"/>
      <c r="J1457" s="1970"/>
      <c r="K1457" s="898" t="s">
        <v>2087</v>
      </c>
      <c r="L1457" s="897" t="s">
        <v>182</v>
      </c>
      <c r="M1457" s="1375">
        <v>120.5</v>
      </c>
      <c r="N1457" s="1375">
        <v>102</v>
      </c>
      <c r="O1457" s="1375">
        <v>102.5</v>
      </c>
      <c r="P1457" s="1375">
        <v>102</v>
      </c>
      <c r="Q1457" s="1375">
        <v>101</v>
      </c>
    </row>
    <row r="1458" spans="1:17" ht="30" x14ac:dyDescent="0.25">
      <c r="A1458" s="2095"/>
      <c r="B1458" s="2139"/>
      <c r="C1458" s="2140" t="s">
        <v>6</v>
      </c>
      <c r="D1458" s="2143"/>
      <c r="E1458" s="1867"/>
      <c r="F1458" s="1869"/>
      <c r="G1458" s="1941"/>
      <c r="H1458" s="1939"/>
      <c r="I1458" s="1941"/>
      <c r="J1458" s="1939"/>
      <c r="K1458" s="898" t="s">
        <v>2088</v>
      </c>
      <c r="L1458" s="897" t="s">
        <v>182</v>
      </c>
      <c r="M1458" s="1375">
        <v>125.9</v>
      </c>
      <c r="N1458" s="1375">
        <v>125.6</v>
      </c>
      <c r="O1458" s="1375">
        <v>123</v>
      </c>
      <c r="P1458" s="1375">
        <v>111.5</v>
      </c>
      <c r="Q1458" s="1375">
        <v>106.8</v>
      </c>
    </row>
    <row r="1459" spans="1:17" ht="45" x14ac:dyDescent="0.25">
      <c r="A1459" s="577"/>
      <c r="B1459" s="324"/>
      <c r="C1459" s="896" t="s">
        <v>10</v>
      </c>
      <c r="D1459" s="1376"/>
      <c r="E1459" s="1326" t="s">
        <v>2089</v>
      </c>
      <c r="F1459" s="1220"/>
      <c r="G1459" s="1258">
        <v>2725.1</v>
      </c>
      <c r="H1459" s="700">
        <f>2753.7+267.7</f>
        <v>3021.3999999999996</v>
      </c>
      <c r="I1459" s="1364">
        <v>2688.0707497278913</v>
      </c>
      <c r="J1459" s="700">
        <v>2719.9448993877554</v>
      </c>
      <c r="K1459" s="898" t="s">
        <v>2090</v>
      </c>
      <c r="L1459" s="897" t="s">
        <v>182</v>
      </c>
      <c r="M1459" s="1375">
        <v>111.4</v>
      </c>
      <c r="N1459" s="1375">
        <v>102</v>
      </c>
      <c r="O1459" s="1375">
        <v>104</v>
      </c>
      <c r="P1459" s="1375">
        <v>106.5</v>
      </c>
      <c r="Q1459" s="1375">
        <v>106</v>
      </c>
    </row>
    <row r="1460" spans="1:17" ht="39.75" customHeight="1" x14ac:dyDescent="0.25">
      <c r="A1460" s="1823" t="s">
        <v>2091</v>
      </c>
      <c r="B1460" s="1823"/>
      <c r="C1460" s="1823"/>
      <c r="D1460" s="1823"/>
      <c r="E1460" s="1840"/>
      <c r="F1460" s="46">
        <v>8370143.5200000005</v>
      </c>
      <c r="G1460" s="46">
        <v>6894505.6599999992</v>
      </c>
      <c r="H1460" s="46">
        <f>H1389+H1398+H1406+H1417+H1423+H1428+H1433+H1453</f>
        <v>5600302.5</v>
      </c>
      <c r="I1460" s="46">
        <v>11550044.550041998</v>
      </c>
      <c r="J1460" s="46">
        <v>6869509.0800419999</v>
      </c>
      <c r="K1460" s="16"/>
      <c r="L1460" s="995"/>
      <c r="M1460" s="996"/>
      <c r="N1460" s="996"/>
      <c r="O1460" s="996"/>
      <c r="P1460" s="996"/>
      <c r="Q1460" s="997"/>
    </row>
    <row r="1461" spans="1:17" ht="24" customHeight="1" x14ac:dyDescent="0.25">
      <c r="A1461" s="2147" t="s">
        <v>2092</v>
      </c>
      <c r="B1461" s="2148"/>
      <c r="C1461" s="2148"/>
      <c r="D1461" s="2148"/>
      <c r="E1461" s="2148"/>
      <c r="F1461" s="2148"/>
      <c r="G1461" s="2148"/>
      <c r="H1461" s="2148"/>
      <c r="I1461" s="2148"/>
      <c r="J1461" s="2148"/>
      <c r="K1461" s="2148"/>
      <c r="L1461" s="2148"/>
      <c r="M1461" s="2148"/>
      <c r="N1461" s="2148"/>
      <c r="O1461" s="2148"/>
      <c r="P1461" s="2148"/>
      <c r="Q1461" s="2149"/>
    </row>
    <row r="1462" spans="1:17" x14ac:dyDescent="0.25">
      <c r="A1462" s="1826" t="s">
        <v>2093</v>
      </c>
      <c r="B1462" s="1827"/>
      <c r="C1462" s="1827"/>
      <c r="D1462" s="1827"/>
      <c r="E1462" s="1827"/>
      <c r="F1462" s="1827"/>
      <c r="G1462" s="1827"/>
      <c r="H1462" s="1827"/>
      <c r="I1462" s="1827"/>
      <c r="J1462" s="1827"/>
      <c r="K1462" s="1827"/>
      <c r="L1462" s="1827"/>
      <c r="M1462" s="1827"/>
      <c r="N1462" s="1827"/>
      <c r="O1462" s="1827"/>
      <c r="P1462" s="1827"/>
      <c r="Q1462" s="1828"/>
    </row>
    <row r="1463" spans="1:17" ht="23.25" customHeight="1" x14ac:dyDescent="0.25">
      <c r="A1463" s="906">
        <v>55</v>
      </c>
      <c r="B1463" s="1047">
        <v>9</v>
      </c>
      <c r="C1463" s="912"/>
      <c r="D1463" s="339"/>
      <c r="E1463" s="1009" t="s">
        <v>2094</v>
      </c>
      <c r="F1463" s="915">
        <v>1326265.3</v>
      </c>
      <c r="G1463" s="915">
        <v>1226228.7</v>
      </c>
      <c r="H1463" s="915">
        <f>SUM(H1464:H1470)</f>
        <v>1218394.7</v>
      </c>
      <c r="I1463" s="915">
        <v>1234105.6000000001</v>
      </c>
      <c r="J1463" s="915">
        <v>1246586</v>
      </c>
      <c r="K1463" s="647" t="s">
        <v>2095</v>
      </c>
      <c r="L1463" s="1002" t="s">
        <v>2096</v>
      </c>
      <c r="M1463" s="640">
        <v>1134.76</v>
      </c>
      <c r="N1463" s="640">
        <v>1134.76</v>
      </c>
      <c r="O1463" s="640">
        <v>1134.76</v>
      </c>
      <c r="P1463" s="640">
        <v>1134.76</v>
      </c>
      <c r="Q1463" s="640">
        <v>1134.76</v>
      </c>
    </row>
    <row r="1464" spans="1:17" x14ac:dyDescent="0.25">
      <c r="A1464" s="2028"/>
      <c r="B1464" s="2029"/>
      <c r="C1464" s="1884" t="s">
        <v>6</v>
      </c>
      <c r="D1464" s="2032"/>
      <c r="E1464" s="1874" t="s">
        <v>2097</v>
      </c>
      <c r="F1464" s="2130">
        <v>1321265.3</v>
      </c>
      <c r="G1464" s="2130">
        <v>1221228.7</v>
      </c>
      <c r="H1464" s="2130">
        <v>1183394.7</v>
      </c>
      <c r="I1464" s="2130">
        <v>1229105.6000000001</v>
      </c>
      <c r="J1464" s="2130">
        <v>1241586</v>
      </c>
      <c r="K1464" s="914" t="s">
        <v>2098</v>
      </c>
      <c r="L1464" s="1002" t="s">
        <v>1337</v>
      </c>
      <c r="M1464" s="1002" t="s">
        <v>2099</v>
      </c>
      <c r="N1464" s="1002" t="s">
        <v>2100</v>
      </c>
      <c r="O1464" s="1002" t="s">
        <v>2101</v>
      </c>
      <c r="P1464" s="1002" t="s">
        <v>2101</v>
      </c>
      <c r="Q1464" s="1002" t="s">
        <v>2101</v>
      </c>
    </row>
    <row r="1465" spans="1:17" x14ac:dyDescent="0.25">
      <c r="A1465" s="1819"/>
      <c r="B1465" s="1813"/>
      <c r="C1465" s="2016"/>
      <c r="D1465" s="2127"/>
      <c r="E1465" s="1969"/>
      <c r="F1465" s="2150"/>
      <c r="G1465" s="2150"/>
      <c r="H1465" s="2150"/>
      <c r="I1465" s="2150"/>
      <c r="J1465" s="2150"/>
      <c r="K1465" s="914" t="s">
        <v>2102</v>
      </c>
      <c r="L1465" s="1002" t="s">
        <v>1337</v>
      </c>
      <c r="M1465" s="1002" t="s">
        <v>2103</v>
      </c>
      <c r="N1465" s="1002" t="s">
        <v>2104</v>
      </c>
      <c r="O1465" s="1002" t="s">
        <v>2105</v>
      </c>
      <c r="P1465" s="1002" t="s">
        <v>2105</v>
      </c>
      <c r="Q1465" s="1002" t="s">
        <v>2105</v>
      </c>
    </row>
    <row r="1466" spans="1:17" x14ac:dyDescent="0.25">
      <c r="A1466" s="1819"/>
      <c r="B1466" s="1814"/>
      <c r="C1466" s="2016"/>
      <c r="D1466" s="2127"/>
      <c r="E1466" s="1969"/>
      <c r="F1466" s="2131"/>
      <c r="G1466" s="2131"/>
      <c r="H1466" s="2131"/>
      <c r="I1466" s="2131"/>
      <c r="J1466" s="2131"/>
      <c r="K1466" s="1165" t="s">
        <v>2106</v>
      </c>
      <c r="L1466" s="897" t="s">
        <v>2107</v>
      </c>
      <c r="M1466" s="897" t="s">
        <v>2108</v>
      </c>
      <c r="N1466" s="897" t="s">
        <v>2109</v>
      </c>
      <c r="O1466" s="897" t="s">
        <v>2110</v>
      </c>
      <c r="P1466" s="897" t="s">
        <v>2111</v>
      </c>
      <c r="Q1466" s="897" t="s">
        <v>2112</v>
      </c>
    </row>
    <row r="1467" spans="1:17" x14ac:dyDescent="0.25">
      <c r="A1467" s="1890"/>
      <c r="B1467" s="1891"/>
      <c r="C1467" s="1884" t="s">
        <v>8</v>
      </c>
      <c r="D1467" s="2032"/>
      <c r="E1467" s="2128" t="s">
        <v>2113</v>
      </c>
      <c r="F1467" s="2130"/>
      <c r="G1467" s="2130"/>
      <c r="H1467" s="2130">
        <v>30000</v>
      </c>
      <c r="I1467" s="2130"/>
      <c r="J1467" s="2130"/>
      <c r="K1467" s="72" t="s">
        <v>2114</v>
      </c>
      <c r="L1467" s="1002" t="s">
        <v>2115</v>
      </c>
      <c r="M1467" s="1002" t="s">
        <v>2116</v>
      </c>
      <c r="N1467" s="1002" t="s">
        <v>2117</v>
      </c>
      <c r="O1467" s="1002" t="s">
        <v>2118</v>
      </c>
      <c r="P1467" s="1002" t="s">
        <v>2118</v>
      </c>
      <c r="Q1467" s="1002" t="s">
        <v>2118</v>
      </c>
    </row>
    <row r="1468" spans="1:17" x14ac:dyDescent="0.25">
      <c r="A1468" s="1890"/>
      <c r="B1468" s="1817"/>
      <c r="C1468" s="2016"/>
      <c r="D1468" s="2127"/>
      <c r="E1468" s="2129"/>
      <c r="F1468" s="2131"/>
      <c r="G1468" s="2131"/>
      <c r="H1468" s="2131"/>
      <c r="I1468" s="2131"/>
      <c r="J1468" s="2131"/>
      <c r="K1468" s="914" t="s">
        <v>2119</v>
      </c>
      <c r="L1468" s="1002" t="s">
        <v>465</v>
      </c>
      <c r="M1468" s="1002">
        <v>132</v>
      </c>
      <c r="N1468" s="1002">
        <v>131</v>
      </c>
      <c r="O1468" s="1002">
        <v>132</v>
      </c>
      <c r="P1468" s="1002">
        <v>132</v>
      </c>
      <c r="Q1468" s="1002">
        <v>132</v>
      </c>
    </row>
    <row r="1469" spans="1:17" x14ac:dyDescent="0.25">
      <c r="A1469" s="1882"/>
      <c r="B1469" s="1891"/>
      <c r="C1469" s="1884" t="s">
        <v>10</v>
      </c>
      <c r="D1469" s="2032"/>
      <c r="E1469" s="1874" t="s">
        <v>2120</v>
      </c>
      <c r="F1469" s="2132">
        <v>5000</v>
      </c>
      <c r="G1469" s="2132">
        <v>5000</v>
      </c>
      <c r="H1469" s="1868">
        <v>5000</v>
      </c>
      <c r="I1469" s="2132">
        <v>5000</v>
      </c>
      <c r="J1469" s="2132">
        <v>5000</v>
      </c>
      <c r="K1469" s="914" t="s">
        <v>2121</v>
      </c>
      <c r="L1469" s="640" t="s">
        <v>182</v>
      </c>
      <c r="M1469" s="640">
        <v>70</v>
      </c>
      <c r="N1469" s="640">
        <v>70</v>
      </c>
      <c r="O1469" s="640">
        <v>70</v>
      </c>
      <c r="P1469" s="640">
        <v>70</v>
      </c>
      <c r="Q1469" s="640">
        <v>70</v>
      </c>
    </row>
    <row r="1470" spans="1:17" x14ac:dyDescent="0.25">
      <c r="A1470" s="2015"/>
      <c r="B1470" s="1817"/>
      <c r="C1470" s="2016"/>
      <c r="D1470" s="2127"/>
      <c r="E1470" s="1875"/>
      <c r="F1470" s="2132"/>
      <c r="G1470" s="2132"/>
      <c r="H1470" s="1869"/>
      <c r="I1470" s="2132"/>
      <c r="J1470" s="2132"/>
      <c r="K1470" s="914" t="s">
        <v>2122</v>
      </c>
      <c r="L1470" s="640" t="s">
        <v>182</v>
      </c>
      <c r="M1470" s="640">
        <v>25.2</v>
      </c>
      <c r="N1470" s="640">
        <v>25</v>
      </c>
      <c r="O1470" s="640">
        <v>25</v>
      </c>
      <c r="P1470" s="640">
        <v>24</v>
      </c>
      <c r="Q1470" s="640">
        <v>24</v>
      </c>
    </row>
    <row r="1471" spans="1:17" ht="30" x14ac:dyDescent="0.25">
      <c r="A1471" s="805">
        <v>55</v>
      </c>
      <c r="B1471" s="816">
        <v>10</v>
      </c>
      <c r="C1471" s="896"/>
      <c r="D1471" s="1"/>
      <c r="E1471" s="1051" t="s">
        <v>2123</v>
      </c>
      <c r="F1471" s="794">
        <f>F1472</f>
        <v>9458.1</v>
      </c>
      <c r="G1471" s="794">
        <f t="shared" ref="G1471:J1471" si="1">G1472</f>
        <v>9458.1</v>
      </c>
      <c r="H1471" s="794">
        <f t="shared" si="1"/>
        <v>13938.1</v>
      </c>
      <c r="I1471" s="794">
        <f t="shared" si="1"/>
        <v>13938.1</v>
      </c>
      <c r="J1471" s="794">
        <f t="shared" si="1"/>
        <v>13938.1</v>
      </c>
      <c r="K1471" s="901" t="s">
        <v>2124</v>
      </c>
      <c r="L1471" s="897" t="s">
        <v>2125</v>
      </c>
      <c r="M1471" s="454">
        <v>180</v>
      </c>
      <c r="N1471" s="454">
        <v>180</v>
      </c>
      <c r="O1471" s="454">
        <v>180</v>
      </c>
      <c r="P1471" s="454">
        <v>180</v>
      </c>
      <c r="Q1471" s="454">
        <v>180</v>
      </c>
    </row>
    <row r="1472" spans="1:17" ht="60" x14ac:dyDescent="0.25">
      <c r="A1472" s="960"/>
      <c r="B1472" s="1138"/>
      <c r="C1472" s="904" t="s">
        <v>6</v>
      </c>
      <c r="D1472" s="994"/>
      <c r="E1472" s="1377" t="s">
        <v>2126</v>
      </c>
      <c r="F1472" s="1017">
        <v>9458.1</v>
      </c>
      <c r="G1472" s="1017">
        <v>9458.1</v>
      </c>
      <c r="H1472" s="1017">
        <v>13938.1</v>
      </c>
      <c r="I1472" s="1017">
        <v>13938.1</v>
      </c>
      <c r="J1472" s="1017">
        <v>13938.1</v>
      </c>
      <c r="K1472" s="914" t="s">
        <v>2127</v>
      </c>
      <c r="L1472" s="1002" t="s">
        <v>2128</v>
      </c>
      <c r="M1472" s="640">
        <v>40</v>
      </c>
      <c r="N1472" s="640">
        <v>40</v>
      </c>
      <c r="O1472" s="640">
        <v>40</v>
      </c>
      <c r="P1472" s="640">
        <v>40</v>
      </c>
      <c r="Q1472" s="640">
        <v>40</v>
      </c>
    </row>
    <row r="1473" spans="1:17" ht="58.5" x14ac:dyDescent="0.25">
      <c r="A1473" s="971">
        <v>55</v>
      </c>
      <c r="B1473" s="990">
        <v>11</v>
      </c>
      <c r="C1473" s="973"/>
      <c r="D1473" s="1378"/>
      <c r="E1473" s="1019" t="s">
        <v>2921</v>
      </c>
      <c r="F1473" s="1379">
        <v>13867.1</v>
      </c>
      <c r="G1473" s="1379">
        <v>14173.6</v>
      </c>
      <c r="H1473" s="1379">
        <f>H1474</f>
        <v>13491.6</v>
      </c>
      <c r="I1473" s="1379">
        <v>14315.3</v>
      </c>
      <c r="J1473" s="1379">
        <v>14458.5</v>
      </c>
      <c r="K1473" s="898" t="s">
        <v>2129</v>
      </c>
      <c r="L1473" s="454" t="s">
        <v>465</v>
      </c>
      <c r="M1473" s="454">
        <v>100</v>
      </c>
      <c r="N1473" s="216">
        <v>150</v>
      </c>
      <c r="O1473" s="216">
        <v>100</v>
      </c>
      <c r="P1473" s="216">
        <v>100</v>
      </c>
      <c r="Q1473" s="216">
        <v>100</v>
      </c>
    </row>
    <row r="1474" spans="1:17" ht="30" x14ac:dyDescent="0.25">
      <c r="A1474" s="906"/>
      <c r="B1474" s="1047"/>
      <c r="C1474" s="912" t="s">
        <v>6</v>
      </c>
      <c r="D1474" s="711"/>
      <c r="E1474" s="914" t="s">
        <v>2130</v>
      </c>
      <c r="F1474" s="1017">
        <v>13867.1</v>
      </c>
      <c r="G1474" s="1017">
        <v>14173.6</v>
      </c>
      <c r="H1474" s="1017">
        <v>13491.6</v>
      </c>
      <c r="I1474" s="1017">
        <v>14315.3</v>
      </c>
      <c r="J1474" s="1017">
        <v>14458.5</v>
      </c>
      <c r="K1474" s="914" t="s">
        <v>2131</v>
      </c>
      <c r="L1474" s="640" t="s">
        <v>2132</v>
      </c>
      <c r="M1474" s="1380">
        <v>40000</v>
      </c>
      <c r="N1474" s="1380">
        <v>40000</v>
      </c>
      <c r="O1474" s="1381">
        <v>45000</v>
      </c>
      <c r="P1474" s="1381">
        <v>45000</v>
      </c>
      <c r="Q1474" s="1381">
        <v>45000</v>
      </c>
    </row>
    <row r="1475" spans="1:17" ht="33.75" customHeight="1" x14ac:dyDescent="0.25">
      <c r="A1475" s="1823" t="s">
        <v>2133</v>
      </c>
      <c r="B1475" s="1823"/>
      <c r="C1475" s="1915"/>
      <c r="D1475" s="1915"/>
      <c r="E1475" s="1997"/>
      <c r="F1475" s="46">
        <v>1349590.5000000002</v>
      </c>
      <c r="G1475" s="46">
        <v>1249860.4000000001</v>
      </c>
      <c r="H1475" s="46">
        <f>H1463+H1471+H1473</f>
        <v>1245824.4000000001</v>
      </c>
      <c r="I1475" s="46">
        <v>1262359.0000000002</v>
      </c>
      <c r="J1475" s="46">
        <v>1274982.6000000001</v>
      </c>
      <c r="K1475" s="16"/>
      <c r="L1475" s="995"/>
      <c r="M1475" s="996"/>
      <c r="N1475" s="996"/>
      <c r="O1475" s="996"/>
      <c r="P1475" s="996"/>
      <c r="Q1475" s="997"/>
    </row>
    <row r="1476" spans="1:17" ht="15.75" thickBot="1" x14ac:dyDescent="0.3">
      <c r="A1476" s="1826" t="s">
        <v>2134</v>
      </c>
      <c r="B1476" s="1827"/>
      <c r="C1476" s="1827"/>
      <c r="D1476" s="1827"/>
      <c r="E1476" s="1827"/>
      <c r="F1476" s="1827"/>
      <c r="G1476" s="1827"/>
      <c r="H1476" s="1827"/>
      <c r="I1476" s="1827"/>
      <c r="J1476" s="1827"/>
      <c r="K1476" s="1827"/>
      <c r="L1476" s="1827"/>
      <c r="M1476" s="1827"/>
      <c r="N1476" s="1827"/>
      <c r="O1476" s="1827"/>
      <c r="P1476" s="1827"/>
      <c r="Q1476" s="1828"/>
    </row>
    <row r="1477" spans="1:17" ht="73.5" x14ac:dyDescent="0.25">
      <c r="A1477" s="1382">
        <v>56</v>
      </c>
      <c r="B1477" s="1383">
        <v>1</v>
      </c>
      <c r="C1477" s="1384"/>
      <c r="D1477" s="1385"/>
      <c r="E1477" s="1174" t="s">
        <v>2888</v>
      </c>
      <c r="F1477" s="1386">
        <v>14683.5</v>
      </c>
      <c r="G1477" s="1175">
        <v>16975.3</v>
      </c>
      <c r="H1477" s="1175">
        <f>SUM(H1478:H1489)</f>
        <v>21260.6</v>
      </c>
      <c r="I1477" s="1175">
        <v>18466.600570800001</v>
      </c>
      <c r="J1477" s="1175">
        <v>18577.400174224804</v>
      </c>
      <c r="K1477" s="1174" t="s">
        <v>181</v>
      </c>
      <c r="L1477" s="1174" t="s">
        <v>182</v>
      </c>
      <c r="M1477" s="1174">
        <v>5.9</v>
      </c>
      <c r="N1477" s="1387">
        <v>5.4</v>
      </c>
      <c r="O1477" s="1387">
        <v>5.4</v>
      </c>
      <c r="P1477" s="1387">
        <v>5.4</v>
      </c>
      <c r="Q1477" s="1387">
        <v>5.4</v>
      </c>
    </row>
    <row r="1478" spans="1:17" x14ac:dyDescent="0.25">
      <c r="A1478" s="1388"/>
      <c r="B1478" s="1389"/>
      <c r="C1478" s="1388">
        <v>1</v>
      </c>
      <c r="D1478" s="1390"/>
      <c r="E1478" s="1183" t="s">
        <v>7</v>
      </c>
      <c r="F1478" s="1391">
        <v>3923.7999999999997</v>
      </c>
      <c r="G1478" s="1391">
        <v>2196.5</v>
      </c>
      <c r="H1478" s="956">
        <v>3033.2</v>
      </c>
      <c r="I1478" s="956">
        <v>2351.644714</v>
      </c>
      <c r="J1478" s="956">
        <v>2365.7545822840002</v>
      </c>
      <c r="K1478" s="1392" t="s">
        <v>2135</v>
      </c>
      <c r="L1478" s="211" t="s">
        <v>182</v>
      </c>
      <c r="M1478" s="1393">
        <v>0.96</v>
      </c>
      <c r="N1478" s="1393">
        <v>1</v>
      </c>
      <c r="O1478" s="1393">
        <v>1</v>
      </c>
      <c r="P1478" s="1393">
        <v>1</v>
      </c>
      <c r="Q1478" s="1393">
        <v>1</v>
      </c>
    </row>
    <row r="1479" spans="1:17" ht="30" x14ac:dyDescent="0.25">
      <c r="A1479" s="1388"/>
      <c r="B1479" s="1394"/>
      <c r="C1479" s="1395">
        <v>2</v>
      </c>
      <c r="D1479" s="1390"/>
      <c r="E1479" s="1396" t="s">
        <v>2136</v>
      </c>
      <c r="F1479" s="1391">
        <v>2114.1999999999998</v>
      </c>
      <c r="G1479" s="1391">
        <v>1199.7</v>
      </c>
      <c r="H1479" s="956">
        <v>1524.9</v>
      </c>
      <c r="I1479" s="956">
        <v>1342.8371692000001</v>
      </c>
      <c r="J1479" s="956">
        <v>1350.8941922152001</v>
      </c>
      <c r="K1479" s="211" t="s">
        <v>2137</v>
      </c>
      <c r="L1479" s="211" t="s">
        <v>182</v>
      </c>
      <c r="M1479" s="1393">
        <v>1</v>
      </c>
      <c r="N1479" s="1393">
        <v>1</v>
      </c>
      <c r="O1479" s="1393">
        <v>1</v>
      </c>
      <c r="P1479" s="1393">
        <v>1</v>
      </c>
      <c r="Q1479" s="1393">
        <v>1</v>
      </c>
    </row>
    <row r="1480" spans="1:17" ht="30" x14ac:dyDescent="0.25">
      <c r="A1480" s="1388"/>
      <c r="B1480" s="1389"/>
      <c r="C1480" s="1388">
        <v>3</v>
      </c>
      <c r="D1480" s="1390"/>
      <c r="E1480" s="1396" t="s">
        <v>2138</v>
      </c>
      <c r="F1480" s="1391">
        <v>2277</v>
      </c>
      <c r="G1480" s="1391">
        <v>1785.5</v>
      </c>
      <c r="H1480" s="956">
        <v>2214.1</v>
      </c>
      <c r="I1480" s="956">
        <v>1935.687858</v>
      </c>
      <c r="J1480" s="956">
        <v>1947.3019851480001</v>
      </c>
      <c r="K1480" s="211" t="s">
        <v>2139</v>
      </c>
      <c r="L1480" s="211" t="s">
        <v>182</v>
      </c>
      <c r="M1480" s="1397">
        <v>0.69499999999999995</v>
      </c>
      <c r="N1480" s="1393">
        <v>0.7</v>
      </c>
      <c r="O1480" s="1393">
        <v>0.8</v>
      </c>
      <c r="P1480" s="1393">
        <v>0.8</v>
      </c>
      <c r="Q1480" s="1393">
        <v>0.8</v>
      </c>
    </row>
    <row r="1481" spans="1:17" ht="30" x14ac:dyDescent="0.25">
      <c r="A1481" s="1388"/>
      <c r="B1481" s="1389"/>
      <c r="C1481" s="1388">
        <v>5</v>
      </c>
      <c r="D1481" s="1390"/>
      <c r="E1481" s="1396" t="s">
        <v>2140</v>
      </c>
      <c r="F1481" s="1391">
        <v>394.1</v>
      </c>
      <c r="G1481" s="1391">
        <v>922.4</v>
      </c>
      <c r="H1481" s="956">
        <v>1230.9000000000001</v>
      </c>
      <c r="I1481" s="956">
        <v>1062.1995864</v>
      </c>
      <c r="J1481" s="956">
        <v>1068.5727839184001</v>
      </c>
      <c r="K1481" s="211" t="s">
        <v>2141</v>
      </c>
      <c r="L1481" s="211" t="s">
        <v>222</v>
      </c>
      <c r="M1481" s="211">
        <v>70</v>
      </c>
      <c r="N1481" s="211">
        <v>75</v>
      </c>
      <c r="O1481" s="211">
        <v>80</v>
      </c>
      <c r="P1481" s="211">
        <v>80</v>
      </c>
      <c r="Q1481" s="211">
        <v>80</v>
      </c>
    </row>
    <row r="1482" spans="1:17" x14ac:dyDescent="0.25">
      <c r="A1482" s="1388"/>
      <c r="B1482" s="1394"/>
      <c r="C1482" s="1395">
        <v>6</v>
      </c>
      <c r="D1482" s="1390"/>
      <c r="E1482" s="211" t="s">
        <v>17</v>
      </c>
      <c r="F1482" s="1391">
        <v>2416.5</v>
      </c>
      <c r="G1482" s="1391">
        <v>6531.1</v>
      </c>
      <c r="H1482" s="956">
        <v>7466.7</v>
      </c>
      <c r="I1482" s="956">
        <v>6738.4058996000003</v>
      </c>
      <c r="J1482" s="956">
        <v>6778.8363349976007</v>
      </c>
      <c r="K1482" s="211"/>
      <c r="L1482" s="211"/>
      <c r="M1482" s="211"/>
      <c r="N1482" s="211"/>
      <c r="O1482" s="211"/>
      <c r="P1482" s="211"/>
      <c r="Q1482" s="211"/>
    </row>
    <row r="1483" spans="1:17" ht="30" x14ac:dyDescent="0.25">
      <c r="A1483" s="1388"/>
      <c r="B1483" s="1394"/>
      <c r="C1483" s="1395">
        <v>26</v>
      </c>
      <c r="D1483" s="1390"/>
      <c r="E1483" s="1398" t="s">
        <v>2142</v>
      </c>
      <c r="F1483" s="1391">
        <v>1365.1</v>
      </c>
      <c r="G1483" s="1391">
        <v>1563.6</v>
      </c>
      <c r="H1483" s="956">
        <v>2000.9</v>
      </c>
      <c r="I1483" s="956">
        <v>1711.1170695999999</v>
      </c>
      <c r="J1483" s="956">
        <v>1721.3837720176</v>
      </c>
      <c r="K1483" s="211" t="s">
        <v>2143</v>
      </c>
      <c r="L1483" s="211" t="s">
        <v>182</v>
      </c>
      <c r="M1483" s="1393">
        <v>0.97</v>
      </c>
      <c r="N1483" s="1393">
        <v>1</v>
      </c>
      <c r="O1483" s="1393">
        <v>1</v>
      </c>
      <c r="P1483" s="1393">
        <v>1</v>
      </c>
      <c r="Q1483" s="1393">
        <v>1</v>
      </c>
    </row>
    <row r="1484" spans="1:17" ht="30" x14ac:dyDescent="0.25">
      <c r="A1484" s="1388"/>
      <c r="B1484" s="1389"/>
      <c r="C1484" s="1388">
        <v>27</v>
      </c>
      <c r="D1484" s="1390"/>
      <c r="E1484" s="1396" t="s">
        <v>2144</v>
      </c>
      <c r="F1484" s="1391">
        <v>207.5</v>
      </c>
      <c r="G1484" s="1391">
        <v>558.79999999999995</v>
      </c>
      <c r="H1484" s="956"/>
      <c r="I1484" s="956">
        <v>694.22329679999996</v>
      </c>
      <c r="J1484" s="956">
        <v>698.38863658079993</v>
      </c>
      <c r="K1484" s="211" t="s">
        <v>2145</v>
      </c>
      <c r="L1484" s="211" t="s">
        <v>222</v>
      </c>
      <c r="M1484" s="211">
        <v>7</v>
      </c>
      <c r="N1484" s="211">
        <v>10</v>
      </c>
      <c r="O1484" s="211">
        <v>10</v>
      </c>
      <c r="P1484" s="211">
        <v>10</v>
      </c>
      <c r="Q1484" s="211">
        <v>10</v>
      </c>
    </row>
    <row r="1485" spans="1:17" ht="30" x14ac:dyDescent="0.25">
      <c r="A1485" s="1388"/>
      <c r="B1485" s="1394"/>
      <c r="C1485" s="1395">
        <v>41</v>
      </c>
      <c r="D1485" s="1390"/>
      <c r="E1485" s="1396" t="s">
        <v>2146</v>
      </c>
      <c r="F1485" s="1391">
        <v>365.5</v>
      </c>
      <c r="G1485" s="1391">
        <v>297.39999999999998</v>
      </c>
      <c r="H1485" s="956">
        <v>487.1</v>
      </c>
      <c r="I1485" s="956">
        <v>429.67708640000001</v>
      </c>
      <c r="J1485" s="956">
        <v>432.25514891839998</v>
      </c>
      <c r="K1485" s="1392" t="s">
        <v>2147</v>
      </c>
      <c r="L1485" s="211" t="s">
        <v>182</v>
      </c>
      <c r="M1485" s="1393">
        <v>0.8</v>
      </c>
      <c r="N1485" s="1393">
        <v>1</v>
      </c>
      <c r="O1485" s="1393">
        <v>1</v>
      </c>
      <c r="P1485" s="1393">
        <v>1</v>
      </c>
      <c r="Q1485" s="1393">
        <v>1</v>
      </c>
    </row>
    <row r="1486" spans="1:17" ht="30" x14ac:dyDescent="0.25">
      <c r="A1486" s="1388"/>
      <c r="B1486" s="1389"/>
      <c r="C1486" s="1388">
        <v>42</v>
      </c>
      <c r="D1486" s="1390"/>
      <c r="E1486" s="1399" t="s">
        <v>2148</v>
      </c>
      <c r="F1486" s="1391">
        <v>1619.8</v>
      </c>
      <c r="G1486" s="1391">
        <v>1305.4000000000001</v>
      </c>
      <c r="H1486" s="956">
        <v>1641.2</v>
      </c>
      <c r="I1486" s="956">
        <v>1449.8093744000003</v>
      </c>
      <c r="J1486" s="956">
        <v>1458.5082306464003</v>
      </c>
      <c r="K1486" s="211" t="s">
        <v>2149</v>
      </c>
      <c r="L1486" s="211" t="s">
        <v>222</v>
      </c>
      <c r="M1486" s="211">
        <v>20</v>
      </c>
      <c r="N1486" s="211">
        <v>12</v>
      </c>
      <c r="O1486" s="211">
        <v>12</v>
      </c>
      <c r="P1486" s="211">
        <v>12</v>
      </c>
      <c r="Q1486" s="211">
        <v>12</v>
      </c>
    </row>
    <row r="1487" spans="1:17" x14ac:dyDescent="0.25">
      <c r="A1487" s="2117"/>
      <c r="B1487" s="1389"/>
      <c r="C1487" s="2117">
        <v>43</v>
      </c>
      <c r="D1487" s="2119"/>
      <c r="E1487" s="2121" t="s">
        <v>2150</v>
      </c>
      <c r="F1487" s="2123" t="s">
        <v>311</v>
      </c>
      <c r="G1487" s="2123">
        <v>614.9</v>
      </c>
      <c r="H1487" s="1938">
        <v>861.5</v>
      </c>
      <c r="I1487" s="1938">
        <v>750.99851639999986</v>
      </c>
      <c r="J1487" s="1938">
        <v>755.5045074983999</v>
      </c>
      <c r="K1487" s="211" t="s">
        <v>2151</v>
      </c>
      <c r="L1487" s="211" t="s">
        <v>222</v>
      </c>
      <c r="M1487" s="211" t="s">
        <v>311</v>
      </c>
      <c r="N1487" s="211">
        <v>1</v>
      </c>
      <c r="O1487" s="211">
        <v>1</v>
      </c>
      <c r="P1487" s="211">
        <v>1</v>
      </c>
      <c r="Q1487" s="211">
        <v>1</v>
      </c>
    </row>
    <row r="1488" spans="1:17" ht="30" x14ac:dyDescent="0.25">
      <c r="A1488" s="2118"/>
      <c r="B1488" s="1400"/>
      <c r="C1488" s="2118"/>
      <c r="D1488" s="2120"/>
      <c r="E1488" s="2122"/>
      <c r="F1488" s="2124"/>
      <c r="G1488" s="2124"/>
      <c r="H1488" s="1939"/>
      <c r="I1488" s="1939"/>
      <c r="J1488" s="1939"/>
      <c r="K1488" s="211" t="s">
        <v>2152</v>
      </c>
      <c r="L1488" s="211" t="s">
        <v>222</v>
      </c>
      <c r="M1488" s="211" t="s">
        <v>311</v>
      </c>
      <c r="N1488" s="211">
        <v>2</v>
      </c>
      <c r="O1488" s="211">
        <v>1</v>
      </c>
      <c r="P1488" s="211">
        <v>1</v>
      </c>
      <c r="Q1488" s="211">
        <v>1</v>
      </c>
    </row>
    <row r="1489" spans="1:17" ht="30" x14ac:dyDescent="0.25">
      <c r="A1489" s="1401"/>
      <c r="B1489" s="1402"/>
      <c r="C1489" s="1401">
        <v>52</v>
      </c>
      <c r="D1489" s="1390"/>
      <c r="E1489" s="1403" t="s">
        <v>2144</v>
      </c>
      <c r="F1489" s="1404"/>
      <c r="G1489" s="1404"/>
      <c r="H1489" s="956">
        <v>800.1</v>
      </c>
      <c r="I1489" s="956"/>
      <c r="J1489" s="956"/>
      <c r="K1489" s="211"/>
      <c r="L1489" s="211"/>
      <c r="M1489" s="211"/>
      <c r="N1489" s="211"/>
      <c r="O1489" s="211"/>
      <c r="P1489" s="211"/>
      <c r="Q1489" s="211"/>
    </row>
    <row r="1490" spans="1:17" ht="58.5" x14ac:dyDescent="0.25">
      <c r="A1490" s="1211">
        <v>56</v>
      </c>
      <c r="B1490" s="1192">
        <v>2</v>
      </c>
      <c r="C1490" s="1405"/>
      <c r="D1490" s="1385"/>
      <c r="E1490" s="214" t="s">
        <v>2920</v>
      </c>
      <c r="F1490" s="1406">
        <v>144024.29999999999</v>
      </c>
      <c r="G1490" s="1406">
        <v>286493.8</v>
      </c>
      <c r="H1490" s="1212">
        <f>SUM(H1491:H1495)</f>
        <v>211580.5</v>
      </c>
      <c r="I1490" s="1212">
        <v>176078.0362</v>
      </c>
      <c r="J1490" s="1212">
        <v>182707.53381719999</v>
      </c>
      <c r="K1490" s="1163" t="s">
        <v>2153</v>
      </c>
      <c r="L1490" s="1407" t="s">
        <v>182</v>
      </c>
      <c r="M1490" s="1408">
        <v>0.15</v>
      </c>
      <c r="N1490" s="1408">
        <v>0.16</v>
      </c>
      <c r="O1490" s="1408">
        <v>0.2</v>
      </c>
      <c r="P1490" s="1408">
        <v>0.2</v>
      </c>
      <c r="Q1490" s="1408">
        <v>0.2</v>
      </c>
    </row>
    <row r="1491" spans="1:17" ht="30" x14ac:dyDescent="0.25">
      <c r="A1491" s="1388"/>
      <c r="B1491" s="1394"/>
      <c r="C1491" s="1409">
        <v>1</v>
      </c>
      <c r="D1491" s="1390"/>
      <c r="E1491" s="1410" t="s">
        <v>2154</v>
      </c>
      <c r="F1491" s="1411">
        <v>1488.1</v>
      </c>
      <c r="G1491" s="1411">
        <v>1824.1</v>
      </c>
      <c r="H1491" s="700">
        <v>1797</v>
      </c>
      <c r="I1491" s="700">
        <v>1505.982</v>
      </c>
      <c r="J1491" s="700">
        <v>1515.0178920000001</v>
      </c>
      <c r="K1491" s="1412" t="s">
        <v>2155</v>
      </c>
      <c r="L1491" s="1412" t="s">
        <v>182</v>
      </c>
      <c r="M1491" s="1413">
        <v>0.43</v>
      </c>
      <c r="N1491" s="1413">
        <v>0.7</v>
      </c>
      <c r="O1491" s="1413">
        <v>0.8</v>
      </c>
      <c r="P1491" s="1413">
        <v>0.9</v>
      </c>
      <c r="Q1491" s="1413">
        <v>1</v>
      </c>
    </row>
    <row r="1492" spans="1:17" ht="30" x14ac:dyDescent="0.25">
      <c r="A1492" s="1388"/>
      <c r="B1492" s="1394"/>
      <c r="C1492" s="1395">
        <v>2</v>
      </c>
      <c r="D1492" s="1390"/>
      <c r="E1492" s="1412" t="s">
        <v>2156</v>
      </c>
      <c r="F1492" s="1414">
        <v>129024.3</v>
      </c>
      <c r="G1492" s="1414">
        <v>128063.9</v>
      </c>
      <c r="H1492" s="895">
        <f>122297.2+2350.8</f>
        <v>124648</v>
      </c>
      <c r="I1492" s="700">
        <v>109195.1</v>
      </c>
      <c r="J1492" s="700">
        <v>109880.3</v>
      </c>
      <c r="K1492" s="1412" t="s">
        <v>2157</v>
      </c>
      <c r="L1492" s="1407" t="s">
        <v>222</v>
      </c>
      <c r="M1492" s="213">
        <v>1394</v>
      </c>
      <c r="N1492" s="212">
        <v>1400</v>
      </c>
      <c r="O1492" s="212">
        <v>1400</v>
      </c>
      <c r="P1492" s="212">
        <v>1400</v>
      </c>
      <c r="Q1492" s="212">
        <v>1400</v>
      </c>
    </row>
    <row r="1493" spans="1:17" ht="30" x14ac:dyDescent="0.25">
      <c r="A1493" s="1388"/>
      <c r="B1493" s="1394"/>
      <c r="C1493" s="1409">
        <v>3</v>
      </c>
      <c r="D1493" s="1390"/>
      <c r="E1493" s="1412" t="s">
        <v>2158</v>
      </c>
      <c r="F1493" s="1414">
        <v>5000</v>
      </c>
      <c r="G1493" s="1414">
        <v>5000</v>
      </c>
      <c r="H1493" s="895">
        <f>27440+11192.3</f>
        <v>38632.300000000003</v>
      </c>
      <c r="I1493" s="895">
        <v>29299.75</v>
      </c>
      <c r="J1493" s="895">
        <v>29475.548500000001</v>
      </c>
      <c r="K1493" s="1412" t="s">
        <v>2159</v>
      </c>
      <c r="L1493" s="1407" t="s">
        <v>222</v>
      </c>
      <c r="M1493" s="213">
        <v>46</v>
      </c>
      <c r="N1493" s="212">
        <v>20</v>
      </c>
      <c r="O1493" s="212">
        <v>24</v>
      </c>
      <c r="P1493" s="1415">
        <v>25</v>
      </c>
      <c r="Q1493" s="212">
        <v>25</v>
      </c>
    </row>
    <row r="1494" spans="1:17" x14ac:dyDescent="0.25">
      <c r="A1494" s="1388"/>
      <c r="B1494" s="1394"/>
      <c r="C1494" s="1409">
        <v>4</v>
      </c>
      <c r="D1494" s="1390"/>
      <c r="E1494" s="1412" t="s">
        <v>2160</v>
      </c>
      <c r="F1494" s="1414">
        <v>0</v>
      </c>
      <c r="G1494" s="1414">
        <v>132000</v>
      </c>
      <c r="H1494" s="895">
        <v>0</v>
      </c>
      <c r="I1494" s="700">
        <v>0</v>
      </c>
      <c r="J1494" s="700">
        <v>0</v>
      </c>
      <c r="K1494" s="1412"/>
      <c r="L1494" s="1407"/>
      <c r="M1494" s="1416"/>
      <c r="N1494" s="1416"/>
      <c r="O1494" s="1416"/>
      <c r="P1494" s="1417"/>
      <c r="Q1494" s="1418"/>
    </row>
    <row r="1495" spans="1:17" ht="30" x14ac:dyDescent="0.25">
      <c r="A1495" s="1388"/>
      <c r="B1495" s="1389"/>
      <c r="C1495" s="1388">
        <v>5</v>
      </c>
      <c r="D1495" s="1390"/>
      <c r="E1495" s="1412" t="s">
        <v>2161</v>
      </c>
      <c r="F1495" s="1411">
        <v>10000</v>
      </c>
      <c r="G1495" s="1411">
        <v>19605.8</v>
      </c>
      <c r="H1495" s="700">
        <f>46483+20.2</f>
        <v>46503.199999999997</v>
      </c>
      <c r="I1495" s="700">
        <v>36077.2042</v>
      </c>
      <c r="J1495" s="700">
        <v>41836.667425200001</v>
      </c>
      <c r="K1495" s="1412" t="s">
        <v>2162</v>
      </c>
      <c r="L1495" s="1407" t="s">
        <v>222</v>
      </c>
      <c r="M1495" s="1195">
        <v>44000</v>
      </c>
      <c r="N1495" s="1195">
        <v>47000</v>
      </c>
      <c r="O1495" s="1195">
        <v>50000</v>
      </c>
      <c r="P1495" s="1195">
        <v>53000</v>
      </c>
      <c r="Q1495" s="1195">
        <v>56000</v>
      </c>
    </row>
    <row r="1496" spans="1:17" ht="59.25" x14ac:dyDescent="0.25">
      <c r="A1496" s="805">
        <v>56</v>
      </c>
      <c r="B1496" s="990">
        <v>3</v>
      </c>
      <c r="C1496" s="971"/>
      <c r="D1496" s="1419"/>
      <c r="E1496" s="214" t="s">
        <v>2919</v>
      </c>
      <c r="F1496" s="1420">
        <v>549231.9</v>
      </c>
      <c r="G1496" s="1420">
        <v>542081.9</v>
      </c>
      <c r="H1496" s="804">
        <f>SUM(H1497:H1502)</f>
        <v>772264.5</v>
      </c>
      <c r="I1496" s="804">
        <v>723140.55084120017</v>
      </c>
      <c r="J1496" s="804">
        <v>727287.39414624718</v>
      </c>
      <c r="K1496" s="214" t="s">
        <v>2163</v>
      </c>
      <c r="L1496" s="1421" t="s">
        <v>182</v>
      </c>
      <c r="M1496" s="214">
        <v>38.799999999999997</v>
      </c>
      <c r="N1496" s="811">
        <v>30</v>
      </c>
      <c r="O1496" s="811">
        <v>40</v>
      </c>
      <c r="P1496" s="811">
        <v>50</v>
      </c>
      <c r="Q1496" s="811">
        <v>60</v>
      </c>
    </row>
    <row r="1497" spans="1:17" ht="30" x14ac:dyDescent="0.25">
      <c r="A1497" s="1388"/>
      <c r="B1497" s="1394"/>
      <c r="C1497" s="1409">
        <v>1</v>
      </c>
      <c r="D1497" s="1390"/>
      <c r="E1497" s="1412" t="s">
        <v>2164</v>
      </c>
      <c r="F1497" s="1411" t="s">
        <v>311</v>
      </c>
      <c r="G1497" s="1411">
        <v>1053.0999999999999</v>
      </c>
      <c r="H1497" s="700">
        <v>1422.5</v>
      </c>
      <c r="I1497" s="700">
        <v>1118.7726</v>
      </c>
      <c r="J1497" s="700">
        <v>1125.4852356000001</v>
      </c>
      <c r="K1497" s="1412" t="s">
        <v>2165</v>
      </c>
      <c r="L1497" s="1412" t="s">
        <v>222</v>
      </c>
      <c r="M1497" s="1194" t="s">
        <v>311</v>
      </c>
      <c r="N1497" s="1194">
        <v>5</v>
      </c>
      <c r="O1497" s="1194">
        <v>6</v>
      </c>
      <c r="P1497" s="1194">
        <v>7</v>
      </c>
      <c r="Q1497" s="1194">
        <v>8</v>
      </c>
    </row>
    <row r="1498" spans="1:17" ht="30" x14ac:dyDescent="0.25">
      <c r="A1498" s="1422"/>
      <c r="B1498" s="1423"/>
      <c r="C1498" s="1422">
        <v>2</v>
      </c>
      <c r="D1498" s="1418"/>
      <c r="E1498" s="1412" t="s">
        <v>2166</v>
      </c>
      <c r="F1498" s="1411">
        <v>58102.6</v>
      </c>
      <c r="G1498" s="1411">
        <v>66134.899999999994</v>
      </c>
      <c r="H1498" s="700">
        <v>123550.5</v>
      </c>
      <c r="I1498" s="700">
        <v>122433.9222</v>
      </c>
      <c r="J1498" s="700">
        <v>123168.5257332</v>
      </c>
      <c r="K1498" s="1424" t="s">
        <v>2167</v>
      </c>
      <c r="L1498" s="1412" t="s">
        <v>222</v>
      </c>
      <c r="M1498" s="1194" t="s">
        <v>311</v>
      </c>
      <c r="N1498" s="1194">
        <v>395</v>
      </c>
      <c r="O1498" s="1194">
        <v>395</v>
      </c>
      <c r="P1498" s="1194">
        <v>395</v>
      </c>
      <c r="Q1498" s="1194">
        <v>395</v>
      </c>
    </row>
    <row r="1499" spans="1:17" x14ac:dyDescent="0.25">
      <c r="A1499" s="1422"/>
      <c r="B1499" s="1423"/>
      <c r="C1499" s="1422">
        <v>3</v>
      </c>
      <c r="D1499" s="1418"/>
      <c r="E1499" s="1412" t="s">
        <v>2168</v>
      </c>
      <c r="F1499" s="1411">
        <v>348525.60000000003</v>
      </c>
      <c r="G1499" s="1411">
        <v>320688.2</v>
      </c>
      <c r="H1499" s="700">
        <v>409283.2</v>
      </c>
      <c r="I1499" s="700">
        <v>441124.61813720001</v>
      </c>
      <c r="J1499" s="700">
        <v>443771.3658460232</v>
      </c>
      <c r="K1499" s="1424" t="s">
        <v>2169</v>
      </c>
      <c r="L1499" s="1425" t="s">
        <v>222</v>
      </c>
      <c r="M1499" s="1426">
        <v>40904</v>
      </c>
      <c r="N1499" s="1426">
        <v>45000</v>
      </c>
      <c r="O1499" s="1426">
        <v>45500</v>
      </c>
      <c r="P1499" s="1426">
        <v>46000</v>
      </c>
      <c r="Q1499" s="1426">
        <v>46500</v>
      </c>
    </row>
    <row r="1500" spans="1:17" ht="45" x14ac:dyDescent="0.25">
      <c r="A1500" s="1422"/>
      <c r="B1500" s="1423"/>
      <c r="C1500" s="1422">
        <v>4</v>
      </c>
      <c r="D1500" s="1418"/>
      <c r="E1500" s="1412" t="s">
        <v>2170</v>
      </c>
      <c r="F1500" s="1411">
        <v>110603.7</v>
      </c>
      <c r="G1500" s="1411">
        <v>120000</v>
      </c>
      <c r="H1500" s="700">
        <v>202358.3</v>
      </c>
      <c r="I1500" s="700">
        <v>125658.43790399999</v>
      </c>
      <c r="J1500" s="700">
        <v>126412.38853142399</v>
      </c>
      <c r="K1500" s="1412" t="s">
        <v>2171</v>
      </c>
      <c r="L1500" s="1407" t="s">
        <v>222</v>
      </c>
      <c r="M1500" s="211">
        <v>761</v>
      </c>
      <c r="N1500" s="212">
        <v>270</v>
      </c>
      <c r="O1500" s="212">
        <v>290</v>
      </c>
      <c r="P1500" s="212">
        <v>300</v>
      </c>
      <c r="Q1500" s="212">
        <v>300</v>
      </c>
    </row>
    <row r="1501" spans="1:17" ht="30" x14ac:dyDescent="0.25">
      <c r="A1501" s="1422"/>
      <c r="B1501" s="1423"/>
      <c r="C1501" s="1422">
        <v>5</v>
      </c>
      <c r="D1501" s="1418"/>
      <c r="E1501" s="1412" t="s">
        <v>2172</v>
      </c>
      <c r="F1501" s="1411" t="s">
        <v>311</v>
      </c>
      <c r="G1501" s="1427">
        <v>2205.6999999999998</v>
      </c>
      <c r="H1501" s="700">
        <v>650</v>
      </c>
      <c r="I1501" s="700">
        <v>804.8</v>
      </c>
      <c r="J1501" s="700">
        <v>809.62879999999996</v>
      </c>
      <c r="K1501" s="1412" t="s">
        <v>2173</v>
      </c>
      <c r="L1501" s="1407" t="s">
        <v>222</v>
      </c>
      <c r="M1501" s="211">
        <v>0</v>
      </c>
      <c r="N1501" s="212">
        <v>2</v>
      </c>
      <c r="O1501" s="212">
        <v>2</v>
      </c>
      <c r="P1501" s="212">
        <v>2</v>
      </c>
      <c r="Q1501" s="212">
        <v>2</v>
      </c>
    </row>
    <row r="1502" spans="1:17" ht="30" x14ac:dyDescent="0.25">
      <c r="A1502" s="1422"/>
      <c r="B1502" s="1423"/>
      <c r="C1502" s="1422">
        <v>6</v>
      </c>
      <c r="D1502" s="1418"/>
      <c r="E1502" s="1412" t="s">
        <v>2174</v>
      </c>
      <c r="F1502" s="1411">
        <v>32000</v>
      </c>
      <c r="G1502" s="1411">
        <v>32000</v>
      </c>
      <c r="H1502" s="700">
        <v>35000</v>
      </c>
      <c r="I1502" s="700">
        <v>32000</v>
      </c>
      <c r="J1502" s="700">
        <v>32000</v>
      </c>
      <c r="K1502" s="1412" t="s">
        <v>2175</v>
      </c>
      <c r="L1502" s="1407" t="s">
        <v>222</v>
      </c>
      <c r="M1502" s="211">
        <v>270</v>
      </c>
      <c r="N1502" s="212">
        <v>240</v>
      </c>
      <c r="O1502" s="212">
        <v>200</v>
      </c>
      <c r="P1502" s="212">
        <v>200</v>
      </c>
      <c r="Q1502" s="212">
        <v>200</v>
      </c>
    </row>
    <row r="1503" spans="1:17" ht="60" x14ac:dyDescent="0.25">
      <c r="A1503" s="1196">
        <v>56</v>
      </c>
      <c r="B1503" s="1197">
        <v>4</v>
      </c>
      <c r="C1503" s="1196"/>
      <c r="D1503" s="1428"/>
      <c r="E1503" s="1421" t="s">
        <v>2898</v>
      </c>
      <c r="F1503" s="1429">
        <v>670.6</v>
      </c>
      <c r="G1503" s="1212">
        <v>14773.2</v>
      </c>
      <c r="H1503" s="1212">
        <f>SUM(H1504:H1509)</f>
        <v>13876.7</v>
      </c>
      <c r="I1503" s="1212">
        <v>14951.110835199997</v>
      </c>
      <c r="J1503" s="1212">
        <v>15040.8175002112</v>
      </c>
      <c r="K1503" s="1430" t="s">
        <v>2176</v>
      </c>
      <c r="L1503" s="1430" t="s">
        <v>424</v>
      </c>
      <c r="M1503" s="1431">
        <v>7</v>
      </c>
      <c r="N1503" s="1431">
        <v>3</v>
      </c>
      <c r="O1503" s="1431">
        <v>4</v>
      </c>
      <c r="P1503" s="1431">
        <v>5</v>
      </c>
      <c r="Q1503" s="1431">
        <v>6</v>
      </c>
    </row>
    <row r="1504" spans="1:17" ht="45" x14ac:dyDescent="0.25">
      <c r="A1504" s="1422"/>
      <c r="B1504" s="1423"/>
      <c r="C1504" s="1422">
        <v>1</v>
      </c>
      <c r="D1504" s="1418"/>
      <c r="E1504" s="211" t="s">
        <v>2177</v>
      </c>
      <c r="F1504" s="1411">
        <v>0</v>
      </c>
      <c r="G1504" s="1411">
        <v>4538.8999999999996</v>
      </c>
      <c r="H1504" s="700">
        <v>1000</v>
      </c>
      <c r="I1504" s="700">
        <v>4593.5302003999996</v>
      </c>
      <c r="J1504" s="700">
        <v>4621.0913816023995</v>
      </c>
      <c r="K1504" s="1432" t="s">
        <v>2178</v>
      </c>
      <c r="L1504" s="1407" t="s">
        <v>222</v>
      </c>
      <c r="M1504" s="1433" t="s">
        <v>311</v>
      </c>
      <c r="N1504" s="1433">
        <v>10</v>
      </c>
      <c r="O1504" s="1433">
        <v>13</v>
      </c>
      <c r="P1504" s="1433">
        <v>16</v>
      </c>
      <c r="Q1504" s="1433">
        <v>16</v>
      </c>
    </row>
    <row r="1505" spans="1:17" ht="75" x14ac:dyDescent="0.25">
      <c r="A1505" s="1422"/>
      <c r="B1505" s="1423"/>
      <c r="C1505" s="1422">
        <v>2</v>
      </c>
      <c r="D1505" s="1418"/>
      <c r="E1505" s="211" t="s">
        <v>2179</v>
      </c>
      <c r="F1505" s="1411">
        <v>0</v>
      </c>
      <c r="G1505" s="1411">
        <v>6372.3000000000011</v>
      </c>
      <c r="H1505" s="700">
        <v>7000</v>
      </c>
      <c r="I1505" s="700">
        <v>6448.9970028000007</v>
      </c>
      <c r="J1505" s="700">
        <v>6487.6909848168007</v>
      </c>
      <c r="K1505" s="1434" t="s">
        <v>2180</v>
      </c>
      <c r="L1505" s="1407" t="s">
        <v>222</v>
      </c>
      <c r="M1505" s="1433" t="s">
        <v>311</v>
      </c>
      <c r="N1505" s="1433">
        <v>10</v>
      </c>
      <c r="O1505" s="1433">
        <v>10</v>
      </c>
      <c r="P1505" s="1433">
        <v>10</v>
      </c>
      <c r="Q1505" s="1433">
        <v>10</v>
      </c>
    </row>
    <row r="1506" spans="1:17" ht="30.75" thickBot="1" x14ac:dyDescent="0.3">
      <c r="A1506" s="1422"/>
      <c r="B1506" s="1423"/>
      <c r="C1506" s="1422">
        <v>3</v>
      </c>
      <c r="D1506" s="1418"/>
      <c r="E1506" s="1412" t="s">
        <v>2181</v>
      </c>
      <c r="F1506" s="1411">
        <v>0</v>
      </c>
      <c r="G1506" s="1411">
        <v>1400</v>
      </c>
      <c r="H1506" s="700">
        <v>3000</v>
      </c>
      <c r="I1506" s="700">
        <v>1416.8504</v>
      </c>
      <c r="J1506" s="700">
        <v>1425.3515024000001</v>
      </c>
      <c r="K1506" s="1435" t="s">
        <v>2182</v>
      </c>
      <c r="L1506" s="1436" t="s">
        <v>222</v>
      </c>
      <c r="M1506" s="1433" t="s">
        <v>311</v>
      </c>
      <c r="N1506" s="1433">
        <v>14</v>
      </c>
      <c r="O1506" s="1433">
        <v>14</v>
      </c>
      <c r="P1506" s="1433">
        <v>14</v>
      </c>
      <c r="Q1506" s="1433">
        <v>14</v>
      </c>
    </row>
    <row r="1507" spans="1:17" x14ac:dyDescent="0.25">
      <c r="A1507" s="2117"/>
      <c r="B1507" s="1389"/>
      <c r="C1507" s="2117">
        <v>4</v>
      </c>
      <c r="D1507" s="2119"/>
      <c r="E1507" s="2125" t="s">
        <v>2183</v>
      </c>
      <c r="F1507" s="2123">
        <v>0</v>
      </c>
      <c r="G1507" s="2123">
        <v>1239.8</v>
      </c>
      <c r="H1507" s="1938">
        <v>1447.2</v>
      </c>
      <c r="I1507" s="1938">
        <v>1254.7222327999998</v>
      </c>
      <c r="J1507" s="1938">
        <v>1262.2505661967998</v>
      </c>
      <c r="K1507" s="1407" t="s">
        <v>2184</v>
      </c>
      <c r="L1507" s="1407" t="s">
        <v>424</v>
      </c>
      <c r="M1507" s="1433" t="s">
        <v>311</v>
      </c>
      <c r="N1507" s="1433">
        <v>12</v>
      </c>
      <c r="O1507" s="1433">
        <v>18</v>
      </c>
      <c r="P1507" s="1433">
        <v>20</v>
      </c>
      <c r="Q1507" s="1433">
        <v>22</v>
      </c>
    </row>
    <row r="1508" spans="1:17" ht="30" x14ac:dyDescent="0.25">
      <c r="A1508" s="2118"/>
      <c r="B1508" s="1400"/>
      <c r="C1508" s="2118"/>
      <c r="D1508" s="2120"/>
      <c r="E1508" s="2126"/>
      <c r="F1508" s="2124"/>
      <c r="G1508" s="2124"/>
      <c r="H1508" s="1939"/>
      <c r="I1508" s="1939"/>
      <c r="J1508" s="1939"/>
      <c r="K1508" s="1407" t="s">
        <v>2185</v>
      </c>
      <c r="L1508" s="1407" t="s">
        <v>225</v>
      </c>
      <c r="M1508" s="1433" t="s">
        <v>311</v>
      </c>
      <c r="N1508" s="1433">
        <v>1000</v>
      </c>
      <c r="O1508" s="1433">
        <v>1000</v>
      </c>
      <c r="P1508" s="1433">
        <v>1000</v>
      </c>
      <c r="Q1508" s="1433">
        <v>1000</v>
      </c>
    </row>
    <row r="1509" spans="1:17" ht="30" x14ac:dyDescent="0.25">
      <c r="A1509" s="1388"/>
      <c r="B1509" s="1394"/>
      <c r="C1509" s="1409">
        <v>5</v>
      </c>
      <c r="D1509" s="1390"/>
      <c r="E1509" s="1424" t="s">
        <v>2186</v>
      </c>
      <c r="F1509" s="1411">
        <v>670.6</v>
      </c>
      <c r="G1509" s="1411">
        <v>1222.2</v>
      </c>
      <c r="H1509" s="700">
        <v>1429.5</v>
      </c>
      <c r="I1509" s="700">
        <v>1237.0109992</v>
      </c>
      <c r="J1509" s="700">
        <v>1244.4330651952</v>
      </c>
      <c r="K1509" s="1437" t="s">
        <v>2187</v>
      </c>
      <c r="L1509" s="1437" t="s">
        <v>222</v>
      </c>
      <c r="M1509" s="1438">
        <v>0</v>
      </c>
      <c r="N1509" s="1438">
        <v>4</v>
      </c>
      <c r="O1509" s="1438">
        <v>5</v>
      </c>
      <c r="P1509" s="1438">
        <v>6</v>
      </c>
      <c r="Q1509" s="1438">
        <v>6</v>
      </c>
    </row>
    <row r="1510" spans="1:17" ht="32.25" customHeight="1" x14ac:dyDescent="0.25">
      <c r="A1510" s="1823" t="s">
        <v>2188</v>
      </c>
      <c r="B1510" s="1823"/>
      <c r="C1510" s="2114"/>
      <c r="D1510" s="2114"/>
      <c r="E1510" s="2115"/>
      <c r="F1510" s="80">
        <v>708610.3</v>
      </c>
      <c r="G1510" s="80">
        <v>860324.2</v>
      </c>
      <c r="H1510" s="80">
        <f>H1477+H1490+H1496+H1503</f>
        <v>1018982.2999999999</v>
      </c>
      <c r="I1510" s="80">
        <v>932636.2984472001</v>
      </c>
      <c r="J1510" s="80">
        <v>943613.14563788311</v>
      </c>
      <c r="K1510" s="947"/>
      <c r="L1510" s="1439">
        <v>861744.1</v>
      </c>
      <c r="M1510" s="1439"/>
      <c r="N1510" s="812"/>
      <c r="O1510" s="812"/>
      <c r="P1510" s="812"/>
      <c r="Q1510" s="1440"/>
    </row>
    <row r="1511" spans="1:17" x14ac:dyDescent="0.25">
      <c r="A1511" s="1826" t="s">
        <v>2189</v>
      </c>
      <c r="B1511" s="1827"/>
      <c r="C1511" s="1827"/>
      <c r="D1511" s="1827"/>
      <c r="E1511" s="1879"/>
      <c r="F1511" s="1827"/>
      <c r="G1511" s="1827"/>
      <c r="H1511" s="1827"/>
      <c r="I1511" s="1827"/>
      <c r="J1511" s="1827"/>
      <c r="K1511" s="1827"/>
      <c r="L1511" s="1827"/>
      <c r="M1511" s="1827"/>
      <c r="N1511" s="1827"/>
      <c r="O1511" s="1827"/>
      <c r="P1511" s="1827"/>
      <c r="Q1511" s="1827"/>
    </row>
    <row r="1512" spans="1:17" ht="29.25" x14ac:dyDescent="0.25">
      <c r="A1512" s="1882">
        <v>57</v>
      </c>
      <c r="B1512" s="1891">
        <v>1</v>
      </c>
      <c r="C1512" s="1892"/>
      <c r="D1512" s="2116"/>
      <c r="E1512" s="1441" t="s">
        <v>654</v>
      </c>
      <c r="F1512" s="2112"/>
      <c r="G1512" s="2113">
        <v>7065.7</v>
      </c>
      <c r="H1512" s="2113">
        <f>SUM(H1514:H1517)</f>
        <v>6811.7000000000007</v>
      </c>
      <c r="I1512" s="2113">
        <v>7014.2</v>
      </c>
      <c r="J1512" s="2113">
        <v>7074.2</v>
      </c>
      <c r="K1512" s="2085"/>
      <c r="L1512" s="2058"/>
      <c r="M1512" s="2058"/>
      <c r="N1512" s="2058"/>
      <c r="O1512" s="2058"/>
      <c r="P1512" s="2058"/>
      <c r="Q1512" s="1888"/>
    </row>
    <row r="1513" spans="1:17" ht="45" x14ac:dyDescent="0.25">
      <c r="A1513" s="1883"/>
      <c r="B1513" s="1817"/>
      <c r="C1513" s="1892"/>
      <c r="D1513" s="2116"/>
      <c r="E1513" s="655" t="s">
        <v>2918</v>
      </c>
      <c r="F1513" s="2112"/>
      <c r="G1513" s="2113"/>
      <c r="H1513" s="2113"/>
      <c r="I1513" s="2113"/>
      <c r="J1513" s="2113"/>
      <c r="K1513" s="2086"/>
      <c r="L1513" s="1832"/>
      <c r="M1513" s="1832"/>
      <c r="N1513" s="1832"/>
      <c r="O1513" s="1832"/>
      <c r="P1513" s="1832"/>
      <c r="Q1513" s="1889"/>
    </row>
    <row r="1514" spans="1:17" ht="60" x14ac:dyDescent="0.25">
      <c r="A1514" s="920"/>
      <c r="B1514" s="937"/>
      <c r="C1514" s="912" t="s">
        <v>6</v>
      </c>
      <c r="D1514" s="653"/>
      <c r="E1514" s="917" t="s">
        <v>1627</v>
      </c>
      <c r="F1514" s="1442"/>
      <c r="G1514" s="1442">
        <v>1414.8</v>
      </c>
      <c r="H1514" s="1442">
        <v>1414.8</v>
      </c>
      <c r="I1514" s="1442">
        <v>1414.8</v>
      </c>
      <c r="J1514" s="1442">
        <v>1474.8</v>
      </c>
      <c r="K1514" s="279" t="s">
        <v>2190</v>
      </c>
      <c r="L1514" s="1002" t="s">
        <v>262</v>
      </c>
      <c r="M1514" s="1002">
        <v>4</v>
      </c>
      <c r="N1514" s="1002">
        <v>4</v>
      </c>
      <c r="O1514" s="1002">
        <v>4</v>
      </c>
      <c r="P1514" s="1002">
        <v>5</v>
      </c>
      <c r="Q1514" s="1002">
        <v>5</v>
      </c>
    </row>
    <row r="1515" spans="1:17" x14ac:dyDescent="0.25">
      <c r="A1515" s="2028"/>
      <c r="B1515" s="753"/>
      <c r="C1515" s="912" t="s">
        <v>8</v>
      </c>
      <c r="D1515" s="98"/>
      <c r="E1515" s="914" t="s">
        <v>9</v>
      </c>
      <c r="F1515" s="1442"/>
      <c r="G1515" s="1442">
        <v>699.1</v>
      </c>
      <c r="H1515" s="1442">
        <v>699.1</v>
      </c>
      <c r="I1515" s="1442">
        <v>699.1</v>
      </c>
      <c r="J1515" s="1442">
        <v>699.1</v>
      </c>
      <c r="K1515" s="279" t="s">
        <v>185</v>
      </c>
      <c r="L1515" s="1002" t="s">
        <v>182</v>
      </c>
      <c r="M1515" s="1002">
        <v>100</v>
      </c>
      <c r="N1515" s="1002">
        <v>100</v>
      </c>
      <c r="O1515" s="1002">
        <v>100</v>
      </c>
      <c r="P1515" s="1002">
        <v>100</v>
      </c>
      <c r="Q1515" s="1002">
        <v>100</v>
      </c>
    </row>
    <row r="1516" spans="1:17" ht="30" x14ac:dyDescent="0.25">
      <c r="A1516" s="1819"/>
      <c r="B1516" s="753"/>
      <c r="C1516" s="912" t="s">
        <v>12</v>
      </c>
      <c r="D1516" s="98"/>
      <c r="E1516" s="914" t="s">
        <v>13</v>
      </c>
      <c r="F1516" s="1442"/>
      <c r="G1516" s="1442">
        <v>707.4</v>
      </c>
      <c r="H1516" s="1442">
        <v>707.4</v>
      </c>
      <c r="I1516" s="1442">
        <v>707.4</v>
      </c>
      <c r="J1516" s="1442">
        <v>707.4</v>
      </c>
      <c r="K1516" s="279" t="s">
        <v>2191</v>
      </c>
      <c r="L1516" s="1002" t="s">
        <v>182</v>
      </c>
      <c r="M1516" s="1002">
        <v>100</v>
      </c>
      <c r="N1516" s="1002">
        <v>100</v>
      </c>
      <c r="O1516" s="1002">
        <v>100</v>
      </c>
      <c r="P1516" s="1003">
        <v>100</v>
      </c>
      <c r="Q1516" s="1003">
        <v>100</v>
      </c>
    </row>
    <row r="1517" spans="1:17" ht="30" x14ac:dyDescent="0.25">
      <c r="A1517" s="1820"/>
      <c r="B1517" s="753"/>
      <c r="C1517" s="912" t="s">
        <v>16</v>
      </c>
      <c r="D1517" s="98"/>
      <c r="E1517" s="916" t="s">
        <v>17</v>
      </c>
      <c r="F1517" s="1442"/>
      <c r="G1517" s="1442">
        <v>4244.3999999999996</v>
      </c>
      <c r="H1517" s="1442">
        <v>3990.4</v>
      </c>
      <c r="I1517" s="1442">
        <v>4192.8999999999996</v>
      </c>
      <c r="J1517" s="1442">
        <v>4192.8999999999996</v>
      </c>
      <c r="K1517" s="178" t="s">
        <v>2192</v>
      </c>
      <c r="L1517" s="1002" t="s">
        <v>182</v>
      </c>
      <c r="M1517" s="1002">
        <v>100</v>
      </c>
      <c r="N1517" s="1002">
        <v>100</v>
      </c>
      <c r="O1517" s="1002">
        <v>100</v>
      </c>
      <c r="P1517" s="1003">
        <v>100</v>
      </c>
      <c r="Q1517" s="1003">
        <v>100</v>
      </c>
    </row>
    <row r="1518" spans="1:17" ht="28.5" x14ac:dyDescent="0.25">
      <c r="A1518" s="1882">
        <v>57</v>
      </c>
      <c r="B1518" s="1891">
        <v>2</v>
      </c>
      <c r="C1518" s="1892"/>
      <c r="D1518" s="2111"/>
      <c r="E1518" s="1443" t="s">
        <v>2193</v>
      </c>
      <c r="F1518" s="2112"/>
      <c r="G1518" s="2113">
        <v>15562.800000000001</v>
      </c>
      <c r="H1518" s="2113">
        <f>SUM(H1520:H1524)</f>
        <v>19775.25</v>
      </c>
      <c r="I1518" s="2113">
        <v>15912.800000000001</v>
      </c>
      <c r="J1518" s="2113">
        <v>16156.2</v>
      </c>
      <c r="K1518" s="2085"/>
      <c r="L1518" s="2058"/>
      <c r="M1518" s="1835"/>
      <c r="N1518" s="1835"/>
      <c r="O1518" s="1835"/>
      <c r="P1518" s="1835"/>
      <c r="Q1518" s="1888"/>
    </row>
    <row r="1519" spans="1:17" ht="60" x14ac:dyDescent="0.25">
      <c r="A1519" s="1883"/>
      <c r="B1519" s="1817"/>
      <c r="C1519" s="1892"/>
      <c r="D1519" s="2111"/>
      <c r="E1519" s="655" t="s">
        <v>2194</v>
      </c>
      <c r="F1519" s="2112"/>
      <c r="G1519" s="2113"/>
      <c r="H1519" s="2113"/>
      <c r="I1519" s="2113"/>
      <c r="J1519" s="2113"/>
      <c r="K1519" s="2086"/>
      <c r="L1519" s="1832"/>
      <c r="M1519" s="1836"/>
      <c r="N1519" s="1836"/>
      <c r="O1519" s="1836"/>
      <c r="P1519" s="1836"/>
      <c r="Q1519" s="1889"/>
    </row>
    <row r="1520" spans="1:17" ht="30" x14ac:dyDescent="0.25">
      <c r="A1520" s="1444"/>
      <c r="B1520" s="1445"/>
      <c r="C1520" s="912" t="s">
        <v>6</v>
      </c>
      <c r="D1520" s="913"/>
      <c r="E1520" s="926" t="s">
        <v>2195</v>
      </c>
      <c r="F1520" s="1446"/>
      <c r="G1520" s="1446">
        <v>9196.2000000000007</v>
      </c>
      <c r="H1520" s="1446">
        <v>11109.3</v>
      </c>
      <c r="I1520" s="1446">
        <v>9296.2000000000007</v>
      </c>
      <c r="J1520" s="1446">
        <v>9418.6</v>
      </c>
      <c r="K1520" s="178" t="s">
        <v>2196</v>
      </c>
      <c r="L1520" s="1002" t="s">
        <v>182</v>
      </c>
      <c r="M1520" s="1002">
        <v>80</v>
      </c>
      <c r="N1520" s="1002">
        <v>90</v>
      </c>
      <c r="O1520" s="1002">
        <v>100</v>
      </c>
      <c r="P1520" s="79">
        <v>100</v>
      </c>
      <c r="Q1520" s="1002">
        <v>100</v>
      </c>
    </row>
    <row r="1521" spans="1:17" ht="30" x14ac:dyDescent="0.25">
      <c r="A1521" s="2103"/>
      <c r="B1521" s="1447"/>
      <c r="C1521" s="1884" t="s">
        <v>8</v>
      </c>
      <c r="D1521" s="2105"/>
      <c r="E1521" s="2020" t="s">
        <v>2197</v>
      </c>
      <c r="F1521" s="2107"/>
      <c r="G1521" s="2107">
        <v>2829.6</v>
      </c>
      <c r="H1521" s="2107">
        <v>2589.8000000000002</v>
      </c>
      <c r="I1521" s="2107">
        <v>2854.6</v>
      </c>
      <c r="J1521" s="2107">
        <v>2914.6</v>
      </c>
      <c r="K1521" s="333" t="s">
        <v>2198</v>
      </c>
      <c r="L1521" s="1002" t="s">
        <v>182</v>
      </c>
      <c r="M1521" s="949">
        <v>50</v>
      </c>
      <c r="N1521" s="949">
        <v>70</v>
      </c>
      <c r="O1521" s="949">
        <v>90</v>
      </c>
      <c r="P1521" s="1002">
        <v>100</v>
      </c>
      <c r="Q1521" s="949">
        <v>100</v>
      </c>
    </row>
    <row r="1522" spans="1:17" ht="45" x14ac:dyDescent="0.25">
      <c r="A1522" s="2104"/>
      <c r="B1522" s="1448"/>
      <c r="C1522" s="1885"/>
      <c r="D1522" s="2106"/>
      <c r="E1522" s="2022"/>
      <c r="F1522" s="2107"/>
      <c r="G1522" s="2107"/>
      <c r="H1522" s="2107"/>
      <c r="I1522" s="2107"/>
      <c r="J1522" s="2107"/>
      <c r="K1522" s="333" t="s">
        <v>456</v>
      </c>
      <c r="L1522" s="949" t="s">
        <v>189</v>
      </c>
      <c r="M1522" s="949" t="s">
        <v>457</v>
      </c>
      <c r="N1522" s="949" t="s">
        <v>457</v>
      </c>
      <c r="O1522" s="949" t="s">
        <v>457</v>
      </c>
      <c r="P1522" s="949" t="s">
        <v>457</v>
      </c>
      <c r="Q1522" s="949" t="s">
        <v>457</v>
      </c>
    </row>
    <row r="1523" spans="1:17" x14ac:dyDescent="0.25">
      <c r="A1523" s="2103"/>
      <c r="B1523" s="1447"/>
      <c r="C1523" s="1892" t="s">
        <v>10</v>
      </c>
      <c r="D1523" s="2109"/>
      <c r="E1523" s="2110" t="s">
        <v>850</v>
      </c>
      <c r="F1523" s="2107"/>
      <c r="G1523" s="2107">
        <v>3537</v>
      </c>
      <c r="H1523" s="2107">
        <v>6076.15</v>
      </c>
      <c r="I1523" s="2107">
        <v>3762</v>
      </c>
      <c r="J1523" s="2107">
        <v>3823</v>
      </c>
      <c r="K1523" s="2085" t="s">
        <v>2199</v>
      </c>
      <c r="L1523" s="2058" t="s">
        <v>182</v>
      </c>
      <c r="M1523" s="2087">
        <v>70</v>
      </c>
      <c r="N1523" s="2087">
        <v>80</v>
      </c>
      <c r="O1523" s="2087">
        <v>90</v>
      </c>
      <c r="P1523" s="2087">
        <v>100</v>
      </c>
      <c r="Q1523" s="2089">
        <v>100</v>
      </c>
    </row>
    <row r="1524" spans="1:17" x14ac:dyDescent="0.25">
      <c r="A1524" s="2108"/>
      <c r="B1524" s="1449"/>
      <c r="C1524" s="1892"/>
      <c r="D1524" s="2109"/>
      <c r="E1524" s="2110"/>
      <c r="F1524" s="2107"/>
      <c r="G1524" s="2107"/>
      <c r="H1524" s="2107"/>
      <c r="I1524" s="2107"/>
      <c r="J1524" s="2107"/>
      <c r="K1524" s="2086"/>
      <c r="L1524" s="1832"/>
      <c r="M1524" s="2088"/>
      <c r="N1524" s="2088"/>
      <c r="O1524" s="2088"/>
      <c r="P1524" s="2088"/>
      <c r="Q1524" s="2090"/>
    </row>
    <row r="1525" spans="1:17" ht="37.5" customHeight="1" x14ac:dyDescent="0.25">
      <c r="A1525" s="2091" t="s">
        <v>2200</v>
      </c>
      <c r="B1525" s="2091"/>
      <c r="C1525" s="2091"/>
      <c r="D1525" s="2091"/>
      <c r="E1525" s="2091"/>
      <c r="F1525" s="1450">
        <v>0</v>
      </c>
      <c r="G1525" s="1450">
        <v>22628.5</v>
      </c>
      <c r="H1525" s="1450">
        <f>H1512+H1518</f>
        <v>26586.95</v>
      </c>
      <c r="I1525" s="1450">
        <v>22927</v>
      </c>
      <c r="J1525" s="1450">
        <v>23230.400000000001</v>
      </c>
      <c r="K1525" s="1451"/>
      <c r="L1525" s="1055"/>
      <c r="M1525" s="1452"/>
      <c r="N1525" s="1452"/>
      <c r="O1525" s="1452"/>
      <c r="P1525" s="1452"/>
      <c r="Q1525" s="1452"/>
    </row>
    <row r="1526" spans="1:17" ht="15.75" thickBot="1" x14ac:dyDescent="0.3">
      <c r="A1526" s="1826" t="s">
        <v>2201</v>
      </c>
      <c r="B1526" s="1827"/>
      <c r="C1526" s="1827"/>
      <c r="D1526" s="1827"/>
      <c r="E1526" s="1827"/>
      <c r="F1526" s="1827"/>
      <c r="G1526" s="1827"/>
      <c r="H1526" s="1827"/>
      <c r="I1526" s="1827"/>
      <c r="J1526" s="1827"/>
      <c r="K1526" s="1827"/>
      <c r="L1526" s="1827"/>
      <c r="M1526" s="1827"/>
      <c r="N1526" s="1827"/>
      <c r="O1526" s="1827"/>
      <c r="P1526" s="1827"/>
      <c r="Q1526" s="1827"/>
    </row>
    <row r="1527" spans="1:17" ht="73.5" x14ac:dyDescent="0.25">
      <c r="A1527" s="1453">
        <v>58</v>
      </c>
      <c r="B1527" s="1454">
        <v>1</v>
      </c>
      <c r="C1527" s="992"/>
      <c r="D1527" s="1455"/>
      <c r="E1527" s="1028" t="s">
        <v>2899</v>
      </c>
      <c r="F1527" s="804">
        <v>9573.2000000000007</v>
      </c>
      <c r="G1527" s="1456">
        <v>9193.9</v>
      </c>
      <c r="H1527" s="1456">
        <f>SUM(H1528:H1534)</f>
        <v>10221.5</v>
      </c>
      <c r="I1527" s="193">
        <v>10154.818499999999</v>
      </c>
      <c r="J1527" s="193">
        <v>10286.831140499999</v>
      </c>
      <c r="K1527" s="1020" t="s">
        <v>181</v>
      </c>
      <c r="L1527" s="1020" t="s">
        <v>182</v>
      </c>
      <c r="M1527" s="1020"/>
      <c r="N1527" s="1020"/>
      <c r="O1527" s="1020"/>
      <c r="P1527" s="1020"/>
      <c r="Q1527" s="1020"/>
    </row>
    <row r="1528" spans="1:17" x14ac:dyDescent="0.25">
      <c r="A1528" s="576"/>
      <c r="B1528" s="1278"/>
      <c r="C1528" s="1005">
        <v>1</v>
      </c>
      <c r="D1528" s="1457"/>
      <c r="E1528" s="993" t="s">
        <v>7</v>
      </c>
      <c r="F1528" s="895">
        <v>3220</v>
      </c>
      <c r="G1528" s="895">
        <v>3151.7</v>
      </c>
      <c r="H1528" s="381">
        <v>3346.7</v>
      </c>
      <c r="I1528" s="895">
        <v>3403.3761</v>
      </c>
      <c r="J1528" s="895">
        <v>3447.6199892999998</v>
      </c>
      <c r="K1528" s="901" t="s">
        <v>183</v>
      </c>
      <c r="L1528" s="901" t="s">
        <v>184</v>
      </c>
      <c r="M1528" s="1026">
        <v>48</v>
      </c>
      <c r="N1528" s="1026">
        <v>0.49</v>
      </c>
      <c r="O1528" s="1026">
        <v>0.5</v>
      </c>
      <c r="P1528" s="1026">
        <v>0.5</v>
      </c>
      <c r="Q1528" s="1026">
        <v>0.5</v>
      </c>
    </row>
    <row r="1529" spans="1:17" x14ac:dyDescent="0.25">
      <c r="A1529" s="576"/>
      <c r="B1529" s="1279"/>
      <c r="C1529" s="437">
        <v>2</v>
      </c>
      <c r="D1529" s="1457"/>
      <c r="E1529" s="1000" t="s">
        <v>9</v>
      </c>
      <c r="F1529" s="895">
        <v>1030.5999999999999</v>
      </c>
      <c r="G1529" s="895">
        <v>894.6</v>
      </c>
      <c r="H1529" s="381">
        <v>983.6</v>
      </c>
      <c r="I1529" s="895">
        <v>996.38679999999988</v>
      </c>
      <c r="J1529" s="895">
        <v>1009.3398283999999</v>
      </c>
      <c r="K1529" s="901" t="s">
        <v>185</v>
      </c>
      <c r="L1529" s="901" t="s">
        <v>182</v>
      </c>
      <c r="M1529" s="1026"/>
      <c r="N1529" s="1026"/>
      <c r="O1529" s="1026"/>
      <c r="P1529" s="1026"/>
      <c r="Q1529" s="1026"/>
    </row>
    <row r="1530" spans="1:17" x14ac:dyDescent="0.25">
      <c r="A1530" s="576"/>
      <c r="B1530" s="1279"/>
      <c r="C1530" s="437">
        <v>3</v>
      </c>
      <c r="D1530" s="1457"/>
      <c r="E1530" s="1000" t="s">
        <v>11</v>
      </c>
      <c r="F1530" s="895"/>
      <c r="G1530" s="895"/>
      <c r="H1530" s="381">
        <v>2849.7</v>
      </c>
      <c r="I1530" s="895"/>
      <c r="J1530" s="895"/>
      <c r="K1530" s="901"/>
      <c r="L1530" s="901"/>
      <c r="M1530" s="1026"/>
      <c r="N1530" s="1026"/>
      <c r="O1530" s="1026"/>
      <c r="P1530" s="1026"/>
      <c r="Q1530" s="1026"/>
    </row>
    <row r="1531" spans="1:17" ht="30" x14ac:dyDescent="0.25">
      <c r="A1531" s="576"/>
      <c r="B1531" s="1263"/>
      <c r="C1531" s="444">
        <v>4</v>
      </c>
      <c r="D1531" s="1457"/>
      <c r="E1531" s="1000" t="s">
        <v>1645</v>
      </c>
      <c r="F1531" s="895">
        <v>1261.8</v>
      </c>
      <c r="G1531" s="895">
        <v>1205.8</v>
      </c>
      <c r="H1531" s="381">
        <v>1324.8</v>
      </c>
      <c r="I1531" s="895">
        <v>1342.0223999999998</v>
      </c>
      <c r="J1531" s="895">
        <v>1359.4686912</v>
      </c>
      <c r="K1531" s="901" t="s">
        <v>187</v>
      </c>
      <c r="L1531" s="901" t="s">
        <v>423</v>
      </c>
      <c r="M1531" s="1458"/>
      <c r="N1531" s="1026"/>
      <c r="O1531" s="1026"/>
      <c r="P1531" s="1026"/>
      <c r="Q1531" s="1026"/>
    </row>
    <row r="1532" spans="1:17" ht="30" x14ac:dyDescent="0.25">
      <c r="A1532" s="576"/>
      <c r="B1532" s="1279"/>
      <c r="C1532" s="437">
        <v>6</v>
      </c>
      <c r="D1532" s="1457"/>
      <c r="E1532" s="998" t="s">
        <v>17</v>
      </c>
      <c r="F1532" s="895">
        <v>1280.0999999999999</v>
      </c>
      <c r="G1532" s="895">
        <v>1229.0999999999999</v>
      </c>
      <c r="H1532" s="381">
        <v>1716.7</v>
      </c>
      <c r="I1532" s="895">
        <v>1514.1310999999998</v>
      </c>
      <c r="J1532" s="895">
        <v>1533.8148042999997</v>
      </c>
      <c r="K1532" s="901" t="s">
        <v>190</v>
      </c>
      <c r="L1532" s="901" t="s">
        <v>182</v>
      </c>
      <c r="M1532" s="1026"/>
      <c r="N1532" s="1026"/>
      <c r="O1532" s="1026"/>
      <c r="P1532" s="1026"/>
      <c r="Q1532" s="1026"/>
    </row>
    <row r="1533" spans="1:17" ht="30" x14ac:dyDescent="0.25">
      <c r="A1533" s="576"/>
      <c r="B1533" s="2092"/>
      <c r="C1533" s="2094">
        <v>44</v>
      </c>
      <c r="D1533" s="2096"/>
      <c r="E1533" s="2004" t="s">
        <v>2202</v>
      </c>
      <c r="F1533" s="1903">
        <v>2780.7</v>
      </c>
      <c r="G1533" s="2099">
        <v>2712.7</v>
      </c>
      <c r="H1533" s="2101"/>
      <c r="I1533" s="1906">
        <v>2898.9020999999998</v>
      </c>
      <c r="J1533" s="1906">
        <v>2936.5878272999998</v>
      </c>
      <c r="K1533" s="36" t="s">
        <v>2203</v>
      </c>
      <c r="L1533" s="901" t="s">
        <v>182</v>
      </c>
      <c r="M1533" s="1026"/>
      <c r="N1533" s="1026"/>
      <c r="O1533" s="1026"/>
      <c r="P1533" s="1026"/>
      <c r="Q1533" s="1026"/>
    </row>
    <row r="1534" spans="1:17" x14ac:dyDescent="0.25">
      <c r="A1534" s="576"/>
      <c r="B1534" s="2093"/>
      <c r="C1534" s="2095"/>
      <c r="D1534" s="2097"/>
      <c r="E1534" s="2098"/>
      <c r="F1534" s="1905"/>
      <c r="G1534" s="2100"/>
      <c r="H1534" s="2102"/>
      <c r="I1534" s="1906"/>
      <c r="J1534" s="1906"/>
      <c r="K1534" s="901" t="s">
        <v>2204</v>
      </c>
      <c r="L1534" s="901" t="s">
        <v>189</v>
      </c>
      <c r="M1534" s="1026">
        <v>40</v>
      </c>
      <c r="N1534" s="1026">
        <v>40</v>
      </c>
      <c r="O1534" s="1026">
        <v>41</v>
      </c>
      <c r="P1534" s="1026">
        <v>42</v>
      </c>
      <c r="Q1534" s="1026">
        <v>45</v>
      </c>
    </row>
    <row r="1535" spans="1:17" x14ac:dyDescent="0.25">
      <c r="A1535" s="971">
        <v>58</v>
      </c>
      <c r="B1535" s="990">
        <v>2</v>
      </c>
      <c r="C1535" s="897"/>
      <c r="D1535" s="901"/>
      <c r="E1535" s="1051" t="s">
        <v>2205</v>
      </c>
      <c r="F1535" s="1459">
        <v>5620.7</v>
      </c>
      <c r="G1535" s="1459">
        <v>5416.7</v>
      </c>
      <c r="H1535" s="1459">
        <f>SUM(H1536:H1538)</f>
        <v>5856.7</v>
      </c>
      <c r="I1535" s="804">
        <v>5969.3050999999996</v>
      </c>
      <c r="J1535" s="804">
        <v>6046.9060662999991</v>
      </c>
      <c r="K1535" s="1460"/>
      <c r="L1535" s="1460"/>
      <c r="M1535" s="1460"/>
      <c r="N1535" s="1461"/>
      <c r="O1535" s="1461"/>
      <c r="P1535" s="1461"/>
      <c r="Q1535" s="1461"/>
    </row>
    <row r="1536" spans="1:17" x14ac:dyDescent="0.25">
      <c r="A1536" s="985"/>
      <c r="B1536" s="1462"/>
      <c r="C1536" s="973" t="s">
        <v>6</v>
      </c>
      <c r="D1536" s="1463"/>
      <c r="E1536" s="998" t="s">
        <v>2206</v>
      </c>
      <c r="F1536" s="895">
        <v>2101.1</v>
      </c>
      <c r="G1536" s="1264">
        <v>1982.1</v>
      </c>
      <c r="H1536" s="1464">
        <v>2148.1</v>
      </c>
      <c r="I1536" s="895">
        <v>2188.1812999999997</v>
      </c>
      <c r="J1536" s="895">
        <v>2216.6276568999997</v>
      </c>
      <c r="K1536" s="1465" t="s">
        <v>2207</v>
      </c>
      <c r="L1536" s="982" t="s">
        <v>2208</v>
      </c>
      <c r="M1536" s="1465">
        <v>2.9</v>
      </c>
      <c r="N1536" s="1466">
        <v>3.1</v>
      </c>
      <c r="O1536" s="1466">
        <v>3.2</v>
      </c>
      <c r="P1536" s="1466">
        <v>3.3</v>
      </c>
      <c r="Q1536" s="1466">
        <v>3.5</v>
      </c>
    </row>
    <row r="1537" spans="1:17" x14ac:dyDescent="0.25">
      <c r="A1537" s="985"/>
      <c r="B1537" s="1462"/>
      <c r="C1537" s="896" t="s">
        <v>8</v>
      </c>
      <c r="D1537" s="1467"/>
      <c r="E1537" s="969" t="s">
        <v>2209</v>
      </c>
      <c r="F1537" s="895">
        <v>2067.1</v>
      </c>
      <c r="G1537" s="895">
        <v>1982.1</v>
      </c>
      <c r="H1537" s="381">
        <v>2119.1</v>
      </c>
      <c r="I1537" s="895">
        <v>2158.8042999999998</v>
      </c>
      <c r="J1537" s="895">
        <v>2186.8687559</v>
      </c>
      <c r="K1537" s="901" t="s">
        <v>2210</v>
      </c>
      <c r="L1537" s="901" t="s">
        <v>189</v>
      </c>
      <c r="M1537" s="1340">
        <v>5500</v>
      </c>
      <c r="N1537" s="1340">
        <v>6000</v>
      </c>
      <c r="O1537" s="1340">
        <v>6500</v>
      </c>
      <c r="P1537" s="1340">
        <v>6500</v>
      </c>
      <c r="Q1537" s="1340">
        <v>6600</v>
      </c>
    </row>
    <row r="1538" spans="1:17" ht="30" x14ac:dyDescent="0.25">
      <c r="A1538" s="985"/>
      <c r="B1538" s="1462"/>
      <c r="C1538" s="896" t="s">
        <v>10</v>
      </c>
      <c r="D1538" s="1467"/>
      <c r="E1538" s="901" t="s">
        <v>2211</v>
      </c>
      <c r="F1538" s="895">
        <v>1452.5</v>
      </c>
      <c r="G1538" s="895">
        <v>1452.5</v>
      </c>
      <c r="H1538" s="381">
        <v>1589.5</v>
      </c>
      <c r="I1538" s="895">
        <v>1622.3194999999998</v>
      </c>
      <c r="J1538" s="895">
        <v>1643.4096534999999</v>
      </c>
      <c r="K1538" s="901" t="s">
        <v>2212</v>
      </c>
      <c r="L1538" s="901" t="s">
        <v>2208</v>
      </c>
      <c r="M1538" s="1340">
        <v>74</v>
      </c>
      <c r="N1538" s="1340">
        <v>75</v>
      </c>
      <c r="O1538" s="1340">
        <v>76</v>
      </c>
      <c r="P1538" s="1340">
        <v>77</v>
      </c>
      <c r="Q1538" s="1340">
        <v>78</v>
      </c>
    </row>
    <row r="1539" spans="1:17" ht="28.5" x14ac:dyDescent="0.25">
      <c r="A1539" s="805">
        <v>58</v>
      </c>
      <c r="B1539" s="816">
        <v>3</v>
      </c>
      <c r="C1539" s="897"/>
      <c r="D1539" s="901"/>
      <c r="E1539" s="1026" t="s">
        <v>2213</v>
      </c>
      <c r="F1539" s="804">
        <v>4487.5</v>
      </c>
      <c r="G1539" s="1459">
        <v>4232.5</v>
      </c>
      <c r="H1539" s="1459">
        <f>SUM(H1540:H1542)</f>
        <v>4618.5</v>
      </c>
      <c r="I1539" s="804">
        <v>4709.9435000000003</v>
      </c>
      <c r="J1539" s="804">
        <v>4771.1727654999995</v>
      </c>
      <c r="K1539" s="1020"/>
      <c r="L1539" s="1026"/>
      <c r="M1539" s="1026"/>
      <c r="N1539" s="1468"/>
      <c r="O1539" s="1468"/>
      <c r="P1539" s="1468"/>
      <c r="Q1539" s="1468"/>
    </row>
    <row r="1540" spans="1:17" ht="30" x14ac:dyDescent="0.25">
      <c r="A1540" s="577"/>
      <c r="B1540" s="324"/>
      <c r="C1540" s="896" t="s">
        <v>6</v>
      </c>
      <c r="D1540" s="1467"/>
      <c r="E1540" s="970" t="s">
        <v>2214</v>
      </c>
      <c r="F1540" s="895">
        <v>1492.9</v>
      </c>
      <c r="G1540" s="895">
        <v>1407.9</v>
      </c>
      <c r="H1540" s="381">
        <v>1544.9</v>
      </c>
      <c r="I1540" s="895">
        <v>1577.1396999999999</v>
      </c>
      <c r="J1540" s="895">
        <v>1597.6425160999997</v>
      </c>
      <c r="K1540" s="983" t="s">
        <v>2215</v>
      </c>
      <c r="L1540" s="901" t="s">
        <v>2216</v>
      </c>
      <c r="M1540" s="901">
        <v>110</v>
      </c>
      <c r="N1540" s="1340">
        <v>115</v>
      </c>
      <c r="O1540" s="1340">
        <v>120</v>
      </c>
      <c r="P1540" s="1340">
        <v>125</v>
      </c>
      <c r="Q1540" s="1340">
        <v>128</v>
      </c>
    </row>
    <row r="1541" spans="1:17" x14ac:dyDescent="0.25">
      <c r="A1541" s="577"/>
      <c r="B1541" s="324"/>
      <c r="C1541" s="896" t="s">
        <v>8</v>
      </c>
      <c r="D1541" s="1467"/>
      <c r="E1541" s="970" t="s">
        <v>2217</v>
      </c>
      <c r="F1541" s="895">
        <v>1497.9</v>
      </c>
      <c r="G1541" s="895">
        <v>1412.9</v>
      </c>
      <c r="H1541" s="381">
        <v>1549.9</v>
      </c>
      <c r="I1541" s="895">
        <v>1582.2047</v>
      </c>
      <c r="J1541" s="895">
        <v>1602.7733611000001</v>
      </c>
      <c r="K1541" s="983" t="s">
        <v>2218</v>
      </c>
      <c r="L1541" s="901" t="s">
        <v>182</v>
      </c>
      <c r="M1541" s="1469">
        <v>4.4000000000000004</v>
      </c>
      <c r="N1541" s="1469">
        <v>4.5</v>
      </c>
      <c r="O1541" s="1469">
        <v>4.8</v>
      </c>
      <c r="P1541" s="1469">
        <v>4.9000000000000004</v>
      </c>
      <c r="Q1541" s="1470">
        <v>5</v>
      </c>
    </row>
    <row r="1542" spans="1:17" x14ac:dyDescent="0.25">
      <c r="A1542" s="577"/>
      <c r="B1542" s="324"/>
      <c r="C1542" s="896" t="s">
        <v>10</v>
      </c>
      <c r="D1542" s="1467"/>
      <c r="E1542" s="970" t="s">
        <v>2219</v>
      </c>
      <c r="F1542" s="895">
        <v>1496.7</v>
      </c>
      <c r="G1542" s="895">
        <v>1411.7</v>
      </c>
      <c r="H1542" s="381">
        <v>1523.7</v>
      </c>
      <c r="I1542" s="895">
        <v>1550.5991000000001</v>
      </c>
      <c r="J1542" s="895">
        <v>1570.7568882999999</v>
      </c>
      <c r="K1542" s="983" t="s">
        <v>2220</v>
      </c>
      <c r="L1542" s="901" t="s">
        <v>2216</v>
      </c>
      <c r="M1542" s="901">
        <v>50</v>
      </c>
      <c r="N1542" s="901">
        <v>60</v>
      </c>
      <c r="O1542" s="901">
        <v>70</v>
      </c>
      <c r="P1542" s="901">
        <v>80</v>
      </c>
      <c r="Q1542" s="901">
        <v>80</v>
      </c>
    </row>
    <row r="1543" spans="1:17" x14ac:dyDescent="0.25">
      <c r="A1543" s="805">
        <v>58</v>
      </c>
      <c r="B1543" s="816">
        <v>4</v>
      </c>
      <c r="C1543" s="897"/>
      <c r="D1543" s="901"/>
      <c r="E1543" s="1051" t="s">
        <v>2221</v>
      </c>
      <c r="F1543" s="1459">
        <v>3695.3999999999996</v>
      </c>
      <c r="G1543" s="1459">
        <v>3270.6</v>
      </c>
      <c r="H1543" s="1459">
        <f>SUM(H1544:H1545)</f>
        <v>3597.6000000000004</v>
      </c>
      <c r="I1543" s="1459">
        <v>3468.1751000000004</v>
      </c>
      <c r="J1543" s="1459">
        <v>3518.4514763000002</v>
      </c>
      <c r="K1543" s="901"/>
      <c r="L1543" s="901"/>
      <c r="M1543" s="901"/>
      <c r="N1543" s="1340"/>
      <c r="O1543" s="1340"/>
      <c r="P1543" s="1340"/>
      <c r="Q1543" s="1340"/>
    </row>
    <row r="1544" spans="1:17" ht="30" x14ac:dyDescent="0.25">
      <c r="A1544" s="985"/>
      <c r="B1544" s="1462"/>
      <c r="C1544" s="973" t="s">
        <v>6</v>
      </c>
      <c r="D1544" s="1471"/>
      <c r="E1544" s="901" t="s">
        <v>2222</v>
      </c>
      <c r="F1544" s="895">
        <v>1735.8</v>
      </c>
      <c r="G1544" s="895">
        <v>1633.8</v>
      </c>
      <c r="H1544" s="1472">
        <v>1782.7</v>
      </c>
      <c r="I1544" s="895">
        <v>1805.8751000000002</v>
      </c>
      <c r="J1544" s="895">
        <v>1829.3514763000003</v>
      </c>
      <c r="K1544" s="983" t="s">
        <v>2223</v>
      </c>
      <c r="L1544" s="901" t="s">
        <v>189</v>
      </c>
      <c r="M1544" s="901">
        <v>30</v>
      </c>
      <c r="N1544" s="1340">
        <v>30</v>
      </c>
      <c r="O1544" s="1340">
        <v>32</v>
      </c>
      <c r="P1544" s="1340">
        <v>35</v>
      </c>
      <c r="Q1544" s="1340">
        <v>40</v>
      </c>
    </row>
    <row r="1545" spans="1:17" ht="30" x14ac:dyDescent="0.25">
      <c r="A1545" s="985"/>
      <c r="B1545" s="1462"/>
      <c r="C1545" s="973" t="s">
        <v>8</v>
      </c>
      <c r="D1545" s="1463"/>
      <c r="E1545" s="901" t="s">
        <v>2224</v>
      </c>
      <c r="F1545" s="1016">
        <v>1959.6</v>
      </c>
      <c r="G1545" s="1016">
        <v>1636.8</v>
      </c>
      <c r="H1545" s="381">
        <v>1814.9</v>
      </c>
      <c r="I1545" s="895">
        <v>1662.3</v>
      </c>
      <c r="J1545" s="895">
        <v>1689.1</v>
      </c>
      <c r="K1545" s="983" t="s">
        <v>2225</v>
      </c>
      <c r="L1545" s="901" t="s">
        <v>182</v>
      </c>
      <c r="M1545" s="901">
        <v>86.1</v>
      </c>
      <c r="N1545" s="1340">
        <v>87.1</v>
      </c>
      <c r="O1545" s="1340">
        <v>87.5</v>
      </c>
      <c r="P1545" s="1340">
        <v>90</v>
      </c>
      <c r="Q1545" s="1340">
        <v>92</v>
      </c>
    </row>
    <row r="1546" spans="1:17" ht="36.75" customHeight="1" x14ac:dyDescent="0.25">
      <c r="A1546" s="1823" t="s">
        <v>2226</v>
      </c>
      <c r="B1546" s="1823"/>
      <c r="C1546" s="1823"/>
      <c r="D1546" s="1823"/>
      <c r="E1546" s="1840"/>
      <c r="F1546" s="46">
        <v>23376.799999999999</v>
      </c>
      <c r="G1546" s="46">
        <v>22113.699999999997</v>
      </c>
      <c r="H1546" s="46">
        <f>H1527+H1535+H1539+H1543</f>
        <v>24294.300000000003</v>
      </c>
      <c r="I1546" s="46">
        <v>24302.242200000001</v>
      </c>
      <c r="J1546" s="46">
        <v>24623.361448599997</v>
      </c>
      <c r="K1546" s="16"/>
      <c r="L1546" s="958"/>
      <c r="M1546" s="958"/>
      <c r="N1546" s="958"/>
      <c r="O1546" s="958"/>
      <c r="P1546" s="958"/>
      <c r="Q1546" s="995"/>
    </row>
    <row r="1547" spans="1:17" x14ac:dyDescent="0.25">
      <c r="A1547" s="1826" t="s">
        <v>2227</v>
      </c>
      <c r="B1547" s="1827"/>
      <c r="C1547" s="1827"/>
      <c r="D1547" s="1827"/>
      <c r="E1547" s="1827"/>
      <c r="F1547" s="1827"/>
      <c r="G1547" s="1827"/>
      <c r="H1547" s="1827"/>
      <c r="I1547" s="1827"/>
      <c r="J1547" s="1827"/>
      <c r="K1547" s="1827"/>
      <c r="L1547" s="1827"/>
      <c r="M1547" s="1827"/>
      <c r="N1547" s="1827"/>
      <c r="O1547" s="1827"/>
      <c r="P1547" s="1827"/>
      <c r="Q1547" s="1827"/>
    </row>
    <row r="1548" spans="1:17" ht="73.5" x14ac:dyDescent="0.25">
      <c r="A1548" s="571">
        <v>59</v>
      </c>
      <c r="B1548" s="64">
        <v>1</v>
      </c>
      <c r="C1548" s="640"/>
      <c r="D1548" s="647"/>
      <c r="E1548" s="1473" t="s">
        <v>810</v>
      </c>
      <c r="F1548" s="794">
        <v>12271.94</v>
      </c>
      <c r="G1548" s="794">
        <v>33364.699999999997</v>
      </c>
      <c r="H1548" s="794">
        <f>SUM(H1549:H1553)</f>
        <v>15177.800000000001</v>
      </c>
      <c r="I1548" s="794">
        <v>12434.685595679999</v>
      </c>
      <c r="J1548" s="794">
        <v>12599.231303230514</v>
      </c>
      <c r="K1548" s="1058" t="s">
        <v>181</v>
      </c>
      <c r="L1548" s="657" t="s">
        <v>182</v>
      </c>
      <c r="M1548" s="657">
        <v>38.700000000000003</v>
      </c>
      <c r="N1548" s="657">
        <v>38.299999999999997</v>
      </c>
      <c r="O1548" s="657">
        <v>38.299999999999997</v>
      </c>
      <c r="P1548" s="1474">
        <v>39</v>
      </c>
      <c r="Q1548" s="657">
        <v>39.4</v>
      </c>
    </row>
    <row r="1549" spans="1:17" x14ac:dyDescent="0.25">
      <c r="A1549" s="571"/>
      <c r="B1549" s="64"/>
      <c r="C1549" s="30" t="s">
        <v>6</v>
      </c>
      <c r="D1549" s="647"/>
      <c r="E1549" s="1058" t="s">
        <v>7</v>
      </c>
      <c r="F1549" s="1059">
        <v>5452.4</v>
      </c>
      <c r="G1549" s="1059">
        <v>26145</v>
      </c>
      <c r="H1549" s="1059">
        <v>8018.2</v>
      </c>
      <c r="I1549" s="1059">
        <v>5848.0348241399997</v>
      </c>
      <c r="J1549" s="1059">
        <v>5925.4206993608796</v>
      </c>
      <c r="K1549" s="1058" t="s">
        <v>2228</v>
      </c>
      <c r="L1549" s="657" t="s">
        <v>182</v>
      </c>
      <c r="M1549" s="657">
        <v>100</v>
      </c>
      <c r="N1549" s="657">
        <v>100</v>
      </c>
      <c r="O1549" s="657">
        <v>100</v>
      </c>
      <c r="P1549" s="657">
        <v>100</v>
      </c>
      <c r="Q1549" s="657">
        <v>100</v>
      </c>
    </row>
    <row r="1550" spans="1:17" x14ac:dyDescent="0.25">
      <c r="A1550" s="571"/>
      <c r="B1550" s="64"/>
      <c r="C1550" s="30" t="s">
        <v>8</v>
      </c>
      <c r="D1550" s="647"/>
      <c r="E1550" s="1058" t="s">
        <v>9</v>
      </c>
      <c r="F1550" s="1059">
        <v>2277</v>
      </c>
      <c r="G1550" s="1059">
        <v>2409.1</v>
      </c>
      <c r="H1550" s="1059">
        <v>2765.4</v>
      </c>
      <c r="I1550" s="1059">
        <v>2478.8721219599997</v>
      </c>
      <c r="J1550" s="1059">
        <v>2511.6745409754717</v>
      </c>
      <c r="K1550" s="1058" t="s">
        <v>185</v>
      </c>
      <c r="L1550" s="657" t="s">
        <v>182</v>
      </c>
      <c r="M1550" s="657">
        <v>89.8</v>
      </c>
      <c r="N1550" s="657">
        <v>100</v>
      </c>
      <c r="O1550" s="657">
        <v>100</v>
      </c>
      <c r="P1550" s="657">
        <v>100</v>
      </c>
      <c r="Q1550" s="657">
        <v>100</v>
      </c>
    </row>
    <row r="1551" spans="1:17" ht="30" x14ac:dyDescent="0.25">
      <c r="A1551" s="571"/>
      <c r="B1551" s="64"/>
      <c r="C1551" s="30" t="s">
        <v>10</v>
      </c>
      <c r="D1551" s="647"/>
      <c r="E1551" s="1058" t="s">
        <v>11</v>
      </c>
      <c r="F1551" s="1059">
        <v>2228.3000000000002</v>
      </c>
      <c r="G1551" s="1059">
        <v>2337.8000000000002</v>
      </c>
      <c r="H1551" s="1059">
        <v>2509.8000000000002</v>
      </c>
      <c r="I1551" s="1059">
        <v>2388.90079668</v>
      </c>
      <c r="J1551" s="1059">
        <v>2420.5126431423068</v>
      </c>
      <c r="K1551" s="1058" t="s">
        <v>2229</v>
      </c>
      <c r="L1551" s="657" t="s">
        <v>182</v>
      </c>
      <c r="M1551" s="657">
        <v>31.7</v>
      </c>
      <c r="N1551" s="657">
        <v>30</v>
      </c>
      <c r="O1551" s="657">
        <v>30</v>
      </c>
      <c r="P1551" s="657">
        <v>30</v>
      </c>
      <c r="Q1551" s="657">
        <v>30</v>
      </c>
    </row>
    <row r="1552" spans="1:17" ht="30" x14ac:dyDescent="0.25">
      <c r="A1552" s="571"/>
      <c r="B1552" s="64"/>
      <c r="C1552" s="30" t="s">
        <v>14</v>
      </c>
      <c r="D1552" s="647"/>
      <c r="E1552" s="1058" t="s">
        <v>15</v>
      </c>
      <c r="F1552" s="1059">
        <v>795.34</v>
      </c>
      <c r="G1552" s="1059">
        <v>818.7</v>
      </c>
      <c r="H1552" s="1059">
        <v>0</v>
      </c>
      <c r="I1552" s="1059">
        <v>0</v>
      </c>
      <c r="J1552" s="1059">
        <v>0</v>
      </c>
      <c r="K1552" s="1058" t="s">
        <v>2230</v>
      </c>
      <c r="L1552" s="657" t="s">
        <v>424</v>
      </c>
      <c r="M1552" s="657">
        <v>200</v>
      </c>
      <c r="N1552" s="657" t="s">
        <v>383</v>
      </c>
      <c r="O1552" s="657"/>
      <c r="P1552" s="657"/>
      <c r="Q1552" s="657"/>
    </row>
    <row r="1553" spans="1:17" ht="30" x14ac:dyDescent="0.25">
      <c r="A1553" s="571"/>
      <c r="B1553" s="64"/>
      <c r="C1553" s="30" t="s">
        <v>16</v>
      </c>
      <c r="D1553" s="647"/>
      <c r="E1553" s="1056" t="s">
        <v>895</v>
      </c>
      <c r="F1553" s="1059">
        <v>1518.9</v>
      </c>
      <c r="G1553" s="1059">
        <v>1654.1</v>
      </c>
      <c r="H1553" s="1059">
        <v>1884.4</v>
      </c>
      <c r="I1553" s="1059">
        <v>1718.8778529000001</v>
      </c>
      <c r="J1553" s="1059">
        <v>1741.6234197518552</v>
      </c>
      <c r="K1553" s="1058" t="s">
        <v>190</v>
      </c>
      <c r="L1553" s="657" t="s">
        <v>182</v>
      </c>
      <c r="M1553" s="657">
        <v>20</v>
      </c>
      <c r="N1553" s="657">
        <v>20</v>
      </c>
      <c r="O1553" s="657">
        <v>20</v>
      </c>
      <c r="P1553" s="657">
        <v>20</v>
      </c>
      <c r="Q1553" s="657">
        <v>20</v>
      </c>
    </row>
    <row r="1554" spans="1:17" ht="103.5" x14ac:dyDescent="0.25">
      <c r="A1554" s="1475">
        <v>59</v>
      </c>
      <c r="B1554" s="1476">
        <v>2</v>
      </c>
      <c r="C1554" s="1477"/>
      <c r="D1554" s="1010"/>
      <c r="E1554" s="1292" t="s">
        <v>2231</v>
      </c>
      <c r="F1554" s="1478">
        <v>44242.9</v>
      </c>
      <c r="G1554" s="1478">
        <v>47534.899999999994</v>
      </c>
      <c r="H1554" s="1479">
        <f>SUM(H1555:H1582)</f>
        <v>46433.3</v>
      </c>
      <c r="I1554" s="1479">
        <v>49268.227263199995</v>
      </c>
      <c r="J1554" s="1479">
        <v>49920.132691728475</v>
      </c>
      <c r="K1554" s="934" t="s">
        <v>2232</v>
      </c>
      <c r="L1554" s="657" t="s">
        <v>184</v>
      </c>
      <c r="M1554" s="657">
        <v>1</v>
      </c>
      <c r="N1554" s="1480">
        <v>1</v>
      </c>
      <c r="O1554" s="1480">
        <v>1</v>
      </c>
      <c r="P1554" s="1480">
        <v>1</v>
      </c>
      <c r="Q1554" s="1480">
        <v>1</v>
      </c>
    </row>
    <row r="1555" spans="1:17" ht="30" x14ac:dyDescent="0.25">
      <c r="A1555" s="2072"/>
      <c r="B1555" s="2075"/>
      <c r="C1555" s="1831" t="s">
        <v>6</v>
      </c>
      <c r="D1555" s="2078"/>
      <c r="E1555" s="1985" t="s">
        <v>2233</v>
      </c>
      <c r="F1555" s="2081">
        <v>3803.6</v>
      </c>
      <c r="G1555" s="2081">
        <v>2259.5</v>
      </c>
      <c r="H1555" s="2081">
        <v>2352.5</v>
      </c>
      <c r="I1555" s="2081">
        <v>2229.5259152999997</v>
      </c>
      <c r="J1555" s="2081">
        <v>2259.0287858319816</v>
      </c>
      <c r="K1555" s="1481" t="s">
        <v>2234</v>
      </c>
      <c r="L1555" s="1291" t="s">
        <v>2235</v>
      </c>
      <c r="M1555" s="657">
        <v>1</v>
      </c>
      <c r="N1555" s="1480">
        <v>1</v>
      </c>
      <c r="O1555" s="1480">
        <v>1</v>
      </c>
      <c r="P1555" s="1480">
        <v>1</v>
      </c>
      <c r="Q1555" s="1480">
        <v>1</v>
      </c>
    </row>
    <row r="1556" spans="1:17" ht="60" x14ac:dyDescent="0.25">
      <c r="A1556" s="2074"/>
      <c r="B1556" s="2077"/>
      <c r="C1556" s="2057"/>
      <c r="D1556" s="2080"/>
      <c r="E1556" s="1987"/>
      <c r="F1556" s="2083"/>
      <c r="G1556" s="2083"/>
      <c r="H1556" s="2083"/>
      <c r="I1556" s="2083"/>
      <c r="J1556" s="2083"/>
      <c r="K1556" s="1481" t="s">
        <v>2236</v>
      </c>
      <c r="L1556" s="1291" t="s">
        <v>2235</v>
      </c>
      <c r="M1556" s="1482" t="s">
        <v>2237</v>
      </c>
      <c r="N1556" s="1480" t="s">
        <v>2238</v>
      </c>
      <c r="O1556" s="1480" t="s">
        <v>2238</v>
      </c>
      <c r="P1556" s="1480" t="s">
        <v>2238</v>
      </c>
      <c r="Q1556" s="1480" t="s">
        <v>2238</v>
      </c>
    </row>
    <row r="1557" spans="1:17" ht="45" x14ac:dyDescent="0.25">
      <c r="A1557" s="571"/>
      <c r="B1557" s="64"/>
      <c r="C1557" s="30" t="s">
        <v>8</v>
      </c>
      <c r="D1557" s="647"/>
      <c r="E1557" s="945" t="s">
        <v>2239</v>
      </c>
      <c r="F1557" s="1220"/>
      <c r="G1557" s="1220"/>
      <c r="H1557" s="1220"/>
      <c r="I1557" s="1220"/>
      <c r="J1557" s="1220"/>
      <c r="K1557" s="1291" t="s">
        <v>2240</v>
      </c>
      <c r="L1557" s="657" t="s">
        <v>182</v>
      </c>
      <c r="M1557" s="657">
        <v>80</v>
      </c>
      <c r="N1557" s="1480">
        <v>78</v>
      </c>
      <c r="O1557" s="1480">
        <v>76</v>
      </c>
      <c r="P1557" s="1480">
        <v>74</v>
      </c>
      <c r="Q1557" s="1480">
        <v>72</v>
      </c>
    </row>
    <row r="1558" spans="1:17" ht="45" x14ac:dyDescent="0.25">
      <c r="A1558" s="2072"/>
      <c r="B1558" s="2075"/>
      <c r="C1558" s="1831" t="s">
        <v>10</v>
      </c>
      <c r="D1558" s="2078"/>
      <c r="E1558" s="1985" t="s">
        <v>2241</v>
      </c>
      <c r="F1558" s="2081">
        <v>2258.6</v>
      </c>
      <c r="G1558" s="2081">
        <v>2467.1</v>
      </c>
      <c r="H1558" s="2081">
        <v>2467.1999999999998</v>
      </c>
      <c r="I1558" s="2081">
        <v>2347.7652583199997</v>
      </c>
      <c r="J1558" s="2081">
        <v>2378.8327664302965</v>
      </c>
      <c r="K1558" s="1291" t="s">
        <v>2242</v>
      </c>
      <c r="L1558" s="657" t="s">
        <v>182</v>
      </c>
      <c r="M1558" s="657">
        <v>20</v>
      </c>
      <c r="N1558" s="1480">
        <v>22</v>
      </c>
      <c r="O1558" s="1480">
        <v>24</v>
      </c>
      <c r="P1558" s="1480">
        <v>26</v>
      </c>
      <c r="Q1558" s="1480">
        <v>28</v>
      </c>
    </row>
    <row r="1559" spans="1:17" ht="75" x14ac:dyDescent="0.25">
      <c r="A1559" s="2073"/>
      <c r="B1559" s="2076"/>
      <c r="C1559" s="1838"/>
      <c r="D1559" s="2079"/>
      <c r="E1559" s="1986"/>
      <c r="F1559" s="2082"/>
      <c r="G1559" s="2082"/>
      <c r="H1559" s="2082"/>
      <c r="I1559" s="2082"/>
      <c r="J1559" s="2082"/>
      <c r="K1559" s="1291" t="s">
        <v>2243</v>
      </c>
      <c r="L1559" s="657" t="s">
        <v>182</v>
      </c>
      <c r="M1559" s="657">
        <v>97</v>
      </c>
      <c r="N1559" s="1480">
        <v>100</v>
      </c>
      <c r="O1559" s="1480">
        <v>100</v>
      </c>
      <c r="P1559" s="1480">
        <v>100</v>
      </c>
      <c r="Q1559" s="1480">
        <v>100</v>
      </c>
    </row>
    <row r="1560" spans="1:17" ht="30" x14ac:dyDescent="0.25">
      <c r="A1560" s="2073"/>
      <c r="B1560" s="2076"/>
      <c r="C1560" s="1838"/>
      <c r="D1560" s="2079"/>
      <c r="E1560" s="1986"/>
      <c r="F1560" s="2082"/>
      <c r="G1560" s="2082"/>
      <c r="H1560" s="2082"/>
      <c r="I1560" s="2082"/>
      <c r="J1560" s="2082"/>
      <c r="K1560" s="1291" t="s">
        <v>2244</v>
      </c>
      <c r="L1560" s="657" t="s">
        <v>2238</v>
      </c>
      <c r="M1560" s="657">
        <v>97.9</v>
      </c>
      <c r="N1560" s="1483">
        <v>100</v>
      </c>
      <c r="O1560" s="1483">
        <v>100</v>
      </c>
      <c r="P1560" s="1483">
        <v>100</v>
      </c>
      <c r="Q1560" s="1483">
        <v>100</v>
      </c>
    </row>
    <row r="1561" spans="1:17" ht="30" x14ac:dyDescent="0.25">
      <c r="A1561" s="2074"/>
      <c r="B1561" s="2077"/>
      <c r="C1561" s="2057"/>
      <c r="D1561" s="2080"/>
      <c r="E1561" s="1987"/>
      <c r="F1561" s="2083"/>
      <c r="G1561" s="2083"/>
      <c r="H1561" s="2083"/>
      <c r="I1561" s="2083"/>
      <c r="J1561" s="2083"/>
      <c r="K1561" s="1481" t="s">
        <v>2245</v>
      </c>
      <c r="L1561" s="657" t="s">
        <v>182</v>
      </c>
      <c r="M1561" s="657">
        <v>93.5</v>
      </c>
      <c r="N1561" s="1483" t="s">
        <v>2238</v>
      </c>
      <c r="O1561" s="657" t="s">
        <v>2238</v>
      </c>
      <c r="P1561" s="657" t="s">
        <v>2238</v>
      </c>
      <c r="Q1561" s="657" t="s">
        <v>2238</v>
      </c>
    </row>
    <row r="1562" spans="1:17" ht="45" x14ac:dyDescent="0.25">
      <c r="A1562" s="2072"/>
      <c r="B1562" s="2075"/>
      <c r="C1562" s="1831" t="s">
        <v>12</v>
      </c>
      <c r="D1562" s="2078"/>
      <c r="E1562" s="1985" t="s">
        <v>2239</v>
      </c>
      <c r="F1562" s="2081">
        <v>2404.11</v>
      </c>
      <c r="G1562" s="2081">
        <v>2552.6</v>
      </c>
      <c r="H1562" s="2081">
        <v>2274.5</v>
      </c>
      <c r="I1562" s="2081">
        <v>2130.2332364999997</v>
      </c>
      <c r="J1562" s="2081">
        <v>2158.4221868719569</v>
      </c>
      <c r="K1562" s="1291" t="s">
        <v>2246</v>
      </c>
      <c r="L1562" s="657" t="s">
        <v>182</v>
      </c>
      <c r="M1562" s="657">
        <v>85</v>
      </c>
      <c r="N1562" s="1480">
        <v>90</v>
      </c>
      <c r="O1562" s="1480">
        <v>95</v>
      </c>
      <c r="P1562" s="1480">
        <v>100</v>
      </c>
      <c r="Q1562" s="1480">
        <v>100</v>
      </c>
    </row>
    <row r="1563" spans="1:17" ht="75" x14ac:dyDescent="0.25">
      <c r="A1563" s="2073"/>
      <c r="B1563" s="2076"/>
      <c r="C1563" s="1838"/>
      <c r="D1563" s="2079"/>
      <c r="E1563" s="1986"/>
      <c r="F1563" s="2082"/>
      <c r="G1563" s="2082"/>
      <c r="H1563" s="2082"/>
      <c r="I1563" s="2082"/>
      <c r="J1563" s="2082"/>
      <c r="K1563" s="1291" t="s">
        <v>2247</v>
      </c>
      <c r="L1563" s="657" t="s">
        <v>182</v>
      </c>
      <c r="M1563" s="657" t="s">
        <v>2238</v>
      </c>
      <c r="N1563" s="1480">
        <v>98</v>
      </c>
      <c r="O1563" s="1480">
        <v>100</v>
      </c>
      <c r="P1563" s="1480">
        <v>100</v>
      </c>
      <c r="Q1563" s="1480">
        <v>100</v>
      </c>
    </row>
    <row r="1564" spans="1:17" ht="45" x14ac:dyDescent="0.25">
      <c r="A1564" s="2074"/>
      <c r="B1564" s="2077"/>
      <c r="C1564" s="2057"/>
      <c r="D1564" s="2080"/>
      <c r="E1564" s="1987"/>
      <c r="F1564" s="2083"/>
      <c r="G1564" s="2083"/>
      <c r="H1564" s="2083"/>
      <c r="I1564" s="2083"/>
      <c r="J1564" s="2083"/>
      <c r="K1564" s="1291" t="s">
        <v>2248</v>
      </c>
      <c r="L1564" s="657" t="s">
        <v>2238</v>
      </c>
      <c r="M1564" s="657">
        <v>100</v>
      </c>
      <c r="N1564" s="1483">
        <v>100</v>
      </c>
      <c r="O1564" s="1483">
        <v>100</v>
      </c>
      <c r="P1564" s="1483">
        <v>100</v>
      </c>
      <c r="Q1564" s="1483">
        <v>100</v>
      </c>
    </row>
    <row r="1565" spans="1:17" x14ac:dyDescent="0.25">
      <c r="A1565" s="2072"/>
      <c r="B1565" s="2075"/>
      <c r="C1565" s="1831" t="s">
        <v>14</v>
      </c>
      <c r="D1565" s="2078"/>
      <c r="E1565" s="1985" t="s">
        <v>2249</v>
      </c>
      <c r="F1565" s="2081">
        <v>3613</v>
      </c>
      <c r="G1565" s="2081">
        <v>3917.8</v>
      </c>
      <c r="H1565" s="2081">
        <v>3420.8</v>
      </c>
      <c r="I1565" s="2081">
        <v>4377.8</v>
      </c>
      <c r="J1565" s="2081">
        <v>4435.7</v>
      </c>
      <c r="K1565" s="2020" t="s">
        <v>2250</v>
      </c>
      <c r="L1565" s="2058" t="s">
        <v>225</v>
      </c>
      <c r="M1565" s="2058">
        <v>17719</v>
      </c>
      <c r="N1565" s="2058">
        <v>14800</v>
      </c>
      <c r="O1565" s="2058">
        <v>14900</v>
      </c>
      <c r="P1565" s="2058">
        <v>15000</v>
      </c>
      <c r="Q1565" s="2058">
        <v>15100</v>
      </c>
    </row>
    <row r="1566" spans="1:17" x14ac:dyDescent="0.25">
      <c r="A1566" s="2074"/>
      <c r="B1566" s="2077"/>
      <c r="C1566" s="2057"/>
      <c r="D1566" s="2080"/>
      <c r="E1566" s="1987"/>
      <c r="F1566" s="2083"/>
      <c r="G1566" s="2083"/>
      <c r="H1566" s="2083"/>
      <c r="I1566" s="2083"/>
      <c r="J1566" s="2083"/>
      <c r="K1566" s="2022"/>
      <c r="L1566" s="1832"/>
      <c r="M1566" s="1832"/>
      <c r="N1566" s="1832"/>
      <c r="O1566" s="1832"/>
      <c r="P1566" s="1832"/>
      <c r="Q1566" s="1832"/>
    </row>
    <row r="1567" spans="1:17" x14ac:dyDescent="0.25">
      <c r="A1567" s="2072"/>
      <c r="B1567" s="2075"/>
      <c r="C1567" s="1831" t="s">
        <v>16</v>
      </c>
      <c r="D1567" s="2078"/>
      <c r="E1567" s="1985" t="s">
        <v>2251</v>
      </c>
      <c r="F1567" s="2081">
        <v>1781.69</v>
      </c>
      <c r="G1567" s="2081">
        <v>2016.3</v>
      </c>
      <c r="H1567" s="2081">
        <v>5655.9</v>
      </c>
      <c r="I1567" s="2081">
        <v>2097.8111372999997</v>
      </c>
      <c r="J1567" s="2081">
        <v>2125.5710525176632</v>
      </c>
      <c r="K1567" s="2020" t="s">
        <v>2252</v>
      </c>
      <c r="L1567" s="2058" t="s">
        <v>2253</v>
      </c>
      <c r="M1567" s="2058"/>
      <c r="N1567" s="2058">
        <v>4</v>
      </c>
      <c r="O1567" s="2058">
        <v>1</v>
      </c>
      <c r="P1567" s="2058">
        <v>1</v>
      </c>
      <c r="Q1567" s="2058">
        <v>1</v>
      </c>
    </row>
    <row r="1568" spans="1:17" x14ac:dyDescent="0.25">
      <c r="A1568" s="2073"/>
      <c r="B1568" s="2076"/>
      <c r="C1568" s="1838"/>
      <c r="D1568" s="2079"/>
      <c r="E1568" s="1986"/>
      <c r="F1568" s="2082"/>
      <c r="G1568" s="2082"/>
      <c r="H1568" s="2082"/>
      <c r="I1568" s="2082"/>
      <c r="J1568" s="2082"/>
      <c r="K1568" s="2021"/>
      <c r="L1568" s="2084"/>
      <c r="M1568" s="2084"/>
      <c r="N1568" s="2084"/>
      <c r="O1568" s="2084"/>
      <c r="P1568" s="2084"/>
      <c r="Q1568" s="2084"/>
    </row>
    <row r="1569" spans="1:17" x14ac:dyDescent="0.25">
      <c r="A1569" s="2073"/>
      <c r="B1569" s="2076"/>
      <c r="C1569" s="1838"/>
      <c r="D1569" s="2079"/>
      <c r="E1569" s="1986"/>
      <c r="F1569" s="2082"/>
      <c r="G1569" s="2082"/>
      <c r="H1569" s="2082"/>
      <c r="I1569" s="2082"/>
      <c r="J1569" s="2082"/>
      <c r="K1569" s="2022"/>
      <c r="L1569" s="1832"/>
      <c r="M1569" s="1832"/>
      <c r="N1569" s="1832"/>
      <c r="O1569" s="1832"/>
      <c r="P1569" s="1832"/>
      <c r="Q1569" s="1832"/>
    </row>
    <row r="1570" spans="1:17" x14ac:dyDescent="0.25">
      <c r="A1570" s="2073"/>
      <c r="B1570" s="2076"/>
      <c r="C1570" s="1838"/>
      <c r="D1570" s="2079"/>
      <c r="E1570" s="1986"/>
      <c r="F1570" s="2082"/>
      <c r="G1570" s="2082"/>
      <c r="H1570" s="2082"/>
      <c r="I1570" s="2082"/>
      <c r="J1570" s="2082"/>
      <c r="K1570" s="1291" t="s">
        <v>2254</v>
      </c>
      <c r="L1570" s="933" t="s">
        <v>270</v>
      </c>
      <c r="M1570" s="933">
        <v>2</v>
      </c>
      <c r="N1570" s="933">
        <v>1</v>
      </c>
      <c r="O1570" s="933">
        <v>2</v>
      </c>
      <c r="P1570" s="933">
        <v>2</v>
      </c>
      <c r="Q1570" s="933">
        <v>2</v>
      </c>
    </row>
    <row r="1571" spans="1:17" x14ac:dyDescent="0.25">
      <c r="A1571" s="2074"/>
      <c r="B1571" s="2077"/>
      <c r="C1571" s="2057"/>
      <c r="D1571" s="2080"/>
      <c r="E1571" s="1987"/>
      <c r="F1571" s="2083"/>
      <c r="G1571" s="2083"/>
      <c r="H1571" s="2083"/>
      <c r="I1571" s="2083"/>
      <c r="J1571" s="2083"/>
      <c r="K1571" s="82" t="s">
        <v>2255</v>
      </c>
      <c r="L1571" s="933" t="s">
        <v>270</v>
      </c>
      <c r="M1571" s="933"/>
      <c r="N1571" s="933"/>
      <c r="O1571" s="933">
        <v>1</v>
      </c>
      <c r="P1571" s="933">
        <v>2</v>
      </c>
      <c r="Q1571" s="933">
        <v>2</v>
      </c>
    </row>
    <row r="1572" spans="1:17" ht="30" x14ac:dyDescent="0.25">
      <c r="A1572" s="2072"/>
      <c r="B1572" s="2075"/>
      <c r="C1572" s="1831" t="s">
        <v>48</v>
      </c>
      <c r="D1572" s="2078"/>
      <c r="E1572" s="1985" t="s">
        <v>2256</v>
      </c>
      <c r="F1572" s="2081">
        <v>0</v>
      </c>
      <c r="G1572" s="2081">
        <v>0</v>
      </c>
      <c r="H1572" s="2081">
        <v>2419.4</v>
      </c>
      <c r="I1572" s="2081">
        <v>2297.3000000000002</v>
      </c>
      <c r="J1572" s="2081">
        <v>2327.6999999999998</v>
      </c>
      <c r="K1572" s="945" t="s">
        <v>2257</v>
      </c>
      <c r="L1572" s="1053" t="s">
        <v>191</v>
      </c>
      <c r="M1572" s="1484">
        <v>50</v>
      </c>
      <c r="N1572" s="1484">
        <v>70</v>
      </c>
      <c r="O1572" s="1484">
        <v>100</v>
      </c>
      <c r="P1572" s="1484">
        <v>150</v>
      </c>
      <c r="Q1572" s="1484">
        <v>180</v>
      </c>
    </row>
    <row r="1573" spans="1:17" ht="30" x14ac:dyDescent="0.25">
      <c r="A1573" s="2073"/>
      <c r="B1573" s="2076"/>
      <c r="C1573" s="1838"/>
      <c r="D1573" s="2079"/>
      <c r="E1573" s="1986"/>
      <c r="F1573" s="2082"/>
      <c r="G1573" s="2082"/>
      <c r="H1573" s="2082"/>
      <c r="I1573" s="2082"/>
      <c r="J1573" s="2082"/>
      <c r="K1573" s="945" t="s">
        <v>2258</v>
      </c>
      <c r="L1573" s="1053" t="s">
        <v>182</v>
      </c>
      <c r="M1573" s="1484">
        <v>1</v>
      </c>
      <c r="N1573" s="1484">
        <v>36</v>
      </c>
      <c r="O1573" s="1484" t="s">
        <v>383</v>
      </c>
      <c r="P1573" s="1484" t="s">
        <v>383</v>
      </c>
      <c r="Q1573" s="1484" t="s">
        <v>383</v>
      </c>
    </row>
    <row r="1574" spans="1:17" ht="30" x14ac:dyDescent="0.25">
      <c r="A1574" s="2073"/>
      <c r="B1574" s="2076"/>
      <c r="C1574" s="1838"/>
      <c r="D1574" s="2079"/>
      <c r="E1574" s="1986"/>
      <c r="F1574" s="2082"/>
      <c r="G1574" s="2082"/>
      <c r="H1574" s="2082"/>
      <c r="I1574" s="2082"/>
      <c r="J1574" s="2082"/>
      <c r="K1574" s="1058" t="s">
        <v>2259</v>
      </c>
      <c r="L1574" s="657" t="s">
        <v>189</v>
      </c>
      <c r="M1574" s="657">
        <v>200</v>
      </c>
      <c r="N1574" s="657">
        <v>200</v>
      </c>
      <c r="O1574" s="657" t="s">
        <v>383</v>
      </c>
      <c r="P1574" s="657" t="s">
        <v>383</v>
      </c>
      <c r="Q1574" s="657" t="s">
        <v>383</v>
      </c>
    </row>
    <row r="1575" spans="1:17" ht="30" x14ac:dyDescent="0.25">
      <c r="A1575" s="2074"/>
      <c r="B1575" s="2077"/>
      <c r="C1575" s="2057"/>
      <c r="D1575" s="2080"/>
      <c r="E1575" s="1987"/>
      <c r="F1575" s="2083"/>
      <c r="G1575" s="2083"/>
      <c r="H1575" s="2083"/>
      <c r="I1575" s="2083"/>
      <c r="J1575" s="2083"/>
      <c r="K1575" s="1058" t="s">
        <v>2260</v>
      </c>
      <c r="L1575" s="657" t="s">
        <v>424</v>
      </c>
      <c r="M1575" s="657">
        <v>100</v>
      </c>
      <c r="N1575" s="657">
        <v>200</v>
      </c>
      <c r="O1575" s="657">
        <v>200</v>
      </c>
      <c r="P1575" s="657">
        <v>200</v>
      </c>
      <c r="Q1575" s="657">
        <v>200</v>
      </c>
    </row>
    <row r="1576" spans="1:17" ht="30" x14ac:dyDescent="0.25">
      <c r="A1576" s="571"/>
      <c r="B1576" s="64"/>
      <c r="C1576" s="30" t="s">
        <v>49</v>
      </c>
      <c r="D1576" s="647"/>
      <c r="E1576" s="55" t="s">
        <v>2261</v>
      </c>
      <c r="F1576" s="1017">
        <v>10152.5</v>
      </c>
      <c r="G1576" s="1017">
        <v>11070.9</v>
      </c>
      <c r="H1576" s="1017">
        <v>2260</v>
      </c>
      <c r="I1576" s="1017">
        <v>11326.6</v>
      </c>
      <c r="J1576" s="1017">
        <v>11476.4</v>
      </c>
      <c r="K1576" s="914" t="s">
        <v>2262</v>
      </c>
      <c r="L1576" s="1002" t="s">
        <v>182</v>
      </c>
      <c r="M1576" s="1002">
        <v>82.8</v>
      </c>
      <c r="N1576" s="1002">
        <v>100</v>
      </c>
      <c r="O1576" s="1002">
        <v>100</v>
      </c>
      <c r="P1576" s="1002">
        <v>100</v>
      </c>
      <c r="Q1576" s="1002">
        <v>100</v>
      </c>
    </row>
    <row r="1577" spans="1:17" ht="45" x14ac:dyDescent="0.25">
      <c r="A1577" s="2072"/>
      <c r="B1577" s="2075"/>
      <c r="C1577" s="1831" t="s">
        <v>124</v>
      </c>
      <c r="D1577" s="2078"/>
      <c r="E1577" s="1985" t="s">
        <v>2263</v>
      </c>
      <c r="F1577" s="1835">
        <v>2300.5</v>
      </c>
      <c r="G1577" s="1835">
        <v>2456.6</v>
      </c>
      <c r="H1577" s="1835">
        <v>3104.2</v>
      </c>
      <c r="I1577" s="1835">
        <v>3145.1</v>
      </c>
      <c r="J1577" s="1835">
        <v>3186.8</v>
      </c>
      <c r="K1577" s="914" t="s">
        <v>2264</v>
      </c>
      <c r="L1577" s="1002" t="s">
        <v>182</v>
      </c>
      <c r="M1577" s="1002">
        <v>121</v>
      </c>
      <c r="N1577" s="48">
        <v>100</v>
      </c>
      <c r="O1577" s="48">
        <v>100</v>
      </c>
      <c r="P1577" s="48">
        <v>100</v>
      </c>
      <c r="Q1577" s="48">
        <v>100</v>
      </c>
    </row>
    <row r="1578" spans="1:17" x14ac:dyDescent="0.25">
      <c r="A1578" s="2074"/>
      <c r="B1578" s="2077"/>
      <c r="C1578" s="2057"/>
      <c r="D1578" s="2080"/>
      <c r="E1578" s="1987"/>
      <c r="F1578" s="1836"/>
      <c r="G1578" s="1836"/>
      <c r="H1578" s="1836"/>
      <c r="I1578" s="1836"/>
      <c r="J1578" s="1836"/>
      <c r="K1578" s="692" t="s">
        <v>2265</v>
      </c>
      <c r="L1578" s="1002" t="s">
        <v>2266</v>
      </c>
      <c r="M1578" s="1002">
        <v>147</v>
      </c>
      <c r="N1578" s="1017">
        <v>139</v>
      </c>
      <c r="O1578" s="1017" t="s">
        <v>383</v>
      </c>
      <c r="P1578" s="1017" t="s">
        <v>383</v>
      </c>
      <c r="Q1578" s="1017" t="s">
        <v>383</v>
      </c>
    </row>
    <row r="1579" spans="1:17" ht="45" x14ac:dyDescent="0.25">
      <c r="A1579" s="1475"/>
      <c r="B1579" s="1476"/>
      <c r="C1579" s="1050" t="s">
        <v>157</v>
      </c>
      <c r="D1579" s="953"/>
      <c r="E1579" s="55" t="s">
        <v>2267</v>
      </c>
      <c r="F1579" s="1485">
        <v>0</v>
      </c>
      <c r="G1579" s="1485">
        <v>1928.8</v>
      </c>
      <c r="H1579" s="1485">
        <v>2094</v>
      </c>
      <c r="I1579" s="1485">
        <v>1967.6161451999997</v>
      </c>
      <c r="J1579" s="1485">
        <v>1993.6532161262021</v>
      </c>
      <c r="K1579" s="178" t="s">
        <v>2268</v>
      </c>
      <c r="L1579" s="1002" t="s">
        <v>182</v>
      </c>
      <c r="M1579" s="1002">
        <v>100</v>
      </c>
      <c r="N1579" s="48">
        <v>100</v>
      </c>
      <c r="O1579" s="48">
        <v>100</v>
      </c>
      <c r="P1579" s="48">
        <v>100</v>
      </c>
      <c r="Q1579" s="48">
        <v>100</v>
      </c>
    </row>
    <row r="1580" spans="1:17" ht="45" x14ac:dyDescent="0.25">
      <c r="A1580" s="1475"/>
      <c r="B1580" s="1476"/>
      <c r="C1580" s="1050" t="s">
        <v>158</v>
      </c>
      <c r="D1580" s="953"/>
      <c r="E1580" s="55" t="s">
        <v>2269</v>
      </c>
      <c r="F1580" s="1485">
        <v>0</v>
      </c>
      <c r="G1580" s="1485">
        <v>0</v>
      </c>
      <c r="H1580" s="1485">
        <v>534.20000000000005</v>
      </c>
      <c r="I1580" s="1485">
        <v>343.77557057999996</v>
      </c>
      <c r="J1580" s="1485">
        <v>348.32468395037097</v>
      </c>
      <c r="K1580" s="178" t="s">
        <v>2270</v>
      </c>
      <c r="L1580" s="1002" t="s">
        <v>182</v>
      </c>
      <c r="M1580" s="1002">
        <v>100</v>
      </c>
      <c r="N1580" s="48">
        <v>100</v>
      </c>
      <c r="O1580" s="48">
        <v>100</v>
      </c>
      <c r="P1580" s="48">
        <v>100</v>
      </c>
      <c r="Q1580" s="48">
        <v>100</v>
      </c>
    </row>
    <row r="1581" spans="1:17" ht="120" x14ac:dyDescent="0.25">
      <c r="A1581" s="1475"/>
      <c r="B1581" s="1476"/>
      <c r="C1581" s="1050" t="s">
        <v>159</v>
      </c>
      <c r="D1581" s="953"/>
      <c r="E1581" s="55" t="s">
        <v>2271</v>
      </c>
      <c r="F1581" s="1485">
        <v>1915.5</v>
      </c>
      <c r="G1581" s="1485">
        <v>2082</v>
      </c>
      <c r="H1581" s="1485">
        <v>0</v>
      </c>
      <c r="I1581" s="1485">
        <v>0</v>
      </c>
      <c r="J1581" s="1485">
        <v>0</v>
      </c>
      <c r="K1581" s="178" t="s">
        <v>2272</v>
      </c>
      <c r="L1581" s="1002" t="s">
        <v>2273</v>
      </c>
      <c r="M1581" s="1002">
        <v>30</v>
      </c>
      <c r="N1581" s="48">
        <v>30</v>
      </c>
      <c r="O1581" s="48">
        <v>30</v>
      </c>
      <c r="P1581" s="48">
        <v>30</v>
      </c>
      <c r="Q1581" s="48">
        <v>30</v>
      </c>
    </row>
    <row r="1582" spans="1:17" ht="30" x14ac:dyDescent="0.25">
      <c r="A1582" s="1475"/>
      <c r="B1582" s="1476"/>
      <c r="C1582" s="1050" t="s">
        <v>160</v>
      </c>
      <c r="D1582" s="953"/>
      <c r="E1582" s="55" t="s">
        <v>2274</v>
      </c>
      <c r="F1582" s="977">
        <v>16013.4</v>
      </c>
      <c r="G1582" s="977">
        <v>16783.3</v>
      </c>
      <c r="H1582" s="977">
        <f>16637.4+3213.2</f>
        <v>19850.600000000002</v>
      </c>
      <c r="I1582" s="977">
        <v>17004.7</v>
      </c>
      <c r="J1582" s="977">
        <v>17229.7</v>
      </c>
      <c r="K1582" s="953"/>
      <c r="L1582" s="953"/>
      <c r="M1582" s="953"/>
      <c r="N1582" s="953"/>
      <c r="O1582" s="953"/>
      <c r="P1582" s="953"/>
      <c r="Q1582" s="953"/>
    </row>
    <row r="1583" spans="1:17" ht="36" customHeight="1" x14ac:dyDescent="0.25">
      <c r="A1583" s="1840" t="s">
        <v>2275</v>
      </c>
      <c r="B1583" s="1841"/>
      <c r="C1583" s="1841"/>
      <c r="D1583" s="1841"/>
      <c r="E1583" s="1841"/>
      <c r="F1583" s="46">
        <v>56514.840000000004</v>
      </c>
      <c r="G1583" s="46">
        <v>80899.599999999991</v>
      </c>
      <c r="H1583" s="46">
        <f>H1548+H1554</f>
        <v>61611.100000000006</v>
      </c>
      <c r="I1583" s="46">
        <v>61702.912858879994</v>
      </c>
      <c r="J1583" s="46">
        <v>62519.363994958985</v>
      </c>
      <c r="K1583" s="1486"/>
      <c r="L1583" s="1486"/>
      <c r="M1583" s="1486"/>
      <c r="N1583" s="1486"/>
      <c r="O1583" s="1486"/>
      <c r="P1583" s="1486"/>
      <c r="Q1583" s="1486"/>
    </row>
    <row r="1584" spans="1:17" x14ac:dyDescent="0.25">
      <c r="A1584" s="1826" t="s">
        <v>2276</v>
      </c>
      <c r="B1584" s="1827"/>
      <c r="C1584" s="1827"/>
      <c r="D1584" s="1827"/>
      <c r="E1584" s="1827"/>
      <c r="F1584" s="1827"/>
      <c r="G1584" s="1827"/>
      <c r="H1584" s="1827"/>
      <c r="I1584" s="1827"/>
      <c r="J1584" s="1827"/>
      <c r="K1584" s="1827"/>
      <c r="L1584" s="1827"/>
      <c r="M1584" s="1827"/>
      <c r="N1584" s="1827"/>
      <c r="O1584" s="1827"/>
      <c r="P1584" s="1827"/>
      <c r="Q1584" s="1828"/>
    </row>
    <row r="1585" spans="1:17" ht="73.5" x14ac:dyDescent="0.25">
      <c r="A1585" s="1487">
        <v>60</v>
      </c>
      <c r="B1585" s="1488">
        <v>1</v>
      </c>
      <c r="C1585" s="1489"/>
      <c r="D1585" s="1490"/>
      <c r="E1585" s="1491" t="s">
        <v>810</v>
      </c>
      <c r="F1585" s="1492">
        <v>18076.699999999997</v>
      </c>
      <c r="G1585" s="1492">
        <v>23620.699999999997</v>
      </c>
      <c r="H1585" s="1492">
        <f>SUM(H1586:H1594)</f>
        <v>63014.079999999994</v>
      </c>
      <c r="I1585" s="1492">
        <v>24708.699999999997</v>
      </c>
      <c r="J1585" s="1492">
        <v>24938.1</v>
      </c>
      <c r="K1585" s="1493" t="s">
        <v>181</v>
      </c>
      <c r="L1585" s="1494" t="s">
        <v>182</v>
      </c>
      <c r="M1585" s="1494"/>
      <c r="N1585" s="1495"/>
      <c r="O1585" s="1494"/>
      <c r="P1585" s="1494"/>
      <c r="Q1585" s="1494"/>
    </row>
    <row r="1586" spans="1:17" ht="30" x14ac:dyDescent="0.25">
      <c r="A1586" s="1487"/>
      <c r="B1586" s="1488"/>
      <c r="C1586" s="1496" t="s">
        <v>6</v>
      </c>
      <c r="D1586" s="1497"/>
      <c r="E1586" s="1056" t="s">
        <v>77</v>
      </c>
      <c r="F1586" s="1498">
        <v>5513.4</v>
      </c>
      <c r="G1586" s="1498">
        <v>7204.3</v>
      </c>
      <c r="H1586" s="1498">
        <v>9299.7000000000007</v>
      </c>
      <c r="I1586" s="1498">
        <v>7536.1</v>
      </c>
      <c r="J1586" s="1498">
        <v>7606.1</v>
      </c>
      <c r="K1586" s="1499" t="s">
        <v>183</v>
      </c>
      <c r="L1586" s="1500" t="s">
        <v>1545</v>
      </c>
      <c r="M1586" s="925" t="s">
        <v>445</v>
      </c>
      <c r="N1586" s="925" t="s">
        <v>445</v>
      </c>
      <c r="O1586" s="925" t="s">
        <v>445</v>
      </c>
      <c r="P1586" s="925" t="s">
        <v>445</v>
      </c>
      <c r="Q1586" s="925" t="s">
        <v>445</v>
      </c>
    </row>
    <row r="1587" spans="1:17" x14ac:dyDescent="0.25">
      <c r="A1587" s="1487"/>
      <c r="B1587" s="1488"/>
      <c r="C1587" s="1496" t="s">
        <v>8</v>
      </c>
      <c r="D1587" s="1497"/>
      <c r="E1587" s="1056" t="s">
        <v>9</v>
      </c>
      <c r="F1587" s="1498"/>
      <c r="G1587" s="1498"/>
      <c r="H1587" s="1498">
        <v>876.6</v>
      </c>
      <c r="I1587" s="1498"/>
      <c r="J1587" s="1498"/>
      <c r="K1587" s="1501"/>
      <c r="L1587" s="1500"/>
      <c r="M1587" s="925"/>
      <c r="N1587" s="925"/>
      <c r="O1587" s="925"/>
      <c r="P1587" s="925"/>
      <c r="Q1587" s="925"/>
    </row>
    <row r="1588" spans="1:17" ht="30" x14ac:dyDescent="0.25">
      <c r="A1588" s="1487"/>
      <c r="B1588" s="1488"/>
      <c r="C1588" s="1496" t="s">
        <v>10</v>
      </c>
      <c r="D1588" s="1497"/>
      <c r="E1588" s="1056" t="s">
        <v>11</v>
      </c>
      <c r="F1588" s="1498">
        <v>1952.2</v>
      </c>
      <c r="G1588" s="1498">
        <v>2551</v>
      </c>
      <c r="H1588" s="1498">
        <v>2906.7</v>
      </c>
      <c r="I1588" s="1498">
        <v>2668.5</v>
      </c>
      <c r="J1588" s="1498">
        <v>2693.3</v>
      </c>
      <c r="K1588" s="1501" t="s">
        <v>186</v>
      </c>
      <c r="L1588" s="1500" t="s">
        <v>182</v>
      </c>
      <c r="M1588" s="1500"/>
      <c r="N1588" s="1500">
        <v>100</v>
      </c>
      <c r="O1588" s="1500">
        <v>100</v>
      </c>
      <c r="P1588" s="1500">
        <v>100</v>
      </c>
      <c r="Q1588" s="1500">
        <v>100</v>
      </c>
    </row>
    <row r="1589" spans="1:17" ht="30" x14ac:dyDescent="0.25">
      <c r="A1589" s="906"/>
      <c r="B1589" s="1047"/>
      <c r="C1589" s="948">
        <v>4</v>
      </c>
      <c r="D1589" s="13"/>
      <c r="E1589" s="1056" t="s">
        <v>13</v>
      </c>
      <c r="F1589" s="1498">
        <v>1789.6</v>
      </c>
      <c r="G1589" s="1498">
        <v>2338.5</v>
      </c>
      <c r="H1589" s="1498">
        <v>2446.1</v>
      </c>
      <c r="I1589" s="1498">
        <v>2446.1999999999998</v>
      </c>
      <c r="J1589" s="1498">
        <v>2468.9</v>
      </c>
      <c r="K1589" s="914" t="s">
        <v>187</v>
      </c>
      <c r="L1589" s="1002" t="s">
        <v>423</v>
      </c>
      <c r="M1589" s="1002"/>
      <c r="N1589" s="1003">
        <v>100</v>
      </c>
      <c r="O1589" s="1003">
        <v>100</v>
      </c>
      <c r="P1589" s="1003">
        <v>100</v>
      </c>
      <c r="Q1589" s="1003">
        <v>100</v>
      </c>
    </row>
    <row r="1590" spans="1:17" ht="30" x14ac:dyDescent="0.25">
      <c r="A1590" s="1487"/>
      <c r="B1590" s="1488"/>
      <c r="C1590" s="948">
        <v>5</v>
      </c>
      <c r="D1590" s="13"/>
      <c r="E1590" s="1056" t="s">
        <v>15</v>
      </c>
      <c r="F1590" s="1502">
        <v>325.3</v>
      </c>
      <c r="G1590" s="1502">
        <v>425.2</v>
      </c>
      <c r="H1590" s="1502">
        <v>444.8</v>
      </c>
      <c r="I1590" s="1502">
        <v>444.8</v>
      </c>
      <c r="J1590" s="1502">
        <v>448.9</v>
      </c>
      <c r="K1590" s="914" t="s">
        <v>188</v>
      </c>
      <c r="L1590" s="1002" t="s">
        <v>182</v>
      </c>
      <c r="M1590" s="1002"/>
      <c r="N1590" s="1002">
        <v>100</v>
      </c>
      <c r="O1590" s="1002">
        <v>100</v>
      </c>
      <c r="P1590" s="1002">
        <v>100</v>
      </c>
      <c r="Q1590" s="1002">
        <v>100</v>
      </c>
    </row>
    <row r="1591" spans="1:17" ht="30" x14ac:dyDescent="0.25">
      <c r="A1591" s="1487"/>
      <c r="B1591" s="1891"/>
      <c r="C1591" s="2067">
        <v>6</v>
      </c>
      <c r="D1591" s="2068"/>
      <c r="E1591" s="2020" t="s">
        <v>17</v>
      </c>
      <c r="F1591" s="2069">
        <v>2639.3</v>
      </c>
      <c r="G1591" s="2069">
        <v>3448.6</v>
      </c>
      <c r="H1591" s="2069">
        <v>32094.880000000001</v>
      </c>
      <c r="I1591" s="2069">
        <v>3607.5</v>
      </c>
      <c r="J1591" s="2069">
        <v>3641</v>
      </c>
      <c r="K1591" s="914" t="s">
        <v>357</v>
      </c>
      <c r="L1591" s="1002" t="s">
        <v>182</v>
      </c>
      <c r="M1591" s="1002">
        <v>100</v>
      </c>
      <c r="N1591" s="1002">
        <v>100</v>
      </c>
      <c r="O1591" s="1002">
        <v>100</v>
      </c>
      <c r="P1591" s="1003">
        <v>100</v>
      </c>
      <c r="Q1591" s="1003">
        <v>100</v>
      </c>
    </row>
    <row r="1592" spans="1:17" ht="75" x14ac:dyDescent="0.25">
      <c r="A1592" s="1487"/>
      <c r="B1592" s="1817"/>
      <c r="C1592" s="2067"/>
      <c r="D1592" s="2068"/>
      <c r="E1592" s="2022"/>
      <c r="F1592" s="2069"/>
      <c r="G1592" s="2069"/>
      <c r="H1592" s="2069"/>
      <c r="I1592" s="2069"/>
      <c r="J1592" s="2069"/>
      <c r="K1592" s="914" t="s">
        <v>358</v>
      </c>
      <c r="L1592" s="1003" t="s">
        <v>182</v>
      </c>
      <c r="M1592" s="1003">
        <v>100</v>
      </c>
      <c r="N1592" s="1003">
        <v>100</v>
      </c>
      <c r="O1592" s="1003">
        <v>100</v>
      </c>
      <c r="P1592" s="1003">
        <v>100</v>
      </c>
      <c r="Q1592" s="1003">
        <v>100</v>
      </c>
    </row>
    <row r="1593" spans="1:17" ht="30" x14ac:dyDescent="0.25">
      <c r="A1593" s="1487"/>
      <c r="B1593" s="1488"/>
      <c r="C1593" s="1496" t="s">
        <v>48</v>
      </c>
      <c r="D1593" s="1497"/>
      <c r="E1593" s="1056" t="s">
        <v>66</v>
      </c>
      <c r="F1593" s="1498">
        <v>5856.9</v>
      </c>
      <c r="G1593" s="1498">
        <v>7653.1</v>
      </c>
      <c r="H1593" s="1498">
        <f>8745.8+466.8</f>
        <v>9212.5999999999985</v>
      </c>
      <c r="I1593" s="1498">
        <v>8005.6</v>
      </c>
      <c r="J1593" s="1498">
        <v>8079.9</v>
      </c>
      <c r="K1593" s="1499"/>
      <c r="L1593" s="1500" t="s">
        <v>182</v>
      </c>
      <c r="M1593" s="1002">
        <v>100</v>
      </c>
      <c r="N1593" s="1002">
        <v>100</v>
      </c>
      <c r="O1593" s="1002">
        <v>100</v>
      </c>
      <c r="P1593" s="1002">
        <v>100</v>
      </c>
      <c r="Q1593" s="1002">
        <v>100</v>
      </c>
    </row>
    <row r="1594" spans="1:17" x14ac:dyDescent="0.25">
      <c r="A1594" s="1487"/>
      <c r="B1594" s="1488"/>
      <c r="C1594" s="1496" t="s">
        <v>49</v>
      </c>
      <c r="D1594" s="1497"/>
      <c r="E1594" s="1056" t="s">
        <v>67</v>
      </c>
      <c r="F1594" s="1498"/>
      <c r="G1594" s="1498"/>
      <c r="H1594" s="1498">
        <v>5732.7</v>
      </c>
      <c r="I1594" s="1498"/>
      <c r="J1594" s="1498"/>
      <c r="K1594" s="1499"/>
      <c r="L1594" s="1503"/>
      <c r="M1594" s="933"/>
      <c r="N1594" s="933"/>
      <c r="O1594" s="933"/>
      <c r="P1594" s="933"/>
      <c r="Q1594" s="933"/>
    </row>
    <row r="1595" spans="1:17" ht="28.5" x14ac:dyDescent="0.25">
      <c r="A1595" s="1487">
        <v>60</v>
      </c>
      <c r="B1595" s="1488">
        <v>2</v>
      </c>
      <c r="C1595" s="1489"/>
      <c r="D1595" s="1504"/>
      <c r="E1595" s="22" t="s">
        <v>1477</v>
      </c>
      <c r="F1595" s="1492">
        <v>11294.8</v>
      </c>
      <c r="G1595" s="1492">
        <v>6363.4</v>
      </c>
      <c r="H1595" s="1492">
        <f>SUM(H1596)</f>
        <v>0</v>
      </c>
      <c r="I1595" s="1492">
        <v>13063.5</v>
      </c>
      <c r="J1595" s="1492">
        <v>13333.8</v>
      </c>
      <c r="K1595" s="1505"/>
      <c r="L1595" s="1494"/>
      <c r="M1595" s="1494"/>
      <c r="N1595" s="1495"/>
      <c r="O1595" s="1494"/>
      <c r="P1595" s="1494"/>
      <c r="Q1595" s="1494"/>
    </row>
    <row r="1596" spans="1:17" ht="45" x14ac:dyDescent="0.25">
      <c r="A1596" s="1487"/>
      <c r="B1596" s="1488"/>
      <c r="C1596" s="1489" t="s">
        <v>6</v>
      </c>
      <c r="D1596" s="1490"/>
      <c r="E1596" s="1056" t="s">
        <v>2277</v>
      </c>
      <c r="F1596" s="1498">
        <v>11294.8</v>
      </c>
      <c r="G1596" s="1498">
        <v>6363.4</v>
      </c>
      <c r="H1596" s="1498"/>
      <c r="I1596" s="1498">
        <v>13063.5</v>
      </c>
      <c r="J1596" s="1498">
        <v>13333.8</v>
      </c>
      <c r="K1596" s="1493"/>
      <c r="L1596" s="1494"/>
      <c r="M1596" s="1494"/>
      <c r="N1596" s="1495"/>
      <c r="O1596" s="1494"/>
      <c r="P1596" s="1494"/>
      <c r="Q1596" s="1494"/>
    </row>
    <row r="1597" spans="1:17" x14ac:dyDescent="0.25">
      <c r="A1597" s="1487">
        <v>60</v>
      </c>
      <c r="B1597" s="1488">
        <v>3</v>
      </c>
      <c r="C1597" s="1489"/>
      <c r="D1597" s="1490"/>
      <c r="E1597" s="1026" t="s">
        <v>867</v>
      </c>
      <c r="F1597" s="1492">
        <v>0</v>
      </c>
      <c r="G1597" s="1492">
        <v>0</v>
      </c>
      <c r="H1597" s="1492">
        <f>H1598</f>
        <v>250073.60000000001</v>
      </c>
      <c r="I1597" s="1492">
        <v>3888991.5</v>
      </c>
      <c r="J1597" s="1492">
        <v>776685.20000000007</v>
      </c>
      <c r="K1597" s="1506"/>
      <c r="L1597" s="1507"/>
      <c r="M1597" s="1507"/>
      <c r="N1597" s="1508"/>
      <c r="O1597" s="1507"/>
      <c r="P1597" s="1507"/>
      <c r="Q1597" s="1509"/>
    </row>
    <row r="1598" spans="1:17" x14ac:dyDescent="0.25">
      <c r="A1598" s="1487"/>
      <c r="B1598" s="1488"/>
      <c r="C1598" s="1489" t="s">
        <v>6</v>
      </c>
      <c r="D1598" s="1490"/>
      <c r="E1598" s="1056" t="s">
        <v>868</v>
      </c>
      <c r="F1598" s="1498"/>
      <c r="G1598" s="1498"/>
      <c r="H1598" s="1498">
        <v>250073.60000000001</v>
      </c>
      <c r="I1598" s="1498">
        <v>3888991.5</v>
      </c>
      <c r="J1598" s="1498">
        <v>776685.20000000007</v>
      </c>
      <c r="K1598" s="1506"/>
      <c r="L1598" s="1507"/>
      <c r="M1598" s="1507"/>
      <c r="N1598" s="1508"/>
      <c r="O1598" s="1507"/>
      <c r="P1598" s="1507"/>
      <c r="Q1598" s="1509"/>
    </row>
    <row r="1599" spans="1:17" ht="36" customHeight="1" x14ac:dyDescent="0.25">
      <c r="A1599" s="1823" t="s">
        <v>2278</v>
      </c>
      <c r="B1599" s="1823"/>
      <c r="C1599" s="1823"/>
      <c r="D1599" s="1823"/>
      <c r="E1599" s="1840"/>
      <c r="F1599" s="17">
        <v>29371.499999999996</v>
      </c>
      <c r="G1599" s="17">
        <v>29984.1</v>
      </c>
      <c r="H1599" s="17">
        <f>H1585+H1595+H1597</f>
        <v>313087.68</v>
      </c>
      <c r="I1599" s="17">
        <v>3926763.7</v>
      </c>
      <c r="J1599" s="17">
        <v>814957.10000000009</v>
      </c>
      <c r="K1599" s="1510"/>
      <c r="L1599" s="1511"/>
      <c r="M1599" s="1511"/>
      <c r="N1599" s="1511"/>
      <c r="O1599" s="1511"/>
      <c r="P1599" s="1511"/>
      <c r="Q1599" s="1512"/>
    </row>
    <row r="1600" spans="1:17" x14ac:dyDescent="0.25">
      <c r="A1600" s="1826" t="s">
        <v>2279</v>
      </c>
      <c r="B1600" s="1827"/>
      <c r="C1600" s="1827"/>
      <c r="D1600" s="1827"/>
      <c r="E1600" s="1827"/>
      <c r="F1600" s="1827"/>
      <c r="G1600" s="1827"/>
      <c r="H1600" s="1827"/>
      <c r="I1600" s="1827"/>
      <c r="J1600" s="1827"/>
      <c r="K1600" s="1827"/>
      <c r="L1600" s="1827"/>
      <c r="M1600" s="1827"/>
      <c r="N1600" s="1827"/>
      <c r="O1600" s="1827"/>
      <c r="P1600" s="1827"/>
      <c r="Q1600" s="1828"/>
    </row>
    <row r="1601" spans="1:17" ht="73.5" x14ac:dyDescent="0.25">
      <c r="A1601" s="792">
        <v>61</v>
      </c>
      <c r="B1601" s="1044">
        <v>1</v>
      </c>
      <c r="C1601" s="974"/>
      <c r="D1601" s="1095"/>
      <c r="E1601" s="1028" t="s">
        <v>810</v>
      </c>
      <c r="F1601" s="1276">
        <v>128098.8</v>
      </c>
      <c r="G1601" s="1276">
        <v>197879.7</v>
      </c>
      <c r="H1601" s="1513">
        <f>SUM(H1602:H1608)</f>
        <v>225730.8</v>
      </c>
      <c r="I1601" s="1217">
        <v>151977.9</v>
      </c>
      <c r="J1601" s="1217">
        <v>154008.6</v>
      </c>
      <c r="K1601" s="1020" t="s">
        <v>181</v>
      </c>
      <c r="L1601" s="1022" t="s">
        <v>182</v>
      </c>
      <c r="M1601" s="1022"/>
      <c r="N1601" s="1022"/>
      <c r="O1601" s="1022"/>
      <c r="P1601" s="1022"/>
      <c r="Q1601" s="1022"/>
    </row>
    <row r="1602" spans="1:17" x14ac:dyDescent="0.25">
      <c r="A1602" s="975"/>
      <c r="B1602" s="1514"/>
      <c r="C1602" s="957" t="s">
        <v>6</v>
      </c>
      <c r="D1602" s="1102"/>
      <c r="E1602" s="993" t="s">
        <v>7</v>
      </c>
      <c r="F1602" s="1220">
        <v>580</v>
      </c>
      <c r="G1602" s="1220">
        <v>600</v>
      </c>
      <c r="H1602" s="381"/>
      <c r="I1602" s="895"/>
      <c r="J1602" s="895"/>
      <c r="K1602" s="901" t="s">
        <v>183</v>
      </c>
      <c r="L1602" s="897" t="s">
        <v>184</v>
      </c>
      <c r="M1602" s="454">
        <v>-5</v>
      </c>
      <c r="N1602" s="454">
        <v>1</v>
      </c>
      <c r="O1602" s="454">
        <v>5</v>
      </c>
      <c r="P1602" s="454">
        <v>10</v>
      </c>
      <c r="Q1602" s="454">
        <v>15</v>
      </c>
    </row>
    <row r="1603" spans="1:17" x14ac:dyDescent="0.25">
      <c r="A1603" s="975"/>
      <c r="B1603" s="1515"/>
      <c r="C1603" s="1280" t="s">
        <v>8</v>
      </c>
      <c r="D1603" s="1102"/>
      <c r="E1603" s="1000" t="s">
        <v>9</v>
      </c>
      <c r="F1603" s="1220">
        <v>660</v>
      </c>
      <c r="G1603" s="1220">
        <v>600</v>
      </c>
      <c r="H1603" s="381"/>
      <c r="I1603" s="895"/>
      <c r="J1603" s="895"/>
      <c r="K1603" s="901" t="s">
        <v>185</v>
      </c>
      <c r="L1603" s="897" t="s">
        <v>182</v>
      </c>
      <c r="M1603" s="454"/>
      <c r="N1603" s="454"/>
      <c r="O1603" s="454"/>
      <c r="P1603" s="454"/>
      <c r="Q1603" s="454"/>
    </row>
    <row r="1604" spans="1:17" ht="30" x14ac:dyDescent="0.25">
      <c r="A1604" s="975"/>
      <c r="B1604" s="1515"/>
      <c r="C1604" s="1280" t="s">
        <v>10</v>
      </c>
      <c r="D1604" s="1102"/>
      <c r="E1604" s="1000" t="s">
        <v>11</v>
      </c>
      <c r="F1604" s="1220">
        <v>450</v>
      </c>
      <c r="G1604" s="1220">
        <v>500</v>
      </c>
      <c r="H1604" s="381"/>
      <c r="I1604" s="895"/>
      <c r="J1604" s="895"/>
      <c r="K1604" s="36" t="s">
        <v>186</v>
      </c>
      <c r="L1604" s="897" t="s">
        <v>182</v>
      </c>
      <c r="M1604" s="454"/>
      <c r="N1604" s="454"/>
      <c r="O1604" s="454"/>
      <c r="P1604" s="454"/>
      <c r="Q1604" s="454"/>
    </row>
    <row r="1605" spans="1:17" ht="30" x14ac:dyDescent="0.25">
      <c r="A1605" s="975"/>
      <c r="B1605" s="1515"/>
      <c r="C1605" s="1280" t="s">
        <v>12</v>
      </c>
      <c r="D1605" s="1102"/>
      <c r="E1605" s="1000" t="s">
        <v>13</v>
      </c>
      <c r="F1605" s="1220">
        <v>310</v>
      </c>
      <c r="G1605" s="1220">
        <v>350</v>
      </c>
      <c r="H1605" s="381"/>
      <c r="I1605" s="895"/>
      <c r="J1605" s="895"/>
      <c r="K1605" s="901" t="s">
        <v>187</v>
      </c>
      <c r="L1605" s="897" t="s">
        <v>258</v>
      </c>
      <c r="M1605" s="454"/>
      <c r="N1605" s="454"/>
      <c r="O1605" s="454"/>
      <c r="P1605" s="454"/>
      <c r="Q1605" s="454"/>
    </row>
    <row r="1606" spans="1:17" ht="30" x14ac:dyDescent="0.25">
      <c r="A1606" s="975"/>
      <c r="B1606" s="1515"/>
      <c r="C1606" s="1280" t="s">
        <v>14</v>
      </c>
      <c r="D1606" s="1102"/>
      <c r="E1606" s="1000" t="s">
        <v>15</v>
      </c>
      <c r="F1606" s="1220">
        <v>515</v>
      </c>
      <c r="G1606" s="1220">
        <v>750</v>
      </c>
      <c r="H1606" s="381"/>
      <c r="I1606" s="895"/>
      <c r="J1606" s="895"/>
      <c r="K1606" s="901" t="s">
        <v>188</v>
      </c>
      <c r="L1606" s="897" t="s">
        <v>189</v>
      </c>
      <c r="M1606" s="454">
        <v>0</v>
      </c>
      <c r="N1606" s="454">
        <v>0</v>
      </c>
      <c r="O1606" s="454">
        <v>2</v>
      </c>
      <c r="P1606" s="454">
        <v>4</v>
      </c>
      <c r="Q1606" s="454">
        <v>6</v>
      </c>
    </row>
    <row r="1607" spans="1:17" ht="30" x14ac:dyDescent="0.25">
      <c r="A1607" s="975"/>
      <c r="B1607" s="503"/>
      <c r="C1607" s="1012" t="s">
        <v>16</v>
      </c>
      <c r="D1607" s="1218"/>
      <c r="E1607" s="1000" t="s">
        <v>17</v>
      </c>
      <c r="F1607" s="1220">
        <v>125343.8</v>
      </c>
      <c r="G1607" s="1220">
        <v>194901.7</v>
      </c>
      <c r="H1607" s="381">
        <f>173654.3+15000+37076.5</f>
        <v>225730.8</v>
      </c>
      <c r="I1607" s="895">
        <v>151977.9</v>
      </c>
      <c r="J1607" s="895">
        <v>154008.6</v>
      </c>
      <c r="K1607" s="901" t="s">
        <v>190</v>
      </c>
      <c r="L1607" s="897" t="s">
        <v>182</v>
      </c>
      <c r="M1607" s="454">
        <v>30</v>
      </c>
      <c r="N1607" s="454">
        <v>35</v>
      </c>
      <c r="O1607" s="454">
        <v>45</v>
      </c>
      <c r="P1607" s="454">
        <v>60</v>
      </c>
      <c r="Q1607" s="454">
        <v>75</v>
      </c>
    </row>
    <row r="1608" spans="1:17" ht="30" x14ac:dyDescent="0.25">
      <c r="A1608" s="975"/>
      <c r="B1608" s="503"/>
      <c r="C1608" s="1012" t="s">
        <v>48</v>
      </c>
      <c r="D1608" s="1516"/>
      <c r="E1608" s="1000" t="s">
        <v>66</v>
      </c>
      <c r="F1608" s="1220">
        <v>240</v>
      </c>
      <c r="G1608" s="1220">
        <v>178</v>
      </c>
      <c r="H1608" s="381"/>
      <c r="I1608" s="895"/>
      <c r="J1608" s="895"/>
      <c r="K1608" s="1517"/>
      <c r="L1608" s="1331"/>
      <c r="M1608" s="1331"/>
      <c r="N1608" s="1331"/>
      <c r="O1608" s="1331"/>
      <c r="P1608" s="1331"/>
      <c r="Q1608" s="1331"/>
    </row>
    <row r="1609" spans="1:17" x14ac:dyDescent="0.25">
      <c r="A1609" s="1005"/>
      <c r="B1609" s="1514"/>
      <c r="C1609" s="957"/>
      <c r="D1609" s="1518"/>
      <c r="E1609" s="993"/>
      <c r="F1609" s="1283"/>
      <c r="G1609" s="1283"/>
      <c r="H1609" s="1472"/>
      <c r="I1609" s="1016"/>
      <c r="J1609" s="1016"/>
      <c r="K1609" s="1517"/>
      <c r="L1609" s="1331"/>
      <c r="M1609" s="1331"/>
      <c r="N1609" s="1331"/>
      <c r="O1609" s="1331"/>
      <c r="P1609" s="1331"/>
      <c r="Q1609" s="1331"/>
    </row>
    <row r="1610" spans="1:17" ht="42.75" x14ac:dyDescent="0.25">
      <c r="A1610" s="1953">
        <v>61</v>
      </c>
      <c r="B1610" s="1862">
        <v>2</v>
      </c>
      <c r="C1610" s="1955"/>
      <c r="D1610" s="2010"/>
      <c r="E1610" s="2070" t="s">
        <v>2280</v>
      </c>
      <c r="F1610" s="2061">
        <v>3850</v>
      </c>
      <c r="G1610" s="2061">
        <v>4100</v>
      </c>
      <c r="H1610" s="2063">
        <f>H1612</f>
        <v>800</v>
      </c>
      <c r="I1610" s="2065">
        <v>800</v>
      </c>
      <c r="J1610" s="2065">
        <v>800</v>
      </c>
      <c r="K1610" s="1026" t="s">
        <v>2281</v>
      </c>
      <c r="L1610" s="454" t="s">
        <v>182</v>
      </c>
      <c r="M1610" s="897">
        <v>55</v>
      </c>
      <c r="N1610" s="1013">
        <v>60</v>
      </c>
      <c r="O1610" s="1013">
        <v>65</v>
      </c>
      <c r="P1610" s="1013">
        <v>70</v>
      </c>
      <c r="Q1610" s="1013">
        <v>75</v>
      </c>
    </row>
    <row r="1611" spans="1:17" ht="42.75" x14ac:dyDescent="0.25">
      <c r="A1611" s="1954"/>
      <c r="B1611" s="1863"/>
      <c r="C1611" s="1956"/>
      <c r="D1611" s="2011"/>
      <c r="E1611" s="2071"/>
      <c r="F1611" s="2062"/>
      <c r="G1611" s="2062"/>
      <c r="H1611" s="2064"/>
      <c r="I1611" s="2066"/>
      <c r="J1611" s="2066"/>
      <c r="K1611" s="1026" t="s">
        <v>2282</v>
      </c>
      <c r="L1611" s="454" t="s">
        <v>182</v>
      </c>
      <c r="M1611" s="897">
        <v>60</v>
      </c>
      <c r="N1611" s="1013">
        <v>65</v>
      </c>
      <c r="O1611" s="1013">
        <v>70</v>
      </c>
      <c r="P1611" s="1013">
        <v>75</v>
      </c>
      <c r="Q1611" s="1013">
        <v>80</v>
      </c>
    </row>
    <row r="1612" spans="1:17" ht="45" x14ac:dyDescent="0.25">
      <c r="A1612" s="1976"/>
      <c r="B1612" s="1462"/>
      <c r="C1612" s="1955" t="s">
        <v>6</v>
      </c>
      <c r="D1612" s="2010"/>
      <c r="E1612" s="1866" t="s">
        <v>2283</v>
      </c>
      <c r="F1612" s="1868">
        <v>3850</v>
      </c>
      <c r="G1612" s="1868">
        <v>4100</v>
      </c>
      <c r="H1612" s="2059">
        <v>800</v>
      </c>
      <c r="I1612" s="1906">
        <v>800</v>
      </c>
      <c r="J1612" s="1906">
        <v>800</v>
      </c>
      <c r="K1612" s="901" t="s">
        <v>2284</v>
      </c>
      <c r="L1612" s="897" t="s">
        <v>182</v>
      </c>
      <c r="M1612" s="897">
        <v>21</v>
      </c>
      <c r="N1612" s="1116">
        <v>22</v>
      </c>
      <c r="O1612" s="1116">
        <v>25</v>
      </c>
      <c r="P1612" s="1116">
        <v>27</v>
      </c>
      <c r="Q1612" s="1116">
        <v>30</v>
      </c>
    </row>
    <row r="1613" spans="1:17" ht="30" x14ac:dyDescent="0.25">
      <c r="A1613" s="2009"/>
      <c r="B1613" s="495"/>
      <c r="C1613" s="1956"/>
      <c r="D1613" s="2011"/>
      <c r="E1613" s="1867"/>
      <c r="F1613" s="1869"/>
      <c r="G1613" s="1869"/>
      <c r="H1613" s="2059"/>
      <c r="I1613" s="1906"/>
      <c r="J1613" s="1906"/>
      <c r="K1613" s="901" t="s">
        <v>2285</v>
      </c>
      <c r="L1613" s="897" t="s">
        <v>222</v>
      </c>
      <c r="M1613" s="897">
        <v>3</v>
      </c>
      <c r="N1613" s="1116">
        <v>4</v>
      </c>
      <c r="O1613" s="1116">
        <v>5</v>
      </c>
      <c r="P1613" s="1116">
        <v>6</v>
      </c>
      <c r="Q1613" s="1116">
        <v>6</v>
      </c>
    </row>
    <row r="1614" spans="1:17" ht="57" x14ac:dyDescent="0.25">
      <c r="A1614" s="1953">
        <v>61</v>
      </c>
      <c r="B1614" s="1862">
        <v>3</v>
      </c>
      <c r="C1614" s="1955"/>
      <c r="D1614" s="2010"/>
      <c r="E1614" s="2060" t="s">
        <v>2286</v>
      </c>
      <c r="F1614" s="2061">
        <v>3070</v>
      </c>
      <c r="G1614" s="2061">
        <v>0</v>
      </c>
      <c r="H1614" s="2063">
        <f>H1616</f>
        <v>700</v>
      </c>
      <c r="I1614" s="2065">
        <v>700</v>
      </c>
      <c r="J1614" s="2065">
        <v>700</v>
      </c>
      <c r="K1614" s="1026" t="s">
        <v>2287</v>
      </c>
      <c r="L1614" s="454" t="s">
        <v>182</v>
      </c>
      <c r="M1614" s="897">
        <v>60</v>
      </c>
      <c r="N1614" s="1013">
        <v>63</v>
      </c>
      <c r="O1614" s="1013">
        <v>65</v>
      </c>
      <c r="P1614" s="1013">
        <v>70</v>
      </c>
      <c r="Q1614" s="1013">
        <v>73</v>
      </c>
    </row>
    <row r="1615" spans="1:17" ht="57" x14ac:dyDescent="0.25">
      <c r="A1615" s="1954"/>
      <c r="B1615" s="1863"/>
      <c r="C1615" s="1956"/>
      <c r="D1615" s="2011"/>
      <c r="E1615" s="2060"/>
      <c r="F1615" s="2062"/>
      <c r="G1615" s="2062"/>
      <c r="H1615" s="2064"/>
      <c r="I1615" s="2066"/>
      <c r="J1615" s="2066"/>
      <c r="K1615" s="1026" t="s">
        <v>2288</v>
      </c>
      <c r="L1615" s="454" t="s">
        <v>2289</v>
      </c>
      <c r="M1615" s="897">
        <v>18</v>
      </c>
      <c r="N1615" s="1013">
        <v>16</v>
      </c>
      <c r="O1615" s="1013">
        <v>16</v>
      </c>
      <c r="P1615" s="1013">
        <v>15</v>
      </c>
      <c r="Q1615" s="1013">
        <v>15</v>
      </c>
    </row>
    <row r="1616" spans="1:17" ht="60" x14ac:dyDescent="0.25">
      <c r="A1616" s="577"/>
      <c r="B1616" s="324"/>
      <c r="C1616" s="896" t="s">
        <v>6</v>
      </c>
      <c r="D1616" s="325"/>
      <c r="E1616" s="998" t="s">
        <v>2290</v>
      </c>
      <c r="F1616" s="1283">
        <v>3070</v>
      </c>
      <c r="G1616" s="1283">
        <v>0</v>
      </c>
      <c r="H1616" s="952">
        <v>700</v>
      </c>
      <c r="I1616" s="952">
        <v>700</v>
      </c>
      <c r="J1616" s="952">
        <v>700</v>
      </c>
      <c r="K1616" s="901" t="s">
        <v>2291</v>
      </c>
      <c r="L1616" s="897" t="s">
        <v>182</v>
      </c>
      <c r="M1616" s="897">
        <v>75</v>
      </c>
      <c r="N1616" s="1116">
        <v>77</v>
      </c>
      <c r="O1616" s="1116">
        <v>78</v>
      </c>
      <c r="P1616" s="1116">
        <v>79</v>
      </c>
      <c r="Q1616" s="1116">
        <v>80</v>
      </c>
    </row>
    <row r="1617" spans="1:17" ht="44.25" customHeight="1" x14ac:dyDescent="0.25">
      <c r="A1617" s="1823" t="s">
        <v>2292</v>
      </c>
      <c r="B1617" s="1823"/>
      <c r="C1617" s="1823"/>
      <c r="D1617" s="1823"/>
      <c r="E1617" s="1840"/>
      <c r="F1617" s="795">
        <v>135018.79999999999</v>
      </c>
      <c r="G1617" s="795">
        <v>201979.7</v>
      </c>
      <c r="H1617" s="795">
        <f>H1601+H1610+H1614</f>
        <v>227230.8</v>
      </c>
      <c r="I1617" s="795">
        <v>153477.9</v>
      </c>
      <c r="J1617" s="795">
        <v>155508.6</v>
      </c>
      <c r="K1617" s="16"/>
      <c r="L1617" s="958"/>
      <c r="M1617" s="958"/>
      <c r="N1617" s="958"/>
      <c r="O1617" s="958"/>
      <c r="P1617" s="958"/>
      <c r="Q1617" s="958"/>
    </row>
    <row r="1618" spans="1:17" x14ac:dyDescent="0.25">
      <c r="A1618" s="1826" t="s">
        <v>2293</v>
      </c>
      <c r="B1618" s="1827"/>
      <c r="C1618" s="1827"/>
      <c r="D1618" s="1827"/>
      <c r="E1618" s="1827"/>
      <c r="F1618" s="1827"/>
      <c r="G1618" s="1827"/>
      <c r="H1618" s="1827"/>
      <c r="I1618" s="1827"/>
      <c r="J1618" s="1827"/>
      <c r="K1618" s="1827"/>
      <c r="L1618" s="1827"/>
      <c r="M1618" s="1827"/>
      <c r="N1618" s="1827"/>
      <c r="O1618" s="1827"/>
      <c r="P1618" s="1827"/>
      <c r="Q1618" s="1828"/>
    </row>
    <row r="1619" spans="1:17" ht="74.25" x14ac:dyDescent="0.25">
      <c r="A1619" s="571">
        <v>62</v>
      </c>
      <c r="B1619" s="64">
        <v>1</v>
      </c>
      <c r="C1619" s="30"/>
      <c r="D1619" s="692"/>
      <c r="E1619" s="1519" t="s">
        <v>2917</v>
      </c>
      <c r="F1619" s="1520">
        <v>26203.4</v>
      </c>
      <c r="G1619" s="1520">
        <v>23208.5</v>
      </c>
      <c r="H1619" s="1520">
        <f>SUM(H1620:H1625)</f>
        <v>37654.5</v>
      </c>
      <c r="I1619" s="1520">
        <v>37698.800000000003</v>
      </c>
      <c r="J1619" s="1520">
        <v>38373</v>
      </c>
      <c r="K1619" s="1521" t="s">
        <v>2294</v>
      </c>
      <c r="L1619" s="1522" t="s">
        <v>182</v>
      </c>
      <c r="M1619" s="1523">
        <v>4.5</v>
      </c>
      <c r="N1619" s="1523">
        <v>4.5</v>
      </c>
      <c r="O1619" s="1523">
        <v>4.5</v>
      </c>
      <c r="P1619" s="1523">
        <v>4.5</v>
      </c>
      <c r="Q1619" s="1524">
        <v>4.5</v>
      </c>
    </row>
    <row r="1620" spans="1:17" x14ac:dyDescent="0.25">
      <c r="A1620" s="572"/>
      <c r="B1620" s="494"/>
      <c r="C1620" s="30" t="s">
        <v>6</v>
      </c>
      <c r="D1620" s="692"/>
      <c r="E1620" s="1519" t="s">
        <v>7</v>
      </c>
      <c r="F1620" s="1525">
        <v>7503.7</v>
      </c>
      <c r="G1620" s="1525">
        <v>6646.5</v>
      </c>
      <c r="H1620" s="1526">
        <v>14487.7</v>
      </c>
      <c r="I1620" s="1526">
        <v>12087.699999999999</v>
      </c>
      <c r="J1620" s="1526">
        <v>12267.8</v>
      </c>
      <c r="K1620" s="1519" t="s">
        <v>183</v>
      </c>
      <c r="L1620" s="1527" t="s">
        <v>182</v>
      </c>
      <c r="M1620" s="1519">
        <v>54</v>
      </c>
      <c r="N1620" s="1519">
        <v>56</v>
      </c>
      <c r="O1620" s="1519">
        <v>60</v>
      </c>
      <c r="P1620" s="1519">
        <v>62</v>
      </c>
      <c r="Q1620" s="1524">
        <v>63</v>
      </c>
    </row>
    <row r="1621" spans="1:17" x14ac:dyDescent="0.25">
      <c r="A1621" s="572"/>
      <c r="B1621" s="494"/>
      <c r="C1621" s="30" t="s">
        <v>8</v>
      </c>
      <c r="D1621" s="692"/>
      <c r="E1621" s="1519" t="s">
        <v>9</v>
      </c>
      <c r="F1621" s="1525">
        <v>3309.1</v>
      </c>
      <c r="G1621" s="1525">
        <v>2104.6</v>
      </c>
      <c r="H1621" s="1526">
        <v>3456.9</v>
      </c>
      <c r="I1621" s="1526">
        <v>3956.9</v>
      </c>
      <c r="J1621" s="1526">
        <v>4032.9</v>
      </c>
      <c r="K1621" s="1519" t="s">
        <v>185</v>
      </c>
      <c r="L1621" s="1527" t="s">
        <v>182</v>
      </c>
      <c r="M1621" s="1519">
        <v>100</v>
      </c>
      <c r="N1621" s="1519">
        <v>100</v>
      </c>
      <c r="O1621" s="1519">
        <v>100</v>
      </c>
      <c r="P1621" s="1519">
        <v>100</v>
      </c>
      <c r="Q1621" s="1524">
        <v>100</v>
      </c>
    </row>
    <row r="1622" spans="1:17" ht="30" x14ac:dyDescent="0.25">
      <c r="A1622" s="572"/>
      <c r="B1622" s="494"/>
      <c r="C1622" s="30" t="s">
        <v>10</v>
      </c>
      <c r="D1622" s="692"/>
      <c r="E1622" s="1519" t="s">
        <v>11</v>
      </c>
      <c r="F1622" s="1525">
        <v>2590.1999999999998</v>
      </c>
      <c r="G1622" s="1525">
        <v>1352.4</v>
      </c>
      <c r="H1622" s="1526">
        <v>2814</v>
      </c>
      <c r="I1622" s="1526">
        <v>3314</v>
      </c>
      <c r="J1622" s="1526">
        <v>3375.9</v>
      </c>
      <c r="K1622" s="1519" t="s">
        <v>226</v>
      </c>
      <c r="L1622" s="1527" t="s">
        <v>182</v>
      </c>
      <c r="M1622" s="1527">
        <v>45</v>
      </c>
      <c r="N1622" s="1527">
        <v>50</v>
      </c>
      <c r="O1622" s="1527">
        <v>55</v>
      </c>
      <c r="P1622" s="1527">
        <v>60</v>
      </c>
      <c r="Q1622" s="1528">
        <v>65</v>
      </c>
    </row>
    <row r="1623" spans="1:17" ht="30" x14ac:dyDescent="0.25">
      <c r="A1623" s="572"/>
      <c r="B1623" s="494"/>
      <c r="C1623" s="30" t="s">
        <v>12</v>
      </c>
      <c r="D1623" s="692"/>
      <c r="E1623" s="1529" t="s">
        <v>13</v>
      </c>
      <c r="F1623" s="1530">
        <v>1271.0999999999999</v>
      </c>
      <c r="G1623" s="1530">
        <v>851.1</v>
      </c>
      <c r="H1623" s="1526">
        <v>2305.1999999999998</v>
      </c>
      <c r="I1623" s="1526">
        <v>2505.1999999999998</v>
      </c>
      <c r="J1623" s="1526">
        <v>2555.9</v>
      </c>
      <c r="K1623" s="1531" t="s">
        <v>187</v>
      </c>
      <c r="L1623" s="1527" t="s">
        <v>423</v>
      </c>
      <c r="M1623" s="1527">
        <v>55</v>
      </c>
      <c r="N1623" s="1527">
        <v>60</v>
      </c>
      <c r="O1623" s="1527">
        <v>65</v>
      </c>
      <c r="P1623" s="1527">
        <v>70</v>
      </c>
      <c r="Q1623" s="1528">
        <v>70</v>
      </c>
    </row>
    <row r="1624" spans="1:17" ht="30" x14ac:dyDescent="0.25">
      <c r="A1624" s="572"/>
      <c r="B1624" s="494"/>
      <c r="C1624" s="30" t="s">
        <v>14</v>
      </c>
      <c r="D1624" s="692"/>
      <c r="E1624" s="1529" t="s">
        <v>42</v>
      </c>
      <c r="F1624" s="1530">
        <v>2514.1999999999998</v>
      </c>
      <c r="G1624" s="1530">
        <v>2782.1</v>
      </c>
      <c r="H1624" s="1526">
        <v>4265.1000000000004</v>
      </c>
      <c r="I1624" s="1526">
        <v>5765.1</v>
      </c>
      <c r="J1624" s="1526">
        <v>5859</v>
      </c>
      <c r="K1624" s="1531" t="s">
        <v>188</v>
      </c>
      <c r="L1624" s="1527" t="s">
        <v>189</v>
      </c>
      <c r="M1624" s="1527">
        <v>110</v>
      </c>
      <c r="N1624" s="1527">
        <v>120</v>
      </c>
      <c r="O1624" s="1527">
        <v>120</v>
      </c>
      <c r="P1624" s="1527">
        <v>130</v>
      </c>
      <c r="Q1624" s="1528">
        <v>140</v>
      </c>
    </row>
    <row r="1625" spans="1:17" ht="30" x14ac:dyDescent="0.25">
      <c r="A1625" s="572"/>
      <c r="B1625" s="494"/>
      <c r="C1625" s="30" t="s">
        <v>16</v>
      </c>
      <c r="D1625" s="692"/>
      <c r="E1625" s="1532" t="s">
        <v>895</v>
      </c>
      <c r="F1625" s="1533">
        <v>9015.1</v>
      </c>
      <c r="G1625" s="1533">
        <v>9471.7999999999993</v>
      </c>
      <c r="H1625" s="1534">
        <v>10325.6</v>
      </c>
      <c r="I1625" s="1534">
        <v>10069.9</v>
      </c>
      <c r="J1625" s="1534">
        <v>10281.5</v>
      </c>
      <c r="K1625" s="1531" t="s">
        <v>292</v>
      </c>
      <c r="L1625" s="1527" t="s">
        <v>182</v>
      </c>
      <c r="M1625" s="1527">
        <v>27</v>
      </c>
      <c r="N1625" s="1527">
        <v>27</v>
      </c>
      <c r="O1625" s="1527">
        <v>27</v>
      </c>
      <c r="P1625" s="1527">
        <v>27</v>
      </c>
      <c r="Q1625" s="1528">
        <v>27</v>
      </c>
    </row>
    <row r="1626" spans="1:17" ht="119.25" x14ac:dyDescent="0.25">
      <c r="A1626" s="571">
        <v>62</v>
      </c>
      <c r="B1626" s="64">
        <v>2</v>
      </c>
      <c r="C1626" s="30"/>
      <c r="D1626" s="692"/>
      <c r="E1626" s="1532" t="s">
        <v>2916</v>
      </c>
      <c r="F1626" s="1535">
        <v>479371.10000000003</v>
      </c>
      <c r="G1626" s="1535">
        <v>457164.2</v>
      </c>
      <c r="H1626" s="1535">
        <f>SUM(H1627:H1633)</f>
        <v>508778.69999999995</v>
      </c>
      <c r="I1626" s="1536">
        <v>504556.70000000007</v>
      </c>
      <c r="J1626" s="1536">
        <v>507385.9</v>
      </c>
      <c r="K1626" s="1531" t="s">
        <v>2295</v>
      </c>
      <c r="L1626" s="1527" t="s">
        <v>182</v>
      </c>
      <c r="M1626" s="1527">
        <v>60</v>
      </c>
      <c r="N1626" s="1527">
        <v>65</v>
      </c>
      <c r="O1626" s="1527">
        <v>70</v>
      </c>
      <c r="P1626" s="1527">
        <v>75</v>
      </c>
      <c r="Q1626" s="1528">
        <v>80</v>
      </c>
    </row>
    <row r="1627" spans="1:17" ht="30" x14ac:dyDescent="0.25">
      <c r="A1627" s="2037"/>
      <c r="B1627" s="2038"/>
      <c r="C1627" s="2040" t="s">
        <v>6</v>
      </c>
      <c r="D1627" s="1949"/>
      <c r="E1627" s="2053" t="s">
        <v>2296</v>
      </c>
      <c r="F1627" s="1903">
        <v>205053.3</v>
      </c>
      <c r="G1627" s="1903">
        <v>176070.7</v>
      </c>
      <c r="H1627" s="2054">
        <v>206001.1</v>
      </c>
      <c r="I1627" s="2056">
        <v>208430.30000000002</v>
      </c>
      <c r="J1627" s="2056">
        <v>207686.39999999999</v>
      </c>
      <c r="K1627" s="1531" t="s">
        <v>2297</v>
      </c>
      <c r="L1627" s="1527" t="s">
        <v>1572</v>
      </c>
      <c r="M1627" s="1527">
        <v>170</v>
      </c>
      <c r="N1627" s="1527">
        <v>180</v>
      </c>
      <c r="O1627" s="1527">
        <v>200</v>
      </c>
      <c r="P1627" s="1527">
        <v>220</v>
      </c>
      <c r="Q1627" s="1528">
        <v>240</v>
      </c>
    </row>
    <row r="1628" spans="1:17" x14ac:dyDescent="0.25">
      <c r="A1628" s="2037"/>
      <c r="B1628" s="2039"/>
      <c r="C1628" s="2040"/>
      <c r="D1628" s="1949"/>
      <c r="E1628" s="2053"/>
      <c r="F1628" s="1905"/>
      <c r="G1628" s="1905"/>
      <c r="H1628" s="2055"/>
      <c r="I1628" s="2056"/>
      <c r="J1628" s="2056"/>
      <c r="K1628" s="1531"/>
      <c r="L1628" s="1527"/>
      <c r="M1628" s="1527"/>
      <c r="N1628" s="1527"/>
      <c r="O1628" s="1527"/>
      <c r="P1628" s="1527"/>
      <c r="Q1628" s="1528"/>
    </row>
    <row r="1629" spans="1:17" ht="30" x14ac:dyDescent="0.25">
      <c r="A1629" s="1829"/>
      <c r="B1629" s="2038"/>
      <c r="C1629" s="1831" t="s">
        <v>8</v>
      </c>
      <c r="D1629" s="2058"/>
      <c r="E1629" s="2041" t="s">
        <v>2298</v>
      </c>
      <c r="F1629" s="2043">
        <v>115048.6</v>
      </c>
      <c r="G1629" s="2043">
        <v>126415</v>
      </c>
      <c r="H1629" s="2043">
        <v>115823.5</v>
      </c>
      <c r="I1629" s="2043">
        <v>117392.1</v>
      </c>
      <c r="J1629" s="2043">
        <v>117511.3</v>
      </c>
      <c r="K1629" s="1537" t="s">
        <v>2299</v>
      </c>
      <c r="L1629" s="1538" t="s">
        <v>2300</v>
      </c>
      <c r="M1629" s="1538">
        <v>160</v>
      </c>
      <c r="N1629" s="1538">
        <v>155</v>
      </c>
      <c r="O1629" s="1538">
        <v>150</v>
      </c>
      <c r="P1629" s="1538">
        <v>140</v>
      </c>
      <c r="Q1629" s="1528">
        <v>120</v>
      </c>
    </row>
    <row r="1630" spans="1:17" x14ac:dyDescent="0.25">
      <c r="A1630" s="1830"/>
      <c r="B1630" s="2039"/>
      <c r="C1630" s="2057"/>
      <c r="D1630" s="1832"/>
      <c r="E1630" s="2042"/>
      <c r="F1630" s="2044"/>
      <c r="G1630" s="2044"/>
      <c r="H1630" s="2044"/>
      <c r="I1630" s="2044"/>
      <c r="J1630" s="2044"/>
      <c r="K1630" s="1537" t="s">
        <v>2301</v>
      </c>
      <c r="L1630" s="1538" t="s">
        <v>2302</v>
      </c>
      <c r="M1630" s="1538">
        <v>22.1</v>
      </c>
      <c r="N1630" s="1538">
        <v>22.3</v>
      </c>
      <c r="O1630" s="1538">
        <v>22.5</v>
      </c>
      <c r="P1630" s="1538">
        <v>22.7</v>
      </c>
      <c r="Q1630" s="1528">
        <v>22.9</v>
      </c>
    </row>
    <row r="1631" spans="1:17" ht="30" x14ac:dyDescent="0.25">
      <c r="A1631" s="572"/>
      <c r="B1631" s="494"/>
      <c r="C1631" s="30" t="s">
        <v>10</v>
      </c>
      <c r="D1631" s="692"/>
      <c r="E1631" s="1539" t="s">
        <v>2303</v>
      </c>
      <c r="F1631" s="1530">
        <v>44290.2</v>
      </c>
      <c r="G1631" s="1530">
        <v>39111.300000000003</v>
      </c>
      <c r="H1631" s="1540">
        <v>15905.5</v>
      </c>
      <c r="I1631" s="1541">
        <v>39698</v>
      </c>
      <c r="J1631" s="1541">
        <v>40571.300000000003</v>
      </c>
      <c r="K1631" s="1531" t="s">
        <v>2304</v>
      </c>
      <c r="L1631" s="1527" t="s">
        <v>1341</v>
      </c>
      <c r="M1631" s="1527">
        <v>1972535</v>
      </c>
      <c r="N1631" s="1527">
        <v>2127.1999999999998</v>
      </c>
      <c r="O1631" s="1527">
        <v>2213.4</v>
      </c>
      <c r="P1631" s="1527">
        <v>2315.1</v>
      </c>
      <c r="Q1631" s="1528">
        <v>2412.5</v>
      </c>
    </row>
    <row r="1632" spans="1:17" ht="30" x14ac:dyDescent="0.25">
      <c r="A1632" s="2037"/>
      <c r="B1632" s="2038"/>
      <c r="C1632" s="2040" t="s">
        <v>12</v>
      </c>
      <c r="D1632" s="1949"/>
      <c r="E1632" s="2041" t="s">
        <v>2305</v>
      </c>
      <c r="F1632" s="2043">
        <v>114979</v>
      </c>
      <c r="G1632" s="2043">
        <v>115567.2</v>
      </c>
      <c r="H1632" s="2045">
        <v>171048.6</v>
      </c>
      <c r="I1632" s="2047">
        <v>139036.30000000002</v>
      </c>
      <c r="J1632" s="2047">
        <v>141616.90000000002</v>
      </c>
      <c r="K1632" s="1531" t="s">
        <v>2306</v>
      </c>
      <c r="L1632" s="1527" t="s">
        <v>2307</v>
      </c>
      <c r="M1632" s="1527">
        <v>3300</v>
      </c>
      <c r="N1632" s="1527">
        <v>3400</v>
      </c>
      <c r="O1632" s="1527">
        <v>3500</v>
      </c>
      <c r="P1632" s="1527">
        <v>3600</v>
      </c>
      <c r="Q1632" s="1527">
        <v>3700</v>
      </c>
    </row>
    <row r="1633" spans="1:17" ht="30" x14ac:dyDescent="0.25">
      <c r="A1633" s="2037"/>
      <c r="B1633" s="2039"/>
      <c r="C1633" s="2040"/>
      <c r="D1633" s="1949"/>
      <c r="E1633" s="2042"/>
      <c r="F1633" s="2044"/>
      <c r="G1633" s="2044"/>
      <c r="H1633" s="2046"/>
      <c r="I1633" s="2048"/>
      <c r="J1633" s="2048"/>
      <c r="K1633" s="1531" t="s">
        <v>2308</v>
      </c>
      <c r="L1633" s="1527" t="s">
        <v>2309</v>
      </c>
      <c r="M1633" s="1527">
        <v>45.2</v>
      </c>
      <c r="N1633" s="1527">
        <v>45.4</v>
      </c>
      <c r="O1633" s="1527">
        <v>45.6</v>
      </c>
      <c r="P1633" s="1527">
        <v>45.8</v>
      </c>
      <c r="Q1633" s="1527">
        <v>46</v>
      </c>
    </row>
    <row r="1634" spans="1:17" ht="88.5" x14ac:dyDescent="0.25">
      <c r="A1634" s="571">
        <v>62</v>
      </c>
      <c r="B1634" s="64">
        <v>3</v>
      </c>
      <c r="C1634" s="30"/>
      <c r="D1634" s="692"/>
      <c r="E1634" s="1542" t="s">
        <v>2915</v>
      </c>
      <c r="F1634" s="1543">
        <v>80040.100000000006</v>
      </c>
      <c r="G1634" s="1543">
        <v>28566.2</v>
      </c>
      <c r="H1634" s="1543">
        <v>30269.8</v>
      </c>
      <c r="I1634" s="1543">
        <v>31938.2</v>
      </c>
      <c r="J1634" s="1543">
        <v>32640.799999999999</v>
      </c>
      <c r="K1634" s="1531" t="s">
        <v>2310</v>
      </c>
      <c r="L1634" s="1527" t="s">
        <v>182</v>
      </c>
      <c r="M1634" s="1527">
        <v>40</v>
      </c>
      <c r="N1634" s="1527">
        <v>38</v>
      </c>
      <c r="O1634" s="1527">
        <v>37</v>
      </c>
      <c r="P1634" s="1527">
        <v>35</v>
      </c>
      <c r="Q1634" s="1528">
        <v>30</v>
      </c>
    </row>
    <row r="1635" spans="1:17" ht="45" x14ac:dyDescent="0.25">
      <c r="A1635" s="2037"/>
      <c r="B1635" s="2038"/>
      <c r="C1635" s="2040" t="s">
        <v>6</v>
      </c>
      <c r="D1635" s="1949"/>
      <c r="E1635" s="2049" t="s">
        <v>2311</v>
      </c>
      <c r="F1635" s="2043">
        <v>80040.100000000006</v>
      </c>
      <c r="G1635" s="2043">
        <v>28566.2</v>
      </c>
      <c r="H1635" s="2050">
        <v>30269.8</v>
      </c>
      <c r="I1635" s="2052">
        <v>31938.2</v>
      </c>
      <c r="J1635" s="2052">
        <v>32640.799999999999</v>
      </c>
      <c r="K1635" s="1531" t="s">
        <v>2312</v>
      </c>
      <c r="L1635" s="1527" t="s">
        <v>2313</v>
      </c>
      <c r="M1635" s="1527">
        <v>19.2</v>
      </c>
      <c r="N1635" s="1527">
        <v>19.399999999999999</v>
      </c>
      <c r="O1635" s="1527">
        <v>19.600000000000001</v>
      </c>
      <c r="P1635" s="1527">
        <v>19.8</v>
      </c>
      <c r="Q1635" s="1528">
        <v>19.600000000000001</v>
      </c>
    </row>
    <row r="1636" spans="1:17" ht="30" x14ac:dyDescent="0.25">
      <c r="A1636" s="2037"/>
      <c r="B1636" s="2039"/>
      <c r="C1636" s="2040"/>
      <c r="D1636" s="1949"/>
      <c r="E1636" s="2049"/>
      <c r="F1636" s="2044"/>
      <c r="G1636" s="2044"/>
      <c r="H1636" s="2051"/>
      <c r="I1636" s="2052"/>
      <c r="J1636" s="2052"/>
      <c r="K1636" s="1531" t="s">
        <v>2314</v>
      </c>
      <c r="L1636" s="1527" t="s">
        <v>2315</v>
      </c>
      <c r="M1636" s="1527">
        <v>177100</v>
      </c>
      <c r="N1636" s="1527">
        <v>177500</v>
      </c>
      <c r="O1636" s="1544">
        <v>177950</v>
      </c>
      <c r="P1636" s="1544">
        <v>177950</v>
      </c>
      <c r="Q1636" s="1528">
        <v>178000</v>
      </c>
    </row>
    <row r="1637" spans="1:17" ht="40.5" customHeight="1" x14ac:dyDescent="0.25">
      <c r="A1637" s="2030" t="s">
        <v>2316</v>
      </c>
      <c r="B1637" s="2030"/>
      <c r="C1637" s="2030"/>
      <c r="D1637" s="2030"/>
      <c r="E1637" s="2031"/>
      <c r="F1637" s="795">
        <v>585614.60000000009</v>
      </c>
      <c r="G1637" s="795">
        <v>508938.9</v>
      </c>
      <c r="H1637" s="795">
        <f>H1619+H1626+H1634</f>
        <v>576703</v>
      </c>
      <c r="I1637" s="795">
        <v>574193.70000000007</v>
      </c>
      <c r="J1637" s="795">
        <v>578399.70000000007</v>
      </c>
      <c r="K1637" s="1545"/>
      <c r="L1637" s="1439"/>
      <c r="M1637" s="1439"/>
      <c r="N1637" s="1439"/>
      <c r="O1637" s="1439"/>
      <c r="P1637" s="1439"/>
      <c r="Q1637" s="1439"/>
    </row>
    <row r="1638" spans="1:17" x14ac:dyDescent="0.25">
      <c r="A1638" s="1826" t="s">
        <v>2317</v>
      </c>
      <c r="B1638" s="1827"/>
      <c r="C1638" s="1827"/>
      <c r="D1638" s="1827"/>
      <c r="E1638" s="1827"/>
      <c r="F1638" s="1827"/>
      <c r="G1638" s="1827"/>
      <c r="H1638" s="1827"/>
      <c r="I1638" s="1827"/>
      <c r="J1638" s="1827"/>
      <c r="K1638" s="1827"/>
      <c r="L1638" s="1827"/>
      <c r="M1638" s="1827"/>
      <c r="N1638" s="1827"/>
      <c r="O1638" s="1827"/>
      <c r="P1638" s="1827"/>
      <c r="Q1638" s="1828"/>
    </row>
    <row r="1639" spans="1:17" ht="42.75" x14ac:dyDescent="0.25">
      <c r="A1639" s="906">
        <v>63</v>
      </c>
      <c r="B1639" s="1047">
        <v>1</v>
      </c>
      <c r="C1639" s="976"/>
      <c r="D1639" s="1546"/>
      <c r="E1639" s="647" t="s">
        <v>654</v>
      </c>
      <c r="F1639" s="915">
        <v>47599.9</v>
      </c>
      <c r="G1639" s="915">
        <v>37241.200000000004</v>
      </c>
      <c r="H1639" s="915">
        <f>SUM(H1640:H1651)</f>
        <v>83610.099999999991</v>
      </c>
      <c r="I1639" s="915">
        <v>43888.373</v>
      </c>
      <c r="J1639" s="915">
        <v>44525.845102999992</v>
      </c>
      <c r="K1639" s="171" t="s">
        <v>2318</v>
      </c>
      <c r="L1639" s="171"/>
      <c r="M1639" s="692"/>
      <c r="N1639" s="43"/>
      <c r="O1639" s="43"/>
      <c r="P1639" s="43"/>
      <c r="Q1639" s="43"/>
    </row>
    <row r="1640" spans="1:17" x14ac:dyDescent="0.25">
      <c r="A1640" s="631"/>
      <c r="B1640" s="1547"/>
      <c r="C1640" s="912" t="s">
        <v>6</v>
      </c>
      <c r="D1640" s="339"/>
      <c r="E1640" s="914" t="s">
        <v>7</v>
      </c>
      <c r="F1640" s="1017">
        <v>5623.2</v>
      </c>
      <c r="G1640" s="1017">
        <v>4685.1000000000004</v>
      </c>
      <c r="H1640" s="1548">
        <v>5462.8</v>
      </c>
      <c r="I1640" s="1017">
        <v>4522.0319999999992</v>
      </c>
      <c r="J1640" s="1017">
        <v>4571.7743519999985</v>
      </c>
      <c r="K1640" s="914" t="s">
        <v>183</v>
      </c>
      <c r="L1640" s="1002" t="s">
        <v>184</v>
      </c>
      <c r="M1640" s="1002">
        <v>0.5</v>
      </c>
      <c r="N1640" s="1017">
        <v>0.6</v>
      </c>
      <c r="O1640" s="1017">
        <v>0.7</v>
      </c>
      <c r="P1640" s="1017">
        <v>0.8</v>
      </c>
      <c r="Q1640" s="1017">
        <v>0.9</v>
      </c>
    </row>
    <row r="1641" spans="1:17" x14ac:dyDescent="0.25">
      <c r="A1641" s="948"/>
      <c r="B1641" s="753"/>
      <c r="C1641" s="912" t="s">
        <v>8</v>
      </c>
      <c r="D1641" s="11"/>
      <c r="E1641" s="914" t="s">
        <v>171</v>
      </c>
      <c r="F1641" s="1017">
        <v>1065</v>
      </c>
      <c r="G1641" s="1017">
        <v>1567.8</v>
      </c>
      <c r="H1641" s="1548">
        <v>2243.9</v>
      </c>
      <c r="I1641" s="1017">
        <v>1767.2797999999998</v>
      </c>
      <c r="J1641" s="1017">
        <v>1786.7198777999997</v>
      </c>
      <c r="K1641" s="914" t="s">
        <v>2319</v>
      </c>
      <c r="L1641" s="1002" t="s">
        <v>182</v>
      </c>
      <c r="M1641" s="69">
        <v>100</v>
      </c>
      <c r="N1641" s="69" t="s">
        <v>383</v>
      </c>
      <c r="O1641" s="1017" t="s">
        <v>383</v>
      </c>
      <c r="P1641" s="1017" t="s">
        <v>383</v>
      </c>
      <c r="Q1641" s="1017" t="s">
        <v>383</v>
      </c>
    </row>
    <row r="1642" spans="1:17" ht="30" x14ac:dyDescent="0.25">
      <c r="A1642" s="948"/>
      <c r="B1642" s="753"/>
      <c r="C1642" s="912" t="s">
        <v>10</v>
      </c>
      <c r="D1642" s="11"/>
      <c r="E1642" s="914" t="s">
        <v>11</v>
      </c>
      <c r="F1642" s="1017">
        <v>1246.2</v>
      </c>
      <c r="G1642" s="1017">
        <v>1736.9</v>
      </c>
      <c r="H1642" s="1548">
        <v>2289.6</v>
      </c>
      <c r="I1642" s="1017">
        <v>1813.5738999999999</v>
      </c>
      <c r="J1642" s="1017">
        <v>1833.5232128999996</v>
      </c>
      <c r="K1642" s="914" t="s">
        <v>2320</v>
      </c>
      <c r="L1642" s="1002" t="s">
        <v>182</v>
      </c>
      <c r="M1642" s="69">
        <v>30</v>
      </c>
      <c r="N1642" s="69">
        <v>30</v>
      </c>
      <c r="O1642" s="69">
        <v>30</v>
      </c>
      <c r="P1642" s="69">
        <v>30</v>
      </c>
      <c r="Q1642" s="69">
        <v>30</v>
      </c>
    </row>
    <row r="1643" spans="1:17" x14ac:dyDescent="0.25">
      <c r="A1643" s="948"/>
      <c r="B1643" s="753"/>
      <c r="C1643" s="912" t="s">
        <v>12</v>
      </c>
      <c r="D1643" s="11"/>
      <c r="E1643" s="914" t="s">
        <v>1645</v>
      </c>
      <c r="F1643" s="1017">
        <v>1360.9</v>
      </c>
      <c r="G1643" s="1017">
        <v>1920.8</v>
      </c>
      <c r="H1643" s="1548">
        <v>3646.2</v>
      </c>
      <c r="I1643" s="1017">
        <v>3061.3872999999994</v>
      </c>
      <c r="J1643" s="1017">
        <v>3095.0625602999989</v>
      </c>
      <c r="K1643" s="914" t="s">
        <v>2321</v>
      </c>
      <c r="L1643" s="1002" t="s">
        <v>222</v>
      </c>
      <c r="M1643" s="1002">
        <v>1500</v>
      </c>
      <c r="N1643" s="48" t="s">
        <v>383</v>
      </c>
      <c r="O1643" s="1002">
        <v>1500</v>
      </c>
      <c r="P1643" s="1002">
        <v>1500</v>
      </c>
      <c r="Q1643" s="1002">
        <v>1500</v>
      </c>
    </row>
    <row r="1644" spans="1:17" ht="30" x14ac:dyDescent="0.25">
      <c r="A1644" s="948"/>
      <c r="B1644" s="1047"/>
      <c r="C1644" s="912" t="s">
        <v>16</v>
      </c>
      <c r="D1644" s="339"/>
      <c r="E1644" s="914" t="s">
        <v>17</v>
      </c>
      <c r="F1644" s="1017">
        <v>23758.2</v>
      </c>
      <c r="G1644" s="1017">
        <v>9834.6</v>
      </c>
      <c r="H1644" s="1548">
        <v>44662.3</v>
      </c>
      <c r="I1644" s="1017">
        <v>12148.044</v>
      </c>
      <c r="J1644" s="1017">
        <v>12436.372484</v>
      </c>
      <c r="K1644" s="914" t="s">
        <v>292</v>
      </c>
      <c r="L1644" s="1002" t="s">
        <v>182</v>
      </c>
      <c r="M1644" s="69">
        <v>17</v>
      </c>
      <c r="N1644" s="69">
        <v>17</v>
      </c>
      <c r="O1644" s="69">
        <v>17</v>
      </c>
      <c r="P1644" s="69">
        <v>17</v>
      </c>
      <c r="Q1644" s="69">
        <v>17</v>
      </c>
    </row>
    <row r="1645" spans="1:17" ht="30" x14ac:dyDescent="0.25">
      <c r="A1645" s="948"/>
      <c r="B1645" s="1047"/>
      <c r="C1645" s="912" t="s">
        <v>48</v>
      </c>
      <c r="D1645" s="1549"/>
      <c r="E1645" s="914" t="s">
        <v>66</v>
      </c>
      <c r="F1645" s="1017">
        <v>1207.7</v>
      </c>
      <c r="G1645" s="1017">
        <v>3599.9</v>
      </c>
      <c r="H1645" s="1548">
        <v>2642.7</v>
      </c>
      <c r="I1645" s="1017">
        <v>2171.2642000000001</v>
      </c>
      <c r="J1645" s="1017">
        <v>2195.1481061999998</v>
      </c>
      <c r="K1645" s="914" t="s">
        <v>2322</v>
      </c>
      <c r="L1645" s="1002" t="s">
        <v>182</v>
      </c>
      <c r="M1645" s="69">
        <v>85</v>
      </c>
      <c r="N1645" s="69">
        <v>85</v>
      </c>
      <c r="O1645" s="69">
        <v>85</v>
      </c>
      <c r="P1645" s="69">
        <v>85</v>
      </c>
      <c r="Q1645" s="69">
        <v>85</v>
      </c>
    </row>
    <row r="1646" spans="1:17" ht="30" x14ac:dyDescent="0.25">
      <c r="A1646" s="948"/>
      <c r="B1646" s="753"/>
      <c r="C1646" s="912" t="s">
        <v>2323</v>
      </c>
      <c r="D1646" s="11"/>
      <c r="E1646" s="901" t="s">
        <v>2324</v>
      </c>
      <c r="F1646" s="1017">
        <v>1328.8</v>
      </c>
      <c r="G1646" s="1017">
        <v>1605.6</v>
      </c>
      <c r="H1646" s="1548">
        <v>2369.6999999999998</v>
      </c>
      <c r="I1646" s="1017">
        <v>1768.2927999999997</v>
      </c>
      <c r="J1646" s="1017">
        <v>1787.7440207999996</v>
      </c>
      <c r="K1646" s="914"/>
      <c r="L1646" s="1002"/>
      <c r="M1646" s="1002"/>
      <c r="N1646" s="48"/>
      <c r="O1646" s="1017"/>
      <c r="P1646" s="1017"/>
      <c r="Q1646" s="1017"/>
    </row>
    <row r="1647" spans="1:17" ht="30" x14ac:dyDescent="0.25">
      <c r="A1647" s="2028"/>
      <c r="B1647" s="2029"/>
      <c r="C1647" s="1884" t="s">
        <v>2325</v>
      </c>
      <c r="D1647" s="2032"/>
      <c r="E1647" s="1874" t="s">
        <v>2326</v>
      </c>
      <c r="F1647" s="1835">
        <v>4825.1000000000004</v>
      </c>
      <c r="G1647" s="1835">
        <v>6207.6</v>
      </c>
      <c r="H1647" s="2034">
        <v>5530.9</v>
      </c>
      <c r="I1647" s="1835">
        <v>4970.5883999999996</v>
      </c>
      <c r="J1647" s="1835">
        <v>5025.2648723999991</v>
      </c>
      <c r="K1647" s="914" t="s">
        <v>2327</v>
      </c>
      <c r="L1647" s="1002" t="s">
        <v>222</v>
      </c>
      <c r="M1647" s="1002">
        <v>113</v>
      </c>
      <c r="N1647" s="48" t="s">
        <v>383</v>
      </c>
      <c r="O1647" s="48" t="s">
        <v>383</v>
      </c>
      <c r="P1647" s="48" t="s">
        <v>383</v>
      </c>
      <c r="Q1647" s="48" t="s">
        <v>383</v>
      </c>
    </row>
    <row r="1648" spans="1:17" ht="30" x14ac:dyDescent="0.25">
      <c r="A1648" s="1820"/>
      <c r="B1648" s="1814"/>
      <c r="C1648" s="1885"/>
      <c r="D1648" s="2033"/>
      <c r="E1648" s="1875"/>
      <c r="F1648" s="1836"/>
      <c r="G1648" s="1836"/>
      <c r="H1648" s="2035"/>
      <c r="I1648" s="1836"/>
      <c r="J1648" s="1836"/>
      <c r="K1648" s="914" t="s">
        <v>2328</v>
      </c>
      <c r="L1648" s="1002" t="s">
        <v>222</v>
      </c>
      <c r="M1648" s="1002">
        <v>56</v>
      </c>
      <c r="N1648" s="48" t="s">
        <v>383</v>
      </c>
      <c r="O1648" s="48" t="s">
        <v>383</v>
      </c>
      <c r="P1648" s="48" t="s">
        <v>383</v>
      </c>
      <c r="Q1648" s="48" t="s">
        <v>383</v>
      </c>
    </row>
    <row r="1649" spans="1:17" x14ac:dyDescent="0.25">
      <c r="A1649" s="906"/>
      <c r="B1649" s="1047"/>
      <c r="C1649" s="912" t="s">
        <v>2329</v>
      </c>
      <c r="D1649" s="339"/>
      <c r="E1649" s="901" t="s">
        <v>2330</v>
      </c>
      <c r="F1649" s="1017">
        <v>440.4</v>
      </c>
      <c r="G1649" s="1017">
        <v>925.8</v>
      </c>
      <c r="H1649" s="1548">
        <v>1107.2</v>
      </c>
      <c r="I1649" s="1017">
        <v>868.74879999999996</v>
      </c>
      <c r="J1649" s="1017">
        <v>878.30503679999993</v>
      </c>
      <c r="K1649" s="914" t="s">
        <v>486</v>
      </c>
      <c r="L1649" s="1002" t="s">
        <v>189</v>
      </c>
      <c r="M1649" s="1002">
        <v>40</v>
      </c>
      <c r="N1649" s="48" t="s">
        <v>383</v>
      </c>
      <c r="O1649" s="48">
        <v>50</v>
      </c>
      <c r="P1649" s="48">
        <v>50</v>
      </c>
      <c r="Q1649" s="48">
        <v>50</v>
      </c>
    </row>
    <row r="1650" spans="1:17" x14ac:dyDescent="0.25">
      <c r="A1650" s="2028"/>
      <c r="B1650" s="2029"/>
      <c r="C1650" s="1884" t="s">
        <v>2331</v>
      </c>
      <c r="D1650" s="2036"/>
      <c r="E1650" s="1874" t="s">
        <v>2332</v>
      </c>
      <c r="F1650" s="1835">
        <v>6744.4</v>
      </c>
      <c r="G1650" s="1835">
        <v>5157.1000000000004</v>
      </c>
      <c r="H1650" s="2034">
        <v>13654.8</v>
      </c>
      <c r="I1650" s="1835">
        <v>10797.1618</v>
      </c>
      <c r="J1650" s="1835">
        <v>10915.930579799999</v>
      </c>
      <c r="K1650" s="914" t="s">
        <v>339</v>
      </c>
      <c r="L1650" s="1002" t="s">
        <v>222</v>
      </c>
      <c r="M1650" s="1002">
        <v>42</v>
      </c>
      <c r="N1650" s="48" t="s">
        <v>383</v>
      </c>
      <c r="O1650" s="48">
        <v>30</v>
      </c>
      <c r="P1650" s="48">
        <v>30</v>
      </c>
      <c r="Q1650" s="48">
        <v>30</v>
      </c>
    </row>
    <row r="1651" spans="1:17" x14ac:dyDescent="0.25">
      <c r="A1651" s="1820"/>
      <c r="B1651" s="1814"/>
      <c r="C1651" s="1885"/>
      <c r="D1651" s="2036"/>
      <c r="E1651" s="1875"/>
      <c r="F1651" s="1836"/>
      <c r="G1651" s="1836"/>
      <c r="H1651" s="2035"/>
      <c r="I1651" s="1836"/>
      <c r="J1651" s="1836"/>
      <c r="K1651" s="914" t="s">
        <v>2333</v>
      </c>
      <c r="L1651" s="1002" t="s">
        <v>182</v>
      </c>
      <c r="M1651" s="1002">
        <v>75</v>
      </c>
      <c r="N1651" s="48" t="s">
        <v>383</v>
      </c>
      <c r="O1651" s="1002">
        <v>85</v>
      </c>
      <c r="P1651" s="1002">
        <v>90</v>
      </c>
      <c r="Q1651" s="1002">
        <v>100</v>
      </c>
    </row>
    <row r="1652" spans="1:17" ht="73.5" x14ac:dyDescent="0.25">
      <c r="A1652" s="906">
        <v>63</v>
      </c>
      <c r="B1652" s="1047">
        <v>2</v>
      </c>
      <c r="C1652" s="912"/>
      <c r="D1652" s="11"/>
      <c r="E1652" s="647" t="s">
        <v>2334</v>
      </c>
      <c r="F1652" s="915">
        <v>57703.5</v>
      </c>
      <c r="G1652" s="915">
        <v>595220.4</v>
      </c>
      <c r="H1652" s="915">
        <f>SUM(H1653:H1661)</f>
        <v>234887.59999999998</v>
      </c>
      <c r="I1652" s="915">
        <v>571254.9</v>
      </c>
      <c r="J1652" s="915">
        <v>565146.549</v>
      </c>
      <c r="K1652" s="647" t="s">
        <v>2335</v>
      </c>
      <c r="L1652" s="33"/>
      <c r="M1652" s="1550"/>
      <c r="N1652" s="1550"/>
      <c r="O1652" s="1551"/>
      <c r="P1652" s="1551"/>
      <c r="Q1652" s="1551"/>
    </row>
    <row r="1653" spans="1:17" ht="30" x14ac:dyDescent="0.25">
      <c r="A1653" s="906"/>
      <c r="B1653" s="1047"/>
      <c r="C1653" s="912" t="s">
        <v>6</v>
      </c>
      <c r="D1653" s="1552"/>
      <c r="E1653" s="914" t="s">
        <v>2336</v>
      </c>
      <c r="F1653" s="1017">
        <v>6020.4</v>
      </c>
      <c r="G1653" s="1017">
        <v>6020.4</v>
      </c>
      <c r="H1653" s="1017">
        <v>6020.4</v>
      </c>
      <c r="I1653" s="1017">
        <v>6020.4</v>
      </c>
      <c r="J1653" s="1017">
        <v>6020.4</v>
      </c>
      <c r="K1653" s="914" t="s">
        <v>2337</v>
      </c>
      <c r="L1653" s="33" t="s">
        <v>189</v>
      </c>
      <c r="M1653" s="1003"/>
      <c r="N1653" s="1003">
        <v>23</v>
      </c>
      <c r="O1653" s="1003">
        <v>23</v>
      </c>
      <c r="P1653" s="1003">
        <v>23</v>
      </c>
      <c r="Q1653" s="1003">
        <v>23</v>
      </c>
    </row>
    <row r="1654" spans="1:17" ht="45" x14ac:dyDescent="0.25">
      <c r="A1654" s="906"/>
      <c r="B1654" s="1047"/>
      <c r="C1654" s="912" t="s">
        <v>8</v>
      </c>
      <c r="D1654" s="1553"/>
      <c r="E1654" s="914" t="s">
        <v>2338</v>
      </c>
      <c r="F1654" s="1017">
        <v>0</v>
      </c>
      <c r="G1654" s="1017">
        <v>0</v>
      </c>
      <c r="H1654" s="1017">
        <v>0</v>
      </c>
      <c r="I1654" s="1017">
        <v>43558.999999999993</v>
      </c>
      <c r="J1654" s="1017">
        <v>44038.14899999999</v>
      </c>
      <c r="K1654" s="914" t="s">
        <v>2339</v>
      </c>
      <c r="L1654" s="33" t="s">
        <v>182</v>
      </c>
      <c r="M1654" s="1003"/>
      <c r="N1654" s="1003"/>
      <c r="O1654" s="1003">
        <v>5</v>
      </c>
      <c r="P1654" s="1003">
        <v>5</v>
      </c>
      <c r="Q1654" s="1003">
        <v>5</v>
      </c>
    </row>
    <row r="1655" spans="1:17" ht="30" x14ac:dyDescent="0.25">
      <c r="A1655" s="906"/>
      <c r="B1655" s="1047"/>
      <c r="C1655" s="912" t="s">
        <v>10</v>
      </c>
      <c r="D1655" s="1554"/>
      <c r="E1655" s="914" t="s">
        <v>2340</v>
      </c>
      <c r="F1655" s="1017"/>
      <c r="G1655" s="1017"/>
      <c r="H1655" s="1017">
        <v>221340.79999999999</v>
      </c>
      <c r="I1655" s="1017">
        <v>521675.5</v>
      </c>
      <c r="J1655" s="1017">
        <v>515088</v>
      </c>
      <c r="K1655" s="914" t="s">
        <v>2341</v>
      </c>
      <c r="L1655" s="33"/>
      <c r="M1655" s="1003"/>
      <c r="N1655" s="1003"/>
      <c r="O1655" s="1003"/>
      <c r="P1655" s="1003"/>
      <c r="Q1655" s="1003"/>
    </row>
    <row r="1656" spans="1:17" ht="30" x14ac:dyDescent="0.25">
      <c r="A1656" s="948"/>
      <c r="B1656" s="753"/>
      <c r="C1656" s="912" t="s">
        <v>12</v>
      </c>
      <c r="D1656" s="1549"/>
      <c r="E1656" s="914" t="s">
        <v>2342</v>
      </c>
      <c r="F1656" s="1017">
        <v>10500</v>
      </c>
      <c r="G1656" s="928">
        <v>22800</v>
      </c>
      <c r="H1656" s="1017">
        <v>0</v>
      </c>
      <c r="I1656" s="1017">
        <v>0</v>
      </c>
      <c r="J1656" s="1017">
        <v>0</v>
      </c>
      <c r="K1656" s="914" t="s">
        <v>2343</v>
      </c>
      <c r="L1656" s="33" t="s">
        <v>270</v>
      </c>
      <c r="M1656" s="84"/>
      <c r="N1656" s="84">
        <v>50</v>
      </c>
      <c r="O1656" s="84">
        <v>70</v>
      </c>
      <c r="P1656" s="84">
        <v>100</v>
      </c>
      <c r="Q1656" s="84">
        <v>100</v>
      </c>
    </row>
    <row r="1657" spans="1:17" ht="30" x14ac:dyDescent="0.25">
      <c r="A1657" s="948"/>
      <c r="B1657" s="753"/>
      <c r="C1657" s="912" t="s">
        <v>14</v>
      </c>
      <c r="D1657" s="339"/>
      <c r="E1657" s="914" t="s">
        <v>2344</v>
      </c>
      <c r="F1657" s="1017">
        <v>0</v>
      </c>
      <c r="G1657" s="1017">
        <v>13600</v>
      </c>
      <c r="H1657" s="1017">
        <v>0</v>
      </c>
      <c r="I1657" s="1017">
        <v>0</v>
      </c>
      <c r="J1657" s="1017">
        <v>0</v>
      </c>
      <c r="K1657" s="914" t="s">
        <v>2345</v>
      </c>
      <c r="L1657" s="33" t="s">
        <v>189</v>
      </c>
      <c r="M1657" s="1002"/>
      <c r="N1657" s="1002">
        <v>8</v>
      </c>
      <c r="O1657" s="1002">
        <v>8</v>
      </c>
      <c r="P1657" s="1002">
        <v>8</v>
      </c>
      <c r="Q1657" s="1002">
        <v>8</v>
      </c>
    </row>
    <row r="1658" spans="1:17" ht="60" x14ac:dyDescent="0.25">
      <c r="A1658" s="948"/>
      <c r="B1658" s="753"/>
      <c r="C1658" s="912" t="s">
        <v>16</v>
      </c>
      <c r="D1658" s="339"/>
      <c r="E1658" s="914" t="s">
        <v>2346</v>
      </c>
      <c r="F1658" s="1017">
        <v>0</v>
      </c>
      <c r="G1658" s="1017">
        <v>14100</v>
      </c>
      <c r="H1658" s="1017">
        <v>0</v>
      </c>
      <c r="I1658" s="1017">
        <v>0</v>
      </c>
      <c r="J1658" s="1017">
        <v>0</v>
      </c>
      <c r="K1658" s="914" t="s">
        <v>2347</v>
      </c>
      <c r="L1658" s="33" t="s">
        <v>270</v>
      </c>
      <c r="M1658" s="1003"/>
      <c r="N1658" s="1003">
        <v>17</v>
      </c>
      <c r="O1658" s="1003">
        <v>17</v>
      </c>
      <c r="P1658" s="1003">
        <v>17</v>
      </c>
      <c r="Q1658" s="1003">
        <v>17</v>
      </c>
    </row>
    <row r="1659" spans="1:17" ht="30" x14ac:dyDescent="0.25">
      <c r="A1659" s="906"/>
      <c r="B1659" s="1047"/>
      <c r="C1659" s="912" t="s">
        <v>48</v>
      </c>
      <c r="D1659" s="339"/>
      <c r="E1659" s="914" t="s">
        <v>2348</v>
      </c>
      <c r="F1659" s="1017">
        <v>0</v>
      </c>
      <c r="G1659" s="1017">
        <v>9700</v>
      </c>
      <c r="H1659" s="1017">
        <v>0</v>
      </c>
      <c r="I1659" s="1017">
        <v>0</v>
      </c>
      <c r="J1659" s="1017">
        <v>0</v>
      </c>
      <c r="K1659" s="914" t="s">
        <v>2349</v>
      </c>
      <c r="L1659" s="33" t="s">
        <v>182</v>
      </c>
      <c r="M1659" s="33"/>
      <c r="N1659" s="1555">
        <v>0.5</v>
      </c>
      <c r="O1659" s="1555">
        <v>0.75</v>
      </c>
      <c r="P1659" s="1555">
        <v>1</v>
      </c>
      <c r="Q1659" s="1555">
        <v>1</v>
      </c>
    </row>
    <row r="1660" spans="1:17" ht="45" x14ac:dyDescent="0.25">
      <c r="A1660" s="906"/>
      <c r="B1660" s="1047"/>
      <c r="C1660" s="912" t="s">
        <v>49</v>
      </c>
      <c r="D1660" s="339"/>
      <c r="E1660" s="914" t="s">
        <v>2350</v>
      </c>
      <c r="F1660" s="1017">
        <v>0</v>
      </c>
      <c r="G1660" s="1017">
        <v>29000</v>
      </c>
      <c r="H1660" s="1017">
        <v>0</v>
      </c>
      <c r="I1660" s="1017">
        <v>0</v>
      </c>
      <c r="J1660" s="1017">
        <v>0</v>
      </c>
      <c r="K1660" s="914" t="s">
        <v>2351</v>
      </c>
      <c r="L1660" s="33" t="s">
        <v>383</v>
      </c>
      <c r="M1660" s="963"/>
      <c r="N1660" s="963"/>
      <c r="O1660" s="963"/>
      <c r="P1660" s="963"/>
      <c r="Q1660" s="963"/>
    </row>
    <row r="1661" spans="1:17" ht="30" x14ac:dyDescent="0.25">
      <c r="A1661" s="582"/>
      <c r="B1661" s="608"/>
      <c r="C1661" s="912" t="s">
        <v>124</v>
      </c>
      <c r="D1661" s="1549"/>
      <c r="E1661" s="914" t="s">
        <v>2352</v>
      </c>
      <c r="F1661" s="1017">
        <v>41183.1</v>
      </c>
      <c r="G1661" s="1017">
        <v>500000</v>
      </c>
      <c r="H1661" s="1017">
        <v>7526.4</v>
      </c>
      <c r="I1661" s="1017">
        <v>0</v>
      </c>
      <c r="J1661" s="1017">
        <v>0</v>
      </c>
      <c r="K1661" s="914" t="s">
        <v>2353</v>
      </c>
      <c r="L1661" s="33" t="s">
        <v>383</v>
      </c>
      <c r="M1661" s="963"/>
      <c r="N1661" s="963"/>
      <c r="O1661" s="963"/>
      <c r="P1661" s="963"/>
      <c r="Q1661" s="963"/>
    </row>
    <row r="1662" spans="1:17" ht="88.5" x14ac:dyDescent="0.25">
      <c r="A1662" s="906">
        <v>63</v>
      </c>
      <c r="B1662" s="1047">
        <v>3</v>
      </c>
      <c r="C1662" s="912"/>
      <c r="D1662" s="1549"/>
      <c r="E1662" s="171" t="s">
        <v>2354</v>
      </c>
      <c r="F1662" s="794">
        <v>28191</v>
      </c>
      <c r="G1662" s="794">
        <v>62576.100000000006</v>
      </c>
      <c r="H1662" s="794">
        <f>SUM(H1663:H1668)</f>
        <v>129076.3</v>
      </c>
      <c r="I1662" s="794">
        <v>85881.836099999986</v>
      </c>
      <c r="J1662" s="794">
        <v>86826.53629709997</v>
      </c>
      <c r="K1662" s="914" t="s">
        <v>2355</v>
      </c>
      <c r="L1662" s="1002" t="s">
        <v>182</v>
      </c>
      <c r="M1662" s="949">
        <v>63</v>
      </c>
      <c r="N1662" s="1556">
        <v>84</v>
      </c>
      <c r="O1662" s="1556">
        <v>89</v>
      </c>
      <c r="P1662" s="1556">
        <v>95</v>
      </c>
      <c r="Q1662" s="1556">
        <v>100</v>
      </c>
    </row>
    <row r="1663" spans="1:17" ht="45" x14ac:dyDescent="0.25">
      <c r="A1663" s="948"/>
      <c r="B1663" s="2029"/>
      <c r="C1663" s="1884" t="s">
        <v>6</v>
      </c>
      <c r="D1663" s="2017"/>
      <c r="E1663" s="2020" t="s">
        <v>2356</v>
      </c>
      <c r="F1663" s="1835">
        <v>16618.7</v>
      </c>
      <c r="G1663" s="1835">
        <v>38921.9</v>
      </c>
      <c r="H1663" s="1835">
        <v>66710.3</v>
      </c>
      <c r="I1663" s="1835">
        <v>65083.933099999987</v>
      </c>
      <c r="J1663" s="1835">
        <v>65799.856364099978</v>
      </c>
      <c r="K1663" s="914" t="s">
        <v>2357</v>
      </c>
      <c r="L1663" s="1002" t="s">
        <v>189</v>
      </c>
      <c r="M1663" s="30" t="s">
        <v>2358</v>
      </c>
      <c r="N1663" s="30" t="s">
        <v>2359</v>
      </c>
      <c r="O1663" s="912" t="s">
        <v>2360</v>
      </c>
      <c r="P1663" s="912" t="s">
        <v>2361</v>
      </c>
      <c r="Q1663" s="912" t="s">
        <v>2362</v>
      </c>
    </row>
    <row r="1664" spans="1:17" ht="30" x14ac:dyDescent="0.25">
      <c r="A1664" s="948"/>
      <c r="B1664" s="1814"/>
      <c r="C1664" s="1885"/>
      <c r="D1664" s="2019"/>
      <c r="E1664" s="2022"/>
      <c r="F1664" s="1836"/>
      <c r="G1664" s="1836"/>
      <c r="H1664" s="1836"/>
      <c r="I1664" s="1836"/>
      <c r="J1664" s="1836"/>
      <c r="K1664" s="914" t="s">
        <v>2363</v>
      </c>
      <c r="L1664" s="1002" t="s">
        <v>182</v>
      </c>
      <c r="M1664" s="1002">
        <v>81</v>
      </c>
      <c r="N1664" s="1002">
        <v>88</v>
      </c>
      <c r="O1664" s="1003">
        <v>92</v>
      </c>
      <c r="P1664" s="1003">
        <v>96</v>
      </c>
      <c r="Q1664" s="1003">
        <v>100</v>
      </c>
    </row>
    <row r="1665" spans="1:17" x14ac:dyDescent="0.25">
      <c r="A1665" s="1882"/>
      <c r="B1665" s="1891"/>
      <c r="C1665" s="1884" t="s">
        <v>8</v>
      </c>
      <c r="D1665" s="2017"/>
      <c r="E1665" s="2020" t="s">
        <v>2364</v>
      </c>
      <c r="F1665" s="1835">
        <v>11572.3</v>
      </c>
      <c r="G1665" s="1835">
        <v>3857</v>
      </c>
      <c r="H1665" s="1835">
        <v>21825.7</v>
      </c>
      <c r="I1665" s="1835">
        <v>18563.934099999999</v>
      </c>
      <c r="J1665" s="1835">
        <v>18768.137375099996</v>
      </c>
      <c r="K1665" s="2020" t="s">
        <v>2365</v>
      </c>
      <c r="L1665" s="1002" t="s">
        <v>182</v>
      </c>
      <c r="M1665" s="1002">
        <v>100</v>
      </c>
      <c r="N1665" s="1002">
        <v>100</v>
      </c>
      <c r="O1665" s="1003">
        <v>100</v>
      </c>
      <c r="P1665" s="1003">
        <v>100</v>
      </c>
      <c r="Q1665" s="1003">
        <v>100</v>
      </c>
    </row>
    <row r="1666" spans="1:17" x14ac:dyDescent="0.25">
      <c r="A1666" s="1883"/>
      <c r="B1666" s="1817"/>
      <c r="C1666" s="1885"/>
      <c r="D1666" s="2019"/>
      <c r="E1666" s="2022"/>
      <c r="F1666" s="1911"/>
      <c r="G1666" s="1836"/>
      <c r="H1666" s="1836"/>
      <c r="I1666" s="1836"/>
      <c r="J1666" s="1836"/>
      <c r="K1666" s="2022"/>
      <c r="L1666" s="1002" t="s">
        <v>222</v>
      </c>
      <c r="M1666" s="1002">
        <v>2500</v>
      </c>
      <c r="N1666" s="1002">
        <v>2500</v>
      </c>
      <c r="O1666" s="1003">
        <v>2500</v>
      </c>
      <c r="P1666" s="1003">
        <v>2500</v>
      </c>
      <c r="Q1666" s="1003">
        <v>2500</v>
      </c>
    </row>
    <row r="1667" spans="1:17" ht="60" x14ac:dyDescent="0.25">
      <c r="A1667" s="948"/>
      <c r="B1667" s="753"/>
      <c r="C1667" s="912" t="s">
        <v>10</v>
      </c>
      <c r="D1667" s="1549"/>
      <c r="E1667" s="914" t="s">
        <v>2366</v>
      </c>
      <c r="F1667" s="1836"/>
      <c r="G1667" s="1017">
        <v>19797.2</v>
      </c>
      <c r="H1667" s="1017">
        <v>5540.3</v>
      </c>
      <c r="I1667" s="1017">
        <v>2233.9688999999998</v>
      </c>
      <c r="J1667" s="1017">
        <v>2258.5425578999998</v>
      </c>
      <c r="K1667" s="914" t="s">
        <v>2367</v>
      </c>
      <c r="L1667" s="1002" t="s">
        <v>2368</v>
      </c>
      <c r="M1667" s="1002">
        <v>2</v>
      </c>
      <c r="N1667" s="30" t="s">
        <v>2369</v>
      </c>
      <c r="O1667" s="30" t="s">
        <v>2369</v>
      </c>
      <c r="P1667" s="30" t="s">
        <v>2369</v>
      </c>
      <c r="Q1667" s="30" t="s">
        <v>2369</v>
      </c>
    </row>
    <row r="1668" spans="1:17" x14ac:dyDescent="0.25">
      <c r="A1668" s="948"/>
      <c r="B1668" s="753"/>
      <c r="C1668" s="912" t="s">
        <v>14</v>
      </c>
      <c r="D1668" s="1549"/>
      <c r="E1668" s="914" t="s">
        <v>2370</v>
      </c>
      <c r="F1668" s="944"/>
      <c r="G1668" s="1017"/>
      <c r="H1668" s="1017">
        <v>35000</v>
      </c>
      <c r="I1668" s="1017"/>
      <c r="J1668" s="1017"/>
      <c r="K1668" s="914"/>
      <c r="L1668" s="1002"/>
      <c r="M1668" s="1002"/>
      <c r="N1668" s="30"/>
      <c r="O1668" s="30"/>
      <c r="P1668" s="30"/>
      <c r="Q1668" s="30"/>
    </row>
    <row r="1669" spans="1:17" ht="89.25" x14ac:dyDescent="0.25">
      <c r="A1669" s="906">
        <v>63</v>
      </c>
      <c r="B1669" s="1047">
        <v>4</v>
      </c>
      <c r="C1669" s="912"/>
      <c r="D1669" s="1549"/>
      <c r="E1669" s="647" t="s">
        <v>2371</v>
      </c>
      <c r="F1669" s="794">
        <v>11308.9</v>
      </c>
      <c r="G1669" s="794">
        <v>8524.5</v>
      </c>
      <c r="H1669" s="794">
        <f>SUM(H1670:H1673)</f>
        <v>15839.5</v>
      </c>
      <c r="I1669" s="794">
        <v>9764.9148000000005</v>
      </c>
      <c r="J1669" s="794">
        <v>9872.3288627999991</v>
      </c>
      <c r="K1669" s="914" t="s">
        <v>2372</v>
      </c>
      <c r="L1669" s="1002" t="s">
        <v>182</v>
      </c>
      <c r="M1669" s="1002" t="s">
        <v>2373</v>
      </c>
      <c r="N1669" s="1002" t="s">
        <v>2374</v>
      </c>
      <c r="O1669" s="1002" t="s">
        <v>2375</v>
      </c>
      <c r="P1669" s="1002" t="s">
        <v>2376</v>
      </c>
      <c r="Q1669" s="1002" t="s">
        <v>2377</v>
      </c>
    </row>
    <row r="1670" spans="1:17" ht="30" x14ac:dyDescent="0.25">
      <c r="A1670" s="2028"/>
      <c r="B1670" s="2029"/>
      <c r="C1670" s="1884" t="s">
        <v>6</v>
      </c>
      <c r="D1670" s="2017"/>
      <c r="E1670" s="2020" t="s">
        <v>2378</v>
      </c>
      <c r="F1670" s="1835">
        <v>7422.5</v>
      </c>
      <c r="G1670" s="1835">
        <v>2439.6999999999998</v>
      </c>
      <c r="H1670" s="2026">
        <v>5118.8999999999996</v>
      </c>
      <c r="I1670" s="1835">
        <v>3699.7799</v>
      </c>
      <c r="J1670" s="1835">
        <v>3740.4774788999998</v>
      </c>
      <c r="K1670" s="914" t="s">
        <v>2379</v>
      </c>
      <c r="L1670" s="1002" t="s">
        <v>182</v>
      </c>
      <c r="M1670" s="1002">
        <v>99.05</v>
      </c>
      <c r="N1670" s="30" t="s">
        <v>2380</v>
      </c>
      <c r="O1670" s="30" t="s">
        <v>2381</v>
      </c>
      <c r="P1670" s="30" t="s">
        <v>2382</v>
      </c>
      <c r="Q1670" s="30" t="s">
        <v>2383</v>
      </c>
    </row>
    <row r="1671" spans="1:17" ht="45" x14ac:dyDescent="0.25">
      <c r="A1671" s="1820"/>
      <c r="B1671" s="1814"/>
      <c r="C1671" s="1885"/>
      <c r="D1671" s="2019"/>
      <c r="E1671" s="2022"/>
      <c r="F1671" s="1836"/>
      <c r="G1671" s="1836"/>
      <c r="H1671" s="2027"/>
      <c r="I1671" s="1836"/>
      <c r="J1671" s="1836"/>
      <c r="K1671" s="914" t="s">
        <v>2384</v>
      </c>
      <c r="L1671" s="1002" t="s">
        <v>182</v>
      </c>
      <c r="M1671" s="1002">
        <v>98</v>
      </c>
      <c r="N1671" s="34">
        <v>100</v>
      </c>
      <c r="O1671" s="34">
        <v>100</v>
      </c>
      <c r="P1671" s="34">
        <v>100</v>
      </c>
      <c r="Q1671" s="34">
        <v>100</v>
      </c>
    </row>
    <row r="1672" spans="1:17" x14ac:dyDescent="0.25">
      <c r="A1672" s="1882"/>
      <c r="B1672" s="1891"/>
      <c r="C1672" s="1884" t="s">
        <v>8</v>
      </c>
      <c r="D1672" s="2017"/>
      <c r="E1672" s="2020" t="s">
        <v>2385</v>
      </c>
      <c r="F1672" s="1835">
        <v>3886.4</v>
      </c>
      <c r="G1672" s="1835">
        <v>6084.8</v>
      </c>
      <c r="H1672" s="2026">
        <v>10720.6</v>
      </c>
      <c r="I1672" s="1835">
        <v>6065.1349</v>
      </c>
      <c r="J1672" s="1835">
        <v>6131.8513838999997</v>
      </c>
      <c r="K1672" s="914" t="s">
        <v>2386</v>
      </c>
      <c r="L1672" s="1002" t="s">
        <v>222</v>
      </c>
      <c r="M1672" s="1002">
        <v>11579</v>
      </c>
      <c r="N1672" s="34">
        <v>7792</v>
      </c>
      <c r="O1672" s="34">
        <v>8756</v>
      </c>
      <c r="P1672" s="34">
        <v>8383</v>
      </c>
      <c r="Q1672" s="34">
        <v>8309</v>
      </c>
    </row>
    <row r="1673" spans="1:17" ht="30" x14ac:dyDescent="0.25">
      <c r="A1673" s="1883"/>
      <c r="B1673" s="1817"/>
      <c r="C1673" s="1885"/>
      <c r="D1673" s="2019"/>
      <c r="E1673" s="2022"/>
      <c r="F1673" s="1836"/>
      <c r="G1673" s="1836"/>
      <c r="H1673" s="2027"/>
      <c r="I1673" s="1836"/>
      <c r="J1673" s="1836"/>
      <c r="K1673" s="914" t="s">
        <v>2387</v>
      </c>
      <c r="L1673" s="1002" t="s">
        <v>182</v>
      </c>
      <c r="M1673" s="1002"/>
      <c r="N1673" s="34"/>
      <c r="O1673" s="34"/>
      <c r="P1673" s="34"/>
      <c r="Q1673" s="34"/>
    </row>
    <row r="1674" spans="1:17" ht="103.5" x14ac:dyDescent="0.25">
      <c r="A1674" s="906">
        <v>63</v>
      </c>
      <c r="B1674" s="1047">
        <v>5</v>
      </c>
      <c r="C1674" s="912"/>
      <c r="D1674" s="1549"/>
      <c r="E1674" s="647" t="s">
        <v>2388</v>
      </c>
      <c r="F1674" s="794">
        <v>9652.7999999999993</v>
      </c>
      <c r="G1674" s="794">
        <v>6655.9</v>
      </c>
      <c r="H1674" s="794">
        <f>SUM(H1675:H1679)</f>
        <v>20700.7</v>
      </c>
      <c r="I1674" s="794">
        <v>14756.674899999998</v>
      </c>
      <c r="J1674" s="794">
        <v>14918.998323899998</v>
      </c>
      <c r="K1674" s="914" t="s">
        <v>2389</v>
      </c>
      <c r="L1674" s="1002" t="s">
        <v>222</v>
      </c>
      <c r="M1674" s="30">
        <v>3969</v>
      </c>
      <c r="N1674" s="30">
        <v>2738</v>
      </c>
      <c r="O1674" s="30">
        <v>2873</v>
      </c>
      <c r="P1674" s="30">
        <v>2735</v>
      </c>
      <c r="Q1674" s="30">
        <v>3235</v>
      </c>
    </row>
    <row r="1675" spans="1:17" x14ac:dyDescent="0.25">
      <c r="A1675" s="1882"/>
      <c r="B1675" s="1891"/>
      <c r="C1675" s="1884" t="s">
        <v>6</v>
      </c>
      <c r="D1675" s="2017"/>
      <c r="E1675" s="2020" t="s">
        <v>2390</v>
      </c>
      <c r="F1675" s="1835">
        <v>7065</v>
      </c>
      <c r="G1675" s="1835">
        <v>5040</v>
      </c>
      <c r="H1675" s="2023">
        <v>17385</v>
      </c>
      <c r="I1675" s="1835">
        <v>11938.103699999998</v>
      </c>
      <c r="J1675" s="1835">
        <v>12069.422840699997</v>
      </c>
      <c r="K1675" s="914" t="s">
        <v>2391</v>
      </c>
      <c r="L1675" s="1002" t="s">
        <v>222</v>
      </c>
      <c r="M1675" s="1002">
        <v>2969</v>
      </c>
      <c r="N1675" s="1002">
        <v>1500</v>
      </c>
      <c r="O1675" s="1003">
        <v>1500</v>
      </c>
      <c r="P1675" s="1003">
        <v>1500</v>
      </c>
      <c r="Q1675" s="1003">
        <v>1500</v>
      </c>
    </row>
    <row r="1676" spans="1:17" x14ac:dyDescent="0.25">
      <c r="A1676" s="2015"/>
      <c r="B1676" s="1816"/>
      <c r="C1676" s="2016"/>
      <c r="D1676" s="2018"/>
      <c r="E1676" s="2021"/>
      <c r="F1676" s="1911"/>
      <c r="G1676" s="1911"/>
      <c r="H1676" s="2024"/>
      <c r="I1676" s="1911"/>
      <c r="J1676" s="1911"/>
      <c r="K1676" s="914" t="s">
        <v>2392</v>
      </c>
      <c r="L1676" s="1002" t="s">
        <v>222</v>
      </c>
      <c r="M1676" s="1002">
        <v>888</v>
      </c>
      <c r="N1676" s="1002">
        <v>665</v>
      </c>
      <c r="O1676" s="1003">
        <v>670</v>
      </c>
      <c r="P1676" s="1003">
        <v>680</v>
      </c>
      <c r="Q1676" s="1003">
        <v>685</v>
      </c>
    </row>
    <row r="1677" spans="1:17" x14ac:dyDescent="0.25">
      <c r="A1677" s="1883"/>
      <c r="B1677" s="1817"/>
      <c r="C1677" s="1885"/>
      <c r="D1677" s="2019"/>
      <c r="E1677" s="2022"/>
      <c r="F1677" s="1836"/>
      <c r="G1677" s="1836"/>
      <c r="H1677" s="2025"/>
      <c r="I1677" s="1836"/>
      <c r="J1677" s="1836"/>
      <c r="K1677" s="914" t="s">
        <v>2393</v>
      </c>
      <c r="L1677" s="30" t="s">
        <v>222</v>
      </c>
      <c r="M1677" s="30" t="s">
        <v>2394</v>
      </c>
      <c r="N1677" s="30" t="s">
        <v>2395</v>
      </c>
      <c r="O1677" s="30" t="s">
        <v>2396</v>
      </c>
      <c r="P1677" s="30" t="s">
        <v>2395</v>
      </c>
      <c r="Q1677" s="30" t="s">
        <v>2397</v>
      </c>
    </row>
    <row r="1678" spans="1:17" x14ac:dyDescent="0.25">
      <c r="A1678" s="1882"/>
      <c r="B1678" s="1891"/>
      <c r="C1678" s="1884" t="s">
        <v>8</v>
      </c>
      <c r="D1678" s="2017"/>
      <c r="E1678" s="2020" t="s">
        <v>2398</v>
      </c>
      <c r="F1678" s="1835">
        <v>2587.8000000000002</v>
      </c>
      <c r="G1678" s="1835">
        <v>1615.9</v>
      </c>
      <c r="H1678" s="2026">
        <v>3315.7</v>
      </c>
      <c r="I1678" s="1835">
        <v>2818.5711999999999</v>
      </c>
      <c r="J1678" s="1835">
        <v>2849.5754831999998</v>
      </c>
      <c r="K1678" s="914" t="s">
        <v>2399</v>
      </c>
      <c r="L1678" s="1002" t="s">
        <v>222</v>
      </c>
      <c r="M1678" s="1002">
        <v>170</v>
      </c>
      <c r="N1678" s="1002">
        <v>73</v>
      </c>
      <c r="O1678" s="1002">
        <v>73</v>
      </c>
      <c r="P1678" s="1002">
        <v>55</v>
      </c>
      <c r="Q1678" s="1002">
        <v>50</v>
      </c>
    </row>
    <row r="1679" spans="1:17" ht="30" x14ac:dyDescent="0.25">
      <c r="A1679" s="1883"/>
      <c r="B1679" s="1817"/>
      <c r="C1679" s="1885"/>
      <c r="D1679" s="2019"/>
      <c r="E1679" s="2022"/>
      <c r="F1679" s="1836"/>
      <c r="G1679" s="1836"/>
      <c r="H1679" s="2027"/>
      <c r="I1679" s="1836"/>
      <c r="J1679" s="1836"/>
      <c r="K1679" s="914" t="s">
        <v>2400</v>
      </c>
      <c r="L1679" s="1002" t="s">
        <v>182</v>
      </c>
      <c r="M1679" s="1002">
        <v>73.8</v>
      </c>
      <c r="N1679" s="1002">
        <v>76.099999999999994</v>
      </c>
      <c r="O1679" s="30" t="s">
        <v>2401</v>
      </c>
      <c r="P1679" s="30" t="s">
        <v>2402</v>
      </c>
      <c r="Q1679" s="48">
        <v>76.900000000000006</v>
      </c>
    </row>
    <row r="1680" spans="1:17" x14ac:dyDescent="0.25">
      <c r="A1680" s="906">
        <v>63</v>
      </c>
      <c r="B1680" s="1047">
        <v>6</v>
      </c>
      <c r="C1680" s="912"/>
      <c r="D1680" s="1549"/>
      <c r="E1680" s="647" t="s">
        <v>2403</v>
      </c>
      <c r="F1680" s="794">
        <v>32288.6</v>
      </c>
      <c r="G1680" s="794">
        <v>32767.7</v>
      </c>
      <c r="H1680" s="794">
        <f>H1681</f>
        <v>32767.7</v>
      </c>
      <c r="I1680" s="794">
        <v>33193.680099999998</v>
      </c>
      <c r="J1680" s="794">
        <v>33558.810581099991</v>
      </c>
      <c r="K1680" s="914"/>
      <c r="L1680" s="1002"/>
      <c r="M1680" s="1002"/>
      <c r="N1680" s="1003"/>
      <c r="O1680" s="1003"/>
      <c r="P1680" s="1003"/>
      <c r="Q1680" s="1003"/>
    </row>
    <row r="1681" spans="1:17" x14ac:dyDescent="0.25">
      <c r="A1681" s="906"/>
      <c r="B1681" s="1047"/>
      <c r="C1681" s="912" t="s">
        <v>6</v>
      </c>
      <c r="D1681" s="1549"/>
      <c r="E1681" s="914" t="s">
        <v>2404</v>
      </c>
      <c r="F1681" s="1017">
        <v>32288.6</v>
      </c>
      <c r="G1681" s="1017">
        <v>32767.7</v>
      </c>
      <c r="H1681" s="1017">
        <v>32767.7</v>
      </c>
      <c r="I1681" s="1017">
        <v>33193.680099999998</v>
      </c>
      <c r="J1681" s="1017">
        <v>33558.810581099991</v>
      </c>
      <c r="K1681" s="914" t="s">
        <v>2405</v>
      </c>
      <c r="L1681" s="1002" t="s">
        <v>2406</v>
      </c>
      <c r="M1681" s="1002">
        <v>157.6</v>
      </c>
      <c r="N1681" s="1002">
        <v>157.6</v>
      </c>
      <c r="O1681" s="1002">
        <v>157.6</v>
      </c>
      <c r="P1681" s="1002">
        <v>157.6</v>
      </c>
      <c r="Q1681" s="1002">
        <v>157.6</v>
      </c>
    </row>
    <row r="1682" spans="1:17" x14ac:dyDescent="0.25">
      <c r="A1682" s="906">
        <v>63</v>
      </c>
      <c r="B1682" s="1047">
        <v>7</v>
      </c>
      <c r="C1682" s="65"/>
      <c r="D1682" s="1557"/>
      <c r="E1682" s="647" t="s">
        <v>2407</v>
      </c>
      <c r="F1682" s="794">
        <v>0</v>
      </c>
      <c r="G1682" s="794">
        <v>0</v>
      </c>
      <c r="H1682" s="794">
        <f>H1683</f>
        <v>92205.8</v>
      </c>
      <c r="I1682" s="794">
        <v>895344.6</v>
      </c>
      <c r="J1682" s="794">
        <v>1133973</v>
      </c>
      <c r="K1682" s="647"/>
      <c r="L1682" s="640"/>
      <c r="M1682" s="640"/>
      <c r="N1682" s="640"/>
      <c r="O1682" s="640"/>
      <c r="P1682" s="640"/>
      <c r="Q1682" s="640"/>
    </row>
    <row r="1683" spans="1:17" x14ac:dyDescent="0.25">
      <c r="A1683" s="906"/>
      <c r="B1683" s="1047"/>
      <c r="C1683" s="912" t="s">
        <v>6</v>
      </c>
      <c r="D1683" s="1549"/>
      <c r="E1683" s="914" t="s">
        <v>2408</v>
      </c>
      <c r="F1683" s="1017">
        <v>0</v>
      </c>
      <c r="G1683" s="1017">
        <v>0</v>
      </c>
      <c r="H1683" s="1017">
        <v>92205.8</v>
      </c>
      <c r="I1683" s="1017">
        <v>895344.6</v>
      </c>
      <c r="J1683" s="1017">
        <v>1133973</v>
      </c>
      <c r="K1683" s="914"/>
      <c r="L1683" s="1002" t="s">
        <v>383</v>
      </c>
      <c r="M1683" s="1002"/>
      <c r="N1683" s="1002"/>
      <c r="O1683" s="1002"/>
      <c r="P1683" s="1002"/>
      <c r="Q1683" s="1002"/>
    </row>
    <row r="1684" spans="1:17" ht="45.75" customHeight="1" x14ac:dyDescent="0.25">
      <c r="A1684" s="2006" t="s">
        <v>2409</v>
      </c>
      <c r="B1684" s="2007"/>
      <c r="C1684" s="2008"/>
      <c r="D1684" s="2008"/>
      <c r="E1684" s="2008"/>
      <c r="F1684" s="17">
        <v>186744.69999999998</v>
      </c>
      <c r="G1684" s="17">
        <v>742985.79999999993</v>
      </c>
      <c r="H1684" s="17">
        <f>SUM(H1639+H1652+H1662+H1669+H1674+H1680+H1682)</f>
        <v>609087.69999999995</v>
      </c>
      <c r="I1684" s="17">
        <v>1654084.9789</v>
      </c>
      <c r="J1684" s="17">
        <v>1888822.0681679</v>
      </c>
      <c r="K1684" s="1295"/>
      <c r="L1684" s="17"/>
      <c r="M1684" s="17"/>
      <c r="N1684" s="17"/>
      <c r="O1684" s="17"/>
      <c r="P1684" s="17"/>
      <c r="Q1684" s="17"/>
    </row>
    <row r="1685" spans="1:17" x14ac:dyDescent="0.25">
      <c r="A1685" s="1826" t="s">
        <v>2410</v>
      </c>
      <c r="B1685" s="1827"/>
      <c r="C1685" s="1827"/>
      <c r="D1685" s="1827"/>
      <c r="E1685" s="1827"/>
      <c r="F1685" s="1827"/>
      <c r="G1685" s="1827"/>
      <c r="H1685" s="1827"/>
      <c r="I1685" s="1827"/>
      <c r="J1685" s="1827"/>
      <c r="K1685" s="1827"/>
      <c r="L1685" s="1827"/>
      <c r="M1685" s="1827"/>
      <c r="N1685" s="1827"/>
      <c r="O1685" s="1827"/>
      <c r="P1685" s="1827"/>
      <c r="Q1685" s="1828"/>
    </row>
    <row r="1686" spans="1:17" ht="88.5" x14ac:dyDescent="0.25">
      <c r="A1686" s="906">
        <v>64</v>
      </c>
      <c r="B1686" s="1047">
        <v>1</v>
      </c>
      <c r="C1686" s="912"/>
      <c r="D1686" s="12"/>
      <c r="E1686" s="647" t="s">
        <v>2914</v>
      </c>
      <c r="F1686" s="915">
        <v>6700.5</v>
      </c>
      <c r="G1686" s="915">
        <v>9402.9</v>
      </c>
      <c r="H1686" s="915">
        <f>SUM(H1687:H1689)</f>
        <v>43022</v>
      </c>
      <c r="I1686" s="915">
        <v>13744.6</v>
      </c>
      <c r="J1686" s="915">
        <v>14091.6</v>
      </c>
      <c r="K1686" s="647" t="s">
        <v>2411</v>
      </c>
      <c r="L1686" s="1011"/>
      <c r="M1686" s="1011"/>
      <c r="N1686" s="1011"/>
      <c r="O1686" s="1011"/>
      <c r="P1686" s="1011"/>
      <c r="Q1686" s="1011"/>
    </row>
    <row r="1687" spans="1:17" ht="30" x14ac:dyDescent="0.25">
      <c r="A1687" s="948"/>
      <c r="B1687" s="753"/>
      <c r="C1687" s="912" t="s">
        <v>6</v>
      </c>
      <c r="D1687" s="13"/>
      <c r="E1687" s="901" t="s">
        <v>2412</v>
      </c>
      <c r="F1687" s="1017">
        <v>3100.9</v>
      </c>
      <c r="G1687" s="1017">
        <v>3730.6</v>
      </c>
      <c r="H1687" s="1017">
        <v>2110.1999999999998</v>
      </c>
      <c r="I1687" s="1017">
        <v>3730.6</v>
      </c>
      <c r="J1687" s="1017">
        <v>3730.6</v>
      </c>
      <c r="K1687" s="914" t="s">
        <v>190</v>
      </c>
      <c r="L1687" s="1002" t="s">
        <v>182</v>
      </c>
      <c r="M1687" s="640">
        <v>100</v>
      </c>
      <c r="N1687" s="640">
        <v>100</v>
      </c>
      <c r="O1687" s="640">
        <v>100</v>
      </c>
      <c r="P1687" s="640">
        <v>100</v>
      </c>
      <c r="Q1687" s="640">
        <v>100</v>
      </c>
    </row>
    <row r="1688" spans="1:17" x14ac:dyDescent="0.25">
      <c r="A1688" s="948"/>
      <c r="B1688" s="753"/>
      <c r="C1688" s="912" t="s">
        <v>8</v>
      </c>
      <c r="D1688" s="13"/>
      <c r="E1688" s="901" t="s">
        <v>9</v>
      </c>
      <c r="F1688" s="1017"/>
      <c r="G1688" s="1017"/>
      <c r="H1688" s="1017">
        <v>4329.1000000000004</v>
      </c>
      <c r="I1688" s="1017"/>
      <c r="J1688" s="1017"/>
      <c r="K1688" s="914"/>
      <c r="L1688" s="1002"/>
      <c r="M1688" s="640"/>
      <c r="N1688" s="640"/>
      <c r="O1688" s="640"/>
      <c r="P1688" s="640"/>
      <c r="Q1688" s="640"/>
    </row>
    <row r="1689" spans="1:17" x14ac:dyDescent="0.25">
      <c r="A1689" s="948"/>
      <c r="B1689" s="753"/>
      <c r="C1689" s="912" t="s">
        <v>16</v>
      </c>
      <c r="D1689" s="13"/>
      <c r="E1689" s="914" t="s">
        <v>17</v>
      </c>
      <c r="F1689" s="1017">
        <v>3599.6</v>
      </c>
      <c r="G1689" s="1017">
        <v>5672.3</v>
      </c>
      <c r="H1689" s="1017">
        <v>36582.699999999997</v>
      </c>
      <c r="I1689" s="1017">
        <v>10014</v>
      </c>
      <c r="J1689" s="1017">
        <v>10361</v>
      </c>
      <c r="K1689" s="914"/>
      <c r="L1689" s="1002"/>
      <c r="M1689" s="1002"/>
      <c r="N1689" s="1002"/>
      <c r="O1689" s="1002"/>
      <c r="P1689" s="1002"/>
      <c r="Q1689" s="1002"/>
    </row>
    <row r="1690" spans="1:17" ht="88.5" x14ac:dyDescent="0.25">
      <c r="A1690" s="906">
        <v>64</v>
      </c>
      <c r="B1690" s="1047">
        <v>2</v>
      </c>
      <c r="C1690" s="912"/>
      <c r="D1690" s="13"/>
      <c r="E1690" s="647" t="s">
        <v>2900</v>
      </c>
      <c r="F1690" s="915">
        <v>13959.800000000001</v>
      </c>
      <c r="G1690" s="915">
        <v>16503</v>
      </c>
      <c r="H1690" s="915">
        <f>SUM(H1691:H1696)</f>
        <v>0</v>
      </c>
      <c r="I1690" s="915">
        <v>22623</v>
      </c>
      <c r="J1690" s="915">
        <v>22623</v>
      </c>
      <c r="K1690" s="647" t="s">
        <v>2413</v>
      </c>
      <c r="L1690" s="640" t="s">
        <v>182</v>
      </c>
      <c r="M1690" s="640">
        <v>100</v>
      </c>
      <c r="N1690" s="640">
        <v>100</v>
      </c>
      <c r="O1690" s="640">
        <v>100</v>
      </c>
      <c r="P1690" s="640">
        <v>100</v>
      </c>
      <c r="Q1690" s="640">
        <v>100</v>
      </c>
    </row>
    <row r="1691" spans="1:17" ht="30" x14ac:dyDescent="0.25">
      <c r="A1691" s="948"/>
      <c r="B1691" s="753"/>
      <c r="C1691" s="912" t="s">
        <v>6</v>
      </c>
      <c r="D1691" s="13"/>
      <c r="E1691" s="1558" t="s">
        <v>1645</v>
      </c>
      <c r="F1691" s="1017">
        <v>2088.1</v>
      </c>
      <c r="G1691" s="1017">
        <v>2433.6</v>
      </c>
      <c r="H1691" s="1017"/>
      <c r="I1691" s="1017">
        <v>2433.6</v>
      </c>
      <c r="J1691" s="1017">
        <v>2433.6</v>
      </c>
      <c r="K1691" s="914" t="s">
        <v>187</v>
      </c>
      <c r="L1691" s="1002" t="s">
        <v>424</v>
      </c>
      <c r="M1691" s="30" t="s">
        <v>2414</v>
      </c>
      <c r="N1691" s="30" t="s">
        <v>2415</v>
      </c>
      <c r="O1691" s="30" t="s">
        <v>2416</v>
      </c>
      <c r="P1691" s="30" t="s">
        <v>167</v>
      </c>
      <c r="Q1691" s="30" t="s">
        <v>167</v>
      </c>
    </row>
    <row r="1692" spans="1:17" ht="45" x14ac:dyDescent="0.25">
      <c r="A1692" s="948"/>
      <c r="B1692" s="753"/>
      <c r="C1692" s="912" t="s">
        <v>8</v>
      </c>
      <c r="D1692" s="13"/>
      <c r="E1692" s="1058" t="s">
        <v>2417</v>
      </c>
      <c r="F1692" s="1017">
        <v>2314.9</v>
      </c>
      <c r="G1692" s="1017">
        <v>2814.2</v>
      </c>
      <c r="H1692" s="1017"/>
      <c r="I1692" s="1017">
        <v>2814.2</v>
      </c>
      <c r="J1692" s="1017">
        <v>2814.2</v>
      </c>
      <c r="K1692" s="914" t="s">
        <v>2418</v>
      </c>
      <c r="L1692" s="1002" t="s">
        <v>424</v>
      </c>
      <c r="M1692" s="1002">
        <v>3044</v>
      </c>
      <c r="N1692" s="1002">
        <v>3257</v>
      </c>
      <c r="O1692" s="1002">
        <v>215</v>
      </c>
      <c r="P1692" s="1002">
        <v>150</v>
      </c>
      <c r="Q1692" s="1002">
        <v>110</v>
      </c>
    </row>
    <row r="1693" spans="1:17" ht="45" x14ac:dyDescent="0.25">
      <c r="A1693" s="948"/>
      <c r="B1693" s="753"/>
      <c r="C1693" s="912" t="s">
        <v>10</v>
      </c>
      <c r="D1693" s="13"/>
      <c r="E1693" s="1058" t="s">
        <v>2419</v>
      </c>
      <c r="F1693" s="1017">
        <v>2027</v>
      </c>
      <c r="G1693" s="1017">
        <v>2362.5</v>
      </c>
      <c r="H1693" s="1017"/>
      <c r="I1693" s="1017">
        <v>2362.5</v>
      </c>
      <c r="J1693" s="1017">
        <v>2362.5</v>
      </c>
      <c r="K1693" s="56" t="s">
        <v>2420</v>
      </c>
      <c r="L1693" s="1002" t="s">
        <v>424</v>
      </c>
      <c r="M1693" s="1002">
        <v>599</v>
      </c>
      <c r="N1693" s="1002">
        <v>312</v>
      </c>
      <c r="O1693" s="1002">
        <v>610</v>
      </c>
      <c r="P1693" s="1002">
        <v>650</v>
      </c>
      <c r="Q1693" s="1002">
        <v>680</v>
      </c>
    </row>
    <row r="1694" spans="1:17" ht="60" x14ac:dyDescent="0.25">
      <c r="A1694" s="948"/>
      <c r="B1694" s="753"/>
      <c r="C1694" s="912" t="s">
        <v>12</v>
      </c>
      <c r="D1694" s="13"/>
      <c r="E1694" s="1058" t="s">
        <v>2421</v>
      </c>
      <c r="F1694" s="1017">
        <v>2448.1</v>
      </c>
      <c r="G1694" s="1017">
        <v>2853.3</v>
      </c>
      <c r="H1694" s="1017"/>
      <c r="I1694" s="1017">
        <v>2853.3</v>
      </c>
      <c r="J1694" s="1017">
        <v>2853.3</v>
      </c>
      <c r="K1694" s="914" t="s">
        <v>2422</v>
      </c>
      <c r="L1694" s="1002" t="s">
        <v>423</v>
      </c>
      <c r="M1694" s="1002">
        <v>428</v>
      </c>
      <c r="N1694" s="1002">
        <v>63</v>
      </c>
      <c r="O1694" s="1002">
        <v>65</v>
      </c>
      <c r="P1694" s="1002">
        <v>55</v>
      </c>
      <c r="Q1694" s="1002">
        <v>40</v>
      </c>
    </row>
    <row r="1695" spans="1:17" ht="45" x14ac:dyDescent="0.25">
      <c r="A1695" s="948"/>
      <c r="B1695" s="753"/>
      <c r="C1695" s="912" t="s">
        <v>14</v>
      </c>
      <c r="D1695" s="13"/>
      <c r="E1695" s="1058" t="s">
        <v>2423</v>
      </c>
      <c r="F1695" s="1017">
        <v>2405.8000000000002</v>
      </c>
      <c r="G1695" s="1017">
        <v>2804</v>
      </c>
      <c r="H1695" s="1017"/>
      <c r="I1695" s="1017">
        <v>2804</v>
      </c>
      <c r="J1695" s="1017">
        <v>2804</v>
      </c>
      <c r="K1695" s="914" t="s">
        <v>2424</v>
      </c>
      <c r="L1695" s="1002" t="s">
        <v>189</v>
      </c>
      <c r="M1695" s="1002">
        <v>51</v>
      </c>
      <c r="N1695" s="1002">
        <v>154</v>
      </c>
      <c r="O1695" s="1002">
        <v>58</v>
      </c>
      <c r="P1695" s="1002">
        <v>55</v>
      </c>
      <c r="Q1695" s="1002">
        <v>60</v>
      </c>
    </row>
    <row r="1696" spans="1:17" ht="105" x14ac:dyDescent="0.25">
      <c r="A1696" s="948"/>
      <c r="B1696" s="753"/>
      <c r="C1696" s="912" t="s">
        <v>16</v>
      </c>
      <c r="D1696" s="13"/>
      <c r="E1696" s="692" t="s">
        <v>2425</v>
      </c>
      <c r="F1696" s="1017">
        <v>2675.9</v>
      </c>
      <c r="G1696" s="1017">
        <v>3235.4</v>
      </c>
      <c r="H1696" s="1017"/>
      <c r="I1696" s="1017">
        <v>9355.4</v>
      </c>
      <c r="J1696" s="1017">
        <v>9355.4</v>
      </c>
      <c r="K1696" s="914" t="s">
        <v>2426</v>
      </c>
      <c r="L1696" s="1002" t="s">
        <v>424</v>
      </c>
      <c r="M1696" s="1002">
        <v>61.5</v>
      </c>
      <c r="N1696" s="1002">
        <v>61.5</v>
      </c>
      <c r="O1696" s="1002">
        <v>65.5</v>
      </c>
      <c r="P1696" s="1002">
        <v>61.5</v>
      </c>
      <c r="Q1696" s="1002">
        <v>61.5</v>
      </c>
    </row>
    <row r="1697" spans="1:17" ht="21" customHeight="1" x14ac:dyDescent="0.25">
      <c r="A1697" s="1823" t="s">
        <v>2427</v>
      </c>
      <c r="B1697" s="1823"/>
      <c r="C1697" s="1823"/>
      <c r="D1697" s="1823"/>
      <c r="E1697" s="1840"/>
      <c r="F1697" s="46">
        <v>20660.300000000003</v>
      </c>
      <c r="G1697" s="46">
        <v>25905.9</v>
      </c>
      <c r="H1697" s="46">
        <f>H1686+H1690</f>
        <v>43022</v>
      </c>
      <c r="I1697" s="46">
        <v>36367.599999999999</v>
      </c>
      <c r="J1697" s="46">
        <v>36714.6</v>
      </c>
      <c r="K1697" s="16"/>
      <c r="L1697" s="958"/>
      <c r="M1697" s="958"/>
      <c r="N1697" s="958"/>
      <c r="O1697" s="958"/>
      <c r="P1697" s="958"/>
      <c r="Q1697" s="958"/>
    </row>
    <row r="1698" spans="1:17" x14ac:dyDescent="0.25">
      <c r="A1698" s="1826" t="s">
        <v>2428</v>
      </c>
      <c r="B1698" s="1827"/>
      <c r="C1698" s="1827"/>
      <c r="D1698" s="1827"/>
      <c r="E1698" s="1827"/>
      <c r="F1698" s="1827"/>
      <c r="G1698" s="1827"/>
      <c r="H1698" s="1827"/>
      <c r="I1698" s="1827"/>
      <c r="J1698" s="1827"/>
      <c r="K1698" s="1827"/>
      <c r="L1698" s="1827"/>
      <c r="M1698" s="1827"/>
      <c r="N1698" s="1827"/>
      <c r="O1698" s="1827"/>
      <c r="P1698" s="1827"/>
      <c r="Q1698" s="1828"/>
    </row>
    <row r="1699" spans="1:17" ht="73.5" x14ac:dyDescent="0.25">
      <c r="A1699" s="792">
        <v>66</v>
      </c>
      <c r="B1699" s="507">
        <v>1</v>
      </c>
      <c r="C1699" s="896"/>
      <c r="D1699" s="1095"/>
      <c r="E1699" s="1028" t="s">
        <v>810</v>
      </c>
      <c r="F1699" s="1220"/>
      <c r="G1699" s="1220"/>
      <c r="H1699" s="1513">
        <f>SUM(H1700:H1703)</f>
        <v>3831.4</v>
      </c>
      <c r="I1699" s="1217">
        <v>4048.7999999999997</v>
      </c>
      <c r="J1699" s="1217">
        <v>4094.5000000000005</v>
      </c>
      <c r="K1699" s="1020" t="s">
        <v>181</v>
      </c>
      <c r="L1699" s="1022" t="s">
        <v>182</v>
      </c>
      <c r="M1699" s="1022"/>
      <c r="N1699" s="1022"/>
      <c r="O1699" s="1022"/>
      <c r="P1699" s="1022"/>
      <c r="Q1699" s="1022"/>
    </row>
    <row r="1700" spans="1:17" x14ac:dyDescent="0.25">
      <c r="A1700" s="975"/>
      <c r="B1700" s="503"/>
      <c r="C1700" s="1012" t="s">
        <v>6</v>
      </c>
      <c r="D1700" s="1102"/>
      <c r="E1700" s="993" t="s">
        <v>1627</v>
      </c>
      <c r="F1700" s="1220"/>
      <c r="G1700" s="1220"/>
      <c r="H1700" s="1023">
        <v>2181.3000000000002</v>
      </c>
      <c r="I1700" s="1068">
        <v>2248.6999999999998</v>
      </c>
      <c r="J1700" s="1068">
        <v>2294.4</v>
      </c>
      <c r="K1700" s="901" t="s">
        <v>183</v>
      </c>
      <c r="L1700" s="897" t="s">
        <v>1545</v>
      </c>
      <c r="M1700" s="454"/>
      <c r="N1700" s="454"/>
      <c r="O1700" s="454"/>
      <c r="P1700" s="454"/>
      <c r="Q1700" s="454"/>
    </row>
    <row r="1701" spans="1:17" x14ac:dyDescent="0.25">
      <c r="A1701" s="975"/>
      <c r="B1701" s="503"/>
      <c r="C1701" s="1012" t="s">
        <v>8</v>
      </c>
      <c r="D1701" s="1102"/>
      <c r="E1701" s="1000" t="s">
        <v>171</v>
      </c>
      <c r="F1701" s="1220"/>
      <c r="G1701" s="1220"/>
      <c r="H1701" s="1023">
        <v>732.4</v>
      </c>
      <c r="I1701" s="1068">
        <v>732.4</v>
      </c>
      <c r="J1701" s="1068">
        <v>732.4</v>
      </c>
      <c r="K1701" s="901" t="s">
        <v>185</v>
      </c>
      <c r="L1701" s="897" t="s">
        <v>182</v>
      </c>
      <c r="M1701" s="454"/>
      <c r="N1701" s="454"/>
      <c r="O1701" s="454"/>
      <c r="P1701" s="454"/>
      <c r="Q1701" s="454"/>
    </row>
    <row r="1702" spans="1:17" ht="30" x14ac:dyDescent="0.25">
      <c r="A1702" s="975"/>
      <c r="B1702" s="503"/>
      <c r="C1702" s="1012" t="s">
        <v>10</v>
      </c>
      <c r="D1702" s="1102"/>
      <c r="E1702" s="1000" t="s">
        <v>1643</v>
      </c>
      <c r="F1702" s="1220"/>
      <c r="G1702" s="1220"/>
      <c r="H1702" s="1023">
        <v>718.3</v>
      </c>
      <c r="I1702" s="1068">
        <v>718.3</v>
      </c>
      <c r="J1702" s="1068">
        <v>718.3</v>
      </c>
      <c r="K1702" s="36" t="s">
        <v>186</v>
      </c>
      <c r="L1702" s="897" t="s">
        <v>182</v>
      </c>
      <c r="M1702" s="454">
        <v>0</v>
      </c>
      <c r="N1702" s="454"/>
      <c r="O1702" s="454"/>
      <c r="P1702" s="454"/>
      <c r="Q1702" s="454"/>
    </row>
    <row r="1703" spans="1:17" ht="30" x14ac:dyDescent="0.25">
      <c r="A1703" s="975"/>
      <c r="B1703" s="503"/>
      <c r="C1703" s="1012" t="s">
        <v>16</v>
      </c>
      <c r="D1703" s="1102"/>
      <c r="E1703" s="998" t="s">
        <v>895</v>
      </c>
      <c r="F1703" s="1220"/>
      <c r="G1703" s="1220"/>
      <c r="H1703" s="1023">
        <v>199.4</v>
      </c>
      <c r="I1703" s="1068">
        <v>349.4</v>
      </c>
      <c r="J1703" s="1068">
        <v>349.4</v>
      </c>
      <c r="K1703" s="901" t="s">
        <v>190</v>
      </c>
      <c r="L1703" s="897" t="s">
        <v>182</v>
      </c>
      <c r="M1703" s="1105">
        <v>0.23</v>
      </c>
      <c r="N1703" s="454"/>
      <c r="O1703" s="454"/>
      <c r="P1703" s="454"/>
      <c r="Q1703" s="454"/>
    </row>
    <row r="1704" spans="1:17" ht="64.5" customHeight="1" x14ac:dyDescent="0.25">
      <c r="A1704" s="971">
        <v>66</v>
      </c>
      <c r="B1704" s="990">
        <v>2</v>
      </c>
      <c r="C1704" s="973"/>
      <c r="D1704" s="1114"/>
      <c r="E1704" s="1051" t="s">
        <v>2429</v>
      </c>
      <c r="F1704" s="1283"/>
      <c r="G1704" s="1283"/>
      <c r="H1704" s="1024">
        <f>H1705</f>
        <v>7421.1</v>
      </c>
      <c r="I1704" s="717">
        <v>7421.1</v>
      </c>
      <c r="J1704" s="717">
        <v>7421.1</v>
      </c>
      <c r="K1704" s="1019" t="s">
        <v>187</v>
      </c>
      <c r="L1704" s="1021" t="s">
        <v>258</v>
      </c>
      <c r="M1704" s="1021"/>
      <c r="N1704" s="311" t="s">
        <v>383</v>
      </c>
      <c r="O1704" s="311" t="s">
        <v>383</v>
      </c>
      <c r="P1704" s="311" t="s">
        <v>383</v>
      </c>
      <c r="Q1704" s="311" t="s">
        <v>383</v>
      </c>
    </row>
    <row r="1705" spans="1:17" x14ac:dyDescent="0.25">
      <c r="A1705" s="1976"/>
      <c r="B1705" s="1462"/>
      <c r="C1705" s="1955" t="s">
        <v>6</v>
      </c>
      <c r="D1705" s="2010"/>
      <c r="E1705" s="2012" t="s">
        <v>2430</v>
      </c>
      <c r="F1705" s="1868"/>
      <c r="G1705" s="1868"/>
      <c r="H1705" s="2013">
        <v>7421.1</v>
      </c>
      <c r="I1705" s="2014">
        <v>7421.1</v>
      </c>
      <c r="J1705" s="2014">
        <v>7421.1</v>
      </c>
      <c r="K1705" s="982" t="s">
        <v>2431</v>
      </c>
      <c r="L1705" s="311" t="s">
        <v>270</v>
      </c>
      <c r="M1705" s="311"/>
      <c r="N1705" s="311" t="s">
        <v>383</v>
      </c>
      <c r="O1705" s="311" t="s">
        <v>383</v>
      </c>
      <c r="P1705" s="311" t="s">
        <v>383</v>
      </c>
      <c r="Q1705" s="311" t="s">
        <v>383</v>
      </c>
    </row>
    <row r="1706" spans="1:17" x14ac:dyDescent="0.25">
      <c r="A1706" s="2009"/>
      <c r="B1706" s="495"/>
      <c r="C1706" s="1956"/>
      <c r="D1706" s="2011"/>
      <c r="E1706" s="2012"/>
      <c r="F1706" s="1869"/>
      <c r="G1706" s="1869"/>
      <c r="H1706" s="2013"/>
      <c r="I1706" s="2014"/>
      <c r="J1706" s="2014"/>
      <c r="K1706" s="1559"/>
      <c r="L1706" s="1560"/>
      <c r="M1706" s="1560"/>
      <c r="N1706" s="1560"/>
      <c r="O1706" s="1560"/>
      <c r="P1706" s="1560"/>
      <c r="Q1706" s="1560"/>
    </row>
    <row r="1707" spans="1:17" ht="30.75" customHeight="1" x14ac:dyDescent="0.25">
      <c r="A1707" s="1823" t="s">
        <v>2432</v>
      </c>
      <c r="B1707" s="1823"/>
      <c r="C1707" s="1823"/>
      <c r="D1707" s="1823"/>
      <c r="E1707" s="1840"/>
      <c r="F1707" s="18"/>
      <c r="G1707" s="18"/>
      <c r="H1707" s="1127">
        <f>H1699+H1704</f>
        <v>11252.5</v>
      </c>
      <c r="I1707" s="46">
        <v>11469.9</v>
      </c>
      <c r="J1707" s="46">
        <v>11515.6</v>
      </c>
      <c r="K1707" s="16"/>
      <c r="L1707" s="958"/>
      <c r="M1707" s="958"/>
      <c r="N1707" s="958"/>
      <c r="O1707" s="958"/>
      <c r="P1707" s="958"/>
      <c r="Q1707" s="958"/>
    </row>
    <row r="1708" spans="1:17" ht="15.75" thickBot="1" x14ac:dyDescent="0.3">
      <c r="A1708" s="1878" t="s">
        <v>2433</v>
      </c>
      <c r="B1708" s="1879"/>
      <c r="C1708" s="1879"/>
      <c r="D1708" s="1879"/>
      <c r="E1708" s="1879"/>
      <c r="F1708" s="1879"/>
      <c r="G1708" s="1879"/>
      <c r="H1708" s="1879"/>
      <c r="I1708" s="1879"/>
      <c r="J1708" s="1879"/>
      <c r="K1708" s="1879"/>
      <c r="L1708" s="1879"/>
      <c r="M1708" s="1879"/>
      <c r="N1708" s="1879"/>
      <c r="O1708" s="1879"/>
      <c r="P1708" s="1879"/>
      <c r="Q1708" s="1880"/>
    </row>
    <row r="1709" spans="1:17" ht="74.25" x14ac:dyDescent="0.25">
      <c r="A1709" s="556">
        <v>68</v>
      </c>
      <c r="B1709" s="979">
        <v>1</v>
      </c>
      <c r="C1709" s="939"/>
      <c r="D1709" s="253"/>
      <c r="E1709" s="1034" t="s">
        <v>2901</v>
      </c>
      <c r="F1709" s="720">
        <v>2405.6999999999998</v>
      </c>
      <c r="G1709" s="720">
        <v>3210.7</v>
      </c>
      <c r="H1709" s="720">
        <f>SUM(H1710:H1711)</f>
        <v>3435.2</v>
      </c>
      <c r="I1709" s="720">
        <v>3253.1</v>
      </c>
      <c r="J1709" s="720">
        <v>3296.1</v>
      </c>
      <c r="K1709" s="954" t="s">
        <v>181</v>
      </c>
      <c r="L1709" s="933" t="s">
        <v>182</v>
      </c>
      <c r="M1709" s="1034">
        <v>0</v>
      </c>
      <c r="N1709" s="1034">
        <v>29</v>
      </c>
      <c r="O1709" s="1034">
        <v>29</v>
      </c>
      <c r="P1709" s="1034">
        <v>29</v>
      </c>
      <c r="Q1709" s="1034">
        <v>29</v>
      </c>
    </row>
    <row r="1710" spans="1:17" x14ac:dyDescent="0.25">
      <c r="A1710" s="1005"/>
      <c r="B1710" s="1514"/>
      <c r="C1710" s="1005">
        <v>1</v>
      </c>
      <c r="D1710" s="1102"/>
      <c r="E1710" s="143" t="s">
        <v>2434</v>
      </c>
      <c r="F1710" s="895">
        <v>1819.5</v>
      </c>
      <c r="G1710" s="895">
        <v>2723.2</v>
      </c>
      <c r="H1710" s="895">
        <f>2275+36.9</f>
        <v>2311.9</v>
      </c>
      <c r="I1710" s="895">
        <v>2765.5</v>
      </c>
      <c r="J1710" s="895">
        <v>2808.5</v>
      </c>
      <c r="K1710" s="901" t="s">
        <v>183</v>
      </c>
      <c r="L1710" s="897" t="s">
        <v>184</v>
      </c>
      <c r="M1710" s="692"/>
      <c r="N1710" s="692"/>
      <c r="O1710" s="1002"/>
      <c r="P1710" s="1002"/>
      <c r="Q1710" s="1002"/>
    </row>
    <row r="1711" spans="1:17" x14ac:dyDescent="0.25">
      <c r="A1711" s="1005"/>
      <c r="B1711" s="1561"/>
      <c r="C1711" s="437">
        <v>6</v>
      </c>
      <c r="D1711" s="1102"/>
      <c r="E1711" s="1000" t="s">
        <v>17</v>
      </c>
      <c r="F1711" s="895">
        <v>586.20000000000005</v>
      </c>
      <c r="G1711" s="895">
        <v>487.5</v>
      </c>
      <c r="H1711" s="895">
        <f>935.7+187.6</f>
        <v>1123.3</v>
      </c>
      <c r="I1711" s="895">
        <v>487.6</v>
      </c>
      <c r="J1711" s="895">
        <v>487.6</v>
      </c>
      <c r="K1711" s="901" t="s">
        <v>185</v>
      </c>
      <c r="L1711" s="897" t="s">
        <v>182</v>
      </c>
      <c r="M1711" s="692"/>
      <c r="N1711" s="692">
        <v>29</v>
      </c>
      <c r="O1711" s="1002">
        <v>29</v>
      </c>
      <c r="P1711" s="1002">
        <v>29</v>
      </c>
      <c r="Q1711" s="1002">
        <v>29</v>
      </c>
    </row>
    <row r="1712" spans="1:17" ht="36" customHeight="1" x14ac:dyDescent="0.25">
      <c r="A1712" s="1823" t="s">
        <v>2435</v>
      </c>
      <c r="B1712" s="1823"/>
      <c r="C1712" s="1823"/>
      <c r="D1712" s="1823"/>
      <c r="E1712" s="1840"/>
      <c r="F1712" s="17">
        <v>2405.6999999999998</v>
      </c>
      <c r="G1712" s="17">
        <v>3210.7</v>
      </c>
      <c r="H1712" s="17">
        <f>H1709</f>
        <v>3435.2</v>
      </c>
      <c r="I1712" s="17">
        <v>3253.1</v>
      </c>
      <c r="J1712" s="17">
        <v>3296.1</v>
      </c>
      <c r="K1712" s="16"/>
      <c r="L1712" s="958"/>
      <c r="M1712" s="958"/>
      <c r="N1712" s="958"/>
      <c r="O1712" s="958"/>
      <c r="P1712" s="958"/>
      <c r="Q1712" s="958"/>
    </row>
    <row r="1713" spans="1:17" x14ac:dyDescent="0.25">
      <c r="A1713" s="1826" t="s">
        <v>2436</v>
      </c>
      <c r="B1713" s="1827"/>
      <c r="C1713" s="1827"/>
      <c r="D1713" s="1827"/>
      <c r="E1713" s="1827"/>
      <c r="F1713" s="1827"/>
      <c r="G1713" s="1827"/>
      <c r="H1713" s="1827"/>
      <c r="I1713" s="1827"/>
      <c r="J1713" s="1827"/>
      <c r="K1713" s="1827"/>
      <c r="L1713" s="1827"/>
      <c r="M1713" s="1827"/>
      <c r="N1713" s="1827"/>
      <c r="O1713" s="1827"/>
      <c r="P1713" s="1827"/>
      <c r="Q1713" s="1828"/>
    </row>
    <row r="1714" spans="1:17" ht="73.5" x14ac:dyDescent="0.25">
      <c r="A1714" s="906">
        <v>70</v>
      </c>
      <c r="B1714" s="1047">
        <v>1</v>
      </c>
      <c r="C1714" s="912"/>
      <c r="D1714" s="12"/>
      <c r="E1714" s="1009" t="s">
        <v>2437</v>
      </c>
      <c r="F1714" s="915">
        <v>2796.2</v>
      </c>
      <c r="G1714" s="929">
        <v>3010.2</v>
      </c>
      <c r="H1714" s="929">
        <f>SUM(H1715)</f>
        <v>3103.2</v>
      </c>
      <c r="I1714" s="929">
        <v>3018.3</v>
      </c>
      <c r="J1714" s="929">
        <v>3034.3</v>
      </c>
      <c r="K1714" s="647" t="s">
        <v>181</v>
      </c>
      <c r="L1714" s="640"/>
      <c r="M1714" s="1011">
        <v>20</v>
      </c>
      <c r="N1714" s="1011">
        <v>20</v>
      </c>
      <c r="O1714" s="1011">
        <v>20</v>
      </c>
      <c r="P1714" s="1011">
        <v>20</v>
      </c>
      <c r="Q1714" s="1011">
        <v>21</v>
      </c>
    </row>
    <row r="1715" spans="1:17" ht="45" x14ac:dyDescent="0.25">
      <c r="A1715" s="948"/>
      <c r="B1715" s="1138"/>
      <c r="C1715" s="904" t="s">
        <v>6</v>
      </c>
      <c r="D1715" s="253"/>
      <c r="E1715" s="993" t="s">
        <v>2412</v>
      </c>
      <c r="F1715" s="1136">
        <v>2796.2</v>
      </c>
      <c r="G1715" s="1136">
        <v>3010.2</v>
      </c>
      <c r="H1715" s="961">
        <f>3010.2+93</f>
        <v>3103.2</v>
      </c>
      <c r="I1715" s="928">
        <v>3018.3</v>
      </c>
      <c r="J1715" s="928">
        <v>3034.3</v>
      </c>
      <c r="K1715" s="914" t="s">
        <v>2438</v>
      </c>
      <c r="L1715" s="1002" t="s">
        <v>182</v>
      </c>
      <c r="M1715" s="640">
        <v>100</v>
      </c>
      <c r="N1715" s="640">
        <v>100</v>
      </c>
      <c r="O1715" s="640">
        <v>100</v>
      </c>
      <c r="P1715" s="640">
        <v>100</v>
      </c>
      <c r="Q1715" s="640">
        <v>100</v>
      </c>
    </row>
    <row r="1716" spans="1:17" ht="132.75" x14ac:dyDescent="0.25">
      <c r="A1716" s="902">
        <v>70</v>
      </c>
      <c r="B1716" s="1129">
        <v>2</v>
      </c>
      <c r="C1716" s="904"/>
      <c r="D1716" s="91"/>
      <c r="E1716" s="1006" t="s">
        <v>2439</v>
      </c>
      <c r="F1716" s="915">
        <v>10389.799999999999</v>
      </c>
      <c r="G1716" s="915">
        <v>12034</v>
      </c>
      <c r="H1716" s="915">
        <f>SUM(H1717:H1718)</f>
        <v>12398.2</v>
      </c>
      <c r="I1716" s="915">
        <v>12224.400000000001</v>
      </c>
      <c r="J1716" s="915">
        <v>12410</v>
      </c>
      <c r="K1716" s="953" t="s">
        <v>2440</v>
      </c>
      <c r="L1716" s="1010"/>
      <c r="M1716" s="1010">
        <v>30</v>
      </c>
      <c r="N1716" s="1010">
        <v>30</v>
      </c>
      <c r="O1716" s="1010">
        <v>30</v>
      </c>
      <c r="P1716" s="1010">
        <v>30</v>
      </c>
      <c r="Q1716" s="1010">
        <v>30</v>
      </c>
    </row>
    <row r="1717" spans="1:17" ht="60" x14ac:dyDescent="0.25">
      <c r="A1717" s="985"/>
      <c r="B1717" s="1462"/>
      <c r="C1717" s="973" t="s">
        <v>6</v>
      </c>
      <c r="D1717" s="1562"/>
      <c r="E1717" s="969" t="s">
        <v>2441</v>
      </c>
      <c r="F1717" s="1061">
        <v>3629.5</v>
      </c>
      <c r="G1717" s="1023">
        <v>4382.8999999999996</v>
      </c>
      <c r="H1717" s="1023">
        <v>4165.6000000000004</v>
      </c>
      <c r="I1717" s="1061">
        <v>4464.1000000000004</v>
      </c>
      <c r="J1717" s="1061">
        <v>4517.6000000000004</v>
      </c>
      <c r="K1717" s="901" t="s">
        <v>2442</v>
      </c>
      <c r="L1717" s="897"/>
      <c r="M1717" s="897">
        <v>15</v>
      </c>
      <c r="N1717" s="895">
        <v>15</v>
      </c>
      <c r="O1717" s="895">
        <v>15</v>
      </c>
      <c r="P1717" s="895">
        <v>15</v>
      </c>
      <c r="Q1717" s="895">
        <v>15</v>
      </c>
    </row>
    <row r="1718" spans="1:17" ht="60" x14ac:dyDescent="0.25">
      <c r="A1718" s="985"/>
      <c r="B1718" s="1462"/>
      <c r="C1718" s="973" t="s">
        <v>8</v>
      </c>
      <c r="D1718" s="1563"/>
      <c r="E1718" s="998" t="s">
        <v>2443</v>
      </c>
      <c r="F1718" s="1061">
        <v>6760.3</v>
      </c>
      <c r="G1718" s="1023">
        <v>7651.1</v>
      </c>
      <c r="H1718" s="988">
        <v>8232.6</v>
      </c>
      <c r="I1718" s="952">
        <v>7760.3</v>
      </c>
      <c r="J1718" s="952">
        <v>7892.4</v>
      </c>
      <c r="K1718" s="982" t="s">
        <v>2444</v>
      </c>
      <c r="L1718" s="897"/>
      <c r="M1718" s="897">
        <v>15</v>
      </c>
      <c r="N1718" s="897">
        <v>15</v>
      </c>
      <c r="O1718" s="897">
        <v>15</v>
      </c>
      <c r="P1718" s="897">
        <v>15</v>
      </c>
      <c r="Q1718" s="897">
        <v>15</v>
      </c>
    </row>
    <row r="1719" spans="1:17" ht="36.75" customHeight="1" x14ac:dyDescent="0.25">
      <c r="A1719" s="1823" t="s">
        <v>2445</v>
      </c>
      <c r="B1719" s="1823"/>
      <c r="C1719" s="1823"/>
      <c r="D1719" s="1823"/>
      <c r="E1719" s="1840"/>
      <c r="F1719" s="46">
        <v>13186</v>
      </c>
      <c r="G1719" s="46">
        <v>15044.2</v>
      </c>
      <c r="H1719" s="46">
        <f>H1714+H1716</f>
        <v>15501.400000000001</v>
      </c>
      <c r="I1719" s="46">
        <v>15242.7</v>
      </c>
      <c r="J1719" s="46">
        <v>15444.3</v>
      </c>
      <c r="K1719" s="16"/>
      <c r="L1719" s="958"/>
      <c r="M1719" s="958"/>
      <c r="N1719" s="958"/>
      <c r="O1719" s="958"/>
      <c r="P1719" s="958"/>
      <c r="Q1719" s="958"/>
    </row>
    <row r="1720" spans="1:17" x14ac:dyDescent="0.25">
      <c r="A1720" s="1826" t="s">
        <v>2446</v>
      </c>
      <c r="B1720" s="1827"/>
      <c r="C1720" s="1827"/>
      <c r="D1720" s="1827"/>
      <c r="E1720" s="1827"/>
      <c r="F1720" s="1827"/>
      <c r="G1720" s="1827"/>
      <c r="H1720" s="1827"/>
      <c r="I1720" s="1827"/>
      <c r="J1720" s="1827"/>
      <c r="K1720" s="1827"/>
      <c r="L1720" s="1827"/>
      <c r="M1720" s="1827"/>
      <c r="N1720" s="1827"/>
      <c r="O1720" s="1827"/>
      <c r="P1720" s="1827"/>
      <c r="Q1720" s="1828"/>
    </row>
    <row r="1721" spans="1:17" ht="73.5" x14ac:dyDescent="0.25">
      <c r="A1721" s="792">
        <v>71</v>
      </c>
      <c r="B1721" s="507">
        <v>1</v>
      </c>
      <c r="C1721" s="896"/>
      <c r="D1721" s="1216"/>
      <c r="E1721" s="1051" t="s">
        <v>810</v>
      </c>
      <c r="F1721" s="717">
        <v>0</v>
      </c>
      <c r="G1721" s="717">
        <v>0</v>
      </c>
      <c r="H1721" s="717">
        <f>SUM(H1722:H1726)</f>
        <v>15688.699999999999</v>
      </c>
      <c r="I1721" s="717">
        <v>13837.1</v>
      </c>
      <c r="J1721" s="717">
        <v>14551.300000000001</v>
      </c>
      <c r="K1721" s="1026"/>
      <c r="L1721" s="897"/>
      <c r="M1721" s="454"/>
      <c r="N1721" s="454"/>
      <c r="O1721" s="454"/>
      <c r="P1721" s="454"/>
      <c r="Q1721" s="454"/>
    </row>
    <row r="1722" spans="1:17" ht="30" x14ac:dyDescent="0.25">
      <c r="A1722" s="975"/>
      <c r="B1722" s="503"/>
      <c r="C1722" s="896" t="s">
        <v>6</v>
      </c>
      <c r="D1722" s="896"/>
      <c r="E1722" s="998" t="s">
        <v>7</v>
      </c>
      <c r="F1722" s="1220"/>
      <c r="G1722" s="1220"/>
      <c r="H1722" s="1018">
        <v>4775</v>
      </c>
      <c r="I1722" s="1018">
        <v>3543.9</v>
      </c>
      <c r="J1722" s="1018">
        <v>3726.8</v>
      </c>
      <c r="K1722" s="1564" t="s">
        <v>2447</v>
      </c>
      <c r="L1722" s="897" t="s">
        <v>182</v>
      </c>
      <c r="M1722" s="1105">
        <v>1</v>
      </c>
      <c r="N1722" s="897">
        <v>100</v>
      </c>
      <c r="O1722" s="897">
        <v>100</v>
      </c>
      <c r="P1722" s="897">
        <v>100</v>
      </c>
      <c r="Q1722" s="897">
        <v>100</v>
      </c>
    </row>
    <row r="1723" spans="1:17" x14ac:dyDescent="0.25">
      <c r="A1723" s="792"/>
      <c r="B1723" s="507"/>
      <c r="C1723" s="1012" t="s">
        <v>8</v>
      </c>
      <c r="D1723" s="1013"/>
      <c r="E1723" s="1000" t="s">
        <v>9</v>
      </c>
      <c r="F1723" s="1220"/>
      <c r="G1723" s="1220"/>
      <c r="H1723" s="895">
        <v>4207.5</v>
      </c>
      <c r="I1723" s="895">
        <v>3590.4</v>
      </c>
      <c r="J1723" s="895">
        <v>3776.6</v>
      </c>
      <c r="K1723" s="901" t="s">
        <v>185</v>
      </c>
      <c r="L1723" s="897" t="s">
        <v>182</v>
      </c>
      <c r="M1723" s="1105">
        <v>1</v>
      </c>
      <c r="N1723" s="897">
        <v>100</v>
      </c>
      <c r="O1723" s="897">
        <v>100</v>
      </c>
      <c r="P1723" s="897">
        <v>100</v>
      </c>
      <c r="Q1723" s="897">
        <v>100</v>
      </c>
    </row>
    <row r="1724" spans="1:17" ht="30" x14ac:dyDescent="0.25">
      <c r="A1724" s="792"/>
      <c r="B1724" s="507"/>
      <c r="C1724" s="1012" t="s">
        <v>14</v>
      </c>
      <c r="D1724" s="1013"/>
      <c r="E1724" s="1000" t="s">
        <v>42</v>
      </c>
      <c r="F1724" s="1220"/>
      <c r="G1724" s="1220"/>
      <c r="H1724" s="895">
        <v>751</v>
      </c>
      <c r="I1724" s="895">
        <v>630</v>
      </c>
      <c r="J1724" s="895">
        <v>661.7</v>
      </c>
      <c r="K1724" s="901" t="s">
        <v>2448</v>
      </c>
      <c r="L1724" s="897" t="s">
        <v>189</v>
      </c>
      <c r="M1724" s="1565" t="s">
        <v>2449</v>
      </c>
      <c r="N1724" s="1125" t="s">
        <v>2450</v>
      </c>
      <c r="O1724" s="1125" t="s">
        <v>2450</v>
      </c>
      <c r="P1724" s="1125" t="s">
        <v>2450</v>
      </c>
      <c r="Q1724" s="1125" t="s">
        <v>2450</v>
      </c>
    </row>
    <row r="1725" spans="1:17" ht="30" x14ac:dyDescent="0.25">
      <c r="A1725" s="792"/>
      <c r="B1725" s="507"/>
      <c r="C1725" s="1012" t="s">
        <v>16</v>
      </c>
      <c r="D1725" s="1013"/>
      <c r="E1725" s="998" t="s">
        <v>17</v>
      </c>
      <c r="F1725" s="1220"/>
      <c r="G1725" s="1220"/>
      <c r="H1725" s="895">
        <v>4055.4</v>
      </c>
      <c r="I1725" s="895">
        <v>4183.2</v>
      </c>
      <c r="J1725" s="895">
        <v>4399.1000000000004</v>
      </c>
      <c r="K1725" s="901" t="s">
        <v>190</v>
      </c>
      <c r="L1725" s="897" t="s">
        <v>182</v>
      </c>
      <c r="M1725" s="311">
        <v>41.6</v>
      </c>
      <c r="N1725" s="311">
        <v>41.6</v>
      </c>
      <c r="O1725" s="311">
        <v>41.6</v>
      </c>
      <c r="P1725" s="311">
        <v>41.6</v>
      </c>
      <c r="Q1725" s="311">
        <v>41.6</v>
      </c>
    </row>
    <row r="1726" spans="1:17" ht="45" x14ac:dyDescent="0.25">
      <c r="A1726" s="792"/>
      <c r="B1726" s="507"/>
      <c r="C1726" s="1012" t="s">
        <v>48</v>
      </c>
      <c r="D1726" s="1013"/>
      <c r="E1726" s="998" t="s">
        <v>66</v>
      </c>
      <c r="F1726" s="1220"/>
      <c r="G1726" s="1220"/>
      <c r="H1726" s="895">
        <v>1899.8</v>
      </c>
      <c r="I1726" s="895">
        <v>1889.6</v>
      </c>
      <c r="J1726" s="895">
        <v>1987.1</v>
      </c>
      <c r="K1726" s="901" t="s">
        <v>2451</v>
      </c>
      <c r="L1726" s="897" t="s">
        <v>189</v>
      </c>
      <c r="M1726" s="897">
        <v>12</v>
      </c>
      <c r="N1726" s="1125" t="s">
        <v>2450</v>
      </c>
      <c r="O1726" s="1125" t="s">
        <v>2450</v>
      </c>
      <c r="P1726" s="1125" t="s">
        <v>2450</v>
      </c>
      <c r="Q1726" s="1125" t="s">
        <v>2450</v>
      </c>
    </row>
    <row r="1727" spans="1:17" ht="132.75" x14ac:dyDescent="0.25">
      <c r="A1727" s="971">
        <v>71</v>
      </c>
      <c r="B1727" s="990">
        <v>2</v>
      </c>
      <c r="C1727" s="973"/>
      <c r="D1727" s="1114"/>
      <c r="E1727" s="1051" t="s">
        <v>2452</v>
      </c>
      <c r="F1727" s="717">
        <v>0</v>
      </c>
      <c r="G1727" s="717">
        <v>0</v>
      </c>
      <c r="H1727" s="717">
        <f>SUM(H1728:H1732)</f>
        <v>15723.9</v>
      </c>
      <c r="I1727" s="717">
        <v>14690.6</v>
      </c>
      <c r="J1727" s="717">
        <v>15448.699999999999</v>
      </c>
      <c r="K1727" s="901"/>
      <c r="L1727" s="897"/>
      <c r="M1727" s="897"/>
      <c r="N1727" s="1013"/>
      <c r="O1727" s="1013"/>
      <c r="P1727" s="1013"/>
      <c r="Q1727" s="1013"/>
    </row>
    <row r="1728" spans="1:17" ht="105" x14ac:dyDescent="0.25">
      <c r="A1728" s="971"/>
      <c r="B1728" s="990"/>
      <c r="C1728" s="973" t="s">
        <v>6</v>
      </c>
      <c r="D1728" s="973"/>
      <c r="E1728" s="969" t="s">
        <v>2453</v>
      </c>
      <c r="F1728" s="1220"/>
      <c r="G1728" s="1220"/>
      <c r="H1728" s="1016">
        <v>8137.1</v>
      </c>
      <c r="I1728" s="1016">
        <v>7794.4</v>
      </c>
      <c r="J1728" s="1016">
        <v>8196.7999999999993</v>
      </c>
      <c r="K1728" s="1566" t="s">
        <v>2454</v>
      </c>
      <c r="L1728" s="311" t="s">
        <v>222</v>
      </c>
      <c r="M1728" s="311">
        <v>37</v>
      </c>
      <c r="N1728" s="1125" t="s">
        <v>383</v>
      </c>
      <c r="O1728" s="1125" t="s">
        <v>383</v>
      </c>
      <c r="P1728" s="1125" t="s">
        <v>383</v>
      </c>
      <c r="Q1728" s="1125" t="s">
        <v>383</v>
      </c>
    </row>
    <row r="1729" spans="1:17" ht="75" x14ac:dyDescent="0.25">
      <c r="A1729" s="971"/>
      <c r="B1729" s="990"/>
      <c r="C1729" s="1012" t="s">
        <v>8</v>
      </c>
      <c r="D1729" s="1012"/>
      <c r="E1729" s="1001" t="s">
        <v>2455</v>
      </c>
      <c r="F1729" s="1220"/>
      <c r="G1729" s="1220"/>
      <c r="H1729" s="1220">
        <v>2097.4</v>
      </c>
      <c r="I1729" s="1220">
        <v>1889.6</v>
      </c>
      <c r="J1729" s="1220">
        <v>1987.1</v>
      </c>
      <c r="K1729" s="1564" t="s">
        <v>2456</v>
      </c>
      <c r="L1729" s="1014" t="s">
        <v>2457</v>
      </c>
      <c r="M1729" s="897">
        <v>8</v>
      </c>
      <c r="N1729" s="1125" t="s">
        <v>383</v>
      </c>
      <c r="O1729" s="1125" t="s">
        <v>383</v>
      </c>
      <c r="P1729" s="1125" t="s">
        <v>383</v>
      </c>
      <c r="Q1729" s="1125" t="s">
        <v>383</v>
      </c>
    </row>
    <row r="1730" spans="1:17" ht="105" x14ac:dyDescent="0.25">
      <c r="A1730" s="971"/>
      <c r="B1730" s="990"/>
      <c r="C1730" s="973" t="s">
        <v>10</v>
      </c>
      <c r="D1730" s="973"/>
      <c r="E1730" s="1001" t="s">
        <v>2458</v>
      </c>
      <c r="F1730" s="1220"/>
      <c r="G1730" s="1220"/>
      <c r="H1730" s="1016">
        <v>2299.3000000000002</v>
      </c>
      <c r="I1730" s="1016">
        <v>2171.8000000000002</v>
      </c>
      <c r="J1730" s="1016">
        <v>2283.9</v>
      </c>
      <c r="K1730" s="1564" t="s">
        <v>2459</v>
      </c>
      <c r="L1730" s="311" t="s">
        <v>182</v>
      </c>
      <c r="M1730" s="1567">
        <v>1</v>
      </c>
      <c r="N1730" s="897">
        <v>100</v>
      </c>
      <c r="O1730" s="897">
        <v>100</v>
      </c>
      <c r="P1730" s="897">
        <v>100</v>
      </c>
      <c r="Q1730" s="897">
        <v>100</v>
      </c>
    </row>
    <row r="1731" spans="1:17" ht="60" x14ac:dyDescent="0.25">
      <c r="A1731" s="971"/>
      <c r="B1731" s="990"/>
      <c r="C1731" s="973" t="s">
        <v>12</v>
      </c>
      <c r="D1731" s="973"/>
      <c r="E1731" s="1568" t="s">
        <v>2460</v>
      </c>
      <c r="F1731" s="1220"/>
      <c r="G1731" s="1220"/>
      <c r="H1731" s="895">
        <v>1543.4</v>
      </c>
      <c r="I1731" s="895">
        <v>1417.2</v>
      </c>
      <c r="J1731" s="895">
        <v>1490.4</v>
      </c>
      <c r="K1731" s="914" t="s">
        <v>2461</v>
      </c>
      <c r="L1731" s="897" t="s">
        <v>222</v>
      </c>
      <c r="M1731" s="1116">
        <v>192325</v>
      </c>
      <c r="N1731" s="1125" t="s">
        <v>383</v>
      </c>
      <c r="O1731" s="1125" t="s">
        <v>383</v>
      </c>
      <c r="P1731" s="1125" t="s">
        <v>383</v>
      </c>
      <c r="Q1731" s="1125" t="s">
        <v>383</v>
      </c>
    </row>
    <row r="1732" spans="1:17" ht="45" x14ac:dyDescent="0.25">
      <c r="A1732" s="805"/>
      <c r="B1732" s="816"/>
      <c r="C1732" s="896" t="s">
        <v>14</v>
      </c>
      <c r="D1732" s="896"/>
      <c r="E1732" s="998" t="s">
        <v>2462</v>
      </c>
      <c r="F1732" s="1220"/>
      <c r="G1732" s="1220"/>
      <c r="H1732" s="895">
        <v>1646.7</v>
      </c>
      <c r="I1732" s="895">
        <v>1417.6</v>
      </c>
      <c r="J1732" s="895">
        <v>1490.5</v>
      </c>
      <c r="K1732" s="1564" t="s">
        <v>2463</v>
      </c>
      <c r="L1732" s="897" t="s">
        <v>222</v>
      </c>
      <c r="M1732" s="1569">
        <v>957841</v>
      </c>
      <c r="N1732" s="1125" t="s">
        <v>383</v>
      </c>
      <c r="O1732" s="1125" t="s">
        <v>383</v>
      </c>
      <c r="P1732" s="1125" t="s">
        <v>383</v>
      </c>
      <c r="Q1732" s="1125" t="s">
        <v>383</v>
      </c>
    </row>
    <row r="1733" spans="1:17" ht="36" customHeight="1" x14ac:dyDescent="0.25">
      <c r="A1733" s="1823" t="s">
        <v>2464</v>
      </c>
      <c r="B1733" s="1823"/>
      <c r="C1733" s="1915"/>
      <c r="D1733" s="1915"/>
      <c r="E1733" s="1997"/>
      <c r="F1733" s="46">
        <v>0</v>
      </c>
      <c r="G1733" s="46">
        <v>0</v>
      </c>
      <c r="H1733" s="46">
        <f>H1721+H1727</f>
        <v>31412.6</v>
      </c>
      <c r="I1733" s="46">
        <v>28527.7</v>
      </c>
      <c r="J1733" s="46">
        <v>30000</v>
      </c>
      <c r="K1733" s="16"/>
      <c r="L1733" s="24"/>
      <c r="M1733" s="24"/>
      <c r="N1733" s="24"/>
      <c r="O1733" s="24"/>
      <c r="P1733" s="24"/>
      <c r="Q1733" s="24"/>
    </row>
    <row r="1734" spans="1:17" x14ac:dyDescent="0.25">
      <c r="A1734" s="1826" t="s">
        <v>2465</v>
      </c>
      <c r="B1734" s="1827"/>
      <c r="C1734" s="1827"/>
      <c r="D1734" s="1827"/>
      <c r="E1734" s="1827"/>
      <c r="F1734" s="1827"/>
      <c r="G1734" s="1827"/>
      <c r="H1734" s="1827"/>
      <c r="I1734" s="1827"/>
      <c r="J1734" s="1827"/>
      <c r="K1734" s="1827"/>
      <c r="L1734" s="1827"/>
      <c r="M1734" s="1827"/>
      <c r="N1734" s="1827"/>
      <c r="O1734" s="1827"/>
      <c r="P1734" s="1827"/>
      <c r="Q1734" s="1828"/>
    </row>
    <row r="1735" spans="1:17" ht="73.5" x14ac:dyDescent="0.25">
      <c r="A1735" s="792">
        <v>72</v>
      </c>
      <c r="B1735" s="507">
        <v>1</v>
      </c>
      <c r="C1735" s="896"/>
      <c r="D1735" s="216"/>
      <c r="E1735" s="1051" t="s">
        <v>810</v>
      </c>
      <c r="F1735" s="717">
        <v>41330.819999999992</v>
      </c>
      <c r="G1735" s="717">
        <v>46003.3</v>
      </c>
      <c r="H1735" s="717">
        <f>SUM(H1736:H1747)</f>
        <v>63226.700000000004</v>
      </c>
      <c r="I1735" s="717">
        <v>45206.100000000006</v>
      </c>
      <c r="J1735" s="717">
        <v>45841</v>
      </c>
      <c r="K1735" s="1026" t="s">
        <v>181</v>
      </c>
      <c r="L1735" s="454" t="s">
        <v>182</v>
      </c>
      <c r="M1735" s="454"/>
      <c r="N1735" s="454"/>
      <c r="O1735" s="454"/>
      <c r="P1735" s="454"/>
      <c r="Q1735" s="454"/>
    </row>
    <row r="1736" spans="1:17" ht="45" x14ac:dyDescent="0.25">
      <c r="A1736" s="792"/>
      <c r="B1736" s="507"/>
      <c r="C1736" s="1012" t="s">
        <v>6</v>
      </c>
      <c r="D1736" s="1013"/>
      <c r="E1736" s="1000" t="s">
        <v>7</v>
      </c>
      <c r="F1736" s="700">
        <v>6567.8</v>
      </c>
      <c r="G1736" s="700">
        <v>4047.3</v>
      </c>
      <c r="H1736" s="700">
        <v>10047.1</v>
      </c>
      <c r="I1736" s="700">
        <v>3186</v>
      </c>
      <c r="J1736" s="700">
        <v>3307.6</v>
      </c>
      <c r="K1736" s="901" t="s">
        <v>183</v>
      </c>
      <c r="L1736" s="897" t="s">
        <v>184</v>
      </c>
      <c r="M1736" s="897">
        <v>28.1</v>
      </c>
      <c r="N1736" s="897">
        <v>31.6</v>
      </c>
      <c r="O1736" s="897" t="s">
        <v>2466</v>
      </c>
      <c r="P1736" s="897" t="s">
        <v>2466</v>
      </c>
      <c r="Q1736" s="897" t="s">
        <v>2466</v>
      </c>
    </row>
    <row r="1737" spans="1:17" x14ac:dyDescent="0.25">
      <c r="A1737" s="792"/>
      <c r="B1737" s="507"/>
      <c r="C1737" s="1012" t="s">
        <v>8</v>
      </c>
      <c r="D1737" s="1013"/>
      <c r="E1737" s="1000" t="s">
        <v>9</v>
      </c>
      <c r="F1737" s="700">
        <v>2909.76</v>
      </c>
      <c r="G1737" s="700">
        <v>2831.4</v>
      </c>
      <c r="H1737" s="700">
        <v>2246.4</v>
      </c>
      <c r="I1737" s="700">
        <v>2856.7</v>
      </c>
      <c r="J1737" s="700">
        <v>2787.6</v>
      </c>
      <c r="K1737" s="901" t="s">
        <v>185</v>
      </c>
      <c r="L1737" s="897" t="s">
        <v>182</v>
      </c>
      <c r="M1737" s="897">
        <v>100</v>
      </c>
      <c r="N1737" s="897">
        <v>100</v>
      </c>
      <c r="O1737" s="897">
        <v>100</v>
      </c>
      <c r="P1737" s="897">
        <v>100</v>
      </c>
      <c r="Q1737" s="1570">
        <v>100</v>
      </c>
    </row>
    <row r="1738" spans="1:17" ht="45" x14ac:dyDescent="0.25">
      <c r="A1738" s="792"/>
      <c r="B1738" s="507"/>
      <c r="C1738" s="1012" t="s">
        <v>10</v>
      </c>
      <c r="D1738" s="1013"/>
      <c r="E1738" s="1000" t="s">
        <v>11</v>
      </c>
      <c r="F1738" s="700">
        <v>4181.74</v>
      </c>
      <c r="G1738" s="700">
        <v>2711.5</v>
      </c>
      <c r="H1738" s="700">
        <v>4648.8</v>
      </c>
      <c r="I1738" s="700">
        <v>2169</v>
      </c>
      <c r="J1738" s="700">
        <v>2292.6</v>
      </c>
      <c r="K1738" s="36" t="s">
        <v>2467</v>
      </c>
      <c r="L1738" s="897" t="s">
        <v>189</v>
      </c>
      <c r="M1738" s="897">
        <v>30</v>
      </c>
      <c r="N1738" s="897">
        <v>32</v>
      </c>
      <c r="O1738" s="897">
        <v>30</v>
      </c>
      <c r="P1738" s="897">
        <v>28</v>
      </c>
      <c r="Q1738" s="1570">
        <v>28</v>
      </c>
    </row>
    <row r="1739" spans="1:17" x14ac:dyDescent="0.25">
      <c r="A1739" s="792"/>
      <c r="B1739" s="507"/>
      <c r="C1739" s="1012" t="s">
        <v>12</v>
      </c>
      <c r="D1739" s="1013"/>
      <c r="E1739" s="1000" t="s">
        <v>13</v>
      </c>
      <c r="F1739" s="700"/>
      <c r="G1739" s="700"/>
      <c r="H1739" s="700">
        <v>4684.5</v>
      </c>
      <c r="I1739" s="700"/>
      <c r="J1739" s="700"/>
      <c r="K1739" s="36"/>
      <c r="L1739" s="897"/>
      <c r="M1739" s="897"/>
      <c r="N1739" s="897"/>
      <c r="O1739" s="897"/>
      <c r="P1739" s="897"/>
      <c r="Q1739" s="1570"/>
    </row>
    <row r="1740" spans="1:17" ht="30" x14ac:dyDescent="0.25">
      <c r="A1740" s="792"/>
      <c r="B1740" s="507"/>
      <c r="C1740" s="1012" t="s">
        <v>14</v>
      </c>
      <c r="D1740" s="1013"/>
      <c r="E1740" s="1000" t="s">
        <v>15</v>
      </c>
      <c r="F1740" s="700"/>
      <c r="G1740" s="700"/>
      <c r="H1740" s="700">
        <v>5827.2</v>
      </c>
      <c r="I1740" s="700"/>
      <c r="J1740" s="700"/>
      <c r="K1740" s="36"/>
      <c r="L1740" s="897"/>
      <c r="M1740" s="897"/>
      <c r="N1740" s="897"/>
      <c r="O1740" s="897"/>
      <c r="P1740" s="897"/>
      <c r="Q1740" s="1570"/>
    </row>
    <row r="1741" spans="1:17" x14ac:dyDescent="0.25">
      <c r="A1741" s="792"/>
      <c r="B1741" s="507"/>
      <c r="C1741" s="1012" t="s">
        <v>16</v>
      </c>
      <c r="D1741" s="1013"/>
      <c r="E1741" s="1000" t="s">
        <v>17</v>
      </c>
      <c r="F1741" s="700">
        <v>3509.41</v>
      </c>
      <c r="G1741" s="700">
        <v>10136.1</v>
      </c>
      <c r="H1741" s="700">
        <v>12861.5</v>
      </c>
      <c r="I1741" s="700">
        <v>9600</v>
      </c>
      <c r="J1741" s="700">
        <v>9650</v>
      </c>
      <c r="K1741" s="901"/>
      <c r="L1741" s="897"/>
      <c r="M1741" s="897"/>
      <c r="N1741" s="897"/>
      <c r="O1741" s="897"/>
      <c r="P1741" s="897"/>
      <c r="Q1741" s="1570"/>
    </row>
    <row r="1742" spans="1:17" ht="60" x14ac:dyDescent="0.25">
      <c r="A1742" s="792"/>
      <c r="B1742" s="1998"/>
      <c r="C1742" s="2000" t="s">
        <v>48</v>
      </c>
      <c r="D1742" s="2002"/>
      <c r="E1742" s="2004" t="s">
        <v>2468</v>
      </c>
      <c r="F1742" s="1938">
        <v>2869.74</v>
      </c>
      <c r="G1742" s="1938">
        <v>538.5</v>
      </c>
      <c r="H1742" s="1938">
        <v>0</v>
      </c>
      <c r="I1742" s="1938">
        <v>670</v>
      </c>
      <c r="J1742" s="1938">
        <v>675</v>
      </c>
      <c r="K1742" s="901" t="s">
        <v>2469</v>
      </c>
      <c r="L1742" s="897" t="s">
        <v>182</v>
      </c>
      <c r="M1742" s="897">
        <v>30</v>
      </c>
      <c r="N1742" s="897">
        <v>90</v>
      </c>
      <c r="O1742" s="897">
        <v>100</v>
      </c>
      <c r="P1742" s="897">
        <v>100</v>
      </c>
      <c r="Q1742" s="1570">
        <v>100</v>
      </c>
    </row>
    <row r="1743" spans="1:17" ht="45" x14ac:dyDescent="0.25">
      <c r="A1743" s="792"/>
      <c r="B1743" s="1999"/>
      <c r="C1743" s="2001"/>
      <c r="D1743" s="2003"/>
      <c r="E1743" s="1867"/>
      <c r="F1743" s="1939"/>
      <c r="G1743" s="1939"/>
      <c r="H1743" s="1939"/>
      <c r="I1743" s="1939"/>
      <c r="J1743" s="1939"/>
      <c r="K1743" s="901" t="s">
        <v>2470</v>
      </c>
      <c r="L1743" s="897" t="s">
        <v>182</v>
      </c>
      <c r="M1743" s="897">
        <v>100</v>
      </c>
      <c r="N1743" s="897">
        <v>100</v>
      </c>
      <c r="O1743" s="897">
        <v>100</v>
      </c>
      <c r="P1743" s="897">
        <v>100</v>
      </c>
      <c r="Q1743" s="1570">
        <v>100</v>
      </c>
    </row>
    <row r="1744" spans="1:17" ht="30" x14ac:dyDescent="0.25">
      <c r="A1744" s="792"/>
      <c r="B1744" s="507"/>
      <c r="C1744" s="1012" t="s">
        <v>49</v>
      </c>
      <c r="D1744" s="1013"/>
      <c r="E1744" s="1000" t="s">
        <v>67</v>
      </c>
      <c r="F1744" s="700">
        <v>18026.45</v>
      </c>
      <c r="G1744" s="700">
        <v>22703.9</v>
      </c>
      <c r="H1744" s="700">
        <v>0</v>
      </c>
      <c r="I1744" s="700">
        <v>24454.400000000001</v>
      </c>
      <c r="J1744" s="700">
        <v>24853.200000000001</v>
      </c>
      <c r="K1744" s="901" t="s">
        <v>2471</v>
      </c>
      <c r="L1744" s="897" t="s">
        <v>191</v>
      </c>
      <c r="M1744" s="897" t="s">
        <v>2472</v>
      </c>
      <c r="N1744" s="897" t="s">
        <v>2472</v>
      </c>
      <c r="O1744" s="897" t="s">
        <v>2472</v>
      </c>
      <c r="P1744" s="897" t="s">
        <v>2472</v>
      </c>
      <c r="Q1744" s="1570" t="s">
        <v>2472</v>
      </c>
    </row>
    <row r="1745" spans="1:17" x14ac:dyDescent="0.25">
      <c r="A1745" s="792"/>
      <c r="B1745" s="507"/>
      <c r="C1745" s="1012" t="s">
        <v>882</v>
      </c>
      <c r="D1745" s="1013"/>
      <c r="E1745" s="1000" t="s">
        <v>144</v>
      </c>
      <c r="F1745" s="700"/>
      <c r="G1745" s="700"/>
      <c r="H1745" s="700">
        <f>21330.7+2000-717.2-557.7</f>
        <v>22055.8</v>
      </c>
      <c r="I1745" s="700"/>
      <c r="J1745" s="700"/>
      <c r="K1745" s="901"/>
      <c r="L1745" s="897"/>
      <c r="M1745" s="897"/>
      <c r="N1745" s="897"/>
      <c r="O1745" s="897"/>
      <c r="P1745" s="897"/>
      <c r="Q1745" s="1570"/>
    </row>
    <row r="1746" spans="1:17" x14ac:dyDescent="0.25">
      <c r="A1746" s="792"/>
      <c r="B1746" s="507"/>
      <c r="C1746" s="1012" t="s">
        <v>2473</v>
      </c>
      <c r="D1746" s="1013"/>
      <c r="E1746" s="1000" t="s">
        <v>2468</v>
      </c>
      <c r="F1746" s="700"/>
      <c r="G1746" s="700"/>
      <c r="H1746" s="700">
        <f>983.8-10-100.2-18.2</f>
        <v>855.39999999999986</v>
      </c>
      <c r="I1746" s="700"/>
      <c r="J1746" s="700"/>
      <c r="K1746" s="901"/>
      <c r="L1746" s="897"/>
      <c r="M1746" s="897"/>
      <c r="N1746" s="897"/>
      <c r="O1746" s="897"/>
      <c r="P1746" s="897"/>
      <c r="Q1746" s="1570"/>
    </row>
    <row r="1747" spans="1:17" ht="75" x14ac:dyDescent="0.25">
      <c r="A1747" s="792"/>
      <c r="B1747" s="507"/>
      <c r="C1747" s="1012" t="s">
        <v>2474</v>
      </c>
      <c r="D1747" s="1013"/>
      <c r="E1747" s="1000" t="s">
        <v>2475</v>
      </c>
      <c r="F1747" s="700">
        <v>3265.92</v>
      </c>
      <c r="G1747" s="700">
        <v>3034.6</v>
      </c>
      <c r="H1747" s="700">
        <v>0</v>
      </c>
      <c r="I1747" s="700">
        <v>2270</v>
      </c>
      <c r="J1747" s="700">
        <v>2275</v>
      </c>
      <c r="K1747" s="901" t="s">
        <v>2476</v>
      </c>
      <c r="L1747" s="897"/>
      <c r="M1747" s="897">
        <v>100</v>
      </c>
      <c r="N1747" s="897">
        <v>100</v>
      </c>
      <c r="O1747" s="897">
        <v>100</v>
      </c>
      <c r="P1747" s="897">
        <v>100</v>
      </c>
      <c r="Q1747" s="1570">
        <v>100</v>
      </c>
    </row>
    <row r="1748" spans="1:17" ht="87.75" x14ac:dyDescent="0.25">
      <c r="A1748" s="792">
        <v>72</v>
      </c>
      <c r="B1748" s="507">
        <v>2</v>
      </c>
      <c r="C1748" s="1012"/>
      <c r="D1748" s="1516"/>
      <c r="E1748" s="1051" t="s">
        <v>2812</v>
      </c>
      <c r="F1748" s="1164">
        <v>16963.68</v>
      </c>
      <c r="G1748" s="1164">
        <v>11800.2</v>
      </c>
      <c r="H1748" s="1164">
        <f>SUM(H1749:H1763)</f>
        <v>24561.4</v>
      </c>
      <c r="I1748" s="1164">
        <v>13360</v>
      </c>
      <c r="J1748" s="1164">
        <v>13500</v>
      </c>
      <c r="K1748" s="22" t="s">
        <v>2477</v>
      </c>
      <c r="L1748" s="454" t="s">
        <v>189</v>
      </c>
      <c r="M1748" s="1013"/>
      <c r="N1748" s="1013"/>
      <c r="O1748" s="1013"/>
      <c r="P1748" s="1013"/>
      <c r="Q1748" s="1013"/>
    </row>
    <row r="1749" spans="1:17" ht="30" x14ac:dyDescent="0.25">
      <c r="A1749" s="1861"/>
      <c r="B1749" s="1862"/>
      <c r="C1749" s="1983" t="s">
        <v>6</v>
      </c>
      <c r="D1749" s="1984"/>
      <c r="E1749" s="2005" t="s">
        <v>2478</v>
      </c>
      <c r="F1749" s="1938">
        <v>3387.81</v>
      </c>
      <c r="G1749" s="1938">
        <v>3123.9</v>
      </c>
      <c r="H1749" s="1938">
        <v>8313</v>
      </c>
      <c r="I1749" s="1938">
        <v>3810</v>
      </c>
      <c r="J1749" s="1938">
        <v>3850</v>
      </c>
      <c r="K1749" s="901" t="s">
        <v>2479</v>
      </c>
      <c r="L1749" s="1014" t="s">
        <v>182</v>
      </c>
      <c r="M1749" s="1331">
        <v>82</v>
      </c>
      <c r="N1749" s="1331">
        <v>84</v>
      </c>
      <c r="O1749" s="1331">
        <v>88</v>
      </c>
      <c r="P1749" s="1331">
        <v>90</v>
      </c>
      <c r="Q1749" s="1331">
        <v>90</v>
      </c>
    </row>
    <row r="1750" spans="1:17" ht="45" x14ac:dyDescent="0.25">
      <c r="A1750" s="1861"/>
      <c r="B1750" s="1863"/>
      <c r="C1750" s="1983"/>
      <c r="D1750" s="1984"/>
      <c r="E1750" s="2005"/>
      <c r="F1750" s="1939"/>
      <c r="G1750" s="1939"/>
      <c r="H1750" s="1939"/>
      <c r="I1750" s="1939"/>
      <c r="J1750" s="1939"/>
      <c r="K1750" s="901" t="s">
        <v>2480</v>
      </c>
      <c r="L1750" s="1014" t="s">
        <v>182</v>
      </c>
      <c r="M1750" s="1331">
        <v>5</v>
      </c>
      <c r="N1750" s="1331">
        <v>4</v>
      </c>
      <c r="O1750" s="1331">
        <v>3</v>
      </c>
      <c r="P1750" s="1331">
        <v>4</v>
      </c>
      <c r="Q1750" s="1331">
        <v>4</v>
      </c>
    </row>
    <row r="1751" spans="1:17" ht="45" x14ac:dyDescent="0.25">
      <c r="A1751" s="1861"/>
      <c r="B1751" s="1862"/>
      <c r="C1751" s="1983" t="s">
        <v>8</v>
      </c>
      <c r="D1751" s="1984"/>
      <c r="E1751" s="1985" t="s">
        <v>2481</v>
      </c>
      <c r="F1751" s="1988">
        <v>2566.83</v>
      </c>
      <c r="G1751" s="1988">
        <v>2612.3000000000002</v>
      </c>
      <c r="H1751" s="1988">
        <v>0</v>
      </c>
      <c r="I1751" s="1938">
        <v>2200</v>
      </c>
      <c r="J1751" s="1938">
        <v>2300</v>
      </c>
      <c r="K1751" s="898" t="s">
        <v>2482</v>
      </c>
      <c r="L1751" s="897" t="s">
        <v>189</v>
      </c>
      <c r="M1751" s="1350">
        <v>28</v>
      </c>
      <c r="N1751" s="1350">
        <v>35</v>
      </c>
      <c r="O1751" s="895" t="s">
        <v>2483</v>
      </c>
      <c r="P1751" s="895" t="s">
        <v>2483</v>
      </c>
      <c r="Q1751" s="1571" t="s">
        <v>2483</v>
      </c>
    </row>
    <row r="1752" spans="1:17" ht="30" x14ac:dyDescent="0.25">
      <c r="A1752" s="1861"/>
      <c r="B1752" s="1967"/>
      <c r="C1752" s="1983"/>
      <c r="D1752" s="1984"/>
      <c r="E1752" s="1986"/>
      <c r="F1752" s="1989"/>
      <c r="G1752" s="1990"/>
      <c r="H1752" s="1990"/>
      <c r="I1752" s="1970"/>
      <c r="J1752" s="1970"/>
      <c r="K1752" s="898" t="s">
        <v>2484</v>
      </c>
      <c r="L1752" s="897" t="s">
        <v>189</v>
      </c>
      <c r="M1752" s="1350">
        <v>0</v>
      </c>
      <c r="N1752" s="1350">
        <v>1</v>
      </c>
      <c r="O1752" s="1350">
        <v>1</v>
      </c>
      <c r="P1752" s="1350">
        <v>1</v>
      </c>
      <c r="Q1752" s="1572">
        <v>1</v>
      </c>
    </row>
    <row r="1753" spans="1:17" ht="45" x14ac:dyDescent="0.25">
      <c r="A1753" s="1861"/>
      <c r="B1753" s="1967"/>
      <c r="C1753" s="1983"/>
      <c r="D1753" s="1984"/>
      <c r="E1753" s="1986"/>
      <c r="F1753" s="1988">
        <v>1961.85</v>
      </c>
      <c r="G1753" s="1990"/>
      <c r="H1753" s="1990"/>
      <c r="I1753" s="1970"/>
      <c r="J1753" s="1970"/>
      <c r="K1753" s="898" t="s">
        <v>2485</v>
      </c>
      <c r="L1753" s="897" t="s">
        <v>189</v>
      </c>
      <c r="M1753" s="1350">
        <v>10</v>
      </c>
      <c r="N1753" s="1350">
        <v>11</v>
      </c>
      <c r="O1753" s="1350">
        <v>12</v>
      </c>
      <c r="P1753" s="1350">
        <v>13</v>
      </c>
      <c r="Q1753" s="1572">
        <v>14</v>
      </c>
    </row>
    <row r="1754" spans="1:17" ht="45" x14ac:dyDescent="0.25">
      <c r="A1754" s="1861"/>
      <c r="B1754" s="1863"/>
      <c r="C1754" s="1983"/>
      <c r="D1754" s="1984"/>
      <c r="E1754" s="1987"/>
      <c r="F1754" s="1989"/>
      <c r="G1754" s="1989"/>
      <c r="H1754" s="1989"/>
      <c r="I1754" s="1939"/>
      <c r="J1754" s="1939"/>
      <c r="K1754" s="898" t="s">
        <v>2486</v>
      </c>
      <c r="L1754" s="897" t="s">
        <v>189</v>
      </c>
      <c r="M1754" s="897">
        <v>149</v>
      </c>
      <c r="N1754" s="895" t="s">
        <v>1731</v>
      </c>
      <c r="O1754" s="895" t="s">
        <v>1731</v>
      </c>
      <c r="P1754" s="895" t="s">
        <v>1731</v>
      </c>
      <c r="Q1754" s="1571" t="s">
        <v>1731</v>
      </c>
    </row>
    <row r="1755" spans="1:17" ht="45" x14ac:dyDescent="0.25">
      <c r="A1755" s="1953"/>
      <c r="B1755" s="990"/>
      <c r="C1755" s="1899" t="s">
        <v>10</v>
      </c>
      <c r="D1755" s="1993"/>
      <c r="E1755" s="1874" t="s">
        <v>2487</v>
      </c>
      <c r="F1755" s="1995"/>
      <c r="G1755" s="1995"/>
      <c r="H1755" s="1995">
        <v>0</v>
      </c>
      <c r="I1755" s="1995"/>
      <c r="J1755" s="1995"/>
      <c r="K1755" s="898" t="s">
        <v>2488</v>
      </c>
      <c r="L1755" s="897" t="s">
        <v>182</v>
      </c>
      <c r="M1755" s="1350">
        <v>95.5</v>
      </c>
      <c r="N1755" s="1350">
        <v>99</v>
      </c>
      <c r="O1755" s="1350">
        <v>90</v>
      </c>
      <c r="P1755" s="1350">
        <v>90</v>
      </c>
      <c r="Q1755" s="1572">
        <v>90</v>
      </c>
    </row>
    <row r="1756" spans="1:17" ht="30" x14ac:dyDescent="0.25">
      <c r="A1756" s="1991"/>
      <c r="B1756" s="1063"/>
      <c r="C1756" s="1992"/>
      <c r="D1756" s="1994"/>
      <c r="E1756" s="1875"/>
      <c r="F1756" s="1996"/>
      <c r="G1756" s="1996"/>
      <c r="H1756" s="1996"/>
      <c r="I1756" s="1996"/>
      <c r="J1756" s="1996"/>
      <c r="K1756" s="898" t="s">
        <v>2489</v>
      </c>
      <c r="L1756" s="897" t="s">
        <v>182</v>
      </c>
      <c r="M1756" s="1350">
        <v>81</v>
      </c>
      <c r="N1756" s="1350">
        <v>100</v>
      </c>
      <c r="O1756" s="1350">
        <v>90</v>
      </c>
      <c r="P1756" s="1350">
        <v>90</v>
      </c>
      <c r="Q1756" s="1572">
        <v>90</v>
      </c>
    </row>
    <row r="1757" spans="1:17" ht="45" x14ac:dyDescent="0.25">
      <c r="A1757" s="1861"/>
      <c r="B1757" s="1862"/>
      <c r="C1757" s="1864" t="s">
        <v>12</v>
      </c>
      <c r="D1757" s="1968"/>
      <c r="E1757" s="1874" t="s">
        <v>2490</v>
      </c>
      <c r="F1757" s="1938">
        <v>4446.93</v>
      </c>
      <c r="G1757" s="1938">
        <v>3039.7</v>
      </c>
      <c r="H1757" s="1938">
        <v>7914.1</v>
      </c>
      <c r="I1757" s="1938">
        <v>3690</v>
      </c>
      <c r="J1757" s="1938">
        <v>3680</v>
      </c>
      <c r="K1757" s="898" t="s">
        <v>2485</v>
      </c>
      <c r="L1757" s="897" t="s">
        <v>182</v>
      </c>
      <c r="M1757" s="1350">
        <v>81</v>
      </c>
      <c r="N1757" s="1350">
        <v>100</v>
      </c>
      <c r="O1757" s="1350">
        <v>80</v>
      </c>
      <c r="P1757" s="1350">
        <v>80</v>
      </c>
      <c r="Q1757" s="1572">
        <v>80</v>
      </c>
    </row>
    <row r="1758" spans="1:17" ht="45" x14ac:dyDescent="0.25">
      <c r="A1758" s="1861"/>
      <c r="B1758" s="1967"/>
      <c r="C1758" s="1864"/>
      <c r="D1758" s="1968"/>
      <c r="E1758" s="1969"/>
      <c r="F1758" s="1970"/>
      <c r="G1758" s="1970"/>
      <c r="H1758" s="1970"/>
      <c r="I1758" s="1970"/>
      <c r="J1758" s="1970"/>
      <c r="K1758" s="898" t="s">
        <v>2491</v>
      </c>
      <c r="L1758" s="897" t="s">
        <v>182</v>
      </c>
      <c r="M1758" s="1350">
        <v>99</v>
      </c>
      <c r="N1758" s="1350">
        <v>100</v>
      </c>
      <c r="O1758" s="1350">
        <v>90</v>
      </c>
      <c r="P1758" s="1350">
        <v>90</v>
      </c>
      <c r="Q1758" s="1572">
        <v>90</v>
      </c>
    </row>
    <row r="1759" spans="1:17" ht="45" x14ac:dyDescent="0.25">
      <c r="A1759" s="1861"/>
      <c r="B1759" s="1967"/>
      <c r="C1759" s="1864"/>
      <c r="D1759" s="1968"/>
      <c r="E1759" s="1969"/>
      <c r="F1759" s="1970"/>
      <c r="G1759" s="1970"/>
      <c r="H1759" s="1970"/>
      <c r="I1759" s="1970"/>
      <c r="J1759" s="1970"/>
      <c r="K1759" s="898" t="s">
        <v>2492</v>
      </c>
      <c r="L1759" s="897" t="s">
        <v>182</v>
      </c>
      <c r="M1759" s="1350">
        <v>99</v>
      </c>
      <c r="N1759" s="1350">
        <v>100</v>
      </c>
      <c r="O1759" s="1350">
        <v>90</v>
      </c>
      <c r="P1759" s="1350">
        <v>90</v>
      </c>
      <c r="Q1759" s="1572">
        <v>90</v>
      </c>
    </row>
    <row r="1760" spans="1:17" ht="30" x14ac:dyDescent="0.25">
      <c r="A1760" s="1861"/>
      <c r="B1760" s="1863"/>
      <c r="C1760" s="1864"/>
      <c r="D1760" s="1968"/>
      <c r="E1760" s="1875"/>
      <c r="F1760" s="1939"/>
      <c r="G1760" s="1939"/>
      <c r="H1760" s="1939"/>
      <c r="I1760" s="1939"/>
      <c r="J1760" s="1939"/>
      <c r="K1760" s="898" t="s">
        <v>2493</v>
      </c>
      <c r="L1760" s="897" t="s">
        <v>182</v>
      </c>
      <c r="M1760" s="897">
        <v>99</v>
      </c>
      <c r="N1760" s="1013">
        <v>100</v>
      </c>
      <c r="O1760" s="1971" t="s">
        <v>2494</v>
      </c>
      <c r="P1760" s="1972"/>
      <c r="Q1760" s="1973"/>
    </row>
    <row r="1761" spans="1:17" ht="45" x14ac:dyDescent="0.25">
      <c r="A1761" s="805"/>
      <c r="B1761" s="816"/>
      <c r="C1761" s="896" t="s">
        <v>14</v>
      </c>
      <c r="D1761" s="816"/>
      <c r="E1761" s="898" t="s">
        <v>2495</v>
      </c>
      <c r="F1761" s="1145">
        <v>4600.26</v>
      </c>
      <c r="G1761" s="1145">
        <v>3024.3</v>
      </c>
      <c r="H1761" s="1145">
        <v>8334.2999999999993</v>
      </c>
      <c r="I1761" s="1145">
        <v>3660</v>
      </c>
      <c r="J1761" s="1145">
        <v>3670</v>
      </c>
      <c r="K1761" s="898" t="s">
        <v>2496</v>
      </c>
      <c r="L1761" s="897" t="s">
        <v>189</v>
      </c>
      <c r="M1761" s="897" t="s">
        <v>1731</v>
      </c>
      <c r="N1761" s="897" t="s">
        <v>1731</v>
      </c>
      <c r="O1761" s="897" t="s">
        <v>1731</v>
      </c>
      <c r="P1761" s="897" t="s">
        <v>1731</v>
      </c>
      <c r="Q1761" s="1570" t="s">
        <v>1731</v>
      </c>
    </row>
    <row r="1762" spans="1:17" ht="45" x14ac:dyDescent="0.25">
      <c r="A1762" s="805"/>
      <c r="B1762" s="816"/>
      <c r="C1762" s="896" t="s">
        <v>16</v>
      </c>
      <c r="D1762" s="816"/>
      <c r="E1762" s="898" t="s">
        <v>2497</v>
      </c>
      <c r="F1762" s="700"/>
      <c r="G1762" s="700"/>
      <c r="H1762" s="700">
        <v>0</v>
      </c>
      <c r="I1762" s="700"/>
      <c r="J1762" s="700"/>
      <c r="K1762" s="898" t="s">
        <v>2498</v>
      </c>
      <c r="L1762" s="897" t="s">
        <v>189</v>
      </c>
      <c r="M1762" s="897" t="s">
        <v>1731</v>
      </c>
      <c r="N1762" s="895" t="s">
        <v>1731</v>
      </c>
      <c r="O1762" s="895" t="s">
        <v>1731</v>
      </c>
      <c r="P1762" s="895" t="s">
        <v>1731</v>
      </c>
      <c r="Q1762" s="1571" t="s">
        <v>1731</v>
      </c>
    </row>
    <row r="1763" spans="1:17" ht="75" x14ac:dyDescent="0.25">
      <c r="A1763" s="805"/>
      <c r="B1763" s="816"/>
      <c r="C1763" s="896" t="s">
        <v>48</v>
      </c>
      <c r="D1763" s="816"/>
      <c r="E1763" s="898" t="s">
        <v>2499</v>
      </c>
      <c r="F1763" s="700"/>
      <c r="G1763" s="700"/>
      <c r="H1763" s="700">
        <v>0</v>
      </c>
      <c r="I1763" s="700"/>
      <c r="J1763" s="700"/>
      <c r="K1763" s="1123" t="s">
        <v>2500</v>
      </c>
      <c r="L1763" s="311" t="s">
        <v>189</v>
      </c>
      <c r="M1763" s="311">
        <v>975</v>
      </c>
      <c r="N1763" s="1339">
        <v>800</v>
      </c>
      <c r="O1763" s="1016" t="s">
        <v>1731</v>
      </c>
      <c r="P1763" s="1016" t="s">
        <v>1731</v>
      </c>
      <c r="Q1763" s="1573" t="s">
        <v>1731</v>
      </c>
    </row>
    <row r="1764" spans="1:17" ht="38.25" customHeight="1" x14ac:dyDescent="0.25">
      <c r="A1764" s="1974" t="s">
        <v>2501</v>
      </c>
      <c r="B1764" s="1975"/>
      <c r="C1764" s="1914"/>
      <c r="D1764" s="1914"/>
      <c r="E1764" s="1914"/>
      <c r="F1764" s="1294">
        <v>58294.499999999993</v>
      </c>
      <c r="G1764" s="1294">
        <v>57803.5</v>
      </c>
      <c r="H1764" s="1294">
        <f>H1735+H1748-0.1</f>
        <v>87788</v>
      </c>
      <c r="I1764" s="1294">
        <v>58566.100000000006</v>
      </c>
      <c r="J1764" s="1294">
        <v>59341</v>
      </c>
      <c r="K1764" s="16"/>
      <c r="L1764" s="24"/>
      <c r="M1764" s="24"/>
      <c r="N1764" s="24"/>
      <c r="O1764" s="24"/>
      <c r="P1764" s="24"/>
      <c r="Q1764" s="24"/>
    </row>
    <row r="1765" spans="1:17" x14ac:dyDescent="0.25">
      <c r="A1765" s="1826" t="s">
        <v>2502</v>
      </c>
      <c r="B1765" s="1827"/>
      <c r="C1765" s="1827"/>
      <c r="D1765" s="1827"/>
      <c r="E1765" s="1827"/>
      <c r="F1765" s="1827"/>
      <c r="G1765" s="1827"/>
      <c r="H1765" s="1827"/>
      <c r="I1765" s="1827"/>
      <c r="J1765" s="1827"/>
      <c r="K1765" s="1827"/>
      <c r="L1765" s="1827"/>
      <c r="M1765" s="1827"/>
      <c r="N1765" s="1827"/>
      <c r="O1765" s="1827"/>
      <c r="P1765" s="1827"/>
      <c r="Q1765" s="1828"/>
    </row>
    <row r="1766" spans="1:17" ht="73.5" x14ac:dyDescent="0.25">
      <c r="A1766" s="805">
        <v>73</v>
      </c>
      <c r="B1766" s="816">
        <v>1</v>
      </c>
      <c r="C1766" s="973"/>
      <c r="D1766" s="1574"/>
      <c r="E1766" s="1575" t="s">
        <v>810</v>
      </c>
      <c r="F1766" s="1276">
        <v>13673</v>
      </c>
      <c r="G1766" s="1276">
        <v>14669.1</v>
      </c>
      <c r="H1766" s="1024">
        <f>SUM(H1767:H1774)</f>
        <v>15723.7</v>
      </c>
      <c r="I1766" s="717">
        <v>14974.1</v>
      </c>
      <c r="J1766" s="717">
        <v>15255</v>
      </c>
      <c r="K1766" s="1576" t="s">
        <v>2503</v>
      </c>
      <c r="L1766" s="1577" t="s">
        <v>182</v>
      </c>
      <c r="M1766" s="1578">
        <v>35.700000000000003</v>
      </c>
      <c r="N1766" s="1578">
        <v>35.700000000000003</v>
      </c>
      <c r="O1766" s="1579">
        <v>35.700000000000003</v>
      </c>
      <c r="P1766" s="1580">
        <v>35.700000000000003</v>
      </c>
      <c r="Q1766" s="1580">
        <v>35.700000000000003</v>
      </c>
    </row>
    <row r="1767" spans="1:17" x14ac:dyDescent="0.25">
      <c r="A1767" s="563"/>
      <c r="B1767" s="602"/>
      <c r="C1767" s="973" t="s">
        <v>6</v>
      </c>
      <c r="D1767" s="1581"/>
      <c r="E1767" s="921" t="s">
        <v>7</v>
      </c>
      <c r="F1767" s="700">
        <v>4800</v>
      </c>
      <c r="G1767" s="700">
        <v>4759</v>
      </c>
      <c r="H1767" s="700">
        <v>5069</v>
      </c>
      <c r="I1767" s="700">
        <v>4900</v>
      </c>
      <c r="J1767" s="700">
        <v>4950</v>
      </c>
      <c r="K1767" s="914" t="s">
        <v>183</v>
      </c>
      <c r="L1767" s="1002" t="s">
        <v>1545</v>
      </c>
      <c r="M1767" s="1578"/>
      <c r="N1767" s="1578"/>
      <c r="O1767" s="1580"/>
      <c r="P1767" s="1580"/>
      <c r="Q1767" s="1580"/>
    </row>
    <row r="1768" spans="1:17" x14ac:dyDescent="0.25">
      <c r="A1768" s="577"/>
      <c r="B1768" s="1462"/>
      <c r="C1768" s="973" t="s">
        <v>8</v>
      </c>
      <c r="D1768" s="1581"/>
      <c r="E1768" s="921" t="s">
        <v>9</v>
      </c>
      <c r="F1768" s="700">
        <v>1575</v>
      </c>
      <c r="G1768" s="700">
        <v>1773</v>
      </c>
      <c r="H1768" s="700">
        <v>2060</v>
      </c>
      <c r="I1768" s="700">
        <v>1850</v>
      </c>
      <c r="J1768" s="700">
        <v>1900</v>
      </c>
      <c r="K1768" s="914" t="s">
        <v>185</v>
      </c>
      <c r="L1768" s="1002" t="s">
        <v>182</v>
      </c>
      <c r="M1768" s="1578">
        <v>100</v>
      </c>
      <c r="N1768" s="1578">
        <v>100</v>
      </c>
      <c r="O1768" s="1580">
        <v>100</v>
      </c>
      <c r="P1768" s="1580">
        <v>100</v>
      </c>
      <c r="Q1768" s="1580">
        <v>100</v>
      </c>
    </row>
    <row r="1769" spans="1:17" ht="45" x14ac:dyDescent="0.25">
      <c r="A1769" s="1976"/>
      <c r="B1769" s="1462"/>
      <c r="C1769" s="1955" t="s">
        <v>10</v>
      </c>
      <c r="D1769" s="1979"/>
      <c r="E1769" s="1981" t="s">
        <v>1643</v>
      </c>
      <c r="F1769" s="1938">
        <v>2478</v>
      </c>
      <c r="G1769" s="1938">
        <v>2594</v>
      </c>
      <c r="H1769" s="1938">
        <v>2726.6</v>
      </c>
      <c r="I1769" s="1938">
        <v>2650</v>
      </c>
      <c r="J1769" s="1938">
        <v>2700</v>
      </c>
      <c r="K1769" s="901" t="s">
        <v>2504</v>
      </c>
      <c r="L1769" s="897" t="s">
        <v>426</v>
      </c>
      <c r="M1769" s="1578">
        <v>64.900000000000006</v>
      </c>
      <c r="N1769" s="1578">
        <v>65</v>
      </c>
      <c r="O1769" s="1580">
        <v>65</v>
      </c>
      <c r="P1769" s="1580">
        <v>65</v>
      </c>
      <c r="Q1769" s="1580">
        <v>65</v>
      </c>
    </row>
    <row r="1770" spans="1:17" ht="30" x14ac:dyDescent="0.25">
      <c r="A1770" s="1977"/>
      <c r="B1770" s="504"/>
      <c r="C1770" s="1978"/>
      <c r="D1770" s="1980"/>
      <c r="E1770" s="1982"/>
      <c r="F1770" s="1939"/>
      <c r="G1770" s="1939"/>
      <c r="H1770" s="1939"/>
      <c r="I1770" s="1939"/>
      <c r="J1770" s="1939"/>
      <c r="K1770" s="1564" t="s">
        <v>2505</v>
      </c>
      <c r="L1770" s="1002" t="s">
        <v>182</v>
      </c>
      <c r="M1770" s="1578">
        <v>42.1</v>
      </c>
      <c r="N1770" s="1578">
        <v>42</v>
      </c>
      <c r="O1770" s="1580">
        <v>42</v>
      </c>
      <c r="P1770" s="1580">
        <v>42</v>
      </c>
      <c r="Q1770" s="1580">
        <v>42</v>
      </c>
    </row>
    <row r="1771" spans="1:17" ht="45" x14ac:dyDescent="0.25">
      <c r="A1771" s="577"/>
      <c r="B1771" s="1462"/>
      <c r="C1771" s="973" t="s">
        <v>12</v>
      </c>
      <c r="D1771" s="1581"/>
      <c r="E1771" s="921" t="s">
        <v>1645</v>
      </c>
      <c r="F1771" s="700">
        <v>1975</v>
      </c>
      <c r="G1771" s="700">
        <v>2079</v>
      </c>
      <c r="H1771" s="700">
        <v>2310</v>
      </c>
      <c r="I1771" s="700">
        <v>2100</v>
      </c>
      <c r="J1771" s="700">
        <v>2150</v>
      </c>
      <c r="K1771" s="914" t="s">
        <v>2506</v>
      </c>
      <c r="L1771" s="1002" t="s">
        <v>270</v>
      </c>
      <c r="M1771" s="1578" t="s">
        <v>2507</v>
      </c>
      <c r="N1771" s="1578" t="s">
        <v>2508</v>
      </c>
      <c r="O1771" s="1580" t="s">
        <v>2509</v>
      </c>
      <c r="P1771" s="1580" t="s">
        <v>2510</v>
      </c>
      <c r="Q1771" s="1580" t="s">
        <v>2509</v>
      </c>
    </row>
    <row r="1772" spans="1:17" ht="30" x14ac:dyDescent="0.25">
      <c r="A1772" s="577"/>
      <c r="B1772" s="1462"/>
      <c r="C1772" s="973" t="s">
        <v>14</v>
      </c>
      <c r="D1772" s="1582"/>
      <c r="E1772" s="1583" t="s">
        <v>15</v>
      </c>
      <c r="F1772" s="700">
        <v>302</v>
      </c>
      <c r="G1772" s="700">
        <v>349</v>
      </c>
      <c r="H1772" s="700">
        <v>409</v>
      </c>
      <c r="I1772" s="700">
        <v>355</v>
      </c>
      <c r="J1772" s="700">
        <v>360</v>
      </c>
      <c r="K1772" s="901" t="s">
        <v>2511</v>
      </c>
      <c r="L1772" s="897" t="s">
        <v>270</v>
      </c>
      <c r="M1772" s="1578">
        <v>113</v>
      </c>
      <c r="N1772" s="1578">
        <v>120</v>
      </c>
      <c r="O1772" s="1580">
        <v>120</v>
      </c>
      <c r="P1772" s="1580">
        <v>120</v>
      </c>
      <c r="Q1772" s="1580">
        <v>120</v>
      </c>
    </row>
    <row r="1773" spans="1:17" ht="30" x14ac:dyDescent="0.25">
      <c r="A1773" s="577"/>
      <c r="B1773" s="1462"/>
      <c r="C1773" s="973" t="s">
        <v>16</v>
      </c>
      <c r="D1773" s="1581"/>
      <c r="E1773" s="901" t="s">
        <v>17</v>
      </c>
      <c r="F1773" s="700">
        <v>2136</v>
      </c>
      <c r="G1773" s="700">
        <v>2629.1</v>
      </c>
      <c r="H1773" s="700">
        <v>2659.1</v>
      </c>
      <c r="I1773" s="700">
        <v>2629.1</v>
      </c>
      <c r="J1773" s="700">
        <v>2700</v>
      </c>
      <c r="K1773" s="914" t="s">
        <v>190</v>
      </c>
      <c r="L1773" s="1029" t="s">
        <v>182</v>
      </c>
      <c r="M1773" s="1578">
        <v>20</v>
      </c>
      <c r="N1773" s="1578">
        <v>20</v>
      </c>
      <c r="O1773" s="1578">
        <v>20</v>
      </c>
      <c r="P1773" s="1578">
        <v>20</v>
      </c>
      <c r="Q1773" s="1578">
        <v>20</v>
      </c>
    </row>
    <row r="1774" spans="1:17" ht="30" x14ac:dyDescent="0.25">
      <c r="A1774" s="577"/>
      <c r="B1774" s="1462"/>
      <c r="C1774" s="973" t="s">
        <v>48</v>
      </c>
      <c r="D1774" s="1581"/>
      <c r="E1774" s="921" t="s">
        <v>1648</v>
      </c>
      <c r="F1774" s="700">
        <v>407</v>
      </c>
      <c r="G1774" s="700">
        <v>486</v>
      </c>
      <c r="H1774" s="700">
        <v>490</v>
      </c>
      <c r="I1774" s="700">
        <v>490</v>
      </c>
      <c r="J1774" s="700">
        <v>495</v>
      </c>
      <c r="K1774" s="914" t="s">
        <v>2512</v>
      </c>
      <c r="L1774" s="1029" t="s">
        <v>426</v>
      </c>
      <c r="M1774" s="1578">
        <v>100</v>
      </c>
      <c r="N1774" s="1578">
        <v>100</v>
      </c>
      <c r="O1774" s="1580">
        <v>100</v>
      </c>
      <c r="P1774" s="1580">
        <v>100</v>
      </c>
      <c r="Q1774" s="1580">
        <v>100</v>
      </c>
    </row>
    <row r="1775" spans="1:17" ht="44.25" x14ac:dyDescent="0.25">
      <c r="A1775" s="805">
        <v>73</v>
      </c>
      <c r="B1775" s="990">
        <v>2</v>
      </c>
      <c r="C1775" s="973"/>
      <c r="D1775" s="1574"/>
      <c r="E1775" s="1575" t="s">
        <v>2902</v>
      </c>
      <c r="F1775" s="1276">
        <v>45139.1</v>
      </c>
      <c r="G1775" s="1276">
        <v>60948.3</v>
      </c>
      <c r="H1775" s="1024">
        <f>SUM(H1776:H1785)</f>
        <v>74075.899999999994</v>
      </c>
      <c r="I1775" s="717">
        <v>61499.7</v>
      </c>
      <c r="J1775" s="717">
        <v>62088.7</v>
      </c>
      <c r="K1775" s="1576"/>
      <c r="L1775" s="1577"/>
      <c r="M1775" s="1578"/>
      <c r="N1775" s="1578"/>
      <c r="O1775" s="1578"/>
      <c r="P1775" s="1578"/>
      <c r="Q1775" s="1578"/>
    </row>
    <row r="1776" spans="1:17" ht="30" x14ac:dyDescent="0.25">
      <c r="A1776" s="805"/>
      <c r="B1776" s="990"/>
      <c r="C1776" s="973" t="s">
        <v>6</v>
      </c>
      <c r="D1776" s="1584"/>
      <c r="E1776" s="1585" t="s">
        <v>2513</v>
      </c>
      <c r="F1776" s="700">
        <v>2060</v>
      </c>
      <c r="G1776" s="700">
        <v>2274</v>
      </c>
      <c r="H1776" s="700">
        <v>2415</v>
      </c>
      <c r="I1776" s="700">
        <v>2340</v>
      </c>
      <c r="J1776" s="700">
        <v>2400</v>
      </c>
      <c r="K1776" s="1576" t="s">
        <v>2514</v>
      </c>
      <c r="L1776" s="1577" t="s">
        <v>270</v>
      </c>
      <c r="M1776" s="1578">
        <v>1</v>
      </c>
      <c r="N1776" s="1578">
        <v>1</v>
      </c>
      <c r="O1776" s="1578">
        <v>1</v>
      </c>
      <c r="P1776" s="1578">
        <v>1</v>
      </c>
      <c r="Q1776" s="1578">
        <v>1</v>
      </c>
    </row>
    <row r="1777" spans="1:17" ht="60" x14ac:dyDescent="0.25">
      <c r="A1777" s="805"/>
      <c r="B1777" s="990"/>
      <c r="C1777" s="973" t="s">
        <v>8</v>
      </c>
      <c r="D1777" s="1584"/>
      <c r="E1777" s="1585" t="s">
        <v>2515</v>
      </c>
      <c r="F1777" s="1145">
        <v>2045</v>
      </c>
      <c r="G1777" s="1145">
        <v>2563</v>
      </c>
      <c r="H1777" s="700">
        <v>4274.8</v>
      </c>
      <c r="I1777" s="700">
        <v>2640</v>
      </c>
      <c r="J1777" s="700">
        <v>2700</v>
      </c>
      <c r="K1777" s="1586" t="s">
        <v>2516</v>
      </c>
      <c r="L1777" s="1577" t="s">
        <v>189</v>
      </c>
      <c r="M1777" s="1578" t="s">
        <v>2517</v>
      </c>
      <c r="N1777" s="1578" t="s">
        <v>2518</v>
      </c>
      <c r="O1777" s="1578" t="s">
        <v>2519</v>
      </c>
      <c r="P1777" s="1578" t="s">
        <v>2520</v>
      </c>
      <c r="Q1777" s="1578" t="s">
        <v>2521</v>
      </c>
    </row>
    <row r="1778" spans="1:17" ht="30" x14ac:dyDescent="0.25">
      <c r="A1778" s="805"/>
      <c r="B1778" s="990"/>
      <c r="C1778" s="973" t="s">
        <v>10</v>
      </c>
      <c r="D1778" s="1584"/>
      <c r="E1778" s="1585" t="s">
        <v>2522</v>
      </c>
      <c r="F1778" s="1145">
        <v>5348.5</v>
      </c>
      <c r="G1778" s="1145">
        <v>7484</v>
      </c>
      <c r="H1778" s="700">
        <v>6901.8</v>
      </c>
      <c r="I1778" s="700">
        <v>7768.4</v>
      </c>
      <c r="J1778" s="700">
        <v>8147.4</v>
      </c>
      <c r="K1778" s="1587" t="s">
        <v>2523</v>
      </c>
      <c r="L1778" s="1577" t="s">
        <v>189</v>
      </c>
      <c r="M1778" s="1578">
        <v>1506</v>
      </c>
      <c r="N1778" s="1578">
        <v>1600</v>
      </c>
      <c r="O1778" s="1578">
        <v>1600</v>
      </c>
      <c r="P1778" s="1578">
        <v>1600</v>
      </c>
      <c r="Q1778" s="1578">
        <v>1600</v>
      </c>
    </row>
    <row r="1779" spans="1:17" ht="45" x14ac:dyDescent="0.25">
      <c r="A1779" s="805"/>
      <c r="B1779" s="990"/>
      <c r="C1779" s="973" t="s">
        <v>12</v>
      </c>
      <c r="D1779" s="1584"/>
      <c r="E1779" s="1585" t="s">
        <v>2524</v>
      </c>
      <c r="F1779" s="1145">
        <v>1350</v>
      </c>
      <c r="G1779" s="1145">
        <v>1450</v>
      </c>
      <c r="H1779" s="700">
        <v>1936.8</v>
      </c>
      <c r="I1779" s="700">
        <v>1560</v>
      </c>
      <c r="J1779" s="700">
        <v>1600</v>
      </c>
      <c r="K1779" s="1576" t="s">
        <v>2525</v>
      </c>
      <c r="L1779" s="1577" t="s">
        <v>189</v>
      </c>
      <c r="M1779" s="1578">
        <v>592</v>
      </c>
      <c r="N1779" s="1578">
        <v>600</v>
      </c>
      <c r="O1779" s="1578">
        <v>600</v>
      </c>
      <c r="P1779" s="1578">
        <v>600</v>
      </c>
      <c r="Q1779" s="1578">
        <v>600</v>
      </c>
    </row>
    <row r="1780" spans="1:17" ht="30" x14ac:dyDescent="0.25">
      <c r="A1780" s="1953"/>
      <c r="B1780" s="990"/>
      <c r="C1780" s="1955" t="s">
        <v>14</v>
      </c>
      <c r="D1780" s="1957"/>
      <c r="E1780" s="1959" t="s">
        <v>2526</v>
      </c>
      <c r="F1780" s="1938">
        <v>1940</v>
      </c>
      <c r="G1780" s="1938">
        <v>2847</v>
      </c>
      <c r="H1780" s="1938">
        <v>3111</v>
      </c>
      <c r="I1780" s="1938">
        <v>2861</v>
      </c>
      <c r="J1780" s="1938">
        <v>2911</v>
      </c>
      <c r="K1780" s="1576" t="s">
        <v>2527</v>
      </c>
      <c r="L1780" s="1577" t="s">
        <v>189</v>
      </c>
      <c r="M1780" s="1578">
        <v>2</v>
      </c>
      <c r="N1780" s="1578">
        <v>4</v>
      </c>
      <c r="O1780" s="1578">
        <v>4</v>
      </c>
      <c r="P1780" s="1578">
        <v>4</v>
      </c>
      <c r="Q1780" s="1578">
        <v>4</v>
      </c>
    </row>
    <row r="1781" spans="1:17" ht="45" x14ac:dyDescent="0.25">
      <c r="A1781" s="1954"/>
      <c r="B1781" s="991"/>
      <c r="C1781" s="1956"/>
      <c r="D1781" s="1958"/>
      <c r="E1781" s="1960"/>
      <c r="F1781" s="1939"/>
      <c r="G1781" s="1939"/>
      <c r="H1781" s="1939"/>
      <c r="I1781" s="1939"/>
      <c r="J1781" s="1939"/>
      <c r="K1781" s="1576" t="s">
        <v>2528</v>
      </c>
      <c r="L1781" s="1577" t="s">
        <v>270</v>
      </c>
      <c r="M1781" s="1578">
        <v>8150</v>
      </c>
      <c r="N1781" s="1578">
        <v>8200</v>
      </c>
      <c r="O1781" s="1578">
        <v>8200</v>
      </c>
      <c r="P1781" s="1578">
        <v>8200</v>
      </c>
      <c r="Q1781" s="1578">
        <v>8200</v>
      </c>
    </row>
    <row r="1782" spans="1:17" ht="30" x14ac:dyDescent="0.25">
      <c r="A1782" s="1953"/>
      <c r="B1782" s="990"/>
      <c r="C1782" s="1955" t="s">
        <v>16</v>
      </c>
      <c r="D1782" s="1957"/>
      <c r="E1782" s="1959" t="s">
        <v>2529</v>
      </c>
      <c r="F1782" s="1938">
        <v>26176.6</v>
      </c>
      <c r="G1782" s="1938">
        <v>27375</v>
      </c>
      <c r="H1782" s="1938">
        <v>29775</v>
      </c>
      <c r="I1782" s="1938">
        <v>27375</v>
      </c>
      <c r="J1782" s="1938">
        <v>27375</v>
      </c>
      <c r="K1782" s="1576" t="s">
        <v>2530</v>
      </c>
      <c r="L1782" s="1577" t="s">
        <v>270</v>
      </c>
      <c r="M1782" s="1578">
        <v>2421</v>
      </c>
      <c r="N1782" s="1578">
        <v>2430</v>
      </c>
      <c r="O1782" s="1578">
        <v>2430</v>
      </c>
      <c r="P1782" s="1578">
        <v>2430</v>
      </c>
      <c r="Q1782" s="1578">
        <v>2430</v>
      </c>
    </row>
    <row r="1783" spans="1:17" ht="30" x14ac:dyDescent="0.25">
      <c r="A1783" s="1954"/>
      <c r="B1783" s="991"/>
      <c r="C1783" s="1956"/>
      <c r="D1783" s="1958"/>
      <c r="E1783" s="1960"/>
      <c r="F1783" s="1939"/>
      <c r="G1783" s="1939"/>
      <c r="H1783" s="1939"/>
      <c r="I1783" s="1939"/>
      <c r="J1783" s="1939"/>
      <c r="K1783" s="1576" t="s">
        <v>2531</v>
      </c>
      <c r="L1783" s="1577" t="s">
        <v>2532</v>
      </c>
      <c r="M1783" s="1578">
        <v>41.5</v>
      </c>
      <c r="N1783" s="1578">
        <v>42</v>
      </c>
      <c r="O1783" s="1578">
        <v>42</v>
      </c>
      <c r="P1783" s="1578">
        <v>42</v>
      </c>
      <c r="Q1783" s="1578">
        <v>42</v>
      </c>
    </row>
    <row r="1784" spans="1:17" ht="45" x14ac:dyDescent="0.25">
      <c r="A1784" s="1953"/>
      <c r="B1784" s="990"/>
      <c r="C1784" s="1955" t="s">
        <v>48</v>
      </c>
      <c r="D1784" s="1957"/>
      <c r="E1784" s="1959" t="s">
        <v>2533</v>
      </c>
      <c r="F1784" s="955">
        <v>6219</v>
      </c>
      <c r="G1784" s="955">
        <v>16955.3</v>
      </c>
      <c r="H1784" s="955">
        <v>25661.5</v>
      </c>
      <c r="I1784" s="955">
        <v>16955.3</v>
      </c>
      <c r="J1784" s="955">
        <v>16955.3</v>
      </c>
      <c r="K1784" s="1576" t="s">
        <v>2534</v>
      </c>
      <c r="L1784" s="1577" t="s">
        <v>270</v>
      </c>
      <c r="M1784" s="1578">
        <v>18339</v>
      </c>
      <c r="N1784" s="1578">
        <v>18500</v>
      </c>
      <c r="O1784" s="1578">
        <v>18500</v>
      </c>
      <c r="P1784" s="1578">
        <v>18500</v>
      </c>
      <c r="Q1784" s="1578">
        <v>18500</v>
      </c>
    </row>
    <row r="1785" spans="1:17" x14ac:dyDescent="0.25">
      <c r="A1785" s="1954"/>
      <c r="B1785" s="991"/>
      <c r="C1785" s="1956"/>
      <c r="D1785" s="1958"/>
      <c r="E1785" s="1960"/>
      <c r="F1785" s="1588"/>
      <c r="G1785" s="1588"/>
      <c r="H1785" s="924"/>
      <c r="I1785" s="924"/>
      <c r="J1785" s="924"/>
      <c r="K1785" s="1576" t="s">
        <v>2535</v>
      </c>
      <c r="L1785" s="1577" t="s">
        <v>426</v>
      </c>
      <c r="M1785" s="1578">
        <v>90.2</v>
      </c>
      <c r="N1785" s="1578">
        <v>100</v>
      </c>
      <c r="O1785" s="1578">
        <v>100</v>
      </c>
      <c r="P1785" s="1578">
        <v>100</v>
      </c>
      <c r="Q1785" s="1578">
        <v>100</v>
      </c>
    </row>
    <row r="1786" spans="1:17" ht="31.5" customHeight="1" x14ac:dyDescent="0.25">
      <c r="A1786" s="1961" t="s">
        <v>2536</v>
      </c>
      <c r="B1786" s="1962"/>
      <c r="C1786" s="1881"/>
      <c r="D1786" s="1881"/>
      <c r="E1786" s="1881"/>
      <c r="F1786" s="1589">
        <v>58812.1</v>
      </c>
      <c r="G1786" s="1589">
        <v>75617.400000000009</v>
      </c>
      <c r="H1786" s="1589">
        <f>H1766+H1775</f>
        <v>89799.599999999991</v>
      </c>
      <c r="I1786" s="1589">
        <v>76473.8</v>
      </c>
      <c r="J1786" s="1589">
        <v>77343.7</v>
      </c>
      <c r="K1786" s="1590"/>
      <c r="L1786" s="1591"/>
      <c r="M1786" s="1591"/>
      <c r="N1786" s="1592"/>
      <c r="O1786" s="1593"/>
      <c r="P1786" s="1594"/>
      <c r="Q1786" s="1593"/>
    </row>
    <row r="1787" spans="1:17" ht="15.75" thickBot="1" x14ac:dyDescent="0.3">
      <c r="A1787" s="1878" t="s">
        <v>2537</v>
      </c>
      <c r="B1787" s="1879"/>
      <c r="C1787" s="1879"/>
      <c r="D1787" s="1879"/>
      <c r="E1787" s="1879"/>
      <c r="F1787" s="1879"/>
      <c r="G1787" s="1879"/>
      <c r="H1787" s="1879"/>
      <c r="I1787" s="1879"/>
      <c r="J1787" s="1879"/>
      <c r="K1787" s="1879"/>
      <c r="L1787" s="1879"/>
      <c r="M1787" s="1879"/>
      <c r="N1787" s="1879"/>
      <c r="O1787" s="1879"/>
      <c r="P1787" s="1879"/>
      <c r="Q1787" s="1880"/>
    </row>
    <row r="1788" spans="1:17" ht="73.5" x14ac:dyDescent="0.25">
      <c r="A1788" s="1595">
        <v>74</v>
      </c>
      <c r="B1788" s="614">
        <v>1</v>
      </c>
      <c r="C1788" s="1596"/>
      <c r="D1788" s="1597"/>
      <c r="E1788" s="1598" t="s">
        <v>2903</v>
      </c>
      <c r="F1788" s="1599">
        <v>35657.4</v>
      </c>
      <c r="G1788" s="1599">
        <v>23857.7</v>
      </c>
      <c r="H1788" s="1599">
        <f>SUM(H1789:H1796)</f>
        <v>299080.2</v>
      </c>
      <c r="I1788" s="1599">
        <v>24066.2</v>
      </c>
      <c r="J1788" s="1599">
        <v>24278</v>
      </c>
      <c r="K1788" s="1600" t="s">
        <v>181</v>
      </c>
      <c r="L1788" s="401" t="s">
        <v>182</v>
      </c>
      <c r="M1788" s="671">
        <v>34.4</v>
      </c>
      <c r="N1788" s="401">
        <v>34.4</v>
      </c>
      <c r="O1788" s="401">
        <v>34.4</v>
      </c>
      <c r="P1788" s="401">
        <v>34.4</v>
      </c>
      <c r="Q1788" s="401">
        <v>34.4</v>
      </c>
    </row>
    <row r="1789" spans="1:17" x14ac:dyDescent="0.25">
      <c r="A1789" s="1601"/>
      <c r="B1789" s="1602"/>
      <c r="C1789" s="1603">
        <v>1</v>
      </c>
      <c r="D1789" s="1604"/>
      <c r="E1789" s="1605" t="s">
        <v>7</v>
      </c>
      <c r="F1789" s="1202">
        <v>5204.2</v>
      </c>
      <c r="G1789" s="450">
        <v>8586.4</v>
      </c>
      <c r="H1789" s="450">
        <f>3979+840</f>
        <v>4819</v>
      </c>
      <c r="I1789" s="450">
        <v>8647.5</v>
      </c>
      <c r="J1789" s="450">
        <v>8709.6</v>
      </c>
      <c r="K1789" s="399" t="s">
        <v>183</v>
      </c>
      <c r="L1789" s="400" t="s">
        <v>184</v>
      </c>
      <c r="M1789" s="1606">
        <v>90</v>
      </c>
      <c r="N1789" s="1606">
        <v>90</v>
      </c>
      <c r="O1789" s="1606">
        <v>90</v>
      </c>
      <c r="P1789" s="1606">
        <v>90</v>
      </c>
      <c r="Q1789" s="1606">
        <v>90</v>
      </c>
    </row>
    <row r="1790" spans="1:17" x14ac:dyDescent="0.25">
      <c r="A1790" s="1601"/>
      <c r="B1790" s="1607"/>
      <c r="C1790" s="1608">
        <v>2</v>
      </c>
      <c r="D1790" s="1604"/>
      <c r="E1790" s="1609" t="s">
        <v>9</v>
      </c>
      <c r="F1790" s="1202">
        <v>2504.8000000000002</v>
      </c>
      <c r="G1790" s="450">
        <v>3312.4</v>
      </c>
      <c r="H1790" s="450">
        <f>2056+600</f>
        <v>2656</v>
      </c>
      <c r="I1790" s="450">
        <v>3346.7</v>
      </c>
      <c r="J1790" s="450">
        <v>3381.5</v>
      </c>
      <c r="K1790" s="399" t="s">
        <v>185</v>
      </c>
      <c r="L1790" s="400" t="s">
        <v>182</v>
      </c>
      <c r="M1790" s="401">
        <v>100</v>
      </c>
      <c r="N1790" s="401">
        <v>100</v>
      </c>
      <c r="O1790" s="401">
        <v>100</v>
      </c>
      <c r="P1790" s="401">
        <v>100</v>
      </c>
      <c r="Q1790" s="401">
        <v>100</v>
      </c>
    </row>
    <row r="1791" spans="1:17" ht="30" x14ac:dyDescent="0.25">
      <c r="A1791" s="1601"/>
      <c r="B1791" s="1607"/>
      <c r="C1791" s="1608">
        <v>3</v>
      </c>
      <c r="D1791" s="1604"/>
      <c r="E1791" s="1609" t="s">
        <v>11</v>
      </c>
      <c r="F1791" s="1202">
        <v>1308.3</v>
      </c>
      <c r="G1791" s="450">
        <v>2870.8</v>
      </c>
      <c r="H1791" s="450">
        <f>1595.9+600</f>
        <v>2195.9</v>
      </c>
      <c r="I1791" s="450">
        <v>2900.9</v>
      </c>
      <c r="J1791" s="450">
        <v>2931.5</v>
      </c>
      <c r="K1791" s="1610" t="s">
        <v>186</v>
      </c>
      <c r="L1791" s="400" t="s">
        <v>182</v>
      </c>
      <c r="M1791" s="401"/>
      <c r="N1791" s="401"/>
      <c r="O1791" s="401"/>
      <c r="P1791" s="401"/>
      <c r="Q1791" s="401"/>
    </row>
    <row r="1792" spans="1:17" ht="30" x14ac:dyDescent="0.25">
      <c r="A1792" s="1601"/>
      <c r="B1792" s="1607"/>
      <c r="C1792" s="1608">
        <v>4</v>
      </c>
      <c r="D1792" s="1604"/>
      <c r="E1792" s="1609" t="s">
        <v>13</v>
      </c>
      <c r="F1792" s="1202">
        <v>251.1</v>
      </c>
      <c r="G1792" s="450">
        <v>444.5</v>
      </c>
      <c r="H1792" s="450">
        <f>327.5+100</f>
        <v>427.5</v>
      </c>
      <c r="I1792" s="450">
        <v>450.4</v>
      </c>
      <c r="J1792" s="450">
        <v>456.3</v>
      </c>
      <c r="K1792" s="399" t="s">
        <v>187</v>
      </c>
      <c r="L1792" s="400" t="s">
        <v>423</v>
      </c>
      <c r="M1792" s="401"/>
      <c r="N1792" s="401"/>
      <c r="O1792" s="401"/>
      <c r="P1792" s="401"/>
      <c r="Q1792" s="401"/>
    </row>
    <row r="1793" spans="1:17" ht="30" x14ac:dyDescent="0.25">
      <c r="A1793" s="1601"/>
      <c r="B1793" s="1607"/>
      <c r="C1793" s="1608">
        <v>5</v>
      </c>
      <c r="D1793" s="1604"/>
      <c r="E1793" s="1609" t="s">
        <v>15</v>
      </c>
      <c r="F1793" s="1202">
        <v>1306.0999999999999</v>
      </c>
      <c r="G1793" s="450">
        <v>2355.9</v>
      </c>
      <c r="H1793" s="450">
        <f>1334.2+204</f>
        <v>1538.2</v>
      </c>
      <c r="I1793" s="450">
        <v>2371.1999999999998</v>
      </c>
      <c r="J1793" s="450">
        <v>2386.6999999999998</v>
      </c>
      <c r="K1793" s="1611" t="s">
        <v>2538</v>
      </c>
      <c r="L1793" s="400" t="s">
        <v>189</v>
      </c>
      <c r="M1793" s="401">
        <v>12</v>
      </c>
      <c r="N1793" s="401">
        <v>12</v>
      </c>
      <c r="O1793" s="401">
        <v>12</v>
      </c>
      <c r="P1793" s="401">
        <v>12</v>
      </c>
      <c r="Q1793" s="401">
        <v>12</v>
      </c>
    </row>
    <row r="1794" spans="1:17" ht="30" x14ac:dyDescent="0.25">
      <c r="A1794" s="1601"/>
      <c r="B1794" s="1602"/>
      <c r="C1794" s="1596">
        <v>6</v>
      </c>
      <c r="D1794" s="1604"/>
      <c r="E1794" s="1612" t="s">
        <v>17</v>
      </c>
      <c r="F1794" s="1202">
        <v>25082.9</v>
      </c>
      <c r="G1794" s="450">
        <v>6287.7</v>
      </c>
      <c r="H1794" s="450">
        <f>2836.2+480</f>
        <v>3316.2</v>
      </c>
      <c r="I1794" s="450">
        <v>6349.5</v>
      </c>
      <c r="J1794" s="450">
        <v>6412.4</v>
      </c>
      <c r="K1794" s="1611" t="s">
        <v>190</v>
      </c>
      <c r="L1794" s="400" t="s">
        <v>182</v>
      </c>
      <c r="M1794" s="401">
        <v>14.1</v>
      </c>
      <c r="N1794" s="401">
        <v>14.1</v>
      </c>
      <c r="O1794" s="401">
        <v>14.1</v>
      </c>
      <c r="P1794" s="401">
        <v>14.1</v>
      </c>
      <c r="Q1794" s="401">
        <v>14.1</v>
      </c>
    </row>
    <row r="1795" spans="1:17" ht="30" x14ac:dyDescent="0.25">
      <c r="A1795" s="1601"/>
      <c r="B1795" s="1602"/>
      <c r="C1795" s="1596">
        <v>7</v>
      </c>
      <c r="D1795" s="1604"/>
      <c r="E1795" s="1612" t="s">
        <v>66</v>
      </c>
      <c r="F1795" s="1202"/>
      <c r="G1795" s="450"/>
      <c r="H1795" s="450">
        <v>150</v>
      </c>
      <c r="I1795" s="450"/>
      <c r="J1795" s="450"/>
      <c r="K1795" s="1611"/>
      <c r="L1795" s="400"/>
      <c r="M1795" s="401"/>
      <c r="N1795" s="401"/>
      <c r="O1795" s="401"/>
      <c r="P1795" s="401"/>
      <c r="Q1795" s="401"/>
    </row>
    <row r="1796" spans="1:17" x14ac:dyDescent="0.25">
      <c r="A1796" s="1601"/>
      <c r="B1796" s="1602"/>
      <c r="C1796" s="1596">
        <v>8</v>
      </c>
      <c r="D1796" s="1604"/>
      <c r="E1796" s="1612" t="s">
        <v>67</v>
      </c>
      <c r="F1796" s="1202"/>
      <c r="G1796" s="450"/>
      <c r="H1796" s="450">
        <f>252686.6+31290.8</f>
        <v>283977.40000000002</v>
      </c>
      <c r="I1796" s="450"/>
      <c r="J1796" s="450"/>
      <c r="K1796" s="1611"/>
      <c r="L1796" s="400"/>
      <c r="M1796" s="401"/>
      <c r="N1796" s="401"/>
      <c r="O1796" s="401"/>
      <c r="P1796" s="401"/>
      <c r="Q1796" s="401"/>
    </row>
    <row r="1797" spans="1:17" ht="88.5" x14ac:dyDescent="0.25">
      <c r="A1797" s="677">
        <v>74</v>
      </c>
      <c r="B1797" s="614">
        <v>2</v>
      </c>
      <c r="C1797" s="1613"/>
      <c r="D1797" s="1614"/>
      <c r="E1797" s="1615" t="s">
        <v>2913</v>
      </c>
      <c r="F1797" s="1379">
        <v>195749.8</v>
      </c>
      <c r="G1797" s="1379">
        <v>201464.1</v>
      </c>
      <c r="H1797" s="1379">
        <f>SUM(H1798:H1804)</f>
        <v>181081.4</v>
      </c>
      <c r="I1797" s="1379">
        <v>203839.6</v>
      </c>
      <c r="J1797" s="1379">
        <v>206254.00000000003</v>
      </c>
      <c r="K1797" s="1615" t="s">
        <v>2539</v>
      </c>
      <c r="L1797" s="1616" t="s">
        <v>427</v>
      </c>
      <c r="M1797" s="1617">
        <v>90</v>
      </c>
      <c r="N1797" s="1617">
        <v>90</v>
      </c>
      <c r="O1797" s="1617">
        <v>90</v>
      </c>
      <c r="P1797" s="1617">
        <v>90</v>
      </c>
      <c r="Q1797" s="1617">
        <v>90</v>
      </c>
    </row>
    <row r="1798" spans="1:17" ht="30" x14ac:dyDescent="0.25">
      <c r="A1798" s="1601"/>
      <c r="B1798" s="1602"/>
      <c r="C1798" s="1603">
        <v>1</v>
      </c>
      <c r="D1798" s="1618"/>
      <c r="E1798" s="1612" t="s">
        <v>2540</v>
      </c>
      <c r="F1798" s="1202">
        <v>84982.2</v>
      </c>
      <c r="G1798" s="450">
        <v>97229.4</v>
      </c>
      <c r="H1798" s="450">
        <v>0</v>
      </c>
      <c r="I1798" s="450">
        <v>98387.3</v>
      </c>
      <c r="J1798" s="450">
        <v>99564.1</v>
      </c>
      <c r="K1798" s="399" t="s">
        <v>2471</v>
      </c>
      <c r="L1798" s="400" t="s">
        <v>191</v>
      </c>
      <c r="M1798" s="401">
        <v>83</v>
      </c>
      <c r="N1798" s="401">
        <v>83</v>
      </c>
      <c r="O1798" s="401">
        <v>83</v>
      </c>
      <c r="P1798" s="401">
        <v>83</v>
      </c>
      <c r="Q1798" s="401">
        <v>83</v>
      </c>
    </row>
    <row r="1799" spans="1:17" ht="30" x14ac:dyDescent="0.25">
      <c r="A1799" s="677"/>
      <c r="B1799" s="614"/>
      <c r="C1799" s="1596">
        <v>2</v>
      </c>
      <c r="D1799" s="1614"/>
      <c r="E1799" s="1605" t="s">
        <v>2541</v>
      </c>
      <c r="F1799" s="1202">
        <v>96726.6</v>
      </c>
      <c r="G1799" s="1619">
        <v>79331.5</v>
      </c>
      <c r="H1799" s="1619">
        <v>0</v>
      </c>
      <c r="I1799" s="1619">
        <v>80265.2</v>
      </c>
      <c r="J1799" s="1619">
        <v>81214</v>
      </c>
      <c r="K1799" s="1611" t="s">
        <v>2542</v>
      </c>
      <c r="L1799" s="1616" t="s">
        <v>2543</v>
      </c>
      <c r="M1799" s="1620">
        <v>637.6</v>
      </c>
      <c r="N1799" s="1620">
        <v>662.3</v>
      </c>
      <c r="O1799" s="1620">
        <v>662.3</v>
      </c>
      <c r="P1799" s="1620">
        <v>662.3</v>
      </c>
      <c r="Q1799" s="1620">
        <v>662.3</v>
      </c>
    </row>
    <row r="1800" spans="1:17" ht="30" x14ac:dyDescent="0.25">
      <c r="A1800" s="677"/>
      <c r="B1800" s="614"/>
      <c r="C1800" s="1596">
        <v>3</v>
      </c>
      <c r="D1800" s="1614"/>
      <c r="E1800" s="399" t="s">
        <v>2544</v>
      </c>
      <c r="F1800" s="1202">
        <v>3687.1</v>
      </c>
      <c r="G1800" s="1619">
        <v>10398.700000000001</v>
      </c>
      <c r="H1800" s="1619">
        <v>179215.9</v>
      </c>
      <c r="I1800" s="1619">
        <v>10497.1</v>
      </c>
      <c r="J1800" s="1619">
        <v>10597.2</v>
      </c>
      <c r="K1800" s="399" t="s">
        <v>2545</v>
      </c>
      <c r="L1800" s="1616" t="s">
        <v>2543</v>
      </c>
      <c r="M1800" s="1620">
        <v>6000</v>
      </c>
      <c r="N1800" s="1620">
        <v>6000</v>
      </c>
      <c r="O1800" s="1620">
        <v>6200</v>
      </c>
      <c r="P1800" s="1620">
        <v>6300</v>
      </c>
      <c r="Q1800" s="1620">
        <v>6360</v>
      </c>
    </row>
    <row r="1801" spans="1:17" ht="60" x14ac:dyDescent="0.25">
      <c r="A1801" s="1942"/>
      <c r="B1801" s="1602"/>
      <c r="C1801" s="1932">
        <v>4</v>
      </c>
      <c r="D1801" s="1963"/>
      <c r="E1801" s="1621" t="s">
        <v>2546</v>
      </c>
      <c r="F1801" s="1938">
        <v>6910.1</v>
      </c>
      <c r="G1801" s="1965">
        <v>10154</v>
      </c>
      <c r="H1801" s="1965">
        <v>0</v>
      </c>
      <c r="I1801" s="1965">
        <v>10287.9</v>
      </c>
      <c r="J1801" s="1965">
        <v>10424.1</v>
      </c>
      <c r="K1801" s="1611" t="s">
        <v>2547</v>
      </c>
      <c r="L1801" s="1616" t="s">
        <v>182</v>
      </c>
      <c r="M1801" s="1620">
        <v>20</v>
      </c>
      <c r="N1801" s="1620">
        <v>22</v>
      </c>
      <c r="O1801" s="1620">
        <v>25</v>
      </c>
      <c r="P1801" s="1620">
        <v>25</v>
      </c>
      <c r="Q1801" s="1620">
        <v>25</v>
      </c>
    </row>
    <row r="1802" spans="1:17" x14ac:dyDescent="0.25">
      <c r="A1802" s="1944"/>
      <c r="B1802" s="1622"/>
      <c r="C1802" s="1933"/>
      <c r="D1802" s="1964"/>
      <c r="E1802" s="1623"/>
      <c r="F1802" s="1939"/>
      <c r="G1802" s="1966"/>
      <c r="H1802" s="1966"/>
      <c r="I1802" s="1966"/>
      <c r="J1802" s="1966"/>
      <c r="K1802" s="1611" t="s">
        <v>2548</v>
      </c>
      <c r="L1802" s="1616" t="s">
        <v>196</v>
      </c>
      <c r="M1802" s="1620"/>
      <c r="N1802" s="1620"/>
      <c r="O1802" s="1620"/>
      <c r="P1802" s="1620"/>
      <c r="Q1802" s="1620"/>
    </row>
    <row r="1803" spans="1:17" x14ac:dyDescent="0.25">
      <c r="A1803" s="1942"/>
      <c r="B1803" s="1602"/>
      <c r="C1803" s="1932">
        <v>5</v>
      </c>
      <c r="D1803" s="1963"/>
      <c r="E1803" s="1624" t="s">
        <v>2549</v>
      </c>
      <c r="F1803" s="1938">
        <v>3443.8</v>
      </c>
      <c r="G1803" s="1965">
        <v>4350.5</v>
      </c>
      <c r="H1803" s="1965">
        <v>1865.5</v>
      </c>
      <c r="I1803" s="1965">
        <v>4402.1000000000004</v>
      </c>
      <c r="J1803" s="1965">
        <v>4454.6000000000004</v>
      </c>
      <c r="K1803" s="1611" t="s">
        <v>1564</v>
      </c>
      <c r="L1803" s="1625" t="s">
        <v>2550</v>
      </c>
      <c r="M1803" s="1614">
        <v>569</v>
      </c>
      <c r="N1803" s="1614">
        <v>569</v>
      </c>
      <c r="O1803" s="1614">
        <v>569</v>
      </c>
      <c r="P1803" s="1614">
        <v>569</v>
      </c>
      <c r="Q1803" s="1614">
        <v>569</v>
      </c>
    </row>
    <row r="1804" spans="1:17" ht="30" x14ac:dyDescent="0.25">
      <c r="A1804" s="1944"/>
      <c r="B1804" s="1622"/>
      <c r="C1804" s="1933"/>
      <c r="D1804" s="1964"/>
      <c r="E1804" s="1623"/>
      <c r="F1804" s="1939"/>
      <c r="G1804" s="1966"/>
      <c r="H1804" s="1966"/>
      <c r="I1804" s="1966"/>
      <c r="J1804" s="1966"/>
      <c r="K1804" s="1611" t="s">
        <v>2551</v>
      </c>
      <c r="L1804" s="1616" t="s">
        <v>182</v>
      </c>
      <c r="M1804" s="1620">
        <v>100</v>
      </c>
      <c r="N1804" s="1620">
        <v>100</v>
      </c>
      <c r="O1804" s="1620">
        <v>100</v>
      </c>
      <c r="P1804" s="1620">
        <v>100</v>
      </c>
      <c r="Q1804" s="1620">
        <v>100</v>
      </c>
    </row>
    <row r="1805" spans="1:17" ht="88.5" x14ac:dyDescent="0.25">
      <c r="A1805" s="677">
        <v>74</v>
      </c>
      <c r="B1805" s="614">
        <v>3</v>
      </c>
      <c r="C1805" s="1613"/>
      <c r="D1805" s="1614"/>
      <c r="E1805" s="1615" t="s">
        <v>2912</v>
      </c>
      <c r="F1805" s="1626">
        <v>32128.9</v>
      </c>
      <c r="G1805" s="1626">
        <v>35960.9</v>
      </c>
      <c r="H1805" s="1626">
        <f>SUM(H1806:H1808)</f>
        <v>44785.8</v>
      </c>
      <c r="I1805" s="1626">
        <v>36375</v>
      </c>
      <c r="J1805" s="1626">
        <v>36795.800000000003</v>
      </c>
      <c r="K1805" s="1600" t="s">
        <v>2552</v>
      </c>
      <c r="L1805" s="1616"/>
      <c r="M1805" s="1614"/>
      <c r="N1805" s="1614"/>
      <c r="O1805" s="1614"/>
      <c r="P1805" s="1614"/>
      <c r="Q1805" s="1614"/>
    </row>
    <row r="1806" spans="1:17" ht="180" x14ac:dyDescent="0.25">
      <c r="A1806" s="1930"/>
      <c r="B1806" s="1627"/>
      <c r="C1806" s="1932">
        <v>1</v>
      </c>
      <c r="D1806" s="1934"/>
      <c r="E1806" s="1936" t="s">
        <v>2553</v>
      </c>
      <c r="F1806" s="1938">
        <v>18478</v>
      </c>
      <c r="G1806" s="1940">
        <v>22590.2</v>
      </c>
      <c r="H1806" s="1940">
        <f>41785.8+3000</f>
        <v>44785.8</v>
      </c>
      <c r="I1806" s="1940">
        <v>22827.9</v>
      </c>
      <c r="J1806" s="1940">
        <v>23069.5</v>
      </c>
      <c r="K1806" s="1611" t="s">
        <v>2554</v>
      </c>
      <c r="L1806" s="1616" t="s">
        <v>2555</v>
      </c>
      <c r="M1806" s="1628">
        <v>1189.8</v>
      </c>
      <c r="N1806" s="1628">
        <v>1191.3999999999999</v>
      </c>
      <c r="O1806" s="1628">
        <v>1192.8</v>
      </c>
      <c r="P1806" s="1628">
        <v>1198.8</v>
      </c>
      <c r="Q1806" s="1628">
        <v>1194.9999999999998</v>
      </c>
    </row>
    <row r="1807" spans="1:17" ht="60" x14ac:dyDescent="0.25">
      <c r="A1807" s="1931"/>
      <c r="B1807" s="1629"/>
      <c r="C1807" s="1933"/>
      <c r="D1807" s="1935"/>
      <c r="E1807" s="1937"/>
      <c r="F1807" s="1939"/>
      <c r="G1807" s="1941"/>
      <c r="H1807" s="1941"/>
      <c r="I1807" s="1941"/>
      <c r="J1807" s="1941"/>
      <c r="K1807" s="1611" t="s">
        <v>2556</v>
      </c>
      <c r="L1807" s="1616" t="s">
        <v>182</v>
      </c>
      <c r="M1807" s="1418">
        <v>100</v>
      </c>
      <c r="N1807" s="1418">
        <v>100</v>
      </c>
      <c r="O1807" s="1418">
        <v>100</v>
      </c>
      <c r="P1807" s="1418">
        <v>100</v>
      </c>
      <c r="Q1807" s="1418">
        <v>100</v>
      </c>
    </row>
    <row r="1808" spans="1:17" ht="75" x14ac:dyDescent="0.25">
      <c r="A1808" s="1601"/>
      <c r="B1808" s="1602"/>
      <c r="C1808" s="1603">
        <v>2</v>
      </c>
      <c r="D1808" s="1630"/>
      <c r="E1808" s="1631" t="s">
        <v>2557</v>
      </c>
      <c r="F1808" s="1202">
        <v>13650.9</v>
      </c>
      <c r="G1808" s="1632">
        <v>13370.7</v>
      </c>
      <c r="H1808" s="1632">
        <v>0</v>
      </c>
      <c r="I1808" s="1632">
        <v>13547.1</v>
      </c>
      <c r="J1808" s="1632">
        <v>13726.3</v>
      </c>
      <c r="K1808" s="1624" t="s">
        <v>2558</v>
      </c>
      <c r="L1808" s="1616" t="s">
        <v>182</v>
      </c>
      <c r="M1808" s="1418">
        <v>100</v>
      </c>
      <c r="N1808" s="1418">
        <v>100</v>
      </c>
      <c r="O1808" s="1418">
        <v>100</v>
      </c>
      <c r="P1808" s="1418">
        <v>100</v>
      </c>
      <c r="Q1808" s="1418">
        <v>100</v>
      </c>
    </row>
    <row r="1809" spans="1:17" ht="73.5" x14ac:dyDescent="0.25">
      <c r="A1809" s="1601">
        <v>74</v>
      </c>
      <c r="B1809" s="1602">
        <v>4</v>
      </c>
      <c r="C1809" s="1603"/>
      <c r="D1809" s="1633"/>
      <c r="E1809" s="1611" t="s">
        <v>2911</v>
      </c>
      <c r="F1809" s="1626">
        <v>4552</v>
      </c>
      <c r="G1809" s="1626">
        <v>4338.3999999999996</v>
      </c>
      <c r="H1809" s="1626">
        <f>SUM(H1810:H1812)</f>
        <v>0</v>
      </c>
      <c r="I1809" s="1626">
        <v>4395.6000000000004</v>
      </c>
      <c r="J1809" s="1626">
        <v>4453.7999999999993</v>
      </c>
      <c r="K1809" s="1634" t="s">
        <v>2559</v>
      </c>
      <c r="L1809" s="1635" t="s">
        <v>182</v>
      </c>
      <c r="M1809" s="1418"/>
      <c r="N1809" s="1418"/>
      <c r="O1809" s="1418"/>
      <c r="P1809" s="1418"/>
      <c r="Q1809" s="1418"/>
    </row>
    <row r="1810" spans="1:17" ht="45" x14ac:dyDescent="0.25">
      <c r="A1810" s="1942"/>
      <c r="B1810" s="614"/>
      <c r="C1810" s="1603">
        <v>1</v>
      </c>
      <c r="D1810" s="1633"/>
      <c r="E1810" s="1605" t="s">
        <v>2560</v>
      </c>
      <c r="F1810" s="1202">
        <v>3102.1</v>
      </c>
      <c r="G1810" s="1632">
        <v>3096.8</v>
      </c>
      <c r="H1810" s="1632">
        <v>0</v>
      </c>
      <c r="I1810" s="1632">
        <v>3137.6</v>
      </c>
      <c r="J1810" s="1632">
        <v>3179.2</v>
      </c>
      <c r="K1810" s="1636" t="s">
        <v>2561</v>
      </c>
      <c r="L1810" s="1635" t="s">
        <v>182</v>
      </c>
      <c r="M1810" s="1418">
        <v>30.7</v>
      </c>
      <c r="N1810" s="1418">
        <v>30.7</v>
      </c>
      <c r="O1810" s="1418">
        <v>30.7</v>
      </c>
      <c r="P1810" s="1418">
        <v>30.7</v>
      </c>
      <c r="Q1810" s="1418">
        <v>30.7</v>
      </c>
    </row>
    <row r="1811" spans="1:17" ht="30" x14ac:dyDescent="0.25">
      <c r="A1811" s="1943"/>
      <c r="B1811" s="1627"/>
      <c r="C1811" s="1932">
        <v>2</v>
      </c>
      <c r="D1811" s="1945"/>
      <c r="E1811" s="1605" t="s">
        <v>2562</v>
      </c>
      <c r="F1811" s="2473">
        <v>1449.9</v>
      </c>
      <c r="G1811" s="2659">
        <v>1241.5999999999999</v>
      </c>
      <c r="H1811" s="2659">
        <v>0</v>
      </c>
      <c r="I1811" s="2659">
        <v>1258</v>
      </c>
      <c r="J1811" s="2659">
        <v>1274.5999999999999</v>
      </c>
      <c r="K1811" s="1637" t="s">
        <v>2563</v>
      </c>
      <c r="L1811" s="1638" t="s">
        <v>182</v>
      </c>
      <c r="M1811" s="1418">
        <v>20</v>
      </c>
      <c r="N1811" s="1418">
        <v>20</v>
      </c>
      <c r="O1811" s="1418">
        <v>20</v>
      </c>
      <c r="P1811" s="1418">
        <v>20</v>
      </c>
      <c r="Q1811" s="1418">
        <v>20</v>
      </c>
    </row>
    <row r="1812" spans="1:17" x14ac:dyDescent="0.25">
      <c r="A1812" s="1944"/>
      <c r="B1812" s="1629"/>
      <c r="C1812" s="1933"/>
      <c r="D1812" s="1946"/>
      <c r="E1812" s="1639"/>
      <c r="F1812" s="1939"/>
      <c r="G1812" s="1941"/>
      <c r="H1812" s="1941"/>
      <c r="I1812" s="1941"/>
      <c r="J1812" s="1941"/>
      <c r="K1812" s="1640" t="s">
        <v>2564</v>
      </c>
      <c r="L1812" s="1635" t="s">
        <v>189</v>
      </c>
      <c r="M1812" s="1418">
        <v>4</v>
      </c>
      <c r="N1812" s="1418">
        <v>4</v>
      </c>
      <c r="O1812" s="1418">
        <v>4</v>
      </c>
      <c r="P1812" s="1418">
        <v>4</v>
      </c>
      <c r="Q1812" s="1418">
        <v>4</v>
      </c>
    </row>
    <row r="1813" spans="1:17" ht="33" customHeight="1" x14ac:dyDescent="0.25">
      <c r="A1813" s="1840" t="s">
        <v>2565</v>
      </c>
      <c r="B1813" s="1841"/>
      <c r="C1813" s="1914"/>
      <c r="D1813" s="1914"/>
      <c r="E1813" s="1914"/>
      <c r="F1813" s="1641">
        <v>268088.09999999998</v>
      </c>
      <c r="G1813" s="1641">
        <v>265621.10000000003</v>
      </c>
      <c r="H1813" s="46">
        <f>H1788+H1797+H1805+H1809</f>
        <v>524947.4</v>
      </c>
      <c r="I1813" s="1641">
        <v>268676.40000000002</v>
      </c>
      <c r="J1813" s="1641">
        <v>271781.60000000003</v>
      </c>
      <c r="K1813" s="791"/>
      <c r="L1813" s="24"/>
      <c r="M1813" s="24"/>
      <c r="N1813" s="24"/>
      <c r="O1813" s="24"/>
      <c r="P1813" s="24"/>
      <c r="Q1813" s="24"/>
    </row>
    <row r="1814" spans="1:17" x14ac:dyDescent="0.25">
      <c r="A1814" s="1826" t="s">
        <v>2566</v>
      </c>
      <c r="B1814" s="1827"/>
      <c r="C1814" s="1827"/>
      <c r="D1814" s="1827"/>
      <c r="E1814" s="1827"/>
      <c r="F1814" s="1827"/>
      <c r="G1814" s="1827"/>
      <c r="H1814" s="1827"/>
      <c r="I1814" s="1827"/>
      <c r="J1814" s="1827"/>
      <c r="K1814" s="1827"/>
      <c r="L1814" s="1827"/>
      <c r="M1814" s="1827"/>
      <c r="N1814" s="1827"/>
      <c r="O1814" s="1827"/>
      <c r="P1814" s="1827"/>
      <c r="Q1814" s="1828"/>
    </row>
    <row r="1815" spans="1:17" ht="73.5" x14ac:dyDescent="0.25">
      <c r="A1815" s="906">
        <v>75</v>
      </c>
      <c r="B1815" s="1047">
        <v>1</v>
      </c>
      <c r="C1815" s="912"/>
      <c r="D1815" s="12"/>
      <c r="E1815" s="391" t="s">
        <v>810</v>
      </c>
      <c r="F1815" s="720">
        <v>10679.599999999999</v>
      </c>
      <c r="G1815" s="720">
        <v>15786.6</v>
      </c>
      <c r="H1815" s="720">
        <f>SUM(H1816:H1822)</f>
        <v>28945.411999999997</v>
      </c>
      <c r="I1815" s="720">
        <v>29418.899999999998</v>
      </c>
      <c r="J1815" s="720">
        <v>29695.599999999999</v>
      </c>
      <c r="K1815" s="1642" t="s">
        <v>181</v>
      </c>
      <c r="L1815" s="1011" t="s">
        <v>182</v>
      </c>
      <c r="M1815" s="1011"/>
      <c r="N1815" s="1011"/>
      <c r="O1815" s="1011"/>
      <c r="P1815" s="1011"/>
      <c r="Q1815" s="1643"/>
    </row>
    <row r="1816" spans="1:17" x14ac:dyDescent="0.25">
      <c r="A1816" s="1644"/>
      <c r="B1816" s="1645"/>
      <c r="C1816" s="960">
        <v>1</v>
      </c>
      <c r="D1816" s="253"/>
      <c r="E1816" s="55" t="s">
        <v>7</v>
      </c>
      <c r="F1816" s="1646">
        <v>2824.5</v>
      </c>
      <c r="G1816" s="1646">
        <v>3839.2</v>
      </c>
      <c r="H1816" s="1646">
        <v>3020.1669999999999</v>
      </c>
      <c r="I1816" s="1136">
        <v>3440.6</v>
      </c>
      <c r="J1816" s="1136">
        <v>3466.9</v>
      </c>
      <c r="K1816" s="1647" t="s">
        <v>183</v>
      </c>
      <c r="L1816" s="1002" t="s">
        <v>184</v>
      </c>
      <c r="M1816" s="1002">
        <v>0.63</v>
      </c>
      <c r="N1816" s="1002">
        <v>0.63</v>
      </c>
      <c r="O1816" s="1002">
        <v>0.64</v>
      </c>
      <c r="P1816" s="1648">
        <v>0.7</v>
      </c>
      <c r="Q1816" s="1003">
        <v>0.75</v>
      </c>
    </row>
    <row r="1817" spans="1:17" x14ac:dyDescent="0.25">
      <c r="A1817" s="1644"/>
      <c r="B1817" s="1649"/>
      <c r="C1817" s="432">
        <v>2</v>
      </c>
      <c r="D1817" s="253"/>
      <c r="E1817" s="667" t="s">
        <v>9</v>
      </c>
      <c r="F1817" s="1646">
        <v>1686.2</v>
      </c>
      <c r="G1817" s="1646">
        <v>2735</v>
      </c>
      <c r="H1817" s="1646">
        <v>3735.9209999999998</v>
      </c>
      <c r="I1817" s="1017">
        <v>3604</v>
      </c>
      <c r="J1817" s="1136">
        <v>3643.5</v>
      </c>
      <c r="K1817" s="1647" t="s">
        <v>185</v>
      </c>
      <c r="L1817" s="1002" t="s">
        <v>182</v>
      </c>
      <c r="M1817" s="1002">
        <v>71.900000000000006</v>
      </c>
      <c r="N1817" s="1002">
        <v>100</v>
      </c>
      <c r="O1817" s="1002">
        <v>100</v>
      </c>
      <c r="P1817" s="1650">
        <v>100</v>
      </c>
      <c r="Q1817" s="1003">
        <v>100</v>
      </c>
    </row>
    <row r="1818" spans="1:17" ht="30" x14ac:dyDescent="0.25">
      <c r="A1818" s="1644"/>
      <c r="B1818" s="1649"/>
      <c r="C1818" s="432">
        <v>3</v>
      </c>
      <c r="D1818" s="253"/>
      <c r="E1818" s="667" t="s">
        <v>11</v>
      </c>
      <c r="F1818" s="1646">
        <v>1296.5999999999999</v>
      </c>
      <c r="G1818" s="1646">
        <v>2013.3</v>
      </c>
      <c r="H1818" s="1646">
        <v>1257.7919999999999</v>
      </c>
      <c r="I1818" s="1017">
        <v>1438.1</v>
      </c>
      <c r="J1818" s="1136">
        <v>1453.9</v>
      </c>
      <c r="K1818" s="56" t="s">
        <v>186</v>
      </c>
      <c r="L1818" s="1002" t="s">
        <v>182</v>
      </c>
      <c r="M1818" s="360">
        <v>0</v>
      </c>
      <c r="N1818" s="360">
        <v>0</v>
      </c>
      <c r="O1818" s="360">
        <v>0</v>
      </c>
      <c r="P1818" s="360">
        <v>0</v>
      </c>
      <c r="Q1818" s="360">
        <v>0</v>
      </c>
    </row>
    <row r="1819" spans="1:17" ht="30" x14ac:dyDescent="0.25">
      <c r="A1819" s="1644"/>
      <c r="B1819" s="1649"/>
      <c r="C1819" s="432">
        <v>4</v>
      </c>
      <c r="D1819" s="253"/>
      <c r="E1819" s="692" t="s">
        <v>13</v>
      </c>
      <c r="F1819" s="1646"/>
      <c r="G1819" s="1646"/>
      <c r="H1819" s="1646">
        <v>6578.643</v>
      </c>
      <c r="I1819" s="1017">
        <v>6999.6</v>
      </c>
      <c r="J1819" s="1136">
        <v>7078.7</v>
      </c>
      <c r="K1819" s="914" t="s">
        <v>187</v>
      </c>
      <c r="L1819" s="1002" t="s">
        <v>182</v>
      </c>
      <c r="M1819" s="360">
        <v>0</v>
      </c>
      <c r="N1819" s="360">
        <v>0</v>
      </c>
      <c r="O1819" s="360">
        <v>0</v>
      </c>
      <c r="P1819" s="360">
        <v>0</v>
      </c>
      <c r="Q1819" s="360">
        <v>0</v>
      </c>
    </row>
    <row r="1820" spans="1:17" ht="30" x14ac:dyDescent="0.25">
      <c r="A1820" s="1644"/>
      <c r="B1820" s="1649"/>
      <c r="C1820" s="432">
        <v>5</v>
      </c>
      <c r="D1820" s="253"/>
      <c r="E1820" s="667" t="s">
        <v>15</v>
      </c>
      <c r="F1820" s="1646">
        <v>719.1</v>
      </c>
      <c r="G1820" s="1646">
        <v>679.6</v>
      </c>
      <c r="H1820" s="1646">
        <v>803.28800000000001</v>
      </c>
      <c r="I1820" s="1017">
        <v>712.4</v>
      </c>
      <c r="J1820" s="1136">
        <v>719</v>
      </c>
      <c r="K1820" s="1647" t="s">
        <v>188</v>
      </c>
      <c r="L1820" s="1002" t="s">
        <v>189</v>
      </c>
      <c r="M1820" s="1002">
        <v>925</v>
      </c>
      <c r="N1820" s="1002">
        <v>935</v>
      </c>
      <c r="O1820" s="1002">
        <v>950</v>
      </c>
      <c r="P1820" s="1650">
        <v>970</v>
      </c>
      <c r="Q1820" s="1003">
        <v>975</v>
      </c>
    </row>
    <row r="1821" spans="1:17" ht="30" x14ac:dyDescent="0.25">
      <c r="A1821" s="1644"/>
      <c r="B1821" s="1645"/>
      <c r="C1821" s="948">
        <v>6</v>
      </c>
      <c r="D1821" s="253"/>
      <c r="E1821" s="692" t="s">
        <v>17</v>
      </c>
      <c r="F1821" s="1646">
        <v>4153.2</v>
      </c>
      <c r="G1821" s="1646">
        <v>6519.5</v>
      </c>
      <c r="H1821" s="1646">
        <v>8472.2829999999994</v>
      </c>
      <c r="I1821" s="1017">
        <v>7209.4</v>
      </c>
      <c r="J1821" s="1136">
        <v>7255.5</v>
      </c>
      <c r="K1821" s="1647" t="s">
        <v>190</v>
      </c>
      <c r="L1821" s="1002" t="s">
        <v>182</v>
      </c>
      <c r="M1821" s="1002">
        <v>20.399999999999999</v>
      </c>
      <c r="N1821" s="360">
        <v>13</v>
      </c>
      <c r="O1821" s="360">
        <v>13</v>
      </c>
      <c r="P1821" s="360">
        <v>13</v>
      </c>
      <c r="Q1821" s="360">
        <v>13</v>
      </c>
    </row>
    <row r="1822" spans="1:17" ht="45" x14ac:dyDescent="0.25">
      <c r="A1822" s="1644"/>
      <c r="B1822" s="1645"/>
      <c r="C1822" s="960">
        <v>7</v>
      </c>
      <c r="D1822" s="13"/>
      <c r="E1822" s="692" t="s">
        <v>66</v>
      </c>
      <c r="F1822" s="1646"/>
      <c r="G1822" s="1646"/>
      <c r="H1822" s="1646">
        <v>5077.3180000000002</v>
      </c>
      <c r="I1822" s="1017">
        <v>6014.8</v>
      </c>
      <c r="J1822" s="1136">
        <v>6078.1</v>
      </c>
      <c r="K1822" s="1647" t="s">
        <v>2567</v>
      </c>
      <c r="L1822" s="1002" t="s">
        <v>182</v>
      </c>
      <c r="M1822" s="1002">
        <v>100</v>
      </c>
      <c r="N1822" s="1002">
        <v>100</v>
      </c>
      <c r="O1822" s="1002">
        <v>100</v>
      </c>
      <c r="P1822" s="1002">
        <v>100</v>
      </c>
      <c r="Q1822" s="1002">
        <v>100</v>
      </c>
    </row>
    <row r="1823" spans="1:17" ht="55.5" customHeight="1" x14ac:dyDescent="0.25">
      <c r="A1823" s="1644">
        <v>75</v>
      </c>
      <c r="B1823" s="1645">
        <v>2</v>
      </c>
      <c r="C1823" s="904"/>
      <c r="D1823" s="962"/>
      <c r="E1823" s="647" t="s">
        <v>2568</v>
      </c>
      <c r="F1823" s="1651">
        <v>16465.900000000001</v>
      </c>
      <c r="G1823" s="1651">
        <v>20769.599999999999</v>
      </c>
      <c r="H1823" s="1652">
        <f>SUM(H1824:H1825)</f>
        <v>22518.845000000001</v>
      </c>
      <c r="I1823" s="1652">
        <v>13445.3</v>
      </c>
      <c r="J1823" s="1652">
        <v>13590.3</v>
      </c>
      <c r="K1823" s="692" t="s">
        <v>1607</v>
      </c>
      <c r="L1823" s="692"/>
      <c r="M1823" s="711"/>
      <c r="N1823" s="711"/>
      <c r="O1823" s="711"/>
      <c r="P1823" s="1653"/>
      <c r="Q1823" s="1003"/>
    </row>
    <row r="1824" spans="1:17" ht="60.75" thickBot="1" x14ac:dyDescent="0.3">
      <c r="A1824" s="906"/>
      <c r="B1824" s="1047"/>
      <c r="C1824" s="912" t="s">
        <v>6</v>
      </c>
      <c r="D1824" s="976"/>
      <c r="E1824" s="515" t="s">
        <v>2569</v>
      </c>
      <c r="F1824" s="1654">
        <v>10235.200000000001</v>
      </c>
      <c r="G1824" s="1654">
        <v>11950.5</v>
      </c>
      <c r="H1824" s="1654">
        <v>16402.803</v>
      </c>
      <c r="I1824" s="977">
        <v>6956.6</v>
      </c>
      <c r="J1824" s="1266">
        <v>7032.4</v>
      </c>
      <c r="K1824" s="1655" t="s">
        <v>2570</v>
      </c>
      <c r="L1824" s="1656" t="s">
        <v>2571</v>
      </c>
      <c r="M1824" s="103">
        <v>2176.3000000000002</v>
      </c>
      <c r="N1824" s="103">
        <v>3303.9</v>
      </c>
      <c r="O1824" s="1657">
        <v>2300</v>
      </c>
      <c r="P1824" s="1658">
        <v>2400</v>
      </c>
      <c r="Q1824" s="1658">
        <v>2500</v>
      </c>
    </row>
    <row r="1825" spans="1:17" ht="30" x14ac:dyDescent="0.25">
      <c r="A1825" s="906"/>
      <c r="B1825" s="1047"/>
      <c r="C1825" s="912" t="s">
        <v>8</v>
      </c>
      <c r="D1825" s="976"/>
      <c r="E1825" s="692" t="s">
        <v>2572</v>
      </c>
      <c r="F1825" s="1017">
        <v>6230.7</v>
      </c>
      <c r="G1825" s="1017">
        <v>8819.1</v>
      </c>
      <c r="H1825" s="1017">
        <v>6116.0420000000004</v>
      </c>
      <c r="I1825" s="1136">
        <v>6488.7</v>
      </c>
      <c r="J1825" s="1136">
        <v>6557.9</v>
      </c>
      <c r="K1825" s="1659" t="s">
        <v>2573</v>
      </c>
      <c r="L1825" s="1034" t="s">
        <v>2571</v>
      </c>
      <c r="M1825" s="944">
        <v>266.10000000000002</v>
      </c>
      <c r="N1825" s="944">
        <v>367</v>
      </c>
      <c r="O1825" s="944">
        <v>375</v>
      </c>
      <c r="P1825" s="944">
        <v>390</v>
      </c>
      <c r="Q1825" s="944">
        <v>391</v>
      </c>
    </row>
    <row r="1826" spans="1:17" ht="99.75" x14ac:dyDescent="0.25">
      <c r="A1826" s="906">
        <v>75</v>
      </c>
      <c r="B1826" s="1047">
        <v>3</v>
      </c>
      <c r="C1826" s="912"/>
      <c r="D1826" s="976"/>
      <c r="E1826" s="647" t="s">
        <v>2574</v>
      </c>
      <c r="F1826" s="1651">
        <v>7391.1</v>
      </c>
      <c r="G1826" s="1651">
        <v>8907.5999999999985</v>
      </c>
      <c r="H1826" s="1652">
        <f>SUM(H1827:H1830)</f>
        <v>66729.293999999994</v>
      </c>
      <c r="I1826" s="1652">
        <v>5706.2</v>
      </c>
      <c r="J1826" s="1652">
        <v>5769.6</v>
      </c>
      <c r="K1826" s="692" t="s">
        <v>2575</v>
      </c>
      <c r="L1826" s="171"/>
      <c r="M1826" s="1660" t="s">
        <v>2576</v>
      </c>
      <c r="N1826" s="1660" t="s">
        <v>2577</v>
      </c>
      <c r="O1826" s="1660" t="s">
        <v>2578</v>
      </c>
      <c r="P1826" s="1660" t="s">
        <v>2578</v>
      </c>
      <c r="Q1826" s="1660" t="s">
        <v>2578</v>
      </c>
    </row>
    <row r="1827" spans="1:17" ht="30" x14ac:dyDescent="0.25">
      <c r="A1827" s="1882"/>
      <c r="B1827" s="1891"/>
      <c r="C1827" s="1884" t="s">
        <v>6</v>
      </c>
      <c r="D1827" s="1947"/>
      <c r="E1827" s="1949" t="s">
        <v>2579</v>
      </c>
      <c r="F1827" s="1835">
        <v>4177.7</v>
      </c>
      <c r="G1827" s="1835">
        <v>6102.9</v>
      </c>
      <c r="H1827" s="1835">
        <v>2652.6469999999999</v>
      </c>
      <c r="I1827" s="1950">
        <v>2853.1</v>
      </c>
      <c r="J1827" s="1951">
        <v>2884.8</v>
      </c>
      <c r="K1827" s="146" t="s">
        <v>2580</v>
      </c>
      <c r="L1827" s="692" t="s">
        <v>182</v>
      </c>
      <c r="M1827" s="1017">
        <v>100</v>
      </c>
      <c r="N1827" s="1017">
        <v>100</v>
      </c>
      <c r="O1827" s="1017">
        <v>100</v>
      </c>
      <c r="P1827" s="1646">
        <v>100</v>
      </c>
      <c r="Q1827" s="97">
        <v>100</v>
      </c>
    </row>
    <row r="1828" spans="1:17" ht="30" x14ac:dyDescent="0.25">
      <c r="A1828" s="1883"/>
      <c r="B1828" s="1817"/>
      <c r="C1828" s="1885"/>
      <c r="D1828" s="1948"/>
      <c r="E1828" s="1949"/>
      <c r="F1828" s="1836"/>
      <c r="G1828" s="1836"/>
      <c r="H1828" s="1836"/>
      <c r="I1828" s="1950"/>
      <c r="J1828" s="1952"/>
      <c r="K1828" s="146" t="s">
        <v>2581</v>
      </c>
      <c r="L1828" s="692" t="s">
        <v>182</v>
      </c>
      <c r="M1828" s="1017">
        <v>100</v>
      </c>
      <c r="N1828" s="1017">
        <v>100</v>
      </c>
      <c r="O1828" s="1017">
        <v>100</v>
      </c>
      <c r="P1828" s="1646">
        <v>100</v>
      </c>
      <c r="Q1828" s="97">
        <v>100</v>
      </c>
    </row>
    <row r="1829" spans="1:17" ht="30" x14ac:dyDescent="0.25">
      <c r="A1829" s="902"/>
      <c r="B1829" s="1129"/>
      <c r="C1829" s="904" t="s">
        <v>8</v>
      </c>
      <c r="D1829" s="962"/>
      <c r="E1829" s="692" t="s">
        <v>2582</v>
      </c>
      <c r="F1829" s="1654">
        <v>3213.4</v>
      </c>
      <c r="G1829" s="1654">
        <v>2804.7</v>
      </c>
      <c r="H1829" s="1646">
        <v>2652.6469999999999</v>
      </c>
      <c r="I1829" s="1017">
        <v>2853.1</v>
      </c>
      <c r="J1829" s="1136">
        <v>2884.8</v>
      </c>
      <c r="K1829" s="146" t="s">
        <v>2583</v>
      </c>
      <c r="L1829" s="692" t="s">
        <v>182</v>
      </c>
      <c r="M1829" s="1017">
        <v>50</v>
      </c>
      <c r="N1829" s="1017">
        <v>80</v>
      </c>
      <c r="O1829" s="1017">
        <v>100</v>
      </c>
      <c r="P1829" s="1646">
        <v>100</v>
      </c>
      <c r="Q1829" s="97">
        <v>100</v>
      </c>
    </row>
    <row r="1830" spans="1:17" x14ac:dyDescent="0.25">
      <c r="A1830" s="902"/>
      <c r="B1830" s="1129"/>
      <c r="C1830" s="904" t="s">
        <v>10</v>
      </c>
      <c r="D1830" s="962"/>
      <c r="E1830" s="692" t="s">
        <v>2584</v>
      </c>
      <c r="F1830" s="1654"/>
      <c r="G1830" s="1654"/>
      <c r="H1830" s="1646">
        <v>61424</v>
      </c>
      <c r="I1830" s="1017"/>
      <c r="J1830" s="1136"/>
      <c r="K1830" s="146"/>
      <c r="L1830" s="692"/>
      <c r="M1830" s="1017"/>
      <c r="N1830" s="1017"/>
      <c r="O1830" s="1017"/>
      <c r="P1830" s="1646"/>
      <c r="Q1830" s="97"/>
    </row>
    <row r="1831" spans="1:17" ht="73.5" x14ac:dyDescent="0.25">
      <c r="A1831" s="902">
        <v>75</v>
      </c>
      <c r="B1831" s="1129">
        <v>4</v>
      </c>
      <c r="C1831" s="904"/>
      <c r="D1831" s="962"/>
      <c r="E1831" s="647" t="s">
        <v>2585</v>
      </c>
      <c r="F1831" s="1651">
        <v>27727</v>
      </c>
      <c r="G1831" s="1651">
        <v>14313.5</v>
      </c>
      <c r="H1831" s="1652">
        <f>H1832</f>
        <v>11160.509</v>
      </c>
      <c r="I1831" s="794">
        <v>11818.8</v>
      </c>
      <c r="J1831" s="794">
        <v>11946.8</v>
      </c>
      <c r="K1831" s="146" t="s">
        <v>2586</v>
      </c>
      <c r="L1831" s="692" t="s">
        <v>2571</v>
      </c>
      <c r="M1831" s="360">
        <v>111.6</v>
      </c>
      <c r="N1831" s="360">
        <v>100</v>
      </c>
      <c r="O1831" s="360">
        <v>100</v>
      </c>
      <c r="P1831" s="1661">
        <v>100</v>
      </c>
      <c r="Q1831" s="97">
        <v>100</v>
      </c>
    </row>
    <row r="1832" spans="1:17" ht="30" x14ac:dyDescent="0.25">
      <c r="A1832" s="902"/>
      <c r="B1832" s="1129"/>
      <c r="C1832" s="904" t="s">
        <v>6</v>
      </c>
      <c r="D1832" s="962"/>
      <c r="E1832" s="515" t="s">
        <v>2587</v>
      </c>
      <c r="F1832" s="1654">
        <v>27727</v>
      </c>
      <c r="G1832" s="1654">
        <v>14313.5</v>
      </c>
      <c r="H1832" s="1654">
        <v>11160.509</v>
      </c>
      <c r="I1832" s="977">
        <v>11818.8</v>
      </c>
      <c r="J1832" s="1266">
        <v>11946.8</v>
      </c>
      <c r="K1832" s="1662" t="s">
        <v>2588</v>
      </c>
      <c r="L1832" s="515" t="s">
        <v>222</v>
      </c>
      <c r="M1832" s="977">
        <v>2611</v>
      </c>
      <c r="N1832" s="977">
        <v>2500</v>
      </c>
      <c r="O1832" s="977">
        <v>2600</v>
      </c>
      <c r="P1832" s="977">
        <v>2700</v>
      </c>
      <c r="Q1832" s="977">
        <v>2800</v>
      </c>
    </row>
    <row r="1833" spans="1:17" ht="39" customHeight="1" x14ac:dyDescent="0.25">
      <c r="A1833" s="1823" t="s">
        <v>2589</v>
      </c>
      <c r="B1833" s="1823"/>
      <c r="C1833" s="1823"/>
      <c r="D1833" s="1823"/>
      <c r="E1833" s="1823"/>
      <c r="F1833" s="46">
        <v>62263.6</v>
      </c>
      <c r="G1833" s="46">
        <v>59777.299999999996</v>
      </c>
      <c r="H1833" s="46">
        <f>H1815+H1823+H1826+H1831</f>
        <v>129354.06</v>
      </c>
      <c r="I1833" s="46">
        <v>60389.2</v>
      </c>
      <c r="J1833" s="46">
        <v>61002.299999999988</v>
      </c>
      <c r="K1833" s="16"/>
      <c r="L1833" s="958"/>
      <c r="M1833" s="958"/>
      <c r="N1833" s="958"/>
      <c r="O1833" s="958"/>
      <c r="P1833" s="958"/>
      <c r="Q1833" s="958"/>
    </row>
    <row r="1834" spans="1:17" x14ac:dyDescent="0.25">
      <c r="A1834" s="1826" t="s">
        <v>2590</v>
      </c>
      <c r="B1834" s="1827"/>
      <c r="C1834" s="1827"/>
      <c r="D1834" s="1827"/>
      <c r="E1834" s="1827"/>
      <c r="F1834" s="1827"/>
      <c r="G1834" s="1827"/>
      <c r="H1834" s="1827"/>
      <c r="I1834" s="1827"/>
      <c r="J1834" s="1827"/>
      <c r="K1834" s="1827"/>
      <c r="L1834" s="1827"/>
      <c r="M1834" s="1827"/>
      <c r="N1834" s="1827"/>
      <c r="O1834" s="1827"/>
      <c r="P1834" s="1827"/>
      <c r="Q1834" s="1828"/>
    </row>
    <row r="1835" spans="1:17" ht="73.5" x14ac:dyDescent="0.25">
      <c r="A1835" s="792">
        <v>76</v>
      </c>
      <c r="B1835" s="507">
        <v>1</v>
      </c>
      <c r="C1835" s="525"/>
      <c r="D1835" s="28"/>
      <c r="E1835" s="52" t="s">
        <v>810</v>
      </c>
      <c r="F1835" s="1219">
        <v>46001.599999999999</v>
      </c>
      <c r="G1835" s="1219">
        <v>43678.599999999991</v>
      </c>
      <c r="H1835" s="1219">
        <f>SUM(H1836:H1842)</f>
        <v>42617.4</v>
      </c>
      <c r="I1835" s="1219">
        <v>44066</v>
      </c>
      <c r="J1835" s="1219">
        <v>44066</v>
      </c>
      <c r="K1835" s="1042" t="s">
        <v>181</v>
      </c>
      <c r="L1835" s="932" t="s">
        <v>182</v>
      </c>
      <c r="M1835" s="1663">
        <v>34.81080459770115</v>
      </c>
      <c r="N1835" s="1663">
        <v>15.761710911071614</v>
      </c>
      <c r="O1835" s="1663">
        <v>15.761710911071614</v>
      </c>
      <c r="P1835" s="1663">
        <v>15.761710911071614</v>
      </c>
      <c r="Q1835" s="1663">
        <v>15.761710911071614</v>
      </c>
    </row>
    <row r="1836" spans="1:17" x14ac:dyDescent="0.25">
      <c r="A1836" s="975"/>
      <c r="B1836" s="503"/>
      <c r="C1836" s="1012" t="s">
        <v>6</v>
      </c>
      <c r="D1836" s="1031"/>
      <c r="E1836" s="1664" t="s">
        <v>7</v>
      </c>
      <c r="F1836" s="1029">
        <v>8597</v>
      </c>
      <c r="G1836" s="1029">
        <v>6090.4</v>
      </c>
      <c r="H1836" s="1029">
        <v>5943.1</v>
      </c>
      <c r="I1836" s="1029">
        <v>4739</v>
      </c>
      <c r="J1836" s="1029">
        <v>4739</v>
      </c>
      <c r="K1836" s="335" t="s">
        <v>183</v>
      </c>
      <c r="L1836" s="1029" t="s">
        <v>1545</v>
      </c>
      <c r="M1836" s="20">
        <v>0.65</v>
      </c>
      <c r="N1836" s="20">
        <v>0.7</v>
      </c>
      <c r="O1836" s="20">
        <v>0.7</v>
      </c>
      <c r="P1836" s="20">
        <v>0.7</v>
      </c>
      <c r="Q1836" s="20">
        <v>0.7</v>
      </c>
    </row>
    <row r="1837" spans="1:17" x14ac:dyDescent="0.25">
      <c r="A1837" s="975"/>
      <c r="B1837" s="503"/>
      <c r="C1837" s="1012" t="s">
        <v>8</v>
      </c>
      <c r="D1837" s="1030"/>
      <c r="E1837" s="1664" t="s">
        <v>9</v>
      </c>
      <c r="F1837" s="1029">
        <v>8396.4</v>
      </c>
      <c r="G1837" s="1029">
        <v>5854.4</v>
      </c>
      <c r="H1837" s="1029">
        <v>4028.3</v>
      </c>
      <c r="I1837" s="1029">
        <v>4505.1000000000004</v>
      </c>
      <c r="J1837" s="1029">
        <v>4505.1000000000004</v>
      </c>
      <c r="K1837" s="335" t="s">
        <v>185</v>
      </c>
      <c r="L1837" s="1029" t="s">
        <v>182</v>
      </c>
      <c r="M1837" s="20">
        <v>100</v>
      </c>
      <c r="N1837" s="20">
        <v>100</v>
      </c>
      <c r="O1837" s="20">
        <v>100</v>
      </c>
      <c r="P1837" s="20">
        <v>100</v>
      </c>
      <c r="Q1837" s="20">
        <v>100</v>
      </c>
    </row>
    <row r="1838" spans="1:17" ht="30" x14ac:dyDescent="0.25">
      <c r="A1838" s="975"/>
      <c r="B1838" s="503"/>
      <c r="C1838" s="1012" t="s">
        <v>10</v>
      </c>
      <c r="D1838" s="1030"/>
      <c r="E1838" s="1665" t="s">
        <v>11</v>
      </c>
      <c r="F1838" s="1029">
        <v>7757.3</v>
      </c>
      <c r="G1838" s="1029">
        <v>5077.8999999999996</v>
      </c>
      <c r="H1838" s="1029">
        <v>2312</v>
      </c>
      <c r="I1838" s="1029">
        <v>3048.7</v>
      </c>
      <c r="J1838" s="1029">
        <v>3048.7</v>
      </c>
      <c r="K1838" s="23" t="s">
        <v>186</v>
      </c>
      <c r="L1838" s="1029" t="s">
        <v>182</v>
      </c>
      <c r="M1838" s="20">
        <v>0</v>
      </c>
      <c r="N1838" s="20">
        <v>100</v>
      </c>
      <c r="O1838" s="20">
        <v>100</v>
      </c>
      <c r="P1838" s="20">
        <v>100</v>
      </c>
      <c r="Q1838" s="20">
        <v>100</v>
      </c>
    </row>
    <row r="1839" spans="1:17" ht="30" x14ac:dyDescent="0.25">
      <c r="A1839" s="975"/>
      <c r="B1839" s="503"/>
      <c r="C1839" s="1012" t="s">
        <v>12</v>
      </c>
      <c r="D1839" s="1030"/>
      <c r="E1839" s="1664" t="s">
        <v>13</v>
      </c>
      <c r="F1839" s="1029">
        <v>7734</v>
      </c>
      <c r="G1839" s="1029">
        <v>5105.3</v>
      </c>
      <c r="H1839" s="1029">
        <v>4241.5</v>
      </c>
      <c r="I1839" s="1029">
        <v>4441.3</v>
      </c>
      <c r="J1839" s="1029">
        <v>4441.3</v>
      </c>
      <c r="K1839" s="335" t="s">
        <v>187</v>
      </c>
      <c r="L1839" s="1029" t="s">
        <v>258</v>
      </c>
      <c r="M1839" s="20" t="s">
        <v>2591</v>
      </c>
      <c r="N1839" s="20">
        <v>100</v>
      </c>
      <c r="O1839" s="20">
        <v>100</v>
      </c>
      <c r="P1839" s="20">
        <v>100</v>
      </c>
      <c r="Q1839" s="20">
        <v>100</v>
      </c>
    </row>
    <row r="1840" spans="1:17" ht="30" x14ac:dyDescent="0.25">
      <c r="A1840" s="975"/>
      <c r="B1840" s="503"/>
      <c r="C1840" s="1012" t="s">
        <v>16</v>
      </c>
      <c r="D1840" s="1030"/>
      <c r="E1840" s="526" t="s">
        <v>17</v>
      </c>
      <c r="F1840" s="1029">
        <v>13516.9</v>
      </c>
      <c r="G1840" s="1029">
        <v>21550.6</v>
      </c>
      <c r="H1840" s="1029">
        <v>3119.3</v>
      </c>
      <c r="I1840" s="1029">
        <v>3413.3</v>
      </c>
      <c r="J1840" s="1029">
        <v>3413.3</v>
      </c>
      <c r="K1840" s="335" t="s">
        <v>190</v>
      </c>
      <c r="L1840" s="1029" t="s">
        <v>182</v>
      </c>
      <c r="M1840" s="1663">
        <v>15.789473684210526</v>
      </c>
      <c r="N1840" s="1663">
        <v>14.285714285714285</v>
      </c>
      <c r="O1840" s="1663">
        <v>14.634146341463413</v>
      </c>
      <c r="P1840" s="1663">
        <v>14.634146341463413</v>
      </c>
      <c r="Q1840" s="1663">
        <v>14.634146341463413</v>
      </c>
    </row>
    <row r="1841" spans="1:17" ht="30" x14ac:dyDescent="0.25">
      <c r="A1841" s="975"/>
      <c r="B1841" s="503"/>
      <c r="C1841" s="1012" t="s">
        <v>48</v>
      </c>
      <c r="D1841" s="1030"/>
      <c r="E1841" s="1224" t="s">
        <v>66</v>
      </c>
      <c r="F1841" s="1029"/>
      <c r="G1841" s="1029"/>
      <c r="H1841" s="1029">
        <v>4198</v>
      </c>
      <c r="I1841" s="1029">
        <v>4879.7</v>
      </c>
      <c r="J1841" s="1029">
        <v>4879.7</v>
      </c>
      <c r="K1841" s="335" t="s">
        <v>2592</v>
      </c>
      <c r="L1841" s="1029" t="s">
        <v>182</v>
      </c>
      <c r="M1841" s="1663"/>
      <c r="N1841" s="1663">
        <v>100</v>
      </c>
      <c r="O1841" s="1663">
        <v>100</v>
      </c>
      <c r="P1841" s="1663">
        <v>100</v>
      </c>
      <c r="Q1841" s="1663">
        <v>100</v>
      </c>
    </row>
    <row r="1842" spans="1:17" ht="30" x14ac:dyDescent="0.25">
      <c r="A1842" s="975"/>
      <c r="B1842" s="503"/>
      <c r="C1842" s="1012" t="s">
        <v>49</v>
      </c>
      <c r="D1842" s="1030"/>
      <c r="E1842" s="1224" t="s">
        <v>67</v>
      </c>
      <c r="F1842" s="1029"/>
      <c r="G1842" s="1029"/>
      <c r="H1842" s="1029">
        <v>18775.2</v>
      </c>
      <c r="I1842" s="1029">
        <v>19038.900000000001</v>
      </c>
      <c r="J1842" s="1029">
        <v>19038.900000000001</v>
      </c>
      <c r="K1842" s="335" t="s">
        <v>2593</v>
      </c>
      <c r="L1842" s="1666" t="s">
        <v>182</v>
      </c>
      <c r="M1842" s="1663"/>
      <c r="N1842" s="1663">
        <v>74.999999999999986</v>
      </c>
      <c r="O1842" s="1663">
        <v>73.214285714285708</v>
      </c>
      <c r="P1842" s="1663">
        <v>73.214285714285708</v>
      </c>
      <c r="Q1842" s="1663">
        <v>73.214285714285708</v>
      </c>
    </row>
    <row r="1843" spans="1:17" ht="28.5" x14ac:dyDescent="0.25">
      <c r="A1843" s="792">
        <v>76</v>
      </c>
      <c r="B1843" s="507">
        <v>2</v>
      </c>
      <c r="C1843" s="1012"/>
      <c r="D1843" s="1030"/>
      <c r="E1843" s="52" t="s">
        <v>2594</v>
      </c>
      <c r="F1843" s="1219">
        <v>244248.4</v>
      </c>
      <c r="G1843" s="1219">
        <v>246635.40000000002</v>
      </c>
      <c r="H1843" s="1219">
        <f>SUM(H1844:H1846)</f>
        <v>714888.14</v>
      </c>
      <c r="I1843" s="1219">
        <v>250077.59999999998</v>
      </c>
      <c r="J1843" s="1219">
        <v>253969.59999999998</v>
      </c>
      <c r="K1843" s="1026" t="s">
        <v>2595</v>
      </c>
      <c r="L1843" s="1666" t="s">
        <v>182</v>
      </c>
      <c r="M1843" s="20">
        <v>47.02</v>
      </c>
      <c r="N1843" s="20">
        <v>47.03</v>
      </c>
      <c r="O1843" s="20">
        <v>45</v>
      </c>
      <c r="P1843" s="20">
        <v>43</v>
      </c>
      <c r="Q1843" s="20">
        <v>43</v>
      </c>
    </row>
    <row r="1844" spans="1:17" ht="30" x14ac:dyDescent="0.25">
      <c r="A1844" s="975"/>
      <c r="B1844" s="503"/>
      <c r="C1844" s="1012" t="s">
        <v>6</v>
      </c>
      <c r="D1844" s="1030"/>
      <c r="E1844" s="1224" t="s">
        <v>2596</v>
      </c>
      <c r="F1844" s="1029">
        <v>24248.400000000001</v>
      </c>
      <c r="G1844" s="1029">
        <v>8252.2000000000007</v>
      </c>
      <c r="H1844" s="1029">
        <v>3358.3</v>
      </c>
      <c r="I1844" s="1029">
        <v>4195</v>
      </c>
      <c r="J1844" s="1029">
        <v>4195</v>
      </c>
      <c r="K1844" s="901" t="s">
        <v>2597</v>
      </c>
      <c r="L1844" s="1666" t="s">
        <v>182</v>
      </c>
      <c r="M1844" s="20">
        <v>59.4</v>
      </c>
      <c r="N1844" s="1667">
        <v>60</v>
      </c>
      <c r="O1844" s="1667">
        <v>60</v>
      </c>
      <c r="P1844" s="1667">
        <v>60</v>
      </c>
      <c r="Q1844" s="1667">
        <v>60</v>
      </c>
    </row>
    <row r="1845" spans="1:17" ht="30" x14ac:dyDescent="0.25">
      <c r="A1845" s="975"/>
      <c r="B1845" s="503"/>
      <c r="C1845" s="1012" t="s">
        <v>8</v>
      </c>
      <c r="D1845" s="1030"/>
      <c r="E1845" s="1224" t="s">
        <v>2598</v>
      </c>
      <c r="F1845" s="1029"/>
      <c r="G1845" s="1029"/>
      <c r="H1845" s="1029">
        <v>2919.2</v>
      </c>
      <c r="I1845" s="1029">
        <v>3669.8</v>
      </c>
      <c r="J1845" s="1029">
        <v>3669.8</v>
      </c>
      <c r="K1845" s="901" t="s">
        <v>2599</v>
      </c>
      <c r="L1845" s="1666" t="s">
        <v>182</v>
      </c>
      <c r="M1845" s="20">
        <v>47.03</v>
      </c>
      <c r="N1845" s="20">
        <v>45</v>
      </c>
      <c r="O1845" s="20">
        <v>43</v>
      </c>
      <c r="P1845" s="20">
        <v>43</v>
      </c>
      <c r="Q1845" s="20">
        <v>43</v>
      </c>
    </row>
    <row r="1846" spans="1:17" ht="45" x14ac:dyDescent="0.25">
      <c r="A1846" s="975"/>
      <c r="B1846" s="503"/>
      <c r="C1846" s="1012" t="s">
        <v>10</v>
      </c>
      <c r="D1846" s="1668"/>
      <c r="E1846" s="998" t="s">
        <v>2600</v>
      </c>
      <c r="F1846" s="1029">
        <v>220000</v>
      </c>
      <c r="G1846" s="1029">
        <v>238383.2</v>
      </c>
      <c r="H1846" s="1669">
        <v>708610.64</v>
      </c>
      <c r="I1846" s="1669">
        <v>242212.8</v>
      </c>
      <c r="J1846" s="1669">
        <v>246104.8</v>
      </c>
      <c r="K1846" s="335" t="s">
        <v>2601</v>
      </c>
      <c r="L1846" s="1666" t="s">
        <v>182</v>
      </c>
      <c r="M1846" s="20">
        <v>59.4</v>
      </c>
      <c r="N1846" s="1667">
        <v>60</v>
      </c>
      <c r="O1846" s="1667">
        <v>60</v>
      </c>
      <c r="P1846" s="1667">
        <v>60</v>
      </c>
      <c r="Q1846" s="1667">
        <v>60</v>
      </c>
    </row>
    <row r="1847" spans="1:17" ht="34.5" customHeight="1" x14ac:dyDescent="0.25">
      <c r="A1847" s="1912" t="s">
        <v>2602</v>
      </c>
      <c r="B1847" s="1913"/>
      <c r="C1847" s="1914"/>
      <c r="D1847" s="1914"/>
      <c r="E1847" s="1914"/>
      <c r="F1847" s="80">
        <v>290250</v>
      </c>
      <c r="G1847" s="80">
        <v>290314</v>
      </c>
      <c r="H1847" s="80">
        <f>H1835+H1843</f>
        <v>757505.54</v>
      </c>
      <c r="I1847" s="80">
        <v>294143.59999999998</v>
      </c>
      <c r="J1847" s="80">
        <v>298035.59999999998</v>
      </c>
      <c r="K1847" s="796"/>
      <c r="L1847" s="797"/>
      <c r="M1847" s="797"/>
      <c r="N1847" s="797"/>
      <c r="O1847" s="797"/>
      <c r="P1847" s="797"/>
      <c r="Q1847" s="797"/>
    </row>
    <row r="1848" spans="1:17" x14ac:dyDescent="0.25">
      <c r="A1848" s="1826" t="s">
        <v>2603</v>
      </c>
      <c r="B1848" s="1827"/>
      <c r="C1848" s="1827"/>
      <c r="D1848" s="1827"/>
      <c r="E1848" s="1827"/>
      <c r="F1848" s="1827"/>
      <c r="G1848" s="1827"/>
      <c r="H1848" s="1827"/>
      <c r="I1848" s="1827"/>
      <c r="J1848" s="1827"/>
      <c r="K1848" s="1827"/>
      <c r="L1848" s="1827"/>
      <c r="M1848" s="1827"/>
      <c r="N1848" s="1827"/>
      <c r="O1848" s="1827"/>
      <c r="P1848" s="1827"/>
      <c r="Q1848" s="1828"/>
    </row>
    <row r="1849" spans="1:17" ht="73.5" x14ac:dyDescent="0.25">
      <c r="A1849" s="792">
        <v>77</v>
      </c>
      <c r="B1849" s="1044">
        <v>1</v>
      </c>
      <c r="C1849" s="1038"/>
      <c r="D1849" s="1670"/>
      <c r="E1849" s="1671" t="s">
        <v>2909</v>
      </c>
      <c r="F1849" s="987">
        <v>2898.5000000000005</v>
      </c>
      <c r="G1849" s="987">
        <v>2711.8</v>
      </c>
      <c r="H1849" s="987">
        <f>SUM(H1850:H1852)</f>
        <v>2948.2</v>
      </c>
      <c r="I1849" s="987">
        <v>3057.9</v>
      </c>
      <c r="J1849" s="987">
        <v>3132.1</v>
      </c>
      <c r="K1849" s="1042" t="s">
        <v>181</v>
      </c>
      <c r="L1849" s="932" t="s">
        <v>182</v>
      </c>
      <c r="M1849" s="932">
        <v>11.8</v>
      </c>
      <c r="N1849" s="932">
        <v>10.6</v>
      </c>
      <c r="O1849" s="932">
        <v>10.6</v>
      </c>
      <c r="P1849" s="932">
        <v>10.6</v>
      </c>
      <c r="Q1849" s="932">
        <v>11.3</v>
      </c>
    </row>
    <row r="1850" spans="1:17" x14ac:dyDescent="0.25">
      <c r="A1850" s="975"/>
      <c r="B1850" s="1515"/>
      <c r="C1850" s="1280" t="s">
        <v>8</v>
      </c>
      <c r="D1850" s="3"/>
      <c r="E1850" s="21" t="s">
        <v>9</v>
      </c>
      <c r="F1850" s="167">
        <v>924.7</v>
      </c>
      <c r="G1850" s="237">
        <v>1217.2</v>
      </c>
      <c r="H1850" s="167">
        <v>1789.3</v>
      </c>
      <c r="I1850" s="167">
        <v>1716.2</v>
      </c>
      <c r="J1850" s="167">
        <v>1790.4</v>
      </c>
      <c r="K1850" s="335" t="s">
        <v>185</v>
      </c>
      <c r="L1850" s="1029" t="s">
        <v>182</v>
      </c>
      <c r="M1850" s="1029">
        <v>100</v>
      </c>
      <c r="N1850" s="1029">
        <v>100</v>
      </c>
      <c r="O1850" s="1029">
        <v>100</v>
      </c>
      <c r="P1850" s="1029">
        <v>100</v>
      </c>
      <c r="Q1850" s="1029">
        <v>100</v>
      </c>
    </row>
    <row r="1851" spans="1:17" ht="30" x14ac:dyDescent="0.25">
      <c r="A1851" s="975"/>
      <c r="B1851" s="1515"/>
      <c r="C1851" s="1280" t="s">
        <v>10</v>
      </c>
      <c r="D1851" s="3"/>
      <c r="E1851" s="21" t="s">
        <v>11</v>
      </c>
      <c r="F1851" s="167">
        <v>1627.9</v>
      </c>
      <c r="G1851" s="237">
        <v>526.29999999999995</v>
      </c>
      <c r="H1851" s="167">
        <v>500.6</v>
      </c>
      <c r="I1851" s="167">
        <v>589.29999999999995</v>
      </c>
      <c r="J1851" s="167">
        <v>589.29999999999995</v>
      </c>
      <c r="K1851" s="23" t="s">
        <v>186</v>
      </c>
      <c r="L1851" s="1029" t="s">
        <v>182</v>
      </c>
      <c r="M1851" s="1029">
        <v>100</v>
      </c>
      <c r="N1851" s="1029">
        <v>100</v>
      </c>
      <c r="O1851" s="1029">
        <v>100</v>
      </c>
      <c r="P1851" s="1029">
        <v>100</v>
      </c>
      <c r="Q1851" s="1029">
        <v>100</v>
      </c>
    </row>
    <row r="1852" spans="1:17" ht="30" x14ac:dyDescent="0.25">
      <c r="A1852" s="975"/>
      <c r="B1852" s="1515"/>
      <c r="C1852" s="1280" t="s">
        <v>12</v>
      </c>
      <c r="D1852" s="3"/>
      <c r="E1852" s="21" t="s">
        <v>13</v>
      </c>
      <c r="F1852" s="167">
        <v>345.9</v>
      </c>
      <c r="G1852" s="237">
        <v>968.3</v>
      </c>
      <c r="H1852" s="167">
        <v>658.3</v>
      </c>
      <c r="I1852" s="167">
        <v>752.4</v>
      </c>
      <c r="J1852" s="167">
        <v>752.4</v>
      </c>
      <c r="K1852" s="335" t="s">
        <v>187</v>
      </c>
      <c r="L1852" s="1029" t="s">
        <v>258</v>
      </c>
      <c r="M1852" s="1672" t="s">
        <v>2604</v>
      </c>
      <c r="N1852" s="1672" t="s">
        <v>2604</v>
      </c>
      <c r="O1852" s="1672" t="s">
        <v>2604</v>
      </c>
      <c r="P1852" s="1672" t="s">
        <v>2604</v>
      </c>
      <c r="Q1852" s="1672" t="s">
        <v>2604</v>
      </c>
    </row>
    <row r="1853" spans="1:17" ht="132" x14ac:dyDescent="0.25">
      <c r="A1853" s="1039">
        <v>77</v>
      </c>
      <c r="B1853" s="1227">
        <v>2</v>
      </c>
      <c r="C1853" s="1037"/>
      <c r="D1853" s="1041"/>
      <c r="E1853" s="1673" t="s">
        <v>2910</v>
      </c>
      <c r="F1853" s="986">
        <v>8239.2999999999993</v>
      </c>
      <c r="G1853" s="986">
        <v>8317</v>
      </c>
      <c r="H1853" s="986">
        <f>SUM(H1854:H1856)</f>
        <v>13347.600000000002</v>
      </c>
      <c r="I1853" s="986">
        <v>9070.4</v>
      </c>
      <c r="J1853" s="986">
        <v>9070.4</v>
      </c>
      <c r="K1853" s="930" t="s">
        <v>2605</v>
      </c>
      <c r="L1853" s="1040" t="s">
        <v>182</v>
      </c>
      <c r="M1853" s="931">
        <v>100</v>
      </c>
      <c r="N1853" s="1674">
        <v>100</v>
      </c>
      <c r="O1853" s="1674">
        <v>100</v>
      </c>
      <c r="P1853" s="1674">
        <v>100</v>
      </c>
      <c r="Q1853" s="1674">
        <v>100</v>
      </c>
    </row>
    <row r="1854" spans="1:17" ht="45" x14ac:dyDescent="0.25">
      <c r="A1854" s="566"/>
      <c r="B1854" s="1675"/>
      <c r="C1854" s="1037" t="s">
        <v>6</v>
      </c>
      <c r="D1854" s="1041"/>
      <c r="E1854" s="349" t="s">
        <v>2606</v>
      </c>
      <c r="F1854" s="1676">
        <v>6377.2</v>
      </c>
      <c r="G1854" s="1676">
        <v>4801.6000000000004</v>
      </c>
      <c r="H1854" s="1677">
        <v>7636.6</v>
      </c>
      <c r="I1854" s="1677">
        <v>6702.9</v>
      </c>
      <c r="J1854" s="1677">
        <v>6702.9</v>
      </c>
      <c r="K1854" s="930" t="s">
        <v>2607</v>
      </c>
      <c r="L1854" s="1040" t="s">
        <v>182</v>
      </c>
      <c r="M1854" s="1678">
        <v>100</v>
      </c>
      <c r="N1854" s="1678">
        <v>100</v>
      </c>
      <c r="O1854" s="1678">
        <v>100</v>
      </c>
      <c r="P1854" s="1678">
        <v>100</v>
      </c>
      <c r="Q1854" s="1678">
        <v>100</v>
      </c>
    </row>
    <row r="1855" spans="1:17" ht="45" x14ac:dyDescent="0.25">
      <c r="A1855" s="566"/>
      <c r="B1855" s="1675"/>
      <c r="C1855" s="1037" t="s">
        <v>8</v>
      </c>
      <c r="D1855" s="1041"/>
      <c r="E1855" s="349" t="s">
        <v>2608</v>
      </c>
      <c r="F1855" s="1676">
        <v>1221.5</v>
      </c>
      <c r="G1855" s="1676">
        <v>1800.9</v>
      </c>
      <c r="H1855" s="1677">
        <v>697.7</v>
      </c>
      <c r="I1855" s="1677">
        <v>833.7</v>
      </c>
      <c r="J1855" s="1677">
        <v>833.7</v>
      </c>
      <c r="K1855" s="930" t="s">
        <v>2609</v>
      </c>
      <c r="L1855" s="1040" t="s">
        <v>270</v>
      </c>
      <c r="M1855" s="1678">
        <v>2</v>
      </c>
      <c r="N1855" s="1678">
        <v>2</v>
      </c>
      <c r="O1855" s="1678">
        <v>2</v>
      </c>
      <c r="P1855" s="1678">
        <v>2</v>
      </c>
      <c r="Q1855" s="1678">
        <v>2</v>
      </c>
    </row>
    <row r="1856" spans="1:17" ht="45" x14ac:dyDescent="0.25">
      <c r="A1856" s="581"/>
      <c r="B1856" s="1675"/>
      <c r="C1856" s="1037" t="s">
        <v>10</v>
      </c>
      <c r="D1856" s="194"/>
      <c r="E1856" s="969" t="s">
        <v>2610</v>
      </c>
      <c r="F1856" s="1676">
        <v>640.6</v>
      </c>
      <c r="G1856" s="1676">
        <v>1714.5</v>
      </c>
      <c r="H1856" s="1677">
        <v>5013.3</v>
      </c>
      <c r="I1856" s="1677">
        <v>1533.8</v>
      </c>
      <c r="J1856" s="1677">
        <v>1533.8</v>
      </c>
      <c r="K1856" s="335" t="s">
        <v>2611</v>
      </c>
      <c r="L1856" s="1029" t="s">
        <v>2612</v>
      </c>
      <c r="M1856" s="1679">
        <v>2300</v>
      </c>
      <c r="N1856" s="1679">
        <v>2600</v>
      </c>
      <c r="O1856" s="1679">
        <v>2900</v>
      </c>
      <c r="P1856" s="1679">
        <v>2900</v>
      </c>
      <c r="Q1856" s="1679">
        <v>2900</v>
      </c>
    </row>
    <row r="1857" spans="1:17" ht="22.5" customHeight="1" x14ac:dyDescent="0.25">
      <c r="A1857" s="1823" t="s">
        <v>2613</v>
      </c>
      <c r="B1857" s="1823"/>
      <c r="C1857" s="1823"/>
      <c r="D1857" s="1823"/>
      <c r="E1857" s="1840"/>
      <c r="F1857" s="46">
        <v>11137.8</v>
      </c>
      <c r="G1857" s="46">
        <v>11028.8</v>
      </c>
      <c r="H1857" s="46">
        <f>H1849+H1853</f>
        <v>16295.800000000003</v>
      </c>
      <c r="I1857" s="46">
        <v>12128.3</v>
      </c>
      <c r="J1857" s="46">
        <v>12202.5</v>
      </c>
      <c r="K1857" s="16"/>
      <c r="L1857" s="958"/>
      <c r="M1857" s="959"/>
      <c r="N1857" s="959"/>
      <c r="O1857" s="959"/>
      <c r="P1857" s="959"/>
      <c r="Q1857" s="959"/>
    </row>
    <row r="1858" spans="1:17" x14ac:dyDescent="0.25">
      <c r="A1858" s="1826" t="s">
        <v>2614</v>
      </c>
      <c r="B1858" s="1827"/>
      <c r="C1858" s="1827"/>
      <c r="D1858" s="1827"/>
      <c r="E1858" s="1827"/>
      <c r="F1858" s="1827"/>
      <c r="G1858" s="1827"/>
      <c r="H1858" s="1827"/>
      <c r="I1858" s="1827"/>
      <c r="J1858" s="1827"/>
      <c r="K1858" s="1827"/>
      <c r="L1858" s="1827"/>
      <c r="M1858" s="1827"/>
      <c r="N1858" s="1827"/>
      <c r="O1858" s="1827"/>
      <c r="P1858" s="1827"/>
      <c r="Q1858" s="1828"/>
    </row>
    <row r="1859" spans="1:17" x14ac:dyDescent="0.25">
      <c r="A1859" s="1222">
        <v>79</v>
      </c>
      <c r="B1859" s="1033">
        <v>2</v>
      </c>
      <c r="C1859" s="1038"/>
      <c r="D1859" s="194"/>
      <c r="E1859" s="1028" t="s">
        <v>2615</v>
      </c>
      <c r="F1859" s="1217">
        <v>0</v>
      </c>
      <c r="G1859" s="1217">
        <v>0</v>
      </c>
      <c r="H1859" s="1217">
        <f>H1860</f>
        <v>1208.3</v>
      </c>
      <c r="I1859" s="1217">
        <v>18387.2</v>
      </c>
      <c r="J1859" s="1217">
        <v>18630.5</v>
      </c>
      <c r="K1859" s="335"/>
      <c r="L1859" s="1029"/>
      <c r="M1859" s="1680"/>
      <c r="N1859" s="1680"/>
      <c r="O1859" s="1680"/>
      <c r="P1859" s="1680"/>
      <c r="Q1859" s="1680"/>
    </row>
    <row r="1860" spans="1:17" ht="60" x14ac:dyDescent="0.25">
      <c r="A1860" s="581"/>
      <c r="B1860" s="356"/>
      <c r="C1860" s="1038" t="s">
        <v>6</v>
      </c>
      <c r="D1860" s="194"/>
      <c r="E1860" s="970" t="s">
        <v>2616</v>
      </c>
      <c r="F1860" s="1588"/>
      <c r="G1860" s="1588"/>
      <c r="H1860" s="989">
        <v>1208.3</v>
      </c>
      <c r="I1860" s="924">
        <v>18387.2</v>
      </c>
      <c r="J1860" s="924">
        <v>18630.5</v>
      </c>
      <c r="K1860" s="335" t="s">
        <v>2617</v>
      </c>
      <c r="L1860" s="1029" t="s">
        <v>189</v>
      </c>
      <c r="M1860" s="1681">
        <v>4</v>
      </c>
      <c r="N1860" s="1681">
        <v>4</v>
      </c>
      <c r="O1860" s="1681">
        <v>4</v>
      </c>
      <c r="P1860" s="1681">
        <v>4</v>
      </c>
      <c r="Q1860" s="1681">
        <v>4</v>
      </c>
    </row>
    <row r="1861" spans="1:17" x14ac:dyDescent="0.25">
      <c r="A1861" s="1823" t="s">
        <v>2618</v>
      </c>
      <c r="B1861" s="1823"/>
      <c r="C1861" s="1823"/>
      <c r="D1861" s="1823"/>
      <c r="E1861" s="1840"/>
      <c r="F1861" s="46">
        <v>0</v>
      </c>
      <c r="G1861" s="46">
        <v>0</v>
      </c>
      <c r="H1861" s="46">
        <f>H1859</f>
        <v>1208.3</v>
      </c>
      <c r="I1861" s="46">
        <v>18387.2</v>
      </c>
      <c r="J1861" s="46">
        <v>18630.5</v>
      </c>
      <c r="K1861" s="16"/>
      <c r="L1861" s="958"/>
      <c r="M1861" s="959"/>
      <c r="N1861" s="959"/>
      <c r="O1861" s="959"/>
      <c r="P1861" s="959"/>
      <c r="Q1861" s="959"/>
    </row>
    <row r="1862" spans="1:17" ht="15.75" thickBot="1" x14ac:dyDescent="0.3">
      <c r="A1862" s="1878" t="s">
        <v>2619</v>
      </c>
      <c r="B1862" s="1879"/>
      <c r="C1862" s="1879"/>
      <c r="D1862" s="1879"/>
      <c r="E1862" s="1879"/>
      <c r="F1862" s="1879"/>
      <c r="G1862" s="1879"/>
      <c r="H1862" s="1879"/>
      <c r="I1862" s="1879"/>
      <c r="J1862" s="1879"/>
      <c r="K1862" s="1879"/>
      <c r="L1862" s="1879"/>
      <c r="M1862" s="1879"/>
      <c r="N1862" s="1879"/>
      <c r="O1862" s="1879"/>
      <c r="P1862" s="1879"/>
      <c r="Q1862" s="1880"/>
    </row>
    <row r="1863" spans="1:17" ht="42.75" x14ac:dyDescent="0.25">
      <c r="A1863" s="1453">
        <v>80</v>
      </c>
      <c r="B1863" s="1454">
        <v>1</v>
      </c>
      <c r="C1863" s="1682"/>
      <c r="D1863" s="1670"/>
      <c r="E1863" s="1042" t="s">
        <v>2620</v>
      </c>
      <c r="F1863" s="1683">
        <v>39906.899999999994</v>
      </c>
      <c r="G1863" s="1683">
        <v>51872.2</v>
      </c>
      <c r="H1863" s="1683">
        <f>SUM(H1864:H1867)</f>
        <v>77743.600000000006</v>
      </c>
      <c r="I1863" s="193">
        <v>46283.100000000006</v>
      </c>
      <c r="J1863" s="193">
        <v>46283.100000000006</v>
      </c>
      <c r="K1863" s="1042" t="s">
        <v>2621</v>
      </c>
      <c r="L1863" s="932" t="s">
        <v>182</v>
      </c>
      <c r="M1863" s="932"/>
      <c r="N1863" s="932"/>
      <c r="O1863" s="932"/>
      <c r="P1863" s="932"/>
      <c r="Q1863" s="932"/>
    </row>
    <row r="1864" spans="1:17" x14ac:dyDescent="0.25">
      <c r="A1864" s="1684"/>
      <c r="B1864" s="1685"/>
      <c r="C1864" s="437">
        <v>1</v>
      </c>
      <c r="D1864" s="1670"/>
      <c r="E1864" s="21" t="s">
        <v>7</v>
      </c>
      <c r="F1864" s="1683"/>
      <c r="G1864" s="1683"/>
      <c r="H1864" s="35">
        <v>77743.600000000006</v>
      </c>
      <c r="I1864" s="193"/>
      <c r="J1864" s="193"/>
      <c r="K1864" s="1686"/>
      <c r="L1864" s="932"/>
      <c r="M1864" s="932"/>
      <c r="N1864" s="932"/>
      <c r="O1864" s="932"/>
      <c r="P1864" s="932"/>
      <c r="Q1864" s="932"/>
    </row>
    <row r="1865" spans="1:17" x14ac:dyDescent="0.25">
      <c r="A1865" s="1005"/>
      <c r="B1865" s="1561"/>
      <c r="C1865" s="437">
        <v>3</v>
      </c>
      <c r="D1865" s="3"/>
      <c r="E1865" s="21" t="s">
        <v>11</v>
      </c>
      <c r="F1865" s="35">
        <v>13302.3</v>
      </c>
      <c r="G1865" s="35">
        <v>15740.5</v>
      </c>
      <c r="H1865" s="35">
        <v>0</v>
      </c>
      <c r="I1865" s="895">
        <v>15427.7</v>
      </c>
      <c r="J1865" s="895">
        <v>15427.7</v>
      </c>
      <c r="K1865" s="23" t="s">
        <v>2622</v>
      </c>
      <c r="L1865" s="1029" t="s">
        <v>182</v>
      </c>
      <c r="M1865" s="1029">
        <v>25</v>
      </c>
      <c r="N1865" s="1029">
        <v>26</v>
      </c>
      <c r="O1865" s="1029">
        <v>27</v>
      </c>
      <c r="P1865" s="1029">
        <v>27</v>
      </c>
      <c r="Q1865" s="1029">
        <v>27</v>
      </c>
    </row>
    <row r="1866" spans="1:17" ht="30" x14ac:dyDescent="0.25">
      <c r="A1866" s="1005"/>
      <c r="B1866" s="1561"/>
      <c r="C1866" s="437">
        <v>50</v>
      </c>
      <c r="D1866" s="3"/>
      <c r="E1866" s="1000" t="s">
        <v>2623</v>
      </c>
      <c r="F1866" s="35">
        <v>13302.4</v>
      </c>
      <c r="G1866" s="35">
        <v>15798.4</v>
      </c>
      <c r="H1866" s="35">
        <v>0</v>
      </c>
      <c r="I1866" s="895">
        <v>15427.6</v>
      </c>
      <c r="J1866" s="895">
        <v>15427.6</v>
      </c>
      <c r="K1866" s="335" t="s">
        <v>2624</v>
      </c>
      <c r="L1866" s="1029" t="s">
        <v>222</v>
      </c>
      <c r="M1866" s="1029">
        <v>140</v>
      </c>
      <c r="N1866" s="1029">
        <v>140</v>
      </c>
      <c r="O1866" s="1029">
        <v>140</v>
      </c>
      <c r="P1866" s="1029">
        <v>140</v>
      </c>
      <c r="Q1866" s="1029">
        <v>140</v>
      </c>
    </row>
    <row r="1867" spans="1:17" ht="30" x14ac:dyDescent="0.25">
      <c r="A1867" s="1005"/>
      <c r="B1867" s="1561"/>
      <c r="C1867" s="437">
        <v>51</v>
      </c>
      <c r="D1867" s="3"/>
      <c r="E1867" s="1000" t="s">
        <v>2625</v>
      </c>
      <c r="F1867" s="35">
        <v>13302.2</v>
      </c>
      <c r="G1867" s="35">
        <v>20333.3</v>
      </c>
      <c r="H1867" s="35">
        <v>0</v>
      </c>
      <c r="I1867" s="895">
        <v>15427.8</v>
      </c>
      <c r="J1867" s="895">
        <v>15427.8</v>
      </c>
      <c r="K1867" s="335" t="s">
        <v>2626</v>
      </c>
      <c r="L1867" s="1029" t="s">
        <v>222</v>
      </c>
      <c r="M1867" s="1029">
        <v>5</v>
      </c>
      <c r="N1867" s="1029">
        <v>5</v>
      </c>
      <c r="O1867" s="1029">
        <v>5</v>
      </c>
      <c r="P1867" s="1029">
        <v>5</v>
      </c>
      <c r="Q1867" s="1029">
        <v>5</v>
      </c>
    </row>
    <row r="1868" spans="1:17" ht="42.75" x14ac:dyDescent="0.25">
      <c r="A1868" s="1039">
        <v>80</v>
      </c>
      <c r="B1868" s="1227">
        <v>2</v>
      </c>
      <c r="C1868" s="1687"/>
      <c r="D1868" s="1688"/>
      <c r="E1868" s="1036" t="s">
        <v>2627</v>
      </c>
      <c r="F1868" s="1689">
        <v>122967.8</v>
      </c>
      <c r="G1868" s="1689">
        <v>121650.99999999999</v>
      </c>
      <c r="H1868" s="1689">
        <f>SUM(H1869:H1872)</f>
        <v>126183.6</v>
      </c>
      <c r="I1868" s="804">
        <v>119366.5</v>
      </c>
      <c r="J1868" s="804">
        <v>119366.5</v>
      </c>
      <c r="K1868" s="1690" t="s">
        <v>2628</v>
      </c>
      <c r="L1868" s="20" t="s">
        <v>222</v>
      </c>
      <c r="M1868" s="1690"/>
      <c r="N1868" s="1691"/>
      <c r="O1868" s="1691"/>
      <c r="P1868" s="1691"/>
      <c r="Q1868" s="1691"/>
    </row>
    <row r="1869" spans="1:17" ht="45" x14ac:dyDescent="0.25">
      <c r="A1869" s="566"/>
      <c r="B1869" s="1675"/>
      <c r="C1869" s="1037" t="s">
        <v>6</v>
      </c>
      <c r="D1869" s="1041"/>
      <c r="E1869" s="1224" t="s">
        <v>2629</v>
      </c>
      <c r="F1869" s="1692">
        <v>31335.599999999999</v>
      </c>
      <c r="G1869" s="1692">
        <v>32231.699999999997</v>
      </c>
      <c r="H1869" s="35">
        <v>33781.4</v>
      </c>
      <c r="I1869" s="895">
        <v>31460.7</v>
      </c>
      <c r="J1869" s="895">
        <v>31460.7</v>
      </c>
      <c r="K1869" s="1224" t="s">
        <v>2630</v>
      </c>
      <c r="L1869" s="1029" t="s">
        <v>222</v>
      </c>
      <c r="M1869" s="1224">
        <v>6880</v>
      </c>
      <c r="N1869" s="1226">
        <v>7000</v>
      </c>
      <c r="O1869" s="1226">
        <v>7000</v>
      </c>
      <c r="P1869" s="1226">
        <v>7000</v>
      </c>
      <c r="Q1869" s="1226">
        <v>7000</v>
      </c>
    </row>
    <row r="1870" spans="1:17" ht="60" x14ac:dyDescent="0.25">
      <c r="A1870" s="566"/>
      <c r="B1870" s="1675"/>
      <c r="C1870" s="1037" t="s">
        <v>8</v>
      </c>
      <c r="D1870" s="1041"/>
      <c r="E1870" s="1224" t="s">
        <v>2631</v>
      </c>
      <c r="F1870" s="1692">
        <v>22134.799999999999</v>
      </c>
      <c r="G1870" s="1692">
        <v>18825.399999999998</v>
      </c>
      <c r="H1870" s="35">
        <v>17659.400000000001</v>
      </c>
      <c r="I1870" s="895">
        <v>19268.8</v>
      </c>
      <c r="J1870" s="895">
        <v>19268.8</v>
      </c>
      <c r="K1870" s="1224" t="s">
        <v>2632</v>
      </c>
      <c r="L1870" s="1029" t="s">
        <v>222</v>
      </c>
      <c r="M1870" s="1224">
        <v>20</v>
      </c>
      <c r="N1870" s="1226">
        <v>20</v>
      </c>
      <c r="O1870" s="1226">
        <v>20</v>
      </c>
      <c r="P1870" s="1226">
        <v>21</v>
      </c>
      <c r="Q1870" s="1226">
        <v>22</v>
      </c>
    </row>
    <row r="1871" spans="1:17" ht="120" x14ac:dyDescent="0.25">
      <c r="A1871" s="566"/>
      <c r="B1871" s="1675"/>
      <c r="C1871" s="1037" t="s">
        <v>10</v>
      </c>
      <c r="D1871" s="1041"/>
      <c r="E1871" s="1693" t="s">
        <v>2633</v>
      </c>
      <c r="F1871" s="1692">
        <v>45173.1</v>
      </c>
      <c r="G1871" s="1692">
        <v>46803.399999999994</v>
      </c>
      <c r="H1871" s="35">
        <v>49924.5</v>
      </c>
      <c r="I1871" s="895">
        <v>45881.100000000006</v>
      </c>
      <c r="J1871" s="895">
        <v>45881.100000000006</v>
      </c>
      <c r="K1871" s="1224" t="s">
        <v>2634</v>
      </c>
      <c r="L1871" s="1029" t="s">
        <v>222</v>
      </c>
      <c r="M1871" s="1224">
        <v>7</v>
      </c>
      <c r="N1871" s="1226">
        <v>15</v>
      </c>
      <c r="O1871" s="1226">
        <v>15</v>
      </c>
      <c r="P1871" s="1226">
        <v>15</v>
      </c>
      <c r="Q1871" s="1226">
        <v>15</v>
      </c>
    </row>
    <row r="1872" spans="1:17" ht="75" x14ac:dyDescent="0.25">
      <c r="A1872" s="566"/>
      <c r="B1872" s="1675"/>
      <c r="C1872" s="1037" t="s">
        <v>12</v>
      </c>
      <c r="D1872" s="1041"/>
      <c r="E1872" s="1694" t="s">
        <v>2635</v>
      </c>
      <c r="F1872" s="35">
        <v>24324.3</v>
      </c>
      <c r="G1872" s="35">
        <v>23790.500000000004</v>
      </c>
      <c r="H1872" s="35">
        <v>24818.3</v>
      </c>
      <c r="I1872" s="895">
        <v>22755.9</v>
      </c>
      <c r="J1872" s="895">
        <v>22755.9</v>
      </c>
      <c r="K1872" s="1224" t="s">
        <v>2636</v>
      </c>
      <c r="L1872" s="1029" t="s">
        <v>222</v>
      </c>
      <c r="M1872" s="1224">
        <v>15</v>
      </c>
      <c r="N1872" s="1695">
        <v>15</v>
      </c>
      <c r="O1872" s="1695">
        <v>15</v>
      </c>
      <c r="P1872" s="1695">
        <v>15</v>
      </c>
      <c r="Q1872" s="1695">
        <v>15</v>
      </c>
    </row>
    <row r="1873" spans="1:17" ht="43.5" x14ac:dyDescent="0.25">
      <c r="A1873" s="1039">
        <v>80</v>
      </c>
      <c r="B1873" s="1227">
        <v>3</v>
      </c>
      <c r="C1873" s="1687"/>
      <c r="D1873" s="1688"/>
      <c r="E1873" s="1696" t="s">
        <v>2637</v>
      </c>
      <c r="F1873" s="1697">
        <v>101305</v>
      </c>
      <c r="G1873" s="1697">
        <v>116676.59999999998</v>
      </c>
      <c r="H1873" s="1697">
        <f>SUM(H1874:H1876)</f>
        <v>114858.1</v>
      </c>
      <c r="I1873" s="1698">
        <v>107709.79999999999</v>
      </c>
      <c r="J1873" s="1698">
        <v>108043.79999999999</v>
      </c>
      <c r="K1873" s="1690" t="s">
        <v>2638</v>
      </c>
      <c r="L1873" s="20" t="s">
        <v>189</v>
      </c>
      <c r="M1873" s="1690"/>
      <c r="N1873" s="1691"/>
      <c r="O1873" s="1691"/>
      <c r="P1873" s="1691"/>
      <c r="Q1873" s="1691"/>
    </row>
    <row r="1874" spans="1:17" ht="105" x14ac:dyDescent="0.25">
      <c r="A1874" s="566"/>
      <c r="B1874" s="1675"/>
      <c r="C1874" s="1037" t="s">
        <v>6</v>
      </c>
      <c r="D1874" s="1041"/>
      <c r="E1874" s="1693" t="s">
        <v>2639</v>
      </c>
      <c r="F1874" s="1692">
        <v>37467.199999999997</v>
      </c>
      <c r="G1874" s="1692">
        <v>54121.649999999987</v>
      </c>
      <c r="H1874" s="35">
        <v>30241.200000000001</v>
      </c>
      <c r="I1874" s="895">
        <v>50573.599999999991</v>
      </c>
      <c r="J1874" s="895">
        <v>50887.599999999991</v>
      </c>
      <c r="K1874" s="1224" t="s">
        <v>2640</v>
      </c>
      <c r="L1874" s="1029" t="s">
        <v>2641</v>
      </c>
      <c r="M1874" s="1224">
        <v>2000</v>
      </c>
      <c r="N1874" s="1695">
        <v>5450</v>
      </c>
      <c r="O1874" s="1695">
        <v>5900</v>
      </c>
      <c r="P1874" s="1695">
        <v>6070</v>
      </c>
      <c r="Q1874" s="1695">
        <v>6500</v>
      </c>
    </row>
    <row r="1875" spans="1:17" ht="75" x14ac:dyDescent="0.25">
      <c r="A1875" s="566"/>
      <c r="B1875" s="1675"/>
      <c r="C1875" s="1037" t="s">
        <v>8</v>
      </c>
      <c r="D1875" s="1041"/>
      <c r="E1875" s="1693" t="s">
        <v>2642</v>
      </c>
      <c r="F1875" s="1692">
        <v>27642.9</v>
      </c>
      <c r="G1875" s="1692">
        <v>29434.599999999995</v>
      </c>
      <c r="H1875" s="35">
        <v>40899.800000000003</v>
      </c>
      <c r="I1875" s="895">
        <v>27850.7</v>
      </c>
      <c r="J1875" s="895">
        <v>27900.7</v>
      </c>
      <c r="K1875" s="1224" t="s">
        <v>2643</v>
      </c>
      <c r="L1875" s="1029" t="s">
        <v>222</v>
      </c>
      <c r="M1875" s="1224" t="s">
        <v>2644</v>
      </c>
      <c r="N1875" s="1224" t="s">
        <v>2645</v>
      </c>
      <c r="O1875" s="1224" t="s">
        <v>2646</v>
      </c>
      <c r="P1875" s="1224" t="s">
        <v>2647</v>
      </c>
      <c r="Q1875" s="1224" t="s">
        <v>2648</v>
      </c>
    </row>
    <row r="1876" spans="1:17" ht="90" x14ac:dyDescent="0.25">
      <c r="A1876" s="566"/>
      <c r="B1876" s="1675"/>
      <c r="C1876" s="1037" t="s">
        <v>10</v>
      </c>
      <c r="D1876" s="1041"/>
      <c r="E1876" s="1693" t="s">
        <v>2649</v>
      </c>
      <c r="F1876" s="1692">
        <v>36194.9</v>
      </c>
      <c r="G1876" s="1692">
        <v>33120.35</v>
      </c>
      <c r="H1876" s="35">
        <v>43717.1</v>
      </c>
      <c r="I1876" s="895">
        <v>29285.5</v>
      </c>
      <c r="J1876" s="895">
        <v>29255.5</v>
      </c>
      <c r="K1876" s="1224" t="s">
        <v>2650</v>
      </c>
      <c r="L1876" s="1029" t="s">
        <v>222</v>
      </c>
      <c r="M1876" s="1224" t="s">
        <v>2651</v>
      </c>
      <c r="N1876" s="1224" t="s">
        <v>2652</v>
      </c>
      <c r="O1876" s="1224" t="s">
        <v>2653</v>
      </c>
      <c r="P1876" s="1224" t="s">
        <v>2653</v>
      </c>
      <c r="Q1876" s="1224" t="s">
        <v>2654</v>
      </c>
    </row>
    <row r="1877" spans="1:17" ht="28.5" x14ac:dyDescent="0.25">
      <c r="A1877" s="1039">
        <v>80</v>
      </c>
      <c r="B1877" s="1227">
        <v>4</v>
      </c>
      <c r="C1877" s="1687"/>
      <c r="D1877" s="1688"/>
      <c r="E1877" s="1699" t="s">
        <v>2655</v>
      </c>
      <c r="F1877" s="1697">
        <v>87386.4</v>
      </c>
      <c r="G1877" s="1697">
        <v>75470.799999999988</v>
      </c>
      <c r="H1877" s="1697">
        <f>SUM(H1878:H1880)</f>
        <v>72659.399999999994</v>
      </c>
      <c r="I1877" s="1698">
        <v>47517.899999999994</v>
      </c>
      <c r="J1877" s="1698">
        <v>47583.899999999994</v>
      </c>
      <c r="K1877" s="1690" t="s">
        <v>2656</v>
      </c>
      <c r="L1877" s="20" t="s">
        <v>222</v>
      </c>
      <c r="M1877" s="1690"/>
      <c r="N1877" s="1691"/>
      <c r="O1877" s="1691"/>
      <c r="P1877" s="1691"/>
      <c r="Q1877" s="1691"/>
    </row>
    <row r="1878" spans="1:17" ht="90" x14ac:dyDescent="0.25">
      <c r="A1878" s="566"/>
      <c r="B1878" s="1675"/>
      <c r="C1878" s="1037" t="s">
        <v>6</v>
      </c>
      <c r="D1878" s="1041"/>
      <c r="E1878" s="1694" t="s">
        <v>2657</v>
      </c>
      <c r="F1878" s="1692">
        <v>14077.3</v>
      </c>
      <c r="G1878" s="1692">
        <v>15940.6</v>
      </c>
      <c r="H1878" s="35">
        <v>18066.3</v>
      </c>
      <c r="I1878" s="895">
        <v>13883.6</v>
      </c>
      <c r="J1878" s="895">
        <v>13899.6</v>
      </c>
      <c r="K1878" s="1224" t="s">
        <v>2658</v>
      </c>
      <c r="L1878" s="1029" t="s">
        <v>222</v>
      </c>
      <c r="M1878" s="1224" t="s">
        <v>2659</v>
      </c>
      <c r="N1878" s="1224" t="s">
        <v>2660</v>
      </c>
      <c r="O1878" s="1224" t="s">
        <v>2661</v>
      </c>
      <c r="P1878" s="1224" t="s">
        <v>2662</v>
      </c>
      <c r="Q1878" s="1224" t="s">
        <v>2663</v>
      </c>
    </row>
    <row r="1879" spans="1:17" ht="75" x14ac:dyDescent="0.25">
      <c r="A1879" s="566"/>
      <c r="B1879" s="1675"/>
      <c r="C1879" s="1037" t="s">
        <v>8</v>
      </c>
      <c r="D1879" s="1041"/>
      <c r="E1879" s="1693" t="s">
        <v>2664</v>
      </c>
      <c r="F1879" s="1692">
        <v>57171.7</v>
      </c>
      <c r="G1879" s="1692">
        <v>41011.599999999999</v>
      </c>
      <c r="H1879" s="35">
        <v>34843.199999999997</v>
      </c>
      <c r="I1879" s="895">
        <v>16103.1</v>
      </c>
      <c r="J1879" s="895">
        <v>16103.1</v>
      </c>
      <c r="K1879" s="1224" t="s">
        <v>2665</v>
      </c>
      <c r="L1879" s="1029" t="s">
        <v>222</v>
      </c>
      <c r="M1879" s="1224">
        <v>5</v>
      </c>
      <c r="N1879" s="1226">
        <v>6</v>
      </c>
      <c r="O1879" s="1226">
        <v>4</v>
      </c>
      <c r="P1879" s="1226">
        <v>6</v>
      </c>
      <c r="Q1879" s="1226">
        <v>5</v>
      </c>
    </row>
    <row r="1880" spans="1:17" ht="45" x14ac:dyDescent="0.25">
      <c r="A1880" s="566"/>
      <c r="B1880" s="1675"/>
      <c r="C1880" s="1037" t="s">
        <v>10</v>
      </c>
      <c r="D1880" s="1041"/>
      <c r="E1880" s="1693" t="s">
        <v>2666</v>
      </c>
      <c r="F1880" s="1692">
        <v>16137.400000000001</v>
      </c>
      <c r="G1880" s="1692">
        <v>18518.599999999999</v>
      </c>
      <c r="H1880" s="35">
        <v>19749.900000000001</v>
      </c>
      <c r="I1880" s="895">
        <v>17531.199999999997</v>
      </c>
      <c r="J1880" s="895">
        <v>17581.199999999997</v>
      </c>
      <c r="K1880" s="1224" t="s">
        <v>2667</v>
      </c>
      <c r="L1880" s="1029" t="s">
        <v>222</v>
      </c>
      <c r="M1880" s="1224">
        <v>5</v>
      </c>
      <c r="N1880" s="1226">
        <v>3</v>
      </c>
      <c r="O1880" s="1226">
        <v>4</v>
      </c>
      <c r="P1880" s="1226">
        <v>4</v>
      </c>
      <c r="Q1880" s="1226">
        <v>4</v>
      </c>
    </row>
    <row r="1881" spans="1:17" x14ac:dyDescent="0.25">
      <c r="A1881" s="1823" t="s">
        <v>2668</v>
      </c>
      <c r="B1881" s="1823"/>
      <c r="C1881" s="1915"/>
      <c r="D1881" s="1915"/>
      <c r="E1881" s="1916"/>
      <c r="F1881" s="46">
        <v>351566.1</v>
      </c>
      <c r="G1881" s="46">
        <v>365670.6</v>
      </c>
      <c r="H1881" s="46">
        <f>SUM(H1863+H1868+H1873+H1877)</f>
        <v>391444.70000000007</v>
      </c>
      <c r="I1881" s="46">
        <v>320877.29999999993</v>
      </c>
      <c r="J1881" s="46">
        <v>321277.29999999993</v>
      </c>
      <c r="K1881" s="16"/>
      <c r="L1881" s="958"/>
      <c r="M1881" s="958"/>
      <c r="N1881" s="958"/>
      <c r="O1881" s="958"/>
      <c r="P1881" s="958"/>
      <c r="Q1881" s="958"/>
    </row>
    <row r="1882" spans="1:17" x14ac:dyDescent="0.25">
      <c r="A1882" s="1826" t="s">
        <v>2669</v>
      </c>
      <c r="B1882" s="1827"/>
      <c r="C1882" s="1827"/>
      <c r="D1882" s="1827"/>
      <c r="E1882" s="1827"/>
      <c r="F1882" s="1827"/>
      <c r="G1882" s="1827"/>
      <c r="H1882" s="1827"/>
      <c r="I1882" s="1827"/>
      <c r="J1882" s="1827"/>
      <c r="K1882" s="1827"/>
      <c r="L1882" s="1827"/>
      <c r="M1882" s="1827"/>
      <c r="N1882" s="1827"/>
      <c r="O1882" s="1827"/>
      <c r="P1882" s="1827"/>
      <c r="Q1882" s="1828"/>
    </row>
    <row r="1883" spans="1:17" ht="87.75" x14ac:dyDescent="0.25">
      <c r="A1883" s="805">
        <v>81</v>
      </c>
      <c r="B1883" s="816">
        <v>2</v>
      </c>
      <c r="C1883" s="896"/>
      <c r="D1883" s="896"/>
      <c r="E1883" s="998" t="s">
        <v>2670</v>
      </c>
      <c r="F1883" s="717">
        <v>0</v>
      </c>
      <c r="G1883" s="717">
        <v>0</v>
      </c>
      <c r="H1883" s="717">
        <f>H1884</f>
        <v>234439.7</v>
      </c>
      <c r="I1883" s="717">
        <v>232128.9</v>
      </c>
      <c r="J1883" s="717">
        <v>232128.9</v>
      </c>
      <c r="K1883" s="901"/>
      <c r="L1883" s="897"/>
      <c r="M1883" s="897"/>
      <c r="N1883" s="1013"/>
      <c r="O1883" s="1013"/>
      <c r="P1883" s="1013"/>
      <c r="Q1883" s="1013"/>
    </row>
    <row r="1884" spans="1:17" ht="60" x14ac:dyDescent="0.25">
      <c r="A1884" s="577"/>
      <c r="B1884" s="324"/>
      <c r="C1884" s="896" t="s">
        <v>6</v>
      </c>
      <c r="D1884" s="896"/>
      <c r="E1884" s="998" t="s">
        <v>2671</v>
      </c>
      <c r="F1884" s="1220"/>
      <c r="G1884" s="1220"/>
      <c r="H1884" s="530">
        <v>234439.7</v>
      </c>
      <c r="I1884" s="946">
        <v>232128.9</v>
      </c>
      <c r="J1884" s="946">
        <v>232128.9</v>
      </c>
      <c r="K1884" s="335" t="s">
        <v>2672</v>
      </c>
      <c r="L1884" s="1029" t="s">
        <v>191</v>
      </c>
      <c r="M1884" s="1029">
        <v>7154</v>
      </c>
      <c r="N1884" s="35">
        <v>7200</v>
      </c>
      <c r="O1884" s="35">
        <v>7250</v>
      </c>
      <c r="P1884" s="35">
        <v>7300</v>
      </c>
      <c r="Q1884" s="35">
        <v>7400</v>
      </c>
    </row>
    <row r="1885" spans="1:17" ht="34.5" customHeight="1" x14ac:dyDescent="0.25">
      <c r="A1885" s="1917" t="s">
        <v>2673</v>
      </c>
      <c r="B1885" s="1918"/>
      <c r="C1885" s="1918"/>
      <c r="D1885" s="1918"/>
      <c r="E1885" s="1918"/>
      <c r="F1885" s="80">
        <v>0</v>
      </c>
      <c r="G1885" s="80">
        <v>0</v>
      </c>
      <c r="H1885" s="80">
        <f>H1883</f>
        <v>234439.7</v>
      </c>
      <c r="I1885" s="80">
        <v>232128.9</v>
      </c>
      <c r="J1885" s="80">
        <v>232128.9</v>
      </c>
      <c r="K1885" s="796"/>
      <c r="L1885" s="966"/>
      <c r="M1885" s="967"/>
      <c r="N1885" s="967"/>
      <c r="O1885" s="968"/>
      <c r="P1885" s="1700"/>
      <c r="Q1885" s="1701"/>
    </row>
    <row r="1886" spans="1:17" x14ac:dyDescent="0.25">
      <c r="A1886" s="1826" t="s">
        <v>2674</v>
      </c>
      <c r="B1886" s="1827"/>
      <c r="C1886" s="1827"/>
      <c r="D1886" s="1827"/>
      <c r="E1886" s="1827"/>
      <c r="F1886" s="1827"/>
      <c r="G1886" s="1827"/>
      <c r="H1886" s="1827"/>
      <c r="I1886" s="1827"/>
      <c r="J1886" s="1827"/>
      <c r="K1886" s="1827"/>
      <c r="L1886" s="1827"/>
      <c r="M1886" s="1827"/>
      <c r="N1886" s="1827"/>
      <c r="O1886" s="1827"/>
      <c r="P1886" s="1827"/>
      <c r="Q1886" s="1828"/>
    </row>
    <row r="1887" spans="1:17" ht="73.5" x14ac:dyDescent="0.25">
      <c r="A1887" s="906">
        <v>82</v>
      </c>
      <c r="B1887" s="1047">
        <v>1</v>
      </c>
      <c r="C1887" s="912"/>
      <c r="D1887" s="31"/>
      <c r="E1887" s="1007" t="s">
        <v>810</v>
      </c>
      <c r="F1887" s="915">
        <v>11492.8</v>
      </c>
      <c r="G1887" s="927">
        <v>11495.5</v>
      </c>
      <c r="H1887" s="927">
        <f>SUM(H1888:H1895)</f>
        <v>12288.2</v>
      </c>
      <c r="I1887" s="927">
        <v>11618.32</v>
      </c>
      <c r="J1887" s="927">
        <v>11785.42</v>
      </c>
      <c r="K1887" s="954" t="s">
        <v>181</v>
      </c>
      <c r="L1887" s="1011" t="s">
        <v>182</v>
      </c>
      <c r="M1887" s="1702">
        <v>1</v>
      </c>
      <c r="N1887" s="1702">
        <v>1</v>
      </c>
      <c r="O1887" s="1702">
        <v>1</v>
      </c>
      <c r="P1887" s="1702">
        <v>1</v>
      </c>
      <c r="Q1887" s="1702">
        <v>1</v>
      </c>
    </row>
    <row r="1888" spans="1:17" x14ac:dyDescent="0.25">
      <c r="A1888" s="948"/>
      <c r="B1888" s="753"/>
      <c r="C1888" s="912" t="s">
        <v>6</v>
      </c>
      <c r="D1888" s="1003"/>
      <c r="E1888" s="303" t="s">
        <v>7</v>
      </c>
      <c r="F1888" s="1136">
        <v>1342.86</v>
      </c>
      <c r="G1888" s="1136">
        <v>1342.86</v>
      </c>
      <c r="H1888" s="1136">
        <v>1433.86</v>
      </c>
      <c r="I1888" s="1136">
        <v>1386.44</v>
      </c>
      <c r="J1888" s="1136">
        <v>1386.44</v>
      </c>
      <c r="K1888" s="1647" t="s">
        <v>183</v>
      </c>
      <c r="L1888" s="1002" t="s">
        <v>1545</v>
      </c>
      <c r="M1888" s="640"/>
      <c r="N1888" s="640"/>
      <c r="O1888" s="640"/>
      <c r="P1888" s="640"/>
      <c r="Q1888" s="640"/>
    </row>
    <row r="1889" spans="1:17" x14ac:dyDescent="0.25">
      <c r="A1889" s="948"/>
      <c r="B1889" s="753"/>
      <c r="C1889" s="912" t="s">
        <v>8</v>
      </c>
      <c r="D1889" s="1003"/>
      <c r="E1889" s="667" t="s">
        <v>9</v>
      </c>
      <c r="F1889" s="1136">
        <v>790.14</v>
      </c>
      <c r="G1889" s="1136">
        <v>790.14</v>
      </c>
      <c r="H1889" s="1136">
        <v>888.04</v>
      </c>
      <c r="I1889" s="1136">
        <v>739</v>
      </c>
      <c r="J1889" s="1136">
        <v>739</v>
      </c>
      <c r="K1889" s="1647" t="s">
        <v>185</v>
      </c>
      <c r="L1889" s="1002" t="s">
        <v>182</v>
      </c>
      <c r="M1889" s="1702">
        <v>1</v>
      </c>
      <c r="N1889" s="1702">
        <v>1</v>
      </c>
      <c r="O1889" s="1702">
        <v>1</v>
      </c>
      <c r="P1889" s="1702">
        <v>1</v>
      </c>
      <c r="Q1889" s="1702">
        <v>1</v>
      </c>
    </row>
    <row r="1890" spans="1:17" ht="30" x14ac:dyDescent="0.25">
      <c r="A1890" s="948"/>
      <c r="B1890" s="753"/>
      <c r="C1890" s="912" t="s">
        <v>10</v>
      </c>
      <c r="D1890" s="1003"/>
      <c r="E1890" s="667" t="s">
        <v>11</v>
      </c>
      <c r="F1890" s="1136">
        <v>350.46</v>
      </c>
      <c r="G1890" s="1136">
        <v>353.16</v>
      </c>
      <c r="H1890" s="1136">
        <v>358.55</v>
      </c>
      <c r="I1890" s="1136">
        <v>371</v>
      </c>
      <c r="J1890" s="1136">
        <v>371</v>
      </c>
      <c r="K1890" s="56" t="s">
        <v>186</v>
      </c>
      <c r="L1890" s="1002" t="s">
        <v>182</v>
      </c>
      <c r="M1890" s="640">
        <v>100</v>
      </c>
      <c r="N1890" s="640" t="s">
        <v>383</v>
      </c>
      <c r="O1890" s="640" t="s">
        <v>383</v>
      </c>
      <c r="P1890" s="640" t="s">
        <v>383</v>
      </c>
      <c r="Q1890" s="640" t="s">
        <v>383</v>
      </c>
    </row>
    <row r="1891" spans="1:17" ht="30" x14ac:dyDescent="0.25">
      <c r="A1891" s="948"/>
      <c r="B1891" s="753"/>
      <c r="C1891" s="912" t="s">
        <v>12</v>
      </c>
      <c r="D1891" s="1003"/>
      <c r="E1891" s="667" t="s">
        <v>13</v>
      </c>
      <c r="F1891" s="1136">
        <v>384.39</v>
      </c>
      <c r="G1891" s="1136">
        <v>384.39</v>
      </c>
      <c r="H1891" s="1136">
        <v>393.26</v>
      </c>
      <c r="I1891" s="1136">
        <v>417</v>
      </c>
      <c r="J1891" s="1136">
        <v>417</v>
      </c>
      <c r="K1891" s="1647" t="s">
        <v>187</v>
      </c>
      <c r="L1891" s="1002" t="s">
        <v>258</v>
      </c>
      <c r="M1891" s="640" t="s">
        <v>311</v>
      </c>
      <c r="N1891" s="640" t="s">
        <v>383</v>
      </c>
      <c r="O1891" s="640" t="s">
        <v>383</v>
      </c>
      <c r="P1891" s="640" t="s">
        <v>383</v>
      </c>
      <c r="Q1891" s="640" t="s">
        <v>383</v>
      </c>
    </row>
    <row r="1892" spans="1:17" ht="30" x14ac:dyDescent="0.25">
      <c r="A1892" s="948"/>
      <c r="B1892" s="753"/>
      <c r="C1892" s="912" t="s">
        <v>14</v>
      </c>
      <c r="D1892" s="1003"/>
      <c r="E1892" s="667" t="s">
        <v>15</v>
      </c>
      <c r="F1892" s="1136">
        <v>350.47</v>
      </c>
      <c r="G1892" s="1136">
        <v>350.47</v>
      </c>
      <c r="H1892" s="1136">
        <v>358.55</v>
      </c>
      <c r="I1892" s="1136">
        <v>370</v>
      </c>
      <c r="J1892" s="1136">
        <v>370</v>
      </c>
      <c r="K1892" s="1647" t="s">
        <v>188</v>
      </c>
      <c r="L1892" s="1002" t="s">
        <v>189</v>
      </c>
      <c r="M1892" s="640"/>
      <c r="N1892" s="640" t="s">
        <v>383</v>
      </c>
      <c r="O1892" s="640" t="s">
        <v>383</v>
      </c>
      <c r="P1892" s="640" t="s">
        <v>383</v>
      </c>
      <c r="Q1892" s="640" t="s">
        <v>383</v>
      </c>
    </row>
    <row r="1893" spans="1:17" ht="30" x14ac:dyDescent="0.25">
      <c r="A1893" s="948"/>
      <c r="B1893" s="753"/>
      <c r="C1893" s="912" t="s">
        <v>16</v>
      </c>
      <c r="D1893" s="1003"/>
      <c r="E1893" s="978" t="s">
        <v>17</v>
      </c>
      <c r="F1893" s="1136">
        <v>1466.6</v>
      </c>
      <c r="G1893" s="1136">
        <v>1466.6</v>
      </c>
      <c r="H1893" s="1136">
        <v>1614.5</v>
      </c>
      <c r="I1893" s="1136">
        <v>1520</v>
      </c>
      <c r="J1893" s="1136">
        <v>1557.1</v>
      </c>
      <c r="K1893" s="1647" t="s">
        <v>190</v>
      </c>
      <c r="L1893" s="1002" t="s">
        <v>182</v>
      </c>
      <c r="M1893" s="1318">
        <v>7.5999999999999998E-2</v>
      </c>
      <c r="N1893" s="1318">
        <v>7.5999999999999998E-2</v>
      </c>
      <c r="O1893" s="1318">
        <v>7.5999999999999998E-2</v>
      </c>
      <c r="P1893" s="1318">
        <v>7.5999999999999998E-2</v>
      </c>
      <c r="Q1893" s="1318">
        <v>7.5999999999999998E-2</v>
      </c>
    </row>
    <row r="1894" spans="1:17" ht="60" x14ac:dyDescent="0.25">
      <c r="A1894" s="948"/>
      <c r="B1894" s="753"/>
      <c r="C1894" s="912" t="s">
        <v>48</v>
      </c>
      <c r="D1894" s="1003"/>
      <c r="E1894" s="978" t="s">
        <v>66</v>
      </c>
      <c r="F1894" s="1136">
        <v>2235.38</v>
      </c>
      <c r="G1894" s="1136">
        <v>2235.38</v>
      </c>
      <c r="H1894" s="1136">
        <v>2286.88</v>
      </c>
      <c r="I1894" s="1136">
        <v>2235.38</v>
      </c>
      <c r="J1894" s="1136">
        <v>2335.38</v>
      </c>
      <c r="K1894" s="1647" t="s">
        <v>299</v>
      </c>
      <c r="L1894" s="1002" t="s">
        <v>182</v>
      </c>
      <c r="M1894" s="640">
        <v>100</v>
      </c>
      <c r="N1894" s="640" t="s">
        <v>383</v>
      </c>
      <c r="O1894" s="640" t="s">
        <v>383</v>
      </c>
      <c r="P1894" s="640" t="s">
        <v>383</v>
      </c>
      <c r="Q1894" s="640" t="s">
        <v>383</v>
      </c>
    </row>
    <row r="1895" spans="1:17" ht="45" x14ac:dyDescent="0.25">
      <c r="A1895" s="948"/>
      <c r="B1895" s="753"/>
      <c r="C1895" s="912" t="s">
        <v>49</v>
      </c>
      <c r="D1895" s="1003"/>
      <c r="E1895" s="978" t="s">
        <v>67</v>
      </c>
      <c r="F1895" s="1136">
        <v>4572.5</v>
      </c>
      <c r="G1895" s="1136">
        <v>4572.5</v>
      </c>
      <c r="H1895" s="1136">
        <v>4954.5600000000004</v>
      </c>
      <c r="I1895" s="1136">
        <v>4579.5</v>
      </c>
      <c r="J1895" s="1136">
        <v>4609.5</v>
      </c>
      <c r="K1895" s="1647" t="s">
        <v>2675</v>
      </c>
      <c r="L1895" s="1002" t="s">
        <v>182</v>
      </c>
      <c r="M1895" s="1318">
        <v>0.224</v>
      </c>
      <c r="N1895" s="640" t="s">
        <v>383</v>
      </c>
      <c r="O1895" s="640" t="s">
        <v>383</v>
      </c>
      <c r="P1895" s="640" t="s">
        <v>383</v>
      </c>
      <c r="Q1895" s="640" t="s">
        <v>383</v>
      </c>
    </row>
    <row r="1896" spans="1:17" ht="117.75" x14ac:dyDescent="0.25">
      <c r="A1896" s="571">
        <v>82</v>
      </c>
      <c r="B1896" s="64">
        <v>2</v>
      </c>
      <c r="C1896" s="27"/>
      <c r="D1896" s="1703"/>
      <c r="E1896" s="14" t="s">
        <v>2676</v>
      </c>
      <c r="F1896" s="915">
        <v>972.3</v>
      </c>
      <c r="G1896" s="915">
        <v>972.3</v>
      </c>
      <c r="H1896" s="915">
        <f>SUM(H1897:H1902)</f>
        <v>994.6</v>
      </c>
      <c r="I1896" s="915">
        <v>1014</v>
      </c>
      <c r="J1896" s="915">
        <v>1014</v>
      </c>
      <c r="K1896" s="1703" t="s">
        <v>2677</v>
      </c>
      <c r="L1896" s="1704" t="s">
        <v>182</v>
      </c>
      <c r="M1896" s="1319"/>
      <c r="N1896" s="640" t="s">
        <v>383</v>
      </c>
      <c r="O1896" s="640" t="s">
        <v>383</v>
      </c>
      <c r="P1896" s="640" t="s">
        <v>383</v>
      </c>
      <c r="Q1896" s="640" t="s">
        <v>383</v>
      </c>
    </row>
    <row r="1897" spans="1:17" ht="30" x14ac:dyDescent="0.25">
      <c r="A1897" s="1062"/>
      <c r="B1897" s="493"/>
      <c r="C1897" s="1049" t="s">
        <v>6</v>
      </c>
      <c r="D1897" s="1705"/>
      <c r="E1897" s="1706" t="s">
        <v>2678</v>
      </c>
      <c r="F1897" s="1220">
        <v>237.4</v>
      </c>
      <c r="G1897" s="1220">
        <v>237.4</v>
      </c>
      <c r="H1897" s="1707">
        <v>242.8</v>
      </c>
      <c r="I1897" s="1167">
        <v>238</v>
      </c>
      <c r="J1897" s="1167">
        <v>238</v>
      </c>
      <c r="K1897" s="1708" t="s">
        <v>2679</v>
      </c>
      <c r="L1897" s="1299" t="s">
        <v>189</v>
      </c>
      <c r="M1897" s="1709">
        <v>31</v>
      </c>
      <c r="N1897" s="454" t="s">
        <v>383</v>
      </c>
      <c r="O1897" s="454" t="s">
        <v>383</v>
      </c>
      <c r="P1897" s="454" t="s">
        <v>383</v>
      </c>
      <c r="Q1897" s="454" t="s">
        <v>383</v>
      </c>
    </row>
    <row r="1898" spans="1:17" ht="60" x14ac:dyDescent="0.25">
      <c r="A1898" s="1062"/>
      <c r="B1898" s="493"/>
      <c r="C1898" s="1049" t="s">
        <v>8</v>
      </c>
      <c r="D1898" s="1705"/>
      <c r="E1898" s="1706" t="s">
        <v>2680</v>
      </c>
      <c r="F1898" s="1220">
        <v>124.4</v>
      </c>
      <c r="G1898" s="1220">
        <v>124.4</v>
      </c>
      <c r="H1898" s="1707">
        <v>127.3</v>
      </c>
      <c r="I1898" s="1167">
        <v>132</v>
      </c>
      <c r="J1898" s="1167">
        <v>132</v>
      </c>
      <c r="K1898" s="1708" t="s">
        <v>2681</v>
      </c>
      <c r="L1898" s="1299" t="s">
        <v>189</v>
      </c>
      <c r="M1898" s="1709">
        <v>80</v>
      </c>
      <c r="N1898" s="454" t="s">
        <v>383</v>
      </c>
      <c r="O1898" s="454" t="s">
        <v>383</v>
      </c>
      <c r="P1898" s="454" t="s">
        <v>383</v>
      </c>
      <c r="Q1898" s="454" t="s">
        <v>383</v>
      </c>
    </row>
    <row r="1899" spans="1:17" ht="75" x14ac:dyDescent="0.25">
      <c r="A1899" s="1062"/>
      <c r="B1899" s="493"/>
      <c r="C1899" s="1049" t="s">
        <v>10</v>
      </c>
      <c r="D1899" s="1705"/>
      <c r="E1899" s="1710" t="s">
        <v>2682</v>
      </c>
      <c r="F1899" s="1220">
        <v>124.5</v>
      </c>
      <c r="G1899" s="1220">
        <v>124.5</v>
      </c>
      <c r="H1899" s="1707">
        <v>127.3</v>
      </c>
      <c r="I1899" s="1167">
        <v>131</v>
      </c>
      <c r="J1899" s="1167">
        <v>131</v>
      </c>
      <c r="K1899" s="1708" t="s">
        <v>2683</v>
      </c>
      <c r="L1899" s="1299" t="s">
        <v>182</v>
      </c>
      <c r="M1899" s="1711"/>
      <c r="N1899" s="454" t="s">
        <v>383</v>
      </c>
      <c r="O1899" s="454" t="s">
        <v>383</v>
      </c>
      <c r="P1899" s="454" t="s">
        <v>383</v>
      </c>
      <c r="Q1899" s="454" t="s">
        <v>383</v>
      </c>
    </row>
    <row r="1900" spans="1:17" ht="30" x14ac:dyDescent="0.25">
      <c r="A1900" s="1919"/>
      <c r="B1900" s="1920"/>
      <c r="C1900" s="1922" t="s">
        <v>12</v>
      </c>
      <c r="D1900" s="1923"/>
      <c r="E1900" s="1924" t="s">
        <v>2684</v>
      </c>
      <c r="F1900" s="1868">
        <v>373</v>
      </c>
      <c r="G1900" s="1868">
        <v>373</v>
      </c>
      <c r="H1900" s="1926">
        <v>381.6</v>
      </c>
      <c r="I1900" s="1928">
        <v>393</v>
      </c>
      <c r="J1900" s="1928">
        <v>393</v>
      </c>
      <c r="K1900" s="1708" t="s">
        <v>2685</v>
      </c>
      <c r="L1900" s="1299" t="s">
        <v>189</v>
      </c>
      <c r="M1900" s="1711">
        <v>910</v>
      </c>
      <c r="N1900" s="454" t="s">
        <v>383</v>
      </c>
      <c r="O1900" s="454" t="s">
        <v>383</v>
      </c>
      <c r="P1900" s="454" t="s">
        <v>383</v>
      </c>
      <c r="Q1900" s="454" t="s">
        <v>383</v>
      </c>
    </row>
    <row r="1901" spans="1:17" ht="30" x14ac:dyDescent="0.25">
      <c r="A1901" s="1919"/>
      <c r="B1901" s="1921"/>
      <c r="C1901" s="1922"/>
      <c r="D1901" s="1923"/>
      <c r="E1901" s="1925"/>
      <c r="F1901" s="1869"/>
      <c r="G1901" s="1869"/>
      <c r="H1901" s="1927"/>
      <c r="I1901" s="1929"/>
      <c r="J1901" s="1929"/>
      <c r="K1901" s="1708" t="s">
        <v>2686</v>
      </c>
      <c r="L1901" s="1299" t="s">
        <v>189</v>
      </c>
      <c r="M1901" s="1712">
        <v>82</v>
      </c>
      <c r="N1901" s="454" t="s">
        <v>383</v>
      </c>
      <c r="O1901" s="454" t="s">
        <v>383</v>
      </c>
      <c r="P1901" s="454" t="s">
        <v>383</v>
      </c>
      <c r="Q1901" s="454" t="s">
        <v>383</v>
      </c>
    </row>
    <row r="1902" spans="1:17" ht="45" x14ac:dyDescent="0.25">
      <c r="A1902" s="1062"/>
      <c r="B1902" s="493"/>
      <c r="C1902" s="1049" t="s">
        <v>14</v>
      </c>
      <c r="D1902" s="1705"/>
      <c r="E1902" s="1706" t="s">
        <v>2687</v>
      </c>
      <c r="F1902" s="1220">
        <v>113</v>
      </c>
      <c r="G1902" s="1220">
        <v>113</v>
      </c>
      <c r="H1902" s="1707">
        <v>115.6</v>
      </c>
      <c r="I1902" s="1167">
        <v>120</v>
      </c>
      <c r="J1902" s="1167">
        <v>120</v>
      </c>
      <c r="K1902" s="1708" t="s">
        <v>2688</v>
      </c>
      <c r="L1902" s="1299" t="s">
        <v>182</v>
      </c>
      <c r="M1902" s="1281">
        <v>1</v>
      </c>
      <c r="N1902" s="454" t="s">
        <v>383</v>
      </c>
      <c r="O1902" s="454" t="s">
        <v>383</v>
      </c>
      <c r="P1902" s="454" t="s">
        <v>383</v>
      </c>
      <c r="Q1902" s="454" t="s">
        <v>383</v>
      </c>
    </row>
    <row r="1903" spans="1:17" ht="51.75" customHeight="1" x14ac:dyDescent="0.25">
      <c r="A1903" s="1823" t="s">
        <v>2689</v>
      </c>
      <c r="B1903" s="1823"/>
      <c r="C1903" s="1824"/>
      <c r="D1903" s="1824"/>
      <c r="E1903" s="1825"/>
      <c r="F1903" s="46">
        <v>12465.099999999999</v>
      </c>
      <c r="G1903" s="46">
        <v>12467.8</v>
      </c>
      <c r="H1903" s="46">
        <f>H1887+H1896</f>
        <v>13282.800000000001</v>
      </c>
      <c r="I1903" s="46">
        <v>12632.32</v>
      </c>
      <c r="J1903" s="46">
        <v>12799.42</v>
      </c>
      <c r="K1903" s="16"/>
      <c r="L1903" s="958"/>
      <c r="M1903" s="958"/>
      <c r="N1903" s="958"/>
      <c r="O1903" s="958"/>
      <c r="P1903" s="958"/>
      <c r="Q1903" s="958"/>
    </row>
    <row r="1904" spans="1:17" x14ac:dyDescent="0.25">
      <c r="A1904" s="1826" t="s">
        <v>2690</v>
      </c>
      <c r="B1904" s="1827"/>
      <c r="C1904" s="1827"/>
      <c r="D1904" s="1827"/>
      <c r="E1904" s="1827"/>
      <c r="F1904" s="1827"/>
      <c r="G1904" s="1827"/>
      <c r="H1904" s="1827"/>
      <c r="I1904" s="1827"/>
      <c r="J1904" s="1827"/>
      <c r="K1904" s="1827"/>
      <c r="L1904" s="1827"/>
      <c r="M1904" s="1827"/>
      <c r="N1904" s="1827"/>
      <c r="O1904" s="1827"/>
      <c r="P1904" s="1827"/>
      <c r="Q1904" s="1828"/>
    </row>
    <row r="1905" spans="1:17" ht="65.25" customHeight="1" x14ac:dyDescent="0.25">
      <c r="A1905" s="906">
        <v>83</v>
      </c>
      <c r="B1905" s="1129">
        <v>1</v>
      </c>
      <c r="C1905" s="65"/>
      <c r="D1905" s="1713"/>
      <c r="E1905" s="1714" t="s">
        <v>2691</v>
      </c>
      <c r="F1905" s="794">
        <v>11602.6</v>
      </c>
      <c r="G1905" s="794">
        <v>15099.000000000002</v>
      </c>
      <c r="H1905" s="794">
        <f>SUM(H1906:H1915)</f>
        <v>18333.467000000001</v>
      </c>
      <c r="I1905" s="794">
        <v>15299</v>
      </c>
      <c r="J1905" s="794">
        <v>15501</v>
      </c>
      <c r="K1905" s="914"/>
      <c r="L1905" s="1002"/>
      <c r="M1905" s="949"/>
      <c r="N1905" s="949"/>
      <c r="O1905" s="949"/>
      <c r="P1905" s="949"/>
      <c r="Q1905" s="949"/>
    </row>
    <row r="1906" spans="1:17" x14ac:dyDescent="0.25">
      <c r="A1906" s="948"/>
      <c r="B1906" s="753"/>
      <c r="C1906" s="912" t="s">
        <v>6</v>
      </c>
      <c r="D1906" s="912"/>
      <c r="E1906" s="692" t="s">
        <v>7</v>
      </c>
      <c r="F1906" s="1017">
        <v>2125.9</v>
      </c>
      <c r="G1906" s="1017">
        <v>2969.5</v>
      </c>
      <c r="H1906" s="1017">
        <v>3845.134</v>
      </c>
      <c r="I1906" s="1017">
        <v>3008</v>
      </c>
      <c r="J1906" s="1017">
        <v>3048</v>
      </c>
      <c r="K1906" s="692" t="s">
        <v>2692</v>
      </c>
      <c r="L1906" s="1002" t="s">
        <v>182</v>
      </c>
      <c r="M1906" s="1002">
        <v>100</v>
      </c>
      <c r="N1906" s="1002">
        <v>100</v>
      </c>
      <c r="O1906" s="1002">
        <v>100</v>
      </c>
      <c r="P1906" s="1002">
        <v>100</v>
      </c>
      <c r="Q1906" s="1002">
        <v>100</v>
      </c>
    </row>
    <row r="1907" spans="1:17" x14ac:dyDescent="0.25">
      <c r="A1907" s="1829"/>
      <c r="B1907" s="1320"/>
      <c r="C1907" s="1831" t="s">
        <v>8</v>
      </c>
      <c r="D1907" s="1831"/>
      <c r="E1907" s="1833" t="s">
        <v>9</v>
      </c>
      <c r="F1907" s="1835"/>
      <c r="G1907" s="1835">
        <v>1894.3</v>
      </c>
      <c r="H1907" s="1835">
        <v>2412.0500000000002</v>
      </c>
      <c r="I1907" s="1835">
        <v>1920</v>
      </c>
      <c r="J1907" s="1835">
        <v>1945</v>
      </c>
      <c r="K1907" s="692" t="s">
        <v>185</v>
      </c>
      <c r="L1907" s="1002" t="s">
        <v>182</v>
      </c>
      <c r="M1907" s="1002">
        <v>100</v>
      </c>
      <c r="N1907" s="1002">
        <v>100</v>
      </c>
      <c r="O1907" s="1002">
        <v>100</v>
      </c>
      <c r="P1907" s="1002">
        <v>100</v>
      </c>
      <c r="Q1907" s="1002">
        <v>100</v>
      </c>
    </row>
    <row r="1908" spans="1:17" ht="45" x14ac:dyDescent="0.25">
      <c r="A1908" s="1830"/>
      <c r="B1908" s="497"/>
      <c r="C1908" s="1832"/>
      <c r="D1908" s="1832"/>
      <c r="E1908" s="1834"/>
      <c r="F1908" s="1836"/>
      <c r="G1908" s="1836"/>
      <c r="H1908" s="1836"/>
      <c r="I1908" s="1836"/>
      <c r="J1908" s="1836"/>
      <c r="K1908" s="692" t="s">
        <v>2693</v>
      </c>
      <c r="L1908" s="1002" t="s">
        <v>189</v>
      </c>
      <c r="M1908" s="1002">
        <v>45</v>
      </c>
      <c r="N1908" s="1002">
        <v>27</v>
      </c>
      <c r="O1908" s="1002">
        <v>27</v>
      </c>
      <c r="P1908" s="1002">
        <v>27</v>
      </c>
      <c r="Q1908" s="1002">
        <v>27</v>
      </c>
    </row>
    <row r="1909" spans="1:17" ht="30" x14ac:dyDescent="0.25">
      <c r="A1909" s="948"/>
      <c r="B1909" s="753"/>
      <c r="C1909" s="912" t="s">
        <v>10</v>
      </c>
      <c r="D1909" s="912"/>
      <c r="E1909" s="692" t="s">
        <v>11</v>
      </c>
      <c r="F1909" s="1017">
        <v>7334.7</v>
      </c>
      <c r="G1909" s="1017">
        <v>2419.3000000000002</v>
      </c>
      <c r="H1909" s="1017">
        <v>2940.8</v>
      </c>
      <c r="I1909" s="1017">
        <v>2451</v>
      </c>
      <c r="J1909" s="1017">
        <v>2483</v>
      </c>
      <c r="K1909" s="692" t="s">
        <v>2694</v>
      </c>
      <c r="L1909" s="1002" t="s">
        <v>189</v>
      </c>
      <c r="M1909" s="34">
        <v>41</v>
      </c>
      <c r="N1909" s="34">
        <v>41</v>
      </c>
      <c r="O1909" s="34">
        <v>30</v>
      </c>
      <c r="P1909" s="34">
        <v>30</v>
      </c>
      <c r="Q1909" s="34">
        <v>30</v>
      </c>
    </row>
    <row r="1910" spans="1:17" ht="30" x14ac:dyDescent="0.25">
      <c r="A1910" s="948"/>
      <c r="B1910" s="1138"/>
      <c r="C1910" s="904" t="s">
        <v>12</v>
      </c>
      <c r="D1910" s="904"/>
      <c r="E1910" s="692" t="s">
        <v>13</v>
      </c>
      <c r="F1910" s="1017">
        <v>2142</v>
      </c>
      <c r="G1910" s="1017">
        <v>1869.1</v>
      </c>
      <c r="H1910" s="1017">
        <v>2157.75</v>
      </c>
      <c r="I1910" s="1017">
        <v>1895</v>
      </c>
      <c r="J1910" s="1017">
        <v>1920</v>
      </c>
      <c r="K1910" s="692" t="s">
        <v>2695</v>
      </c>
      <c r="L1910" s="949" t="s">
        <v>189</v>
      </c>
      <c r="M1910" s="1002">
        <v>6</v>
      </c>
      <c r="N1910" s="48">
        <v>4</v>
      </c>
      <c r="O1910" s="48">
        <v>4</v>
      </c>
      <c r="P1910" s="48">
        <v>4</v>
      </c>
      <c r="Q1910" s="48">
        <v>4</v>
      </c>
    </row>
    <row r="1911" spans="1:17" ht="30" x14ac:dyDescent="0.25">
      <c r="A1911" s="960"/>
      <c r="B1911" s="1138"/>
      <c r="C1911" s="904" t="s">
        <v>14</v>
      </c>
      <c r="D1911" s="904"/>
      <c r="E1911" s="515" t="s">
        <v>15</v>
      </c>
      <c r="F1911" s="1017"/>
      <c r="G1911" s="1017">
        <v>414.4</v>
      </c>
      <c r="H1911" s="977">
        <v>554.40800000000002</v>
      </c>
      <c r="I1911" s="977">
        <v>420</v>
      </c>
      <c r="J1911" s="977">
        <v>426</v>
      </c>
      <c r="K1911" s="692" t="s">
        <v>2260</v>
      </c>
      <c r="L1911" s="1002" t="s">
        <v>182</v>
      </c>
      <c r="M1911" s="1002">
        <v>100</v>
      </c>
      <c r="N1911" s="1002">
        <v>100</v>
      </c>
      <c r="O1911" s="1002">
        <v>100</v>
      </c>
      <c r="P1911" s="1002">
        <v>100</v>
      </c>
      <c r="Q1911" s="1002">
        <v>100</v>
      </c>
    </row>
    <row r="1912" spans="1:17" ht="30" x14ac:dyDescent="0.25">
      <c r="A1912" s="948"/>
      <c r="B1912" s="1138"/>
      <c r="C1912" s="904" t="s">
        <v>16</v>
      </c>
      <c r="D1912" s="904"/>
      <c r="E1912" s="692" t="s">
        <v>17</v>
      </c>
      <c r="F1912" s="1017"/>
      <c r="G1912" s="1017">
        <v>2275.1999999999998</v>
      </c>
      <c r="H1912" s="1017">
        <v>2545.0500000000002</v>
      </c>
      <c r="I1912" s="1017">
        <v>2305</v>
      </c>
      <c r="J1912" s="1017">
        <v>2336</v>
      </c>
      <c r="K1912" s="692" t="s">
        <v>2696</v>
      </c>
      <c r="L1912" s="949" t="s">
        <v>182</v>
      </c>
      <c r="M1912" s="1002">
        <v>20</v>
      </c>
      <c r="N1912" s="1002">
        <v>20</v>
      </c>
      <c r="O1912" s="1002">
        <v>20</v>
      </c>
      <c r="P1912" s="1002">
        <v>20</v>
      </c>
      <c r="Q1912" s="1002">
        <v>20</v>
      </c>
    </row>
    <row r="1913" spans="1:17" ht="30" x14ac:dyDescent="0.25">
      <c r="A1913" s="1829"/>
      <c r="B1913" s="1320"/>
      <c r="C1913" s="1831" t="s">
        <v>48</v>
      </c>
      <c r="D1913" s="1831"/>
      <c r="E1913" s="1833" t="s">
        <v>66</v>
      </c>
      <c r="F1913" s="1835"/>
      <c r="G1913" s="1835">
        <v>3257.2</v>
      </c>
      <c r="H1913" s="1835">
        <v>3878.2750000000001</v>
      </c>
      <c r="I1913" s="1835">
        <v>3300</v>
      </c>
      <c r="J1913" s="1835">
        <v>3343</v>
      </c>
      <c r="K1913" s="692" t="s">
        <v>2697</v>
      </c>
      <c r="L1913" s="1002" t="s">
        <v>189</v>
      </c>
      <c r="M1913" s="34">
        <v>6</v>
      </c>
      <c r="N1913" s="34">
        <v>6</v>
      </c>
      <c r="O1913" s="34">
        <v>6</v>
      </c>
      <c r="P1913" s="34">
        <v>6</v>
      </c>
      <c r="Q1913" s="34">
        <v>6</v>
      </c>
    </row>
    <row r="1914" spans="1:17" x14ac:dyDescent="0.25">
      <c r="A1914" s="1837"/>
      <c r="B1914" s="1321"/>
      <c r="C1914" s="1838"/>
      <c r="D1914" s="1838"/>
      <c r="E1914" s="1839"/>
      <c r="F1914" s="1911"/>
      <c r="G1914" s="1911"/>
      <c r="H1914" s="1911"/>
      <c r="I1914" s="1911"/>
      <c r="J1914" s="1911"/>
      <c r="K1914" s="692" t="s">
        <v>2698</v>
      </c>
      <c r="L1914" s="1002" t="s">
        <v>189</v>
      </c>
      <c r="M1914" s="1002">
        <v>2</v>
      </c>
      <c r="N1914" s="1002">
        <v>2</v>
      </c>
      <c r="O1914" s="1002">
        <v>2</v>
      </c>
      <c r="P1914" s="1002">
        <v>2</v>
      </c>
      <c r="Q1914" s="1002">
        <v>2</v>
      </c>
    </row>
    <row r="1915" spans="1:17" ht="45" x14ac:dyDescent="0.25">
      <c r="A1915" s="1830"/>
      <c r="B1915" s="497"/>
      <c r="C1915" s="1832"/>
      <c r="D1915" s="1832"/>
      <c r="E1915" s="1834"/>
      <c r="F1915" s="1836"/>
      <c r="G1915" s="1836"/>
      <c r="H1915" s="1836"/>
      <c r="I1915" s="1836"/>
      <c r="J1915" s="1836"/>
      <c r="K1915" s="692" t="s">
        <v>2470</v>
      </c>
      <c r="L1915" s="1002" t="s">
        <v>182</v>
      </c>
      <c r="M1915" s="1002">
        <v>100</v>
      </c>
      <c r="N1915" s="1002">
        <v>100</v>
      </c>
      <c r="O1915" s="1002">
        <v>100</v>
      </c>
      <c r="P1915" s="1002">
        <v>100</v>
      </c>
      <c r="Q1915" s="1002">
        <v>100</v>
      </c>
    </row>
    <row r="1916" spans="1:17" ht="89.25" x14ac:dyDescent="0.25">
      <c r="A1916" s="906">
        <v>83</v>
      </c>
      <c r="B1916" s="1129">
        <v>2</v>
      </c>
      <c r="C1916" s="1015"/>
      <c r="D1916" s="1715"/>
      <c r="E1916" s="1716" t="s">
        <v>2699</v>
      </c>
      <c r="F1916" s="794">
        <v>8286.1</v>
      </c>
      <c r="G1916" s="794">
        <v>5580.2</v>
      </c>
      <c r="H1916" s="794">
        <f>SUM(H1917:H1921)</f>
        <v>8478.5</v>
      </c>
      <c r="I1916" s="794">
        <v>5653</v>
      </c>
      <c r="J1916" s="794">
        <v>5728.2</v>
      </c>
      <c r="K1916" s="1002"/>
      <c r="L1916" s="963"/>
      <c r="M1916" s="1002"/>
      <c r="N1916" s="1003"/>
      <c r="O1916" s="1003"/>
      <c r="P1916" s="1003"/>
      <c r="Q1916" s="1003"/>
    </row>
    <row r="1917" spans="1:17" x14ac:dyDescent="0.25">
      <c r="A1917" s="1898"/>
      <c r="B1917" s="1514"/>
      <c r="C1917" s="1899" t="s">
        <v>6</v>
      </c>
      <c r="D1917" s="1899"/>
      <c r="E1917" s="1902" t="s">
        <v>2700</v>
      </c>
      <c r="F1917" s="1903">
        <v>5525.8</v>
      </c>
      <c r="G1917" s="1903">
        <v>2717.3</v>
      </c>
      <c r="H1917" s="1906">
        <v>3542.4</v>
      </c>
      <c r="I1917" s="1903">
        <v>2753</v>
      </c>
      <c r="J1917" s="1906">
        <v>2790</v>
      </c>
      <c r="K1917" s="692" t="s">
        <v>2701</v>
      </c>
      <c r="L1917" s="1002" t="s">
        <v>222</v>
      </c>
      <c r="M1917" s="1002">
        <v>51</v>
      </c>
      <c r="N1917" s="1002">
        <v>80</v>
      </c>
      <c r="O1917" s="1002">
        <v>90</v>
      </c>
      <c r="P1917" s="1002">
        <v>90</v>
      </c>
      <c r="Q1917" s="1002">
        <v>90</v>
      </c>
    </row>
    <row r="1918" spans="1:17" x14ac:dyDescent="0.25">
      <c r="A1918" s="1898"/>
      <c r="B1918" s="489"/>
      <c r="C1918" s="1900"/>
      <c r="D1918" s="1900"/>
      <c r="E1918" s="1902"/>
      <c r="F1918" s="1904"/>
      <c r="G1918" s="1904"/>
      <c r="H1918" s="1906"/>
      <c r="I1918" s="1904"/>
      <c r="J1918" s="1906"/>
      <c r="K1918" s="1693" t="s">
        <v>2702</v>
      </c>
      <c r="L1918" s="897" t="s">
        <v>222</v>
      </c>
      <c r="M1918" s="897">
        <v>33</v>
      </c>
      <c r="N1918" s="897">
        <v>40</v>
      </c>
      <c r="O1918" s="897">
        <v>40</v>
      </c>
      <c r="P1918" s="897">
        <v>40</v>
      </c>
      <c r="Q1918" s="897">
        <v>40</v>
      </c>
    </row>
    <row r="1919" spans="1:17" x14ac:dyDescent="0.25">
      <c r="A1919" s="1898"/>
      <c r="B1919" s="980"/>
      <c r="C1919" s="1901"/>
      <c r="D1919" s="1901"/>
      <c r="E1919" s="1902"/>
      <c r="F1919" s="1905"/>
      <c r="G1919" s="1905"/>
      <c r="H1919" s="1906"/>
      <c r="I1919" s="1905"/>
      <c r="J1919" s="1906"/>
      <c r="K1919" s="1693" t="s">
        <v>2703</v>
      </c>
      <c r="L1919" s="897" t="s">
        <v>222</v>
      </c>
      <c r="M1919" s="897">
        <v>8</v>
      </c>
      <c r="N1919" s="897">
        <v>2</v>
      </c>
      <c r="O1919" s="897">
        <v>2</v>
      </c>
      <c r="P1919" s="897">
        <v>2</v>
      </c>
      <c r="Q1919" s="897">
        <v>2</v>
      </c>
    </row>
    <row r="1920" spans="1:17" x14ac:dyDescent="0.25">
      <c r="A1920" s="975"/>
      <c r="B1920" s="503"/>
      <c r="C1920" s="1012" t="s">
        <v>8</v>
      </c>
      <c r="D1920" s="1012"/>
      <c r="E1920" s="1564" t="s">
        <v>2704</v>
      </c>
      <c r="F1920" s="895">
        <v>1370.3</v>
      </c>
      <c r="G1920" s="895">
        <v>1076.0999999999999</v>
      </c>
      <c r="H1920" s="895">
        <v>2679.1</v>
      </c>
      <c r="I1920" s="895">
        <v>1090</v>
      </c>
      <c r="J1920" s="895">
        <v>1105</v>
      </c>
      <c r="K1920" s="1693" t="s">
        <v>2705</v>
      </c>
      <c r="L1920" s="897" t="s">
        <v>222</v>
      </c>
      <c r="M1920" s="897">
        <v>4</v>
      </c>
      <c r="N1920" s="897">
        <v>100</v>
      </c>
      <c r="O1920" s="897">
        <v>30</v>
      </c>
      <c r="P1920" s="897">
        <v>30</v>
      </c>
      <c r="Q1920" s="897">
        <v>20</v>
      </c>
    </row>
    <row r="1921" spans="1:17" ht="30" x14ac:dyDescent="0.25">
      <c r="A1921" s="975"/>
      <c r="B1921" s="503"/>
      <c r="C1921" s="1012" t="s">
        <v>10</v>
      </c>
      <c r="D1921" s="1012"/>
      <c r="E1921" s="1693" t="s">
        <v>2706</v>
      </c>
      <c r="F1921" s="895">
        <v>1390</v>
      </c>
      <c r="G1921" s="895">
        <v>1786.8</v>
      </c>
      <c r="H1921" s="895">
        <v>2257</v>
      </c>
      <c r="I1921" s="895">
        <v>1810</v>
      </c>
      <c r="J1921" s="895">
        <v>1833.2</v>
      </c>
      <c r="K1921" s="1693" t="s">
        <v>2707</v>
      </c>
      <c r="L1921" s="897" t="s">
        <v>222</v>
      </c>
      <c r="M1921" s="897">
        <v>38</v>
      </c>
      <c r="N1921" s="897">
        <v>32</v>
      </c>
      <c r="O1921" s="897">
        <v>32</v>
      </c>
      <c r="P1921" s="897">
        <v>32</v>
      </c>
      <c r="Q1921" s="897">
        <v>32</v>
      </c>
    </row>
    <row r="1922" spans="1:17" ht="43.5" customHeight="1" x14ac:dyDescent="0.25">
      <c r="A1922" s="1823" t="s">
        <v>2708</v>
      </c>
      <c r="B1922" s="1823"/>
      <c r="C1922" s="1824"/>
      <c r="D1922" s="1824"/>
      <c r="E1922" s="1825"/>
      <c r="F1922" s="1127">
        <v>19888.7</v>
      </c>
      <c r="G1922" s="1127">
        <v>20679.2</v>
      </c>
      <c r="H1922" s="1127">
        <f>H1905+H1916</f>
        <v>26811.967000000001</v>
      </c>
      <c r="I1922" s="1127">
        <v>20952</v>
      </c>
      <c r="J1922" s="1127">
        <v>21229.200000000001</v>
      </c>
      <c r="K1922" s="16"/>
      <c r="L1922" s="958"/>
      <c r="M1922" s="958"/>
      <c r="N1922" s="958"/>
      <c r="O1922" s="958"/>
      <c r="P1922" s="958"/>
      <c r="Q1922" s="958"/>
    </row>
    <row r="1923" spans="1:17" x14ac:dyDescent="0.25">
      <c r="A1923" s="1826" t="s">
        <v>2709</v>
      </c>
      <c r="B1923" s="1827"/>
      <c r="C1923" s="1827"/>
      <c r="D1923" s="1827"/>
      <c r="E1923" s="1827"/>
      <c r="F1923" s="1827"/>
      <c r="G1923" s="1827"/>
      <c r="H1923" s="1827"/>
      <c r="I1923" s="1827"/>
      <c r="J1923" s="1827"/>
      <c r="K1923" s="1827"/>
      <c r="L1923" s="1827"/>
      <c r="M1923" s="1827"/>
      <c r="N1923" s="1827"/>
      <c r="O1923" s="1827"/>
      <c r="P1923" s="1827"/>
      <c r="Q1923" s="1828"/>
    </row>
    <row r="1924" spans="1:17" x14ac:dyDescent="0.25">
      <c r="A1924" s="906">
        <v>84</v>
      </c>
      <c r="B1924" s="1047">
        <v>2</v>
      </c>
      <c r="C1924" s="912"/>
      <c r="D1924" s="53"/>
      <c r="E1924" s="1009" t="s">
        <v>2710</v>
      </c>
      <c r="F1924" s="1479">
        <v>0</v>
      </c>
      <c r="G1924" s="1479">
        <v>481.3</v>
      </c>
      <c r="H1924" s="1479">
        <v>481.3</v>
      </c>
      <c r="I1924" s="1479">
        <v>487.6</v>
      </c>
      <c r="J1924" s="1479">
        <v>494.1</v>
      </c>
      <c r="K1924" s="647"/>
      <c r="L1924" s="640"/>
      <c r="M1924" s="640"/>
      <c r="N1924" s="640"/>
      <c r="O1924" s="640"/>
      <c r="P1924" s="640"/>
      <c r="Q1924" s="640"/>
    </row>
    <row r="1925" spans="1:17" ht="45" x14ac:dyDescent="0.25">
      <c r="A1925" s="948"/>
      <c r="B1925" s="753"/>
      <c r="C1925" s="912" t="s">
        <v>6</v>
      </c>
      <c r="D1925" s="13"/>
      <c r="E1925" s="1000" t="s">
        <v>2711</v>
      </c>
      <c r="F1925" s="1479"/>
      <c r="G1925" s="1060">
        <v>481.3</v>
      </c>
      <c r="H1925" s="1059">
        <v>481.3</v>
      </c>
      <c r="I1925" s="1059">
        <v>487.6</v>
      </c>
      <c r="J1925" s="1059">
        <v>494.1</v>
      </c>
      <c r="K1925" s="914" t="s">
        <v>2712</v>
      </c>
      <c r="L1925" s="1002" t="s">
        <v>182</v>
      </c>
      <c r="M1925" s="640">
        <v>100</v>
      </c>
      <c r="N1925" s="640">
        <v>100</v>
      </c>
      <c r="O1925" s="640">
        <v>100</v>
      </c>
      <c r="P1925" s="640">
        <v>100</v>
      </c>
      <c r="Q1925" s="640">
        <v>100</v>
      </c>
    </row>
    <row r="1926" spans="1:17" x14ac:dyDescent="0.25">
      <c r="A1926" s="1876" t="s">
        <v>2713</v>
      </c>
      <c r="B1926" s="1876"/>
      <c r="C1926" s="1876"/>
      <c r="D1926" s="1876"/>
      <c r="E1926" s="1877"/>
      <c r="F1926" s="46">
        <v>0</v>
      </c>
      <c r="G1926" s="46">
        <v>481.3</v>
      </c>
      <c r="H1926" s="46">
        <v>481.3</v>
      </c>
      <c r="I1926" s="46">
        <v>487.6</v>
      </c>
      <c r="J1926" s="46">
        <v>494.1</v>
      </c>
      <c r="K1926" s="16"/>
      <c r="L1926" s="958"/>
      <c r="M1926" s="958"/>
      <c r="N1926" s="958"/>
      <c r="O1926" s="958"/>
      <c r="P1926" s="958"/>
      <c r="Q1926" s="958"/>
    </row>
    <row r="1927" spans="1:17" x14ac:dyDescent="0.25">
      <c r="A1927" s="1826" t="s">
        <v>2714</v>
      </c>
      <c r="B1927" s="1827"/>
      <c r="C1927" s="1827"/>
      <c r="D1927" s="1827"/>
      <c r="E1927" s="1827"/>
      <c r="F1927" s="1827"/>
      <c r="G1927" s="1827"/>
      <c r="H1927" s="1827"/>
      <c r="I1927" s="1827"/>
      <c r="J1927" s="1827"/>
      <c r="K1927" s="1827"/>
      <c r="L1927" s="1827"/>
      <c r="M1927" s="1827"/>
      <c r="N1927" s="1827"/>
      <c r="O1927" s="1827"/>
      <c r="P1927" s="1827"/>
      <c r="Q1927" s="1828"/>
    </row>
    <row r="1928" spans="1:17" x14ac:dyDescent="0.25">
      <c r="A1928" s="1826" t="s">
        <v>2715</v>
      </c>
      <c r="B1928" s="1827"/>
      <c r="C1928" s="1827"/>
      <c r="D1928" s="1827"/>
      <c r="E1928" s="1827"/>
      <c r="F1928" s="1827"/>
      <c r="G1928" s="1827"/>
      <c r="H1928" s="1827"/>
      <c r="I1928" s="1827"/>
      <c r="J1928" s="1827"/>
      <c r="K1928" s="1827"/>
      <c r="L1928" s="1827"/>
      <c r="M1928" s="1827"/>
      <c r="N1928" s="1827"/>
      <c r="O1928" s="1827"/>
      <c r="P1928" s="1827"/>
      <c r="Q1928" s="1828"/>
    </row>
    <row r="1929" spans="1:17" ht="73.5" x14ac:dyDescent="0.25">
      <c r="A1929" s="906">
        <v>85</v>
      </c>
      <c r="B1929" s="1047">
        <v>1</v>
      </c>
      <c r="C1929" s="912"/>
      <c r="D1929" s="31"/>
      <c r="E1929" s="1009" t="s">
        <v>810</v>
      </c>
      <c r="F1929" s="915">
        <v>17467.099999999999</v>
      </c>
      <c r="G1929" s="915">
        <v>21431.5</v>
      </c>
      <c r="H1929" s="915">
        <f>SUM(H1930:H1935)</f>
        <v>15744.5</v>
      </c>
      <c r="I1929" s="915">
        <v>16244.4</v>
      </c>
      <c r="J1929" s="915">
        <v>16244.4</v>
      </c>
      <c r="K1929" s="647" t="s">
        <v>181</v>
      </c>
      <c r="L1929" s="640" t="s">
        <v>182</v>
      </c>
      <c r="M1929" s="1011">
        <v>10.5</v>
      </c>
      <c r="N1929" s="1011">
        <v>10.9</v>
      </c>
      <c r="O1929" s="1011">
        <v>10.199999999999999</v>
      </c>
      <c r="P1929" s="1717">
        <v>10.199999999999999</v>
      </c>
      <c r="Q1929" s="1011">
        <v>10.199999999999999</v>
      </c>
    </row>
    <row r="1930" spans="1:17" x14ac:dyDescent="0.25">
      <c r="A1930" s="906"/>
      <c r="B1930" s="1047"/>
      <c r="C1930" s="912" t="s">
        <v>6</v>
      </c>
      <c r="D1930" s="1003"/>
      <c r="E1930" s="667" t="s">
        <v>7</v>
      </c>
      <c r="F1930" s="1003">
        <v>5040.3999999999996</v>
      </c>
      <c r="G1930" s="1003">
        <v>3666.7</v>
      </c>
      <c r="H1930" s="961">
        <v>5558.6</v>
      </c>
      <c r="I1930" s="928">
        <v>5858.6</v>
      </c>
      <c r="J1930" s="928">
        <v>5858.6</v>
      </c>
      <c r="K1930" s="914" t="s">
        <v>183</v>
      </c>
      <c r="L1930" s="1002" t="s">
        <v>1545</v>
      </c>
      <c r="M1930" s="640">
        <v>75</v>
      </c>
      <c r="N1930" s="640">
        <v>75</v>
      </c>
      <c r="O1930" s="640">
        <v>76</v>
      </c>
      <c r="P1930" s="1307">
        <v>76</v>
      </c>
      <c r="Q1930" s="640">
        <v>76</v>
      </c>
    </row>
    <row r="1931" spans="1:17" x14ac:dyDescent="0.25">
      <c r="A1931" s="906"/>
      <c r="B1931" s="1047"/>
      <c r="C1931" s="912" t="s">
        <v>8</v>
      </c>
      <c r="D1931" s="1003"/>
      <c r="E1931" s="667" t="s">
        <v>9</v>
      </c>
      <c r="F1931" s="1003">
        <v>5621.2</v>
      </c>
      <c r="G1931" s="1003">
        <v>7704.6</v>
      </c>
      <c r="H1931" s="961">
        <v>4948.2</v>
      </c>
      <c r="I1931" s="928">
        <v>5098.2</v>
      </c>
      <c r="J1931" s="928">
        <v>5098.2</v>
      </c>
      <c r="K1931" s="914" t="s">
        <v>185</v>
      </c>
      <c r="L1931" s="1002" t="s">
        <v>182</v>
      </c>
      <c r="M1931" s="640">
        <v>99.7</v>
      </c>
      <c r="N1931" s="640">
        <v>99.8</v>
      </c>
      <c r="O1931" s="640">
        <v>100</v>
      </c>
      <c r="P1931" s="1307">
        <v>100</v>
      </c>
      <c r="Q1931" s="640">
        <v>100</v>
      </c>
    </row>
    <row r="1932" spans="1:17" ht="30" x14ac:dyDescent="0.25">
      <c r="A1932" s="906"/>
      <c r="B1932" s="1047"/>
      <c r="C1932" s="912" t="s">
        <v>10</v>
      </c>
      <c r="D1932" s="1003"/>
      <c r="E1932" s="667" t="s">
        <v>11</v>
      </c>
      <c r="F1932" s="1003">
        <v>1359.8</v>
      </c>
      <c r="G1932" s="1003">
        <v>1558.9</v>
      </c>
      <c r="H1932" s="961">
        <v>1548</v>
      </c>
      <c r="I1932" s="928">
        <v>1548</v>
      </c>
      <c r="J1932" s="928">
        <v>1548</v>
      </c>
      <c r="K1932" s="914" t="s">
        <v>186</v>
      </c>
      <c r="L1932" s="1002" t="s">
        <v>182</v>
      </c>
      <c r="M1932" s="640">
        <v>80</v>
      </c>
      <c r="N1932" s="27" t="s">
        <v>2716</v>
      </c>
      <c r="O1932" s="640">
        <v>100</v>
      </c>
      <c r="P1932" s="1307">
        <v>100</v>
      </c>
      <c r="Q1932" s="640">
        <v>100</v>
      </c>
    </row>
    <row r="1933" spans="1:17" ht="30" x14ac:dyDescent="0.25">
      <c r="A1933" s="902"/>
      <c r="B1933" s="1257"/>
      <c r="C1933" s="436" t="s">
        <v>12</v>
      </c>
      <c r="D1933" s="939"/>
      <c r="E1933" s="667" t="s">
        <v>13</v>
      </c>
      <c r="F1933" s="1003">
        <v>858.2</v>
      </c>
      <c r="G1933" s="1003">
        <v>1340</v>
      </c>
      <c r="H1933" s="961">
        <v>512.20000000000005</v>
      </c>
      <c r="I1933" s="928">
        <v>512.20000000000005</v>
      </c>
      <c r="J1933" s="928">
        <v>512.20000000000005</v>
      </c>
      <c r="K1933" s="914" t="s">
        <v>187</v>
      </c>
      <c r="L1933" s="1002" t="s">
        <v>258</v>
      </c>
      <c r="M1933" s="27" t="s">
        <v>2717</v>
      </c>
      <c r="N1933" s="27" t="s">
        <v>2718</v>
      </c>
      <c r="O1933" s="27" t="s">
        <v>2719</v>
      </c>
      <c r="P1933" s="27" t="s">
        <v>2720</v>
      </c>
      <c r="Q1933" s="27" t="s">
        <v>2721</v>
      </c>
    </row>
    <row r="1934" spans="1:17" ht="30" x14ac:dyDescent="0.25">
      <c r="A1934" s="902"/>
      <c r="B1934" s="1257"/>
      <c r="C1934" s="436" t="s">
        <v>14</v>
      </c>
      <c r="D1934" s="939"/>
      <c r="E1934" s="667" t="s">
        <v>15</v>
      </c>
      <c r="F1934" s="1003">
        <v>2384</v>
      </c>
      <c r="G1934" s="1003">
        <v>5050.8</v>
      </c>
      <c r="H1934" s="961">
        <v>1293.4000000000001</v>
      </c>
      <c r="I1934" s="928">
        <v>1343.4</v>
      </c>
      <c r="J1934" s="928">
        <v>1343.4</v>
      </c>
      <c r="K1934" s="914" t="s">
        <v>188</v>
      </c>
      <c r="L1934" s="1002" t="s">
        <v>189</v>
      </c>
      <c r="M1934" s="640">
        <v>500</v>
      </c>
      <c r="N1934" s="640">
        <v>700</v>
      </c>
      <c r="O1934" s="640">
        <v>800</v>
      </c>
      <c r="P1934" s="1307">
        <v>800</v>
      </c>
      <c r="Q1934" s="640">
        <v>800</v>
      </c>
    </row>
    <row r="1935" spans="1:17" ht="30" x14ac:dyDescent="0.25">
      <c r="A1935" s="902"/>
      <c r="B1935" s="1129"/>
      <c r="C1935" s="912" t="s">
        <v>16</v>
      </c>
      <c r="D1935" s="939"/>
      <c r="E1935" s="978" t="s">
        <v>17</v>
      </c>
      <c r="F1935" s="1003">
        <v>2203.5</v>
      </c>
      <c r="G1935" s="1003">
        <v>2110.5</v>
      </c>
      <c r="H1935" s="961">
        <v>1884.1</v>
      </c>
      <c r="I1935" s="928">
        <v>1884</v>
      </c>
      <c r="J1935" s="928">
        <v>1884</v>
      </c>
      <c r="K1935" s="916" t="s">
        <v>190</v>
      </c>
      <c r="L1935" s="949" t="s">
        <v>182</v>
      </c>
      <c r="M1935" s="1010">
        <v>1.7</v>
      </c>
      <c r="N1935" s="1010">
        <v>1.7</v>
      </c>
      <c r="O1935" s="1010">
        <v>1.7</v>
      </c>
      <c r="P1935" s="1718">
        <v>1.7</v>
      </c>
      <c r="Q1935" s="1010">
        <v>1.7</v>
      </c>
    </row>
    <row r="1936" spans="1:17" ht="58.5" x14ac:dyDescent="0.25">
      <c r="A1936" s="902">
        <v>85</v>
      </c>
      <c r="B1936" s="1129">
        <v>2</v>
      </c>
      <c r="C1936" s="904"/>
      <c r="D1936" s="904"/>
      <c r="E1936" s="1006" t="s">
        <v>2904</v>
      </c>
      <c r="F1936" s="915">
        <v>286945.59999999998</v>
      </c>
      <c r="G1936" s="915">
        <v>225697.19999999998</v>
      </c>
      <c r="H1936" s="915">
        <f>SUM(H1937:H1945)</f>
        <v>207009.1</v>
      </c>
      <c r="I1936" s="915">
        <v>215307.5</v>
      </c>
      <c r="J1936" s="915">
        <v>216307.5</v>
      </c>
      <c r="K1936" s="953"/>
      <c r="L1936" s="1010"/>
      <c r="M1936" s="963"/>
      <c r="N1936" s="963"/>
      <c r="O1936" s="963"/>
      <c r="P1936" s="1719"/>
      <c r="Q1936" s="963"/>
    </row>
    <row r="1937" spans="1:17" x14ac:dyDescent="0.25">
      <c r="A1937" s="1882"/>
      <c r="B1937" s="1815"/>
      <c r="C1937" s="1884" t="s">
        <v>6</v>
      </c>
      <c r="D1937" s="1884"/>
      <c r="E1937" s="1886" t="s">
        <v>2722</v>
      </c>
      <c r="F1937" s="1888">
        <v>3512.9</v>
      </c>
      <c r="G1937" s="1888">
        <v>1420.1</v>
      </c>
      <c r="H1937" s="1907">
        <v>2382.5</v>
      </c>
      <c r="I1937" s="1909">
        <v>2382.5</v>
      </c>
      <c r="J1937" s="1909">
        <v>2382.5</v>
      </c>
      <c r="K1937" s="917" t="s">
        <v>2723</v>
      </c>
      <c r="L1937" s="933" t="s">
        <v>182</v>
      </c>
      <c r="M1937" s="944">
        <v>97.7</v>
      </c>
      <c r="N1937" s="944">
        <v>100</v>
      </c>
      <c r="O1937" s="944">
        <v>100</v>
      </c>
      <c r="P1937" s="1720">
        <v>100</v>
      </c>
      <c r="Q1937" s="944">
        <v>100</v>
      </c>
    </row>
    <row r="1938" spans="1:17" x14ac:dyDescent="0.25">
      <c r="A1938" s="1883"/>
      <c r="B1938" s="1817"/>
      <c r="C1938" s="1885"/>
      <c r="D1938" s="1885"/>
      <c r="E1938" s="1887"/>
      <c r="F1938" s="1889"/>
      <c r="G1938" s="1889"/>
      <c r="H1938" s="1908"/>
      <c r="I1938" s="1910"/>
      <c r="J1938" s="1910"/>
      <c r="K1938" s="916" t="s">
        <v>2724</v>
      </c>
      <c r="L1938" s="949" t="s">
        <v>238</v>
      </c>
      <c r="M1938" s="977"/>
      <c r="N1938" s="977"/>
      <c r="O1938" s="977"/>
      <c r="P1938" s="1654"/>
      <c r="Q1938" s="977"/>
    </row>
    <row r="1939" spans="1:17" x14ac:dyDescent="0.25">
      <c r="A1939" s="1882"/>
      <c r="B1939" s="1815"/>
      <c r="C1939" s="1884" t="s">
        <v>8</v>
      </c>
      <c r="D1939" s="1884"/>
      <c r="E1939" s="1886" t="s">
        <v>2725</v>
      </c>
      <c r="F1939" s="1888">
        <v>46788</v>
      </c>
      <c r="G1939" s="1888">
        <v>56074.2</v>
      </c>
      <c r="H1939" s="1896">
        <v>50656.9</v>
      </c>
      <c r="I1939" s="1897">
        <v>52523.9</v>
      </c>
      <c r="J1939" s="1897">
        <v>52523.9</v>
      </c>
      <c r="K1939" s="916" t="s">
        <v>2726</v>
      </c>
      <c r="L1939" s="949" t="s">
        <v>191</v>
      </c>
      <c r="M1939" s="1721" t="s">
        <v>2727</v>
      </c>
      <c r="N1939" s="1721" t="s">
        <v>2727</v>
      </c>
      <c r="O1939" s="1721" t="s">
        <v>2727</v>
      </c>
      <c r="P1939" s="1721" t="s">
        <v>2727</v>
      </c>
      <c r="Q1939" s="1721" t="s">
        <v>2727</v>
      </c>
    </row>
    <row r="1940" spans="1:17" x14ac:dyDescent="0.25">
      <c r="A1940" s="1883"/>
      <c r="B1940" s="1817"/>
      <c r="C1940" s="1885"/>
      <c r="D1940" s="1885"/>
      <c r="E1940" s="1887"/>
      <c r="F1940" s="1889"/>
      <c r="G1940" s="1889"/>
      <c r="H1940" s="1896"/>
      <c r="I1940" s="1897"/>
      <c r="J1940" s="1897"/>
      <c r="K1940" s="917"/>
      <c r="L1940" s="981"/>
      <c r="M1940" s="1722"/>
      <c r="N1940" s="942"/>
      <c r="O1940" s="1723"/>
      <c r="P1940" s="1724"/>
      <c r="Q1940" s="1725"/>
    </row>
    <row r="1941" spans="1:17" x14ac:dyDescent="0.25">
      <c r="A1941" s="1882"/>
      <c r="B1941" s="1815"/>
      <c r="C1941" s="1884" t="s">
        <v>10</v>
      </c>
      <c r="D1941" s="1884"/>
      <c r="E1941" s="1886" t="s">
        <v>2728</v>
      </c>
      <c r="F1941" s="1888">
        <v>47298</v>
      </c>
      <c r="G1941" s="1888">
        <v>38630.5</v>
      </c>
      <c r="H1941" s="1896">
        <v>48632.3</v>
      </c>
      <c r="I1941" s="1897">
        <v>51963.6</v>
      </c>
      <c r="J1941" s="1897">
        <v>51963.6</v>
      </c>
      <c r="K1941" s="916" t="s">
        <v>2726</v>
      </c>
      <c r="L1941" s="949" t="s">
        <v>191</v>
      </c>
      <c r="M1941" s="1726" t="s">
        <v>2729</v>
      </c>
      <c r="N1941" s="1727" t="s">
        <v>2729</v>
      </c>
      <c r="O1941" s="1727" t="s">
        <v>2729</v>
      </c>
      <c r="P1941" s="1728" t="s">
        <v>2730</v>
      </c>
      <c r="Q1941" s="1727" t="s">
        <v>2730</v>
      </c>
    </row>
    <row r="1942" spans="1:17" x14ac:dyDescent="0.25">
      <c r="A1942" s="1883"/>
      <c r="B1942" s="1817"/>
      <c r="C1942" s="1885"/>
      <c r="D1942" s="1885"/>
      <c r="E1942" s="1887"/>
      <c r="F1942" s="1889"/>
      <c r="G1942" s="1889"/>
      <c r="H1942" s="1896"/>
      <c r="I1942" s="1897"/>
      <c r="J1942" s="1897"/>
      <c r="K1942" s="917"/>
      <c r="L1942" s="933"/>
      <c r="M1942" s="1729"/>
      <c r="N1942" s="1729"/>
      <c r="O1942" s="1729"/>
      <c r="P1942" s="1730"/>
      <c r="Q1942" s="1729"/>
    </row>
    <row r="1943" spans="1:17" x14ac:dyDescent="0.25">
      <c r="A1943" s="903"/>
      <c r="B1943" s="918"/>
      <c r="C1943" s="905" t="s">
        <v>12</v>
      </c>
      <c r="D1943" s="905"/>
      <c r="E1943" s="978" t="s">
        <v>2731</v>
      </c>
      <c r="F1943" s="1003">
        <v>8202.2999999999993</v>
      </c>
      <c r="G1943" s="1003">
        <v>5658.5</v>
      </c>
      <c r="H1943" s="961">
        <v>5675</v>
      </c>
      <c r="I1943" s="928">
        <v>5775.1</v>
      </c>
      <c r="J1943" s="928">
        <v>5775.1</v>
      </c>
      <c r="K1943" s="1034" t="s">
        <v>2732</v>
      </c>
      <c r="L1943" s="933" t="s">
        <v>2733</v>
      </c>
      <c r="M1943" s="1731">
        <v>44530</v>
      </c>
      <c r="N1943" s="1731">
        <v>49275</v>
      </c>
      <c r="O1943" s="1731">
        <v>49275</v>
      </c>
      <c r="P1943" s="1732">
        <v>49275</v>
      </c>
      <c r="Q1943" s="1731">
        <v>49275</v>
      </c>
    </row>
    <row r="1944" spans="1:17" ht="30" x14ac:dyDescent="0.25">
      <c r="A1944" s="906"/>
      <c r="B1944" s="1047"/>
      <c r="C1944" s="912" t="s">
        <v>14</v>
      </c>
      <c r="D1944" s="912"/>
      <c r="E1944" s="978" t="s">
        <v>2734</v>
      </c>
      <c r="F1944" s="963">
        <v>103587.8</v>
      </c>
      <c r="G1944" s="1003">
        <v>30818.799999999999</v>
      </c>
      <c r="H1944" s="961"/>
      <c r="I1944" s="928"/>
      <c r="J1944" s="928"/>
      <c r="K1944" s="914" t="s">
        <v>2735</v>
      </c>
      <c r="L1944" s="1002" t="s">
        <v>182</v>
      </c>
      <c r="M1944" s="1017">
        <v>95</v>
      </c>
      <c r="N1944" s="48">
        <v>98.5</v>
      </c>
      <c r="O1944" s="48">
        <v>99</v>
      </c>
      <c r="P1944" s="1733">
        <v>100</v>
      </c>
      <c r="Q1944" s="48">
        <v>100</v>
      </c>
    </row>
    <row r="1945" spans="1:17" x14ac:dyDescent="0.25">
      <c r="A1945" s="984"/>
      <c r="B1945" s="979"/>
      <c r="C1945" s="909" t="s">
        <v>16</v>
      </c>
      <c r="D1945" s="909"/>
      <c r="E1945" s="978" t="s">
        <v>2736</v>
      </c>
      <c r="F1945" s="1003">
        <v>77556.600000000006</v>
      </c>
      <c r="G1945" s="1003">
        <v>93095.1</v>
      </c>
      <c r="H1945" s="1734">
        <v>99662.399999999994</v>
      </c>
      <c r="I1945" s="73">
        <v>102662.39999999999</v>
      </c>
      <c r="J1945" s="73">
        <v>103662.39999999999</v>
      </c>
      <c r="K1945" s="916" t="s">
        <v>2737</v>
      </c>
      <c r="L1945" s="949" t="s">
        <v>2738</v>
      </c>
      <c r="M1945" s="977">
        <v>99.9</v>
      </c>
      <c r="N1945" s="977">
        <v>99</v>
      </c>
      <c r="O1945" s="977">
        <v>100</v>
      </c>
      <c r="P1945" s="1654">
        <v>100</v>
      </c>
      <c r="Q1945" s="977">
        <v>100</v>
      </c>
    </row>
    <row r="1946" spans="1:17" ht="58.5" x14ac:dyDescent="0.25">
      <c r="A1946" s="902">
        <v>85</v>
      </c>
      <c r="B1946" s="1129">
        <v>3</v>
      </c>
      <c r="C1946" s="904"/>
      <c r="D1946" s="904"/>
      <c r="E1946" s="1006" t="s">
        <v>2739</v>
      </c>
      <c r="F1946" s="915">
        <v>160248.20000000001</v>
      </c>
      <c r="G1946" s="915">
        <v>138425.9</v>
      </c>
      <c r="H1946" s="915">
        <f>SUM(H1947:H1955)</f>
        <v>156461.4</v>
      </c>
      <c r="I1946" s="915">
        <v>159237.20000000001</v>
      </c>
      <c r="J1946" s="915">
        <v>159490.90000000002</v>
      </c>
      <c r="K1946" s="953"/>
      <c r="L1946" s="1010"/>
      <c r="M1946" s="963"/>
      <c r="N1946" s="963"/>
      <c r="O1946" s="963"/>
      <c r="P1946" s="963"/>
      <c r="Q1946" s="963"/>
    </row>
    <row r="1947" spans="1:17" x14ac:dyDescent="0.25">
      <c r="A1947" s="1882"/>
      <c r="B1947" s="1815"/>
      <c r="C1947" s="1884" t="s">
        <v>6</v>
      </c>
      <c r="D1947" s="1884"/>
      <c r="E1947" s="1886" t="s">
        <v>2740</v>
      </c>
      <c r="F1947" s="1888">
        <v>22200.7</v>
      </c>
      <c r="G1947" s="1888">
        <v>14010.8</v>
      </c>
      <c r="H1947" s="1896">
        <v>16260.8</v>
      </c>
      <c r="I1947" s="1897">
        <v>16260.8</v>
      </c>
      <c r="J1947" s="1897">
        <v>16260.8</v>
      </c>
      <c r="K1947" s="916" t="s">
        <v>2726</v>
      </c>
      <c r="L1947" s="949" t="s">
        <v>182</v>
      </c>
      <c r="M1947" s="977" t="s">
        <v>2741</v>
      </c>
      <c r="N1947" s="977" t="s">
        <v>2742</v>
      </c>
      <c r="O1947" s="977" t="s">
        <v>2743</v>
      </c>
      <c r="P1947" s="1654" t="s">
        <v>2743</v>
      </c>
      <c r="Q1947" s="977" t="s">
        <v>2743</v>
      </c>
    </row>
    <row r="1948" spans="1:17" x14ac:dyDescent="0.25">
      <c r="A1948" s="1883"/>
      <c r="B1948" s="1817"/>
      <c r="C1948" s="1885"/>
      <c r="D1948" s="1885"/>
      <c r="E1948" s="1887"/>
      <c r="F1948" s="1889"/>
      <c r="G1948" s="1889"/>
      <c r="H1948" s="1896"/>
      <c r="I1948" s="1897"/>
      <c r="J1948" s="1897"/>
      <c r="K1948" s="917"/>
      <c r="L1948" s="933"/>
      <c r="M1948" s="944"/>
      <c r="N1948" s="944"/>
      <c r="O1948" s="944"/>
      <c r="P1948" s="1735"/>
      <c r="Q1948" s="943"/>
    </row>
    <row r="1949" spans="1:17" x14ac:dyDescent="0.25">
      <c r="A1949" s="1882"/>
      <c r="B1949" s="1815"/>
      <c r="C1949" s="1884" t="s">
        <v>8</v>
      </c>
      <c r="D1949" s="1884"/>
      <c r="E1949" s="1886" t="s">
        <v>2728</v>
      </c>
      <c r="F1949" s="1888">
        <v>24544</v>
      </c>
      <c r="G1949" s="1888">
        <v>16979.599999999999</v>
      </c>
      <c r="H1949" s="1896">
        <v>21664.799999999999</v>
      </c>
      <c r="I1949" s="1897">
        <v>22106</v>
      </c>
      <c r="J1949" s="1897">
        <v>22106</v>
      </c>
      <c r="K1949" s="916" t="s">
        <v>2726</v>
      </c>
      <c r="L1949" s="949" t="s">
        <v>182</v>
      </c>
      <c r="M1949" s="977" t="s">
        <v>2744</v>
      </c>
      <c r="N1949" s="977" t="s">
        <v>2745</v>
      </c>
      <c r="O1949" s="977" t="s">
        <v>2727</v>
      </c>
      <c r="P1949" s="1654" t="s">
        <v>2727</v>
      </c>
      <c r="Q1949" s="977" t="s">
        <v>2727</v>
      </c>
    </row>
    <row r="1950" spans="1:17" x14ac:dyDescent="0.25">
      <c r="A1950" s="1883"/>
      <c r="B1950" s="1817"/>
      <c r="C1950" s="1885"/>
      <c r="D1950" s="1885"/>
      <c r="E1950" s="1887"/>
      <c r="F1950" s="1889"/>
      <c r="G1950" s="1889"/>
      <c r="H1950" s="1896"/>
      <c r="I1950" s="1897"/>
      <c r="J1950" s="1897"/>
      <c r="K1950" s="917"/>
      <c r="L1950" s="933"/>
      <c r="M1950" s="944"/>
      <c r="N1950" s="944"/>
      <c r="O1950" s="944"/>
      <c r="P1950" s="1720"/>
      <c r="Q1950" s="944"/>
    </row>
    <row r="1951" spans="1:17" ht="30" x14ac:dyDescent="0.25">
      <c r="A1951" s="906"/>
      <c r="B1951" s="1047"/>
      <c r="C1951" s="912" t="s">
        <v>10</v>
      </c>
      <c r="D1951" s="912"/>
      <c r="E1951" s="978" t="s">
        <v>2746</v>
      </c>
      <c r="F1951" s="1003">
        <v>1620.9</v>
      </c>
      <c r="G1951" s="1003">
        <v>1610.7</v>
      </c>
      <c r="H1951" s="961">
        <v>7631.5</v>
      </c>
      <c r="I1951" s="928">
        <v>7631.5</v>
      </c>
      <c r="J1951" s="928">
        <v>7631.5</v>
      </c>
      <c r="K1951" s="917" t="s">
        <v>2723</v>
      </c>
      <c r="L1951" s="939" t="s">
        <v>182</v>
      </c>
      <c r="M1951" s="1003">
        <v>89.1</v>
      </c>
      <c r="N1951" s="944">
        <v>91.5</v>
      </c>
      <c r="O1951" s="944">
        <v>100</v>
      </c>
      <c r="P1951" s="1720">
        <v>100</v>
      </c>
      <c r="Q1951" s="944">
        <v>100</v>
      </c>
    </row>
    <row r="1952" spans="1:17" x14ac:dyDescent="0.25">
      <c r="A1952" s="906"/>
      <c r="B1952" s="1047"/>
      <c r="C1952" s="912" t="s">
        <v>12</v>
      </c>
      <c r="D1952" s="912"/>
      <c r="E1952" s="978" t="s">
        <v>2747</v>
      </c>
      <c r="F1952" s="1003">
        <v>8184.6</v>
      </c>
      <c r="G1952" s="1003">
        <v>4178.1000000000004</v>
      </c>
      <c r="H1952" s="347">
        <v>2525</v>
      </c>
      <c r="I1952" s="910">
        <v>2625.1</v>
      </c>
      <c r="J1952" s="910">
        <v>2625.1</v>
      </c>
      <c r="K1952" s="1647" t="s">
        <v>2748</v>
      </c>
      <c r="L1952" s="1002" t="s">
        <v>2733</v>
      </c>
      <c r="M1952" s="68">
        <v>21900</v>
      </c>
      <c r="N1952" s="68">
        <v>26280</v>
      </c>
      <c r="O1952" s="68">
        <v>26280</v>
      </c>
      <c r="P1952" s="1736">
        <v>26280</v>
      </c>
      <c r="Q1952" s="68">
        <v>26280</v>
      </c>
    </row>
    <row r="1953" spans="1:17" ht="30" x14ac:dyDescent="0.25">
      <c r="A1953" s="906"/>
      <c r="B1953" s="1047"/>
      <c r="C1953" s="912" t="s">
        <v>14</v>
      </c>
      <c r="D1953" s="912"/>
      <c r="E1953" s="978" t="s">
        <v>2749</v>
      </c>
      <c r="F1953" s="1003">
        <v>70885.600000000006</v>
      </c>
      <c r="G1953" s="1003">
        <v>71834.3</v>
      </c>
      <c r="H1953" s="347">
        <v>85134.3</v>
      </c>
      <c r="I1953" s="910">
        <v>85134.3</v>
      </c>
      <c r="J1953" s="910">
        <v>85134.3</v>
      </c>
      <c r="K1953" s="1647" t="s">
        <v>2735</v>
      </c>
      <c r="L1953" s="1002" t="s">
        <v>182</v>
      </c>
      <c r="M1953" s="1017">
        <v>95</v>
      </c>
      <c r="N1953" s="48">
        <v>98.5</v>
      </c>
      <c r="O1953" s="48">
        <v>99</v>
      </c>
      <c r="P1953" s="1733">
        <v>100</v>
      </c>
      <c r="Q1953" s="48">
        <v>100</v>
      </c>
    </row>
    <row r="1954" spans="1:17" x14ac:dyDescent="0.25">
      <c r="A1954" s="1882"/>
      <c r="B1954" s="1815"/>
      <c r="C1954" s="1884" t="s">
        <v>16</v>
      </c>
      <c r="D1954" s="1884"/>
      <c r="E1954" s="1886" t="s">
        <v>2750</v>
      </c>
      <c r="F1954" s="1888">
        <v>32812.400000000001</v>
      </c>
      <c r="G1954" s="1888">
        <v>29812.400000000001</v>
      </c>
      <c r="H1954" s="347"/>
      <c r="I1954" s="910"/>
      <c r="J1954" s="910"/>
      <c r="K1954" s="916" t="s">
        <v>2751</v>
      </c>
      <c r="L1954" s="949" t="s">
        <v>182</v>
      </c>
      <c r="M1954" s="977">
        <v>99.9</v>
      </c>
      <c r="N1954" s="75">
        <v>100</v>
      </c>
      <c r="O1954" s="75">
        <v>100</v>
      </c>
      <c r="P1954" s="75">
        <v>100</v>
      </c>
      <c r="Q1954" s="75">
        <v>100</v>
      </c>
    </row>
    <row r="1955" spans="1:17" x14ac:dyDescent="0.25">
      <c r="A1955" s="1883"/>
      <c r="B1955" s="1817"/>
      <c r="C1955" s="1885"/>
      <c r="D1955" s="1885"/>
      <c r="E1955" s="1887"/>
      <c r="F1955" s="1889"/>
      <c r="G1955" s="1889"/>
      <c r="H1955" s="1737">
        <v>23245</v>
      </c>
      <c r="I1955" s="911">
        <v>25479.5</v>
      </c>
      <c r="J1955" s="911">
        <v>25733.200000000001</v>
      </c>
      <c r="K1955" s="917"/>
      <c r="L1955" s="933"/>
      <c r="M1955" s="944"/>
      <c r="N1955" s="942"/>
      <c r="O1955" s="942"/>
      <c r="P1955" s="942"/>
      <c r="Q1955" s="942"/>
    </row>
    <row r="1956" spans="1:17" x14ac:dyDescent="0.25">
      <c r="A1956" s="1890">
        <v>85</v>
      </c>
      <c r="B1956" s="1891">
        <v>4</v>
      </c>
      <c r="C1956" s="1892"/>
      <c r="D1956" s="1892"/>
      <c r="E1956" s="1893" t="s">
        <v>2905</v>
      </c>
      <c r="F1956" s="1895">
        <v>11263.7</v>
      </c>
      <c r="G1956" s="1895">
        <v>11263.8</v>
      </c>
      <c r="H1956" s="1895">
        <f>H1958</f>
        <v>11263.8</v>
      </c>
      <c r="I1956" s="1895">
        <v>11263.8</v>
      </c>
      <c r="J1956" s="1895">
        <v>15329.9</v>
      </c>
      <c r="K1956" s="647" t="s">
        <v>2752</v>
      </c>
      <c r="L1956" s="640" t="s">
        <v>222</v>
      </c>
      <c r="M1956" s="1136">
        <v>43</v>
      </c>
      <c r="N1956" s="1136">
        <v>46</v>
      </c>
      <c r="O1956" s="1136">
        <v>48</v>
      </c>
      <c r="P1956" s="1738">
        <v>50</v>
      </c>
      <c r="Q1956" s="1136">
        <v>50</v>
      </c>
    </row>
    <row r="1957" spans="1:17" ht="28.5" x14ac:dyDescent="0.25">
      <c r="A1957" s="1890"/>
      <c r="B1957" s="1817"/>
      <c r="C1957" s="1892"/>
      <c r="D1957" s="1892"/>
      <c r="E1957" s="1894"/>
      <c r="F1957" s="1895"/>
      <c r="G1957" s="1895"/>
      <c r="H1957" s="1895"/>
      <c r="I1957" s="1895"/>
      <c r="J1957" s="1895"/>
      <c r="K1957" s="647" t="s">
        <v>2753</v>
      </c>
      <c r="L1957" s="640" t="s">
        <v>1684</v>
      </c>
      <c r="M1957" s="31">
        <v>0</v>
      </c>
      <c r="N1957" s="1739">
        <v>20000</v>
      </c>
      <c r="O1957" s="1740">
        <v>17540</v>
      </c>
      <c r="P1957" s="1741">
        <v>17540</v>
      </c>
      <c r="Q1957" s="1739">
        <v>17540</v>
      </c>
    </row>
    <row r="1958" spans="1:17" ht="30" x14ac:dyDescent="0.25">
      <c r="A1958" s="805"/>
      <c r="B1958" s="816"/>
      <c r="C1958" s="896" t="s">
        <v>6</v>
      </c>
      <c r="D1958" s="896"/>
      <c r="E1958" s="998" t="s">
        <v>2754</v>
      </c>
      <c r="F1958" s="1014">
        <v>11263.7</v>
      </c>
      <c r="G1958" s="1014">
        <v>11263.8</v>
      </c>
      <c r="H1958" s="988">
        <v>11263.8</v>
      </c>
      <c r="I1958" s="952">
        <v>11263.8</v>
      </c>
      <c r="J1958" s="952">
        <v>15329.9</v>
      </c>
      <c r="K1958" s="901" t="s">
        <v>276</v>
      </c>
      <c r="L1958" s="897" t="s">
        <v>222</v>
      </c>
      <c r="M1958" s="895">
        <v>37</v>
      </c>
      <c r="N1958" s="895">
        <v>37</v>
      </c>
      <c r="O1958" s="895">
        <v>37</v>
      </c>
      <c r="P1958" s="1533">
        <v>37</v>
      </c>
      <c r="Q1958" s="895">
        <v>40</v>
      </c>
    </row>
    <row r="1959" spans="1:17" ht="36" customHeight="1" x14ac:dyDescent="0.25">
      <c r="A1959" s="1840" t="s">
        <v>2755</v>
      </c>
      <c r="B1959" s="1841"/>
      <c r="C1959" s="1841"/>
      <c r="D1959" s="1841"/>
      <c r="E1959" s="1841"/>
      <c r="F1959" s="46">
        <v>475924.6</v>
      </c>
      <c r="G1959" s="46">
        <v>396818.39999999997</v>
      </c>
      <c r="H1959" s="46">
        <f>H1929+H1936+H1946+H1956</f>
        <v>390478.8</v>
      </c>
      <c r="I1959" s="46">
        <v>402052.89999999997</v>
      </c>
      <c r="J1959" s="46">
        <v>407372.70000000007</v>
      </c>
      <c r="K1959" s="16"/>
      <c r="L1959" s="958"/>
      <c r="M1959" s="958"/>
      <c r="N1959" s="958"/>
      <c r="O1959" s="958"/>
      <c r="P1959" s="958"/>
      <c r="Q1959" s="958"/>
    </row>
    <row r="1960" spans="1:17" x14ac:dyDescent="0.25">
      <c r="A1960" s="1826" t="s">
        <v>2756</v>
      </c>
      <c r="B1960" s="1827"/>
      <c r="C1960" s="1827"/>
      <c r="D1960" s="1827"/>
      <c r="E1960" s="1827"/>
      <c r="F1960" s="1827"/>
      <c r="G1960" s="1827"/>
      <c r="H1960" s="1827"/>
      <c r="I1960" s="1827"/>
      <c r="J1960" s="1827"/>
      <c r="K1960" s="1827"/>
      <c r="L1960" s="1827"/>
      <c r="M1960" s="1827"/>
      <c r="N1960" s="1827"/>
      <c r="O1960" s="1827"/>
      <c r="P1960" s="1827"/>
      <c r="Q1960" s="1828"/>
    </row>
    <row r="1961" spans="1:17" ht="58.5" x14ac:dyDescent="0.25">
      <c r="A1961" s="792">
        <v>85</v>
      </c>
      <c r="B1961" s="507">
        <v>1</v>
      </c>
      <c r="C1961" s="896"/>
      <c r="D1961" s="1216"/>
      <c r="E1961" s="1051" t="s">
        <v>2757</v>
      </c>
      <c r="F1961" s="1057">
        <v>7044.2</v>
      </c>
      <c r="G1961" s="1057">
        <v>7044.2</v>
      </c>
      <c r="H1961" s="1057">
        <v>7044.2</v>
      </c>
      <c r="I1961" s="1057">
        <v>7244.2</v>
      </c>
      <c r="J1961" s="1057">
        <v>7494.2</v>
      </c>
      <c r="K1961" s="1026" t="s">
        <v>181</v>
      </c>
      <c r="L1961" s="454" t="s">
        <v>182</v>
      </c>
      <c r="M1961" s="1742">
        <v>48</v>
      </c>
      <c r="N1961" s="1742">
        <v>48</v>
      </c>
      <c r="O1961" s="1742">
        <v>48</v>
      </c>
      <c r="P1961" s="1742">
        <v>48</v>
      </c>
      <c r="Q1961" s="1742">
        <v>48</v>
      </c>
    </row>
    <row r="1962" spans="1:17" x14ac:dyDescent="0.25">
      <c r="A1962" s="792"/>
      <c r="B1962" s="507"/>
      <c r="C1962" s="1012" t="s">
        <v>6</v>
      </c>
      <c r="D1962" s="1218"/>
      <c r="E1962" s="1000" t="s">
        <v>7</v>
      </c>
      <c r="F1962" s="1743">
        <v>1602</v>
      </c>
      <c r="G1962" s="1743">
        <v>1602</v>
      </c>
      <c r="H1962" s="1743">
        <v>1602</v>
      </c>
      <c r="I1962" s="1743">
        <v>1632</v>
      </c>
      <c r="J1962" s="1743">
        <v>1652</v>
      </c>
      <c r="K1962" s="901" t="s">
        <v>183</v>
      </c>
      <c r="L1962" s="897" t="s">
        <v>182</v>
      </c>
      <c r="M1962" s="81">
        <v>98</v>
      </c>
      <c r="N1962" s="81">
        <v>98</v>
      </c>
      <c r="O1962" s="81">
        <v>98</v>
      </c>
      <c r="P1962" s="81">
        <v>98</v>
      </c>
      <c r="Q1962" s="81">
        <v>98</v>
      </c>
    </row>
    <row r="1963" spans="1:17" x14ac:dyDescent="0.25">
      <c r="A1963" s="792"/>
      <c r="B1963" s="507"/>
      <c r="C1963" s="1012" t="s">
        <v>8</v>
      </c>
      <c r="D1963" s="1218"/>
      <c r="E1963" s="1000" t="s">
        <v>9</v>
      </c>
      <c r="F1963" s="1743">
        <v>1221</v>
      </c>
      <c r="G1963" s="1743">
        <v>1221</v>
      </c>
      <c r="H1963" s="1743">
        <v>1221</v>
      </c>
      <c r="I1963" s="1743">
        <v>1221</v>
      </c>
      <c r="J1963" s="1743">
        <v>1221</v>
      </c>
      <c r="K1963" s="901" t="s">
        <v>185</v>
      </c>
      <c r="L1963" s="897" t="s">
        <v>182</v>
      </c>
      <c r="M1963" s="81">
        <v>100</v>
      </c>
      <c r="N1963" s="81">
        <v>0</v>
      </c>
      <c r="O1963" s="81">
        <v>0</v>
      </c>
      <c r="P1963" s="81">
        <v>0</v>
      </c>
      <c r="Q1963" s="81">
        <v>0</v>
      </c>
    </row>
    <row r="1964" spans="1:17" ht="30" x14ac:dyDescent="0.25">
      <c r="A1964" s="792"/>
      <c r="B1964" s="507"/>
      <c r="C1964" s="1012" t="s">
        <v>10</v>
      </c>
      <c r="D1964" s="1218"/>
      <c r="E1964" s="1000" t="s">
        <v>11</v>
      </c>
      <c r="F1964" s="1743">
        <v>445.6</v>
      </c>
      <c r="G1964" s="1743">
        <v>445.6</v>
      </c>
      <c r="H1964" s="1743">
        <v>445.6</v>
      </c>
      <c r="I1964" s="1743">
        <v>445.6</v>
      </c>
      <c r="J1964" s="1743">
        <v>445.6</v>
      </c>
      <c r="K1964" s="901" t="s">
        <v>186</v>
      </c>
      <c r="L1964" s="897" t="s">
        <v>182</v>
      </c>
      <c r="M1964" s="81">
        <v>100</v>
      </c>
      <c r="N1964" s="81">
        <v>100</v>
      </c>
      <c r="O1964" s="81">
        <v>100</v>
      </c>
      <c r="P1964" s="81">
        <v>100</v>
      </c>
      <c r="Q1964" s="81">
        <v>100</v>
      </c>
    </row>
    <row r="1965" spans="1:17" ht="30" x14ac:dyDescent="0.25">
      <c r="A1965" s="792"/>
      <c r="B1965" s="507"/>
      <c r="C1965" s="1012" t="s">
        <v>12</v>
      </c>
      <c r="D1965" s="1218"/>
      <c r="E1965" s="1000" t="s">
        <v>13</v>
      </c>
      <c r="F1965" s="1743">
        <v>367</v>
      </c>
      <c r="G1965" s="1743">
        <v>367</v>
      </c>
      <c r="H1965" s="1743">
        <v>367</v>
      </c>
      <c r="I1965" s="1743">
        <v>367</v>
      </c>
      <c r="J1965" s="1743">
        <v>367</v>
      </c>
      <c r="K1965" s="901" t="s">
        <v>187</v>
      </c>
      <c r="L1965" s="897" t="s">
        <v>258</v>
      </c>
      <c r="M1965" s="81">
        <v>100</v>
      </c>
      <c r="N1965" s="81">
        <v>100</v>
      </c>
      <c r="O1965" s="81">
        <v>100</v>
      </c>
      <c r="P1965" s="81">
        <v>100</v>
      </c>
      <c r="Q1965" s="81">
        <v>100</v>
      </c>
    </row>
    <row r="1966" spans="1:17" ht="30" x14ac:dyDescent="0.25">
      <c r="A1966" s="576"/>
      <c r="B1966" s="1279"/>
      <c r="C1966" s="1280" t="s">
        <v>14</v>
      </c>
      <c r="D1966" s="1102"/>
      <c r="E1966" s="1000" t="s">
        <v>15</v>
      </c>
      <c r="F1966" s="1220"/>
      <c r="G1966" s="1220"/>
      <c r="H1966" s="1023"/>
      <c r="I1966" s="1061"/>
      <c r="J1966" s="1061"/>
      <c r="K1966" s="901" t="s">
        <v>188</v>
      </c>
      <c r="L1966" s="897" t="s">
        <v>189</v>
      </c>
      <c r="M1966" s="81">
        <v>0</v>
      </c>
      <c r="N1966" s="81">
        <v>0</v>
      </c>
      <c r="O1966" s="81">
        <v>0</v>
      </c>
      <c r="P1966" s="81">
        <v>0</v>
      </c>
      <c r="Q1966" s="81">
        <v>0</v>
      </c>
    </row>
    <row r="1967" spans="1:17" ht="30" x14ac:dyDescent="0.25">
      <c r="A1967" s="576"/>
      <c r="B1967" s="1278"/>
      <c r="C1967" s="1012" t="s">
        <v>16</v>
      </c>
      <c r="D1967" s="1102"/>
      <c r="E1967" s="998" t="s">
        <v>17</v>
      </c>
      <c r="F1967" s="1743">
        <v>3408.6</v>
      </c>
      <c r="G1967" s="1743">
        <v>3408.6</v>
      </c>
      <c r="H1967" s="1743">
        <v>3408.6</v>
      </c>
      <c r="I1967" s="1743">
        <v>3578.6</v>
      </c>
      <c r="J1967" s="1743">
        <v>3808.6</v>
      </c>
      <c r="K1967" s="901" t="s">
        <v>190</v>
      </c>
      <c r="L1967" s="897" t="s">
        <v>182</v>
      </c>
      <c r="M1967" s="81">
        <v>58</v>
      </c>
      <c r="N1967" s="81">
        <v>58</v>
      </c>
      <c r="O1967" s="81">
        <v>58</v>
      </c>
      <c r="P1967" s="81">
        <v>58</v>
      </c>
      <c r="Q1967" s="81">
        <v>58</v>
      </c>
    </row>
    <row r="1968" spans="1:17" ht="58.5" x14ac:dyDescent="0.25">
      <c r="A1968" s="971">
        <v>85</v>
      </c>
      <c r="B1968" s="990">
        <v>5</v>
      </c>
      <c r="C1968" s="973"/>
      <c r="D1968" s="1563"/>
      <c r="E1968" s="1027" t="s">
        <v>2813</v>
      </c>
      <c r="F1968" s="1032">
        <v>27846.699999999997</v>
      </c>
      <c r="G1968" s="1032">
        <v>27891</v>
      </c>
      <c r="H1968" s="1024">
        <v>27891</v>
      </c>
      <c r="I1968" s="717">
        <v>28151.8</v>
      </c>
      <c r="J1968" s="717">
        <v>28370.199999999997</v>
      </c>
      <c r="K1968" s="1019" t="s">
        <v>2758</v>
      </c>
      <c r="L1968" s="454" t="s">
        <v>2733</v>
      </c>
      <c r="M1968" s="81"/>
      <c r="N1968" s="81"/>
      <c r="O1968" s="81"/>
      <c r="P1968" s="81"/>
      <c r="Q1968" s="81"/>
    </row>
    <row r="1969" spans="1:17" ht="30" x14ac:dyDescent="0.25">
      <c r="A1969" s="971"/>
      <c r="B1969" s="990"/>
      <c r="C1969" s="973" t="s">
        <v>6</v>
      </c>
      <c r="D1969" s="1563"/>
      <c r="E1969" s="969" t="s">
        <v>2759</v>
      </c>
      <c r="F1969" s="1744">
        <v>6077.4</v>
      </c>
      <c r="G1969" s="1744">
        <v>6121.7</v>
      </c>
      <c r="H1969" s="1744">
        <v>6121.8</v>
      </c>
      <c r="I1969" s="1743">
        <v>6382.5</v>
      </c>
      <c r="J1969" s="1743">
        <v>6600.9</v>
      </c>
      <c r="K1969" s="901" t="s">
        <v>2760</v>
      </c>
      <c r="L1969" s="897" t="s">
        <v>2733</v>
      </c>
      <c r="M1969" s="1558" t="s">
        <v>2761</v>
      </c>
      <c r="N1969" s="1558" t="s">
        <v>2761</v>
      </c>
      <c r="O1969" s="1558" t="s">
        <v>2761</v>
      </c>
      <c r="P1969" s="1558" t="s">
        <v>2761</v>
      </c>
      <c r="Q1969" s="1558" t="s">
        <v>2761</v>
      </c>
    </row>
    <row r="1970" spans="1:17" ht="30" x14ac:dyDescent="0.25">
      <c r="A1970" s="805"/>
      <c r="B1970" s="816"/>
      <c r="C1970" s="896" t="s">
        <v>8</v>
      </c>
      <c r="D1970" s="1337"/>
      <c r="E1970" s="998" t="s">
        <v>2762</v>
      </c>
      <c r="F1970" s="1744">
        <v>1024.7</v>
      </c>
      <c r="G1970" s="1744">
        <v>1024.7</v>
      </c>
      <c r="H1970" s="1744">
        <v>1024.5999999999999</v>
      </c>
      <c r="I1970" s="1744">
        <v>1024.7</v>
      </c>
      <c r="J1970" s="1744">
        <v>1024.7</v>
      </c>
      <c r="K1970" s="901" t="s">
        <v>2763</v>
      </c>
      <c r="L1970" s="897" t="s">
        <v>2733</v>
      </c>
      <c r="M1970" s="1558" t="s">
        <v>2764</v>
      </c>
      <c r="N1970" s="1558" t="s">
        <v>2764</v>
      </c>
      <c r="O1970" s="1558" t="s">
        <v>2764</v>
      </c>
      <c r="P1970" s="1558" t="s">
        <v>2764</v>
      </c>
      <c r="Q1970" s="1558" t="s">
        <v>2764</v>
      </c>
    </row>
    <row r="1971" spans="1:17" x14ac:dyDescent="0.25">
      <c r="A1971" s="1861"/>
      <c r="B1971" s="1862"/>
      <c r="C1971" s="1864" t="s">
        <v>10</v>
      </c>
      <c r="D1971" s="1865"/>
      <c r="E1971" s="1866" t="s">
        <v>2765</v>
      </c>
      <c r="F1971" s="1868">
        <v>20744.599999999999</v>
      </c>
      <c r="G1971" s="1868">
        <v>20744.599999999999</v>
      </c>
      <c r="H1971" s="1870">
        <v>20744.599999999999</v>
      </c>
      <c r="I1971" s="1872">
        <v>20744.599999999999</v>
      </c>
      <c r="J1971" s="1872">
        <v>20744.599999999999</v>
      </c>
      <c r="K1971" s="1874" t="s">
        <v>2766</v>
      </c>
      <c r="L1971" s="897" t="s">
        <v>2733</v>
      </c>
      <c r="M1971" s="83" t="s">
        <v>2767</v>
      </c>
      <c r="N1971" s="83" t="s">
        <v>2767</v>
      </c>
      <c r="O1971" s="83" t="s">
        <v>2767</v>
      </c>
      <c r="P1971" s="83" t="s">
        <v>2767</v>
      </c>
      <c r="Q1971" s="83" t="s">
        <v>2767</v>
      </c>
    </row>
    <row r="1972" spans="1:17" x14ac:dyDescent="0.25">
      <c r="A1972" s="1861"/>
      <c r="B1972" s="1863"/>
      <c r="C1972" s="1864"/>
      <c r="D1972" s="1865"/>
      <c r="E1972" s="1867"/>
      <c r="F1972" s="1869"/>
      <c r="G1972" s="1869"/>
      <c r="H1972" s="1871"/>
      <c r="I1972" s="1873"/>
      <c r="J1972" s="1873"/>
      <c r="K1972" s="1875"/>
      <c r="L1972" s="897"/>
      <c r="M1972" s="1745" t="s">
        <v>2768</v>
      </c>
      <c r="N1972" s="1745" t="s">
        <v>2768</v>
      </c>
      <c r="O1972" s="1745" t="s">
        <v>2768</v>
      </c>
      <c r="P1972" s="1745" t="s">
        <v>2768</v>
      </c>
      <c r="Q1972" s="1745" t="s">
        <v>2768</v>
      </c>
    </row>
    <row r="1973" spans="1:17" ht="46.5" customHeight="1" x14ac:dyDescent="0.25">
      <c r="A1973" s="1840" t="s">
        <v>2769</v>
      </c>
      <c r="B1973" s="1841"/>
      <c r="C1973" s="1841"/>
      <c r="D1973" s="1841"/>
      <c r="E1973" s="1841"/>
      <c r="F1973" s="46">
        <v>34890.899999999994</v>
      </c>
      <c r="G1973" s="46">
        <v>34935.199999999997</v>
      </c>
      <c r="H1973" s="46">
        <v>34935.199999999997</v>
      </c>
      <c r="I1973" s="46">
        <v>35396</v>
      </c>
      <c r="J1973" s="46">
        <v>35864.399999999994</v>
      </c>
      <c r="K1973" s="16"/>
      <c r="L1973" s="958"/>
      <c r="M1973" s="958"/>
      <c r="N1973" s="958"/>
      <c r="O1973" s="958"/>
      <c r="P1973" s="958"/>
      <c r="Q1973" s="958"/>
    </row>
    <row r="1974" spans="1:17" x14ac:dyDescent="0.25">
      <c r="A1974" s="1826" t="s">
        <v>2770</v>
      </c>
      <c r="B1974" s="1827"/>
      <c r="C1974" s="1827"/>
      <c r="D1974" s="1827"/>
      <c r="E1974" s="1827"/>
      <c r="F1974" s="1827"/>
      <c r="G1974" s="1827"/>
      <c r="H1974" s="1827"/>
      <c r="I1974" s="1827"/>
      <c r="J1974" s="1827"/>
      <c r="K1974" s="1827"/>
      <c r="L1974" s="1827"/>
      <c r="M1974" s="1827"/>
      <c r="N1974" s="1827"/>
      <c r="O1974" s="1827"/>
      <c r="P1974" s="1827"/>
      <c r="Q1974" s="1828"/>
    </row>
    <row r="1975" spans="1:17" ht="73.5" x14ac:dyDescent="0.25">
      <c r="A1975" s="792">
        <v>85</v>
      </c>
      <c r="B1975" s="507">
        <v>1</v>
      </c>
      <c r="C1975" s="896"/>
      <c r="D1975" s="1216"/>
      <c r="E1975" s="1051" t="s">
        <v>810</v>
      </c>
      <c r="F1975" s="717">
        <v>14040.3</v>
      </c>
      <c r="G1975" s="1024">
        <v>15979.599999999999</v>
      </c>
      <c r="H1975" s="1024">
        <f>SUM(H1976:H1981)</f>
        <v>19293.599999999999</v>
      </c>
      <c r="I1975" s="1024">
        <v>15934.7</v>
      </c>
      <c r="J1975" s="1024">
        <v>15934.7</v>
      </c>
      <c r="K1975" s="1026" t="s">
        <v>181</v>
      </c>
      <c r="L1975" s="454" t="s">
        <v>182</v>
      </c>
      <c r="M1975" s="454"/>
      <c r="N1975" s="454"/>
      <c r="O1975" s="454"/>
      <c r="P1975" s="454"/>
      <c r="Q1975" s="454"/>
    </row>
    <row r="1976" spans="1:17" x14ac:dyDescent="0.25">
      <c r="A1976" s="792"/>
      <c r="B1976" s="507"/>
      <c r="C1976" s="1012" t="s">
        <v>6</v>
      </c>
      <c r="D1976" s="1218"/>
      <c r="E1976" s="1000" t="s">
        <v>7</v>
      </c>
      <c r="F1976" s="1220">
        <v>2315.6999999999998</v>
      </c>
      <c r="G1976" s="1220">
        <v>2574.1</v>
      </c>
      <c r="H1976" s="1220">
        <v>3545.3</v>
      </c>
      <c r="I1976" s="1220">
        <v>2574</v>
      </c>
      <c r="J1976" s="1220">
        <v>2574</v>
      </c>
      <c r="K1976" s="901" t="s">
        <v>183</v>
      </c>
      <c r="L1976" s="897" t="s">
        <v>1545</v>
      </c>
      <c r="M1976" s="454"/>
      <c r="N1976" s="454"/>
      <c r="O1976" s="454"/>
      <c r="P1976" s="454"/>
      <c r="Q1976" s="454"/>
    </row>
    <row r="1977" spans="1:17" x14ac:dyDescent="0.25">
      <c r="A1977" s="792"/>
      <c r="B1977" s="507"/>
      <c r="C1977" s="1012" t="s">
        <v>8</v>
      </c>
      <c r="D1977" s="1218"/>
      <c r="E1977" s="1000" t="s">
        <v>9</v>
      </c>
      <c r="F1977" s="1220">
        <v>2685.8</v>
      </c>
      <c r="G1977" s="1220">
        <v>2869.7</v>
      </c>
      <c r="H1977" s="1220">
        <v>4306.8999999999996</v>
      </c>
      <c r="I1977" s="1220">
        <v>2869.7</v>
      </c>
      <c r="J1977" s="1220">
        <v>2869.7</v>
      </c>
      <c r="K1977" s="901" t="s">
        <v>185</v>
      </c>
      <c r="L1977" s="897" t="s">
        <v>182</v>
      </c>
      <c r="M1977" s="454">
        <v>100</v>
      </c>
      <c r="N1977" s="454">
        <v>100</v>
      </c>
      <c r="O1977" s="454">
        <v>100</v>
      </c>
      <c r="P1977" s="454">
        <v>100</v>
      </c>
      <c r="Q1977" s="454">
        <v>100</v>
      </c>
    </row>
    <row r="1978" spans="1:17" ht="30" x14ac:dyDescent="0.25">
      <c r="A1978" s="792"/>
      <c r="B1978" s="507"/>
      <c r="C1978" s="1012" t="s">
        <v>10</v>
      </c>
      <c r="D1978" s="1218"/>
      <c r="E1978" s="1000" t="s">
        <v>11</v>
      </c>
      <c r="F1978" s="1220">
        <v>721</v>
      </c>
      <c r="G1978" s="1220">
        <v>763</v>
      </c>
      <c r="H1978" s="1220">
        <v>1266.9000000000001</v>
      </c>
      <c r="I1978" s="1220">
        <v>763</v>
      </c>
      <c r="J1978" s="1220">
        <v>763</v>
      </c>
      <c r="K1978" s="901" t="s">
        <v>186</v>
      </c>
      <c r="L1978" s="897" t="s">
        <v>182</v>
      </c>
      <c r="M1978" s="1281">
        <v>1</v>
      </c>
      <c r="N1978" s="1281">
        <v>1</v>
      </c>
      <c r="O1978" s="1281">
        <v>1</v>
      </c>
      <c r="P1978" s="1281">
        <v>1</v>
      </c>
      <c r="Q1978" s="1281">
        <v>1</v>
      </c>
    </row>
    <row r="1979" spans="1:17" ht="30" x14ac:dyDescent="0.25">
      <c r="A1979" s="792"/>
      <c r="B1979" s="507"/>
      <c r="C1979" s="1012" t="s">
        <v>12</v>
      </c>
      <c r="D1979" s="1218"/>
      <c r="E1979" s="1000" t="s">
        <v>13</v>
      </c>
      <c r="F1979" s="1220">
        <v>431.5</v>
      </c>
      <c r="G1979" s="1220">
        <v>496.6</v>
      </c>
      <c r="H1979" s="1220">
        <v>650.4</v>
      </c>
      <c r="I1979" s="1220">
        <v>496.6</v>
      </c>
      <c r="J1979" s="1220">
        <v>496.6</v>
      </c>
      <c r="K1979" s="901" t="s">
        <v>187</v>
      </c>
      <c r="L1979" s="897" t="s">
        <v>258</v>
      </c>
      <c r="M1979" s="1281"/>
      <c r="N1979" s="1281"/>
      <c r="O1979" s="1281"/>
      <c r="P1979" s="1281"/>
      <c r="Q1979" s="1281"/>
    </row>
    <row r="1980" spans="1:17" ht="30" x14ac:dyDescent="0.25">
      <c r="A1980" s="792"/>
      <c r="B1980" s="507"/>
      <c r="C1980" s="1012" t="s">
        <v>14</v>
      </c>
      <c r="D1980" s="1218"/>
      <c r="E1980" s="1000" t="s">
        <v>15</v>
      </c>
      <c r="F1980" s="1220">
        <v>812.1</v>
      </c>
      <c r="G1980" s="1220">
        <v>854.7</v>
      </c>
      <c r="H1980" s="1220">
        <v>860.6</v>
      </c>
      <c r="I1980" s="1220">
        <v>854.7</v>
      </c>
      <c r="J1980" s="1220">
        <v>854.7</v>
      </c>
      <c r="K1980" s="901" t="s">
        <v>188</v>
      </c>
      <c r="L1980" s="897" t="s">
        <v>189</v>
      </c>
      <c r="M1980" s="454"/>
      <c r="N1980" s="454"/>
      <c r="O1980" s="454"/>
      <c r="P1980" s="454"/>
      <c r="Q1980" s="454"/>
    </row>
    <row r="1981" spans="1:17" ht="30" x14ac:dyDescent="0.25">
      <c r="A1981" s="792"/>
      <c r="B1981" s="507"/>
      <c r="C1981" s="1012" t="s">
        <v>16</v>
      </c>
      <c r="D1981" s="1218"/>
      <c r="E1981" s="998" t="s">
        <v>17</v>
      </c>
      <c r="F1981" s="1220">
        <v>7074.2</v>
      </c>
      <c r="G1981" s="1220">
        <v>8421.5</v>
      </c>
      <c r="H1981" s="1220">
        <v>8663.5</v>
      </c>
      <c r="I1981" s="1220">
        <v>8376.7000000000007</v>
      </c>
      <c r="J1981" s="1220">
        <v>8376.7000000000007</v>
      </c>
      <c r="K1981" s="901" t="s">
        <v>2771</v>
      </c>
      <c r="L1981" s="897" t="s">
        <v>182</v>
      </c>
      <c r="M1981" s="454"/>
      <c r="N1981" s="454"/>
      <c r="O1981" s="454"/>
      <c r="P1981" s="454"/>
      <c r="Q1981" s="454"/>
    </row>
    <row r="1982" spans="1:17" ht="87.75" x14ac:dyDescent="0.25">
      <c r="A1982" s="805">
        <v>85</v>
      </c>
      <c r="B1982" s="816">
        <v>6</v>
      </c>
      <c r="C1982" s="896"/>
      <c r="D1982" s="325"/>
      <c r="E1982" s="1051" t="s">
        <v>2814</v>
      </c>
      <c r="F1982" s="717">
        <v>80822.600000000006</v>
      </c>
      <c r="G1982" s="717">
        <v>79005</v>
      </c>
      <c r="H1982" s="717">
        <f>SUM(H1983:H1984)</f>
        <v>81865.7</v>
      </c>
      <c r="I1982" s="717">
        <v>80076.399999999994</v>
      </c>
      <c r="J1982" s="717">
        <v>81374.2</v>
      </c>
      <c r="K1982" s="1026" t="s">
        <v>2772</v>
      </c>
      <c r="L1982" s="897"/>
      <c r="M1982" s="1105">
        <v>1</v>
      </c>
      <c r="N1982" s="1105">
        <v>1</v>
      </c>
      <c r="O1982" s="1105">
        <v>1</v>
      </c>
      <c r="P1982" s="1105">
        <v>1</v>
      </c>
      <c r="Q1982" s="1105">
        <v>1</v>
      </c>
    </row>
    <row r="1983" spans="1:17" x14ac:dyDescent="0.25">
      <c r="A1983" s="805"/>
      <c r="B1983" s="816"/>
      <c r="C1983" s="896" t="s">
        <v>6</v>
      </c>
      <c r="D1983" s="325"/>
      <c r="E1983" s="998" t="s">
        <v>2773</v>
      </c>
      <c r="F1983" s="1220">
        <v>69135.600000000006</v>
      </c>
      <c r="G1983" s="1220">
        <v>67567.5</v>
      </c>
      <c r="H1983" s="1220">
        <v>71086.8</v>
      </c>
      <c r="I1983" s="1220">
        <v>68471.7</v>
      </c>
      <c r="J1983" s="1220">
        <v>69558.8</v>
      </c>
      <c r="K1983" s="901" t="s">
        <v>2774</v>
      </c>
      <c r="L1983" s="897" t="s">
        <v>182</v>
      </c>
      <c r="M1983" s="897">
        <v>90</v>
      </c>
      <c r="N1983" s="897">
        <v>90</v>
      </c>
      <c r="O1983" s="897">
        <v>90</v>
      </c>
      <c r="P1983" s="897">
        <v>90</v>
      </c>
      <c r="Q1983" s="897">
        <v>90</v>
      </c>
    </row>
    <row r="1984" spans="1:17" ht="30" x14ac:dyDescent="0.25">
      <c r="A1984" s="805"/>
      <c r="B1984" s="816"/>
      <c r="C1984" s="896" t="s">
        <v>8</v>
      </c>
      <c r="D1984" s="325"/>
      <c r="E1984" s="998" t="s">
        <v>2775</v>
      </c>
      <c r="F1984" s="1220">
        <v>11687</v>
      </c>
      <c r="G1984" s="1220">
        <v>11437.5</v>
      </c>
      <c r="H1984" s="1220">
        <v>10778.9</v>
      </c>
      <c r="I1984" s="1220">
        <v>11604.7</v>
      </c>
      <c r="J1984" s="1220">
        <v>11815.4</v>
      </c>
      <c r="K1984" s="901" t="s">
        <v>2776</v>
      </c>
      <c r="L1984" s="897" t="s">
        <v>182</v>
      </c>
      <c r="M1984" s="897">
        <v>95</v>
      </c>
      <c r="N1984" s="895">
        <v>95</v>
      </c>
      <c r="O1984" s="895">
        <v>95</v>
      </c>
      <c r="P1984" s="895">
        <v>95</v>
      </c>
      <c r="Q1984" s="895">
        <v>95</v>
      </c>
    </row>
    <row r="1985" spans="1:17" ht="87.75" x14ac:dyDescent="0.25">
      <c r="A1985" s="805">
        <v>85</v>
      </c>
      <c r="B1985" s="816">
        <v>7</v>
      </c>
      <c r="C1985" s="896"/>
      <c r="D1985" s="325"/>
      <c r="E1985" s="1051" t="s">
        <v>2777</v>
      </c>
      <c r="F1985" s="717">
        <v>5165.3</v>
      </c>
      <c r="G1985" s="717">
        <v>6488.3</v>
      </c>
      <c r="H1985" s="717">
        <f>SUM(H1986:H1987)</f>
        <v>3529.9</v>
      </c>
      <c r="I1985" s="717">
        <v>6800.3</v>
      </c>
      <c r="J1985" s="717">
        <v>6862.9</v>
      </c>
      <c r="K1985" s="1026" t="s">
        <v>2778</v>
      </c>
      <c r="L1985" s="897"/>
      <c r="M1985" s="1105">
        <v>1</v>
      </c>
      <c r="N1985" s="1105">
        <v>1</v>
      </c>
      <c r="O1985" s="1105">
        <v>1</v>
      </c>
      <c r="P1985" s="1105">
        <v>1</v>
      </c>
      <c r="Q1985" s="1105">
        <v>1</v>
      </c>
    </row>
    <row r="1986" spans="1:17" x14ac:dyDescent="0.25">
      <c r="A1986" s="805"/>
      <c r="B1986" s="816"/>
      <c r="C1986" s="896" t="s">
        <v>6</v>
      </c>
      <c r="D1986" s="325"/>
      <c r="E1986" s="998" t="s">
        <v>2779</v>
      </c>
      <c r="F1986" s="1220">
        <v>5165.3</v>
      </c>
      <c r="G1986" s="1220">
        <v>6488.3</v>
      </c>
      <c r="H1986" s="1220">
        <v>3529.9</v>
      </c>
      <c r="I1986" s="1220">
        <v>6800.3</v>
      </c>
      <c r="J1986" s="1220">
        <v>6862.9</v>
      </c>
      <c r="K1986" s="901" t="s">
        <v>2780</v>
      </c>
      <c r="L1986" s="897" t="s">
        <v>182</v>
      </c>
      <c r="M1986" s="897">
        <v>80</v>
      </c>
      <c r="N1986" s="897">
        <v>80</v>
      </c>
      <c r="O1986" s="897">
        <v>80</v>
      </c>
      <c r="P1986" s="897">
        <v>80</v>
      </c>
      <c r="Q1986" s="897">
        <v>80</v>
      </c>
    </row>
    <row r="1987" spans="1:17" ht="30" x14ac:dyDescent="0.25">
      <c r="A1987" s="805"/>
      <c r="B1987" s="816"/>
      <c r="C1987" s="896" t="s">
        <v>8</v>
      </c>
      <c r="D1987" s="325"/>
      <c r="E1987" s="998" t="s">
        <v>2781</v>
      </c>
      <c r="F1987" s="1220"/>
      <c r="G1987" s="1220"/>
      <c r="H1987" s="1220"/>
      <c r="I1987" s="1220"/>
      <c r="J1987" s="1220"/>
      <c r="K1987" s="901" t="s">
        <v>2782</v>
      </c>
      <c r="L1987" s="897"/>
      <c r="M1987" s="897"/>
      <c r="N1987" s="895"/>
      <c r="O1987" s="895"/>
      <c r="P1987" s="895"/>
      <c r="Q1987" s="895"/>
    </row>
    <row r="1988" spans="1:17" ht="22.5" customHeight="1" x14ac:dyDescent="0.25">
      <c r="A1988" s="1876" t="s">
        <v>2783</v>
      </c>
      <c r="B1988" s="1876"/>
      <c r="C1988" s="1876"/>
      <c r="D1988" s="1876"/>
      <c r="E1988" s="1877"/>
      <c r="F1988" s="46">
        <v>100028.20000000001</v>
      </c>
      <c r="G1988" s="46">
        <v>101472.90000000001</v>
      </c>
      <c r="H1988" s="46">
        <f>SUM(H1975+H1982+H1985)</f>
        <v>104689.19999999998</v>
      </c>
      <c r="I1988" s="46">
        <v>102811.4</v>
      </c>
      <c r="J1988" s="46">
        <v>104171.79999999999</v>
      </c>
      <c r="K1988" s="16"/>
      <c r="L1988" s="958"/>
      <c r="M1988" s="958"/>
      <c r="N1988" s="958"/>
      <c r="O1988" s="958"/>
      <c r="P1988" s="958"/>
      <c r="Q1988" s="958"/>
    </row>
    <row r="1989" spans="1:17" ht="15.75" thickBot="1" x14ac:dyDescent="0.3">
      <c r="A1989" s="1878" t="s">
        <v>2784</v>
      </c>
      <c r="B1989" s="1879"/>
      <c r="C1989" s="1879"/>
      <c r="D1989" s="1879"/>
      <c r="E1989" s="1879"/>
      <c r="F1989" s="1879"/>
      <c r="G1989" s="1879"/>
      <c r="H1989" s="1879"/>
      <c r="I1989" s="1879"/>
      <c r="J1989" s="1879"/>
      <c r="K1989" s="1879"/>
      <c r="L1989" s="1879"/>
      <c r="M1989" s="1879"/>
      <c r="N1989" s="1879"/>
      <c r="O1989" s="1879"/>
      <c r="P1989" s="1879"/>
      <c r="Q1989" s="1880"/>
    </row>
    <row r="1990" spans="1:17" ht="59.25" x14ac:dyDescent="0.25">
      <c r="A1990" s="1746">
        <v>86</v>
      </c>
      <c r="B1990" s="1747">
        <v>1</v>
      </c>
      <c r="C1990" s="440"/>
      <c r="D1990" s="217"/>
      <c r="E1990" s="223" t="s">
        <v>2906</v>
      </c>
      <c r="F1990" s="241">
        <v>20276.8</v>
      </c>
      <c r="G1990" s="241">
        <v>14819.5</v>
      </c>
      <c r="H1990" s="241">
        <f>SUM(H1991:H1995)</f>
        <v>15383.199999999999</v>
      </c>
      <c r="I1990" s="241">
        <v>15611.3</v>
      </c>
      <c r="J1990" s="241">
        <v>16315.8</v>
      </c>
      <c r="K1990" s="1748" t="s">
        <v>181</v>
      </c>
      <c r="L1990" s="168" t="s">
        <v>182</v>
      </c>
      <c r="M1990" s="168">
        <v>33.700000000000003</v>
      </c>
      <c r="N1990" s="168">
        <v>33.700000000000003</v>
      </c>
      <c r="O1990" s="168">
        <v>33.700000000000003</v>
      </c>
      <c r="P1990" s="168">
        <v>33.700000000000003</v>
      </c>
      <c r="Q1990" s="168">
        <v>33.700000000000003</v>
      </c>
    </row>
    <row r="1991" spans="1:17" x14ac:dyDescent="0.25">
      <c r="A1991" s="1749"/>
      <c r="B1991" s="1750"/>
      <c r="C1991" s="1749">
        <v>1</v>
      </c>
      <c r="D1991" s="217"/>
      <c r="E1991" s="1751" t="s">
        <v>7</v>
      </c>
      <c r="F1991" s="167">
        <v>1020</v>
      </c>
      <c r="G1991" s="167">
        <v>2510.6999999999998</v>
      </c>
      <c r="H1991" s="167">
        <v>2488.9</v>
      </c>
      <c r="I1991" s="167">
        <v>2686.4</v>
      </c>
      <c r="J1991" s="167">
        <v>2834.7</v>
      </c>
      <c r="K1991" s="225" t="s">
        <v>183</v>
      </c>
      <c r="L1991" s="169" t="s">
        <v>184</v>
      </c>
      <c r="M1991" s="169">
        <v>0.92</v>
      </c>
      <c r="N1991" s="169">
        <v>0.92</v>
      </c>
      <c r="O1991" s="169">
        <v>0.92</v>
      </c>
      <c r="P1991" s="169">
        <v>0.92</v>
      </c>
      <c r="Q1991" s="169">
        <v>0.92</v>
      </c>
    </row>
    <row r="1992" spans="1:17" x14ac:dyDescent="0.25">
      <c r="A1992" s="1749"/>
      <c r="B1992" s="1752"/>
      <c r="C1992" s="441">
        <v>2</v>
      </c>
      <c r="D1992" s="217"/>
      <c r="E1992" s="1753" t="s">
        <v>9</v>
      </c>
      <c r="F1992" s="450">
        <v>18676.8</v>
      </c>
      <c r="G1992" s="450">
        <v>9049</v>
      </c>
      <c r="H1992" s="450">
        <v>9613.9</v>
      </c>
      <c r="I1992" s="450">
        <v>9634.5</v>
      </c>
      <c r="J1992" s="450">
        <v>10180.700000000001</v>
      </c>
      <c r="K1992" s="225" t="s">
        <v>185</v>
      </c>
      <c r="L1992" s="169" t="s">
        <v>182</v>
      </c>
      <c r="M1992" s="169">
        <v>100</v>
      </c>
      <c r="N1992" s="169">
        <v>100</v>
      </c>
      <c r="O1992" s="169">
        <v>100</v>
      </c>
      <c r="P1992" s="169">
        <v>100</v>
      </c>
      <c r="Q1992" s="169">
        <v>100</v>
      </c>
    </row>
    <row r="1993" spans="1:17" ht="30" x14ac:dyDescent="0.25">
      <c r="A1993" s="1749"/>
      <c r="B1993" s="1752"/>
      <c r="C1993" s="441">
        <v>3</v>
      </c>
      <c r="D1993" s="217"/>
      <c r="E1993" s="1753" t="s">
        <v>11</v>
      </c>
      <c r="F1993" s="167">
        <v>240</v>
      </c>
      <c r="G1993" s="167">
        <v>422.1</v>
      </c>
      <c r="H1993" s="167">
        <v>675</v>
      </c>
      <c r="I1993" s="167">
        <v>685</v>
      </c>
      <c r="J1993" s="167">
        <v>695</v>
      </c>
      <c r="K1993" s="228" t="s">
        <v>186</v>
      </c>
      <c r="L1993" s="169" t="s">
        <v>182</v>
      </c>
      <c r="M1993" s="169"/>
      <c r="N1993" s="169"/>
      <c r="O1993" s="169"/>
      <c r="P1993" s="169"/>
      <c r="Q1993" s="169"/>
    </row>
    <row r="1994" spans="1:17" ht="30" x14ac:dyDescent="0.25">
      <c r="A1994" s="1749"/>
      <c r="B1994" s="1752"/>
      <c r="C1994" s="441">
        <v>4</v>
      </c>
      <c r="D1994" s="217"/>
      <c r="E1994" s="1753" t="s">
        <v>13</v>
      </c>
      <c r="F1994" s="167">
        <v>220</v>
      </c>
      <c r="G1994" s="167">
        <v>798.9</v>
      </c>
      <c r="H1994" s="167">
        <v>798.9</v>
      </c>
      <c r="I1994" s="167">
        <v>798.9</v>
      </c>
      <c r="J1994" s="167">
        <v>798.9</v>
      </c>
      <c r="K1994" s="225" t="s">
        <v>187</v>
      </c>
      <c r="L1994" s="169" t="s">
        <v>423</v>
      </c>
      <c r="M1994" s="169"/>
      <c r="N1994" s="169"/>
      <c r="O1994" s="169"/>
      <c r="P1994" s="169"/>
      <c r="Q1994" s="169"/>
    </row>
    <row r="1995" spans="1:17" ht="30" x14ac:dyDescent="0.25">
      <c r="A1995" s="1749"/>
      <c r="B1995" s="1750"/>
      <c r="C1995" s="1233">
        <v>6</v>
      </c>
      <c r="D1995" s="217"/>
      <c r="E1995" s="224" t="s">
        <v>17</v>
      </c>
      <c r="F1995" s="167">
        <v>120</v>
      </c>
      <c r="G1995" s="167">
        <v>2038.8</v>
      </c>
      <c r="H1995" s="167">
        <v>1806.5</v>
      </c>
      <c r="I1995" s="167">
        <v>1806.5</v>
      </c>
      <c r="J1995" s="167">
        <v>1806.5</v>
      </c>
      <c r="K1995" s="225" t="s">
        <v>259</v>
      </c>
      <c r="L1995" s="169" t="s">
        <v>182</v>
      </c>
      <c r="M1995" s="169">
        <v>16</v>
      </c>
      <c r="N1995" s="169">
        <v>16</v>
      </c>
      <c r="O1995" s="169">
        <v>16</v>
      </c>
      <c r="P1995" s="169">
        <v>16</v>
      </c>
      <c r="Q1995" s="169">
        <v>16</v>
      </c>
    </row>
    <row r="1996" spans="1:17" ht="58.5" x14ac:dyDescent="0.25">
      <c r="A1996" s="1754">
        <v>86</v>
      </c>
      <c r="B1996" s="1755">
        <v>2</v>
      </c>
      <c r="C1996" s="1756"/>
      <c r="D1996" s="1757"/>
      <c r="E1996" s="232" t="s">
        <v>2785</v>
      </c>
      <c r="F1996" s="233">
        <v>20081</v>
      </c>
      <c r="G1996" s="233">
        <v>25843.8</v>
      </c>
      <c r="H1996" s="233">
        <f>H1997</f>
        <v>27787.1</v>
      </c>
      <c r="I1996" s="233">
        <v>25624.799999999999</v>
      </c>
      <c r="J1996" s="233">
        <v>25496</v>
      </c>
      <c r="K1996" s="224" t="s">
        <v>2786</v>
      </c>
      <c r="L1996" s="224" t="s">
        <v>182</v>
      </c>
      <c r="M1996" s="224">
        <v>100</v>
      </c>
      <c r="N1996" s="224">
        <v>100</v>
      </c>
      <c r="O1996" s="224">
        <v>100</v>
      </c>
      <c r="P1996" s="224">
        <v>100</v>
      </c>
      <c r="Q1996" s="224">
        <v>100</v>
      </c>
    </row>
    <row r="1997" spans="1:17" x14ac:dyDescent="0.25">
      <c r="A1997" s="1758"/>
      <c r="B1997" s="1251"/>
      <c r="C1997" s="1756" t="s">
        <v>6</v>
      </c>
      <c r="D1997" s="1757"/>
      <c r="E1997" s="224" t="s">
        <v>2787</v>
      </c>
      <c r="F1997" s="1676">
        <v>20081</v>
      </c>
      <c r="G1997" s="1676">
        <v>25843.8</v>
      </c>
      <c r="H1997" s="167">
        <f>25687.1+2100</f>
        <v>27787.1</v>
      </c>
      <c r="I1997" s="167">
        <v>25624.799999999999</v>
      </c>
      <c r="J1997" s="167">
        <v>25496</v>
      </c>
      <c r="K1997" s="224" t="s">
        <v>2788</v>
      </c>
      <c r="L1997" s="224" t="s">
        <v>238</v>
      </c>
      <c r="M1997" s="224">
        <v>9300</v>
      </c>
      <c r="N1997" s="1759">
        <v>9500</v>
      </c>
      <c r="O1997" s="1759">
        <v>9500</v>
      </c>
      <c r="P1997" s="1759">
        <v>9500</v>
      </c>
      <c r="Q1997" s="1759">
        <v>9500</v>
      </c>
    </row>
    <row r="1998" spans="1:17" ht="34.5" customHeight="1" x14ac:dyDescent="0.25">
      <c r="A1998" s="1840" t="s">
        <v>2789</v>
      </c>
      <c r="B1998" s="1841"/>
      <c r="C1998" s="1881"/>
      <c r="D1998" s="1881"/>
      <c r="E1998" s="1881"/>
      <c r="F1998" s="1760">
        <v>40357.800000000003</v>
      </c>
      <c r="G1998" s="1760">
        <v>40663.300000000003</v>
      </c>
      <c r="H1998" s="1760">
        <f>H1990+H1996</f>
        <v>43170.299999999996</v>
      </c>
      <c r="I1998" s="1760">
        <v>41236.1</v>
      </c>
      <c r="J1998" s="1760">
        <v>41811.800000000003</v>
      </c>
      <c r="K1998" s="16"/>
      <c r="L1998" s="958"/>
      <c r="M1998" s="958"/>
      <c r="N1998" s="958"/>
      <c r="O1998" s="958"/>
      <c r="P1998" s="958"/>
      <c r="Q1998" s="958"/>
    </row>
    <row r="1999" spans="1:17" x14ac:dyDescent="0.25">
      <c r="A1999" s="1826" t="s">
        <v>2790</v>
      </c>
      <c r="B1999" s="1827"/>
      <c r="C1999" s="1827"/>
      <c r="D1999" s="1827"/>
      <c r="E1999" s="1827"/>
      <c r="F1999" s="1827"/>
      <c r="G1999" s="1827"/>
      <c r="H1999" s="1827"/>
      <c r="I1999" s="1827"/>
      <c r="J1999" s="1827"/>
      <c r="K1999" s="1827"/>
      <c r="L1999" s="1827"/>
      <c r="M1999" s="1827"/>
      <c r="N1999" s="1827"/>
      <c r="O1999" s="1827"/>
      <c r="P1999" s="1827"/>
      <c r="Q1999" s="1828"/>
    </row>
    <row r="2000" spans="1:17" ht="73.5" x14ac:dyDescent="0.25">
      <c r="A2000" s="1761">
        <v>87</v>
      </c>
      <c r="B2000" s="1762">
        <v>1</v>
      </c>
      <c r="C2000" s="1763"/>
      <c r="D2000" s="1764"/>
      <c r="E2000" s="1765" t="s">
        <v>2907</v>
      </c>
      <c r="F2000" s="1766"/>
      <c r="G2000" s="1767">
        <v>2295.5</v>
      </c>
      <c r="H2000" s="1767">
        <v>3296.9</v>
      </c>
      <c r="I2000" s="1767">
        <v>3296.9</v>
      </c>
      <c r="J2000" s="1767">
        <v>3296.9</v>
      </c>
      <c r="K2000" s="1768" t="s">
        <v>183</v>
      </c>
      <c r="L2000" s="1769"/>
      <c r="M2000" s="1770"/>
      <c r="N2000" s="1769"/>
      <c r="O2000" s="1770"/>
      <c r="P2000" s="1770"/>
      <c r="Q2000" s="1771"/>
    </row>
    <row r="2001" spans="1:17" x14ac:dyDescent="0.25">
      <c r="A2001" s="1772"/>
      <c r="B2001" s="1773"/>
      <c r="C2001" s="1763" t="s">
        <v>6</v>
      </c>
      <c r="D2001" s="1764"/>
      <c r="E2001" s="1774" t="s">
        <v>7</v>
      </c>
      <c r="F2001" s="1766"/>
      <c r="G2001" s="1766">
        <v>850</v>
      </c>
      <c r="H2001" s="1766">
        <v>1100</v>
      </c>
      <c r="I2001" s="1766">
        <v>1100</v>
      </c>
      <c r="J2001" s="1766">
        <v>1100</v>
      </c>
      <c r="K2001" s="1774"/>
      <c r="L2001" s="1769" t="s">
        <v>182</v>
      </c>
      <c r="M2001" s="1770"/>
      <c r="N2001" s="1769">
        <v>100</v>
      </c>
      <c r="O2001" s="1769">
        <v>100</v>
      </c>
      <c r="P2001" s="1769">
        <v>100</v>
      </c>
      <c r="Q2001" s="1775">
        <v>100</v>
      </c>
    </row>
    <row r="2002" spans="1:17" x14ac:dyDescent="0.25">
      <c r="A2002" s="1776"/>
      <c r="B2002" s="1777"/>
      <c r="C2002" s="1763" t="s">
        <v>8</v>
      </c>
      <c r="D2002" s="1768"/>
      <c r="E2002" s="1768" t="s">
        <v>9</v>
      </c>
      <c r="F2002" s="1766"/>
      <c r="G2002" s="1766">
        <v>450</v>
      </c>
      <c r="H2002" s="1766">
        <v>800</v>
      </c>
      <c r="I2002" s="1766">
        <v>800</v>
      </c>
      <c r="J2002" s="1766">
        <v>800</v>
      </c>
      <c r="K2002" s="1768" t="s">
        <v>185</v>
      </c>
      <c r="L2002" s="1157" t="s">
        <v>182</v>
      </c>
      <c r="M2002" s="1157"/>
      <c r="N2002" s="1157">
        <v>100</v>
      </c>
      <c r="O2002" s="1157">
        <v>100</v>
      </c>
      <c r="P2002" s="1157">
        <v>100</v>
      </c>
      <c r="Q2002" s="1778">
        <v>100</v>
      </c>
    </row>
    <row r="2003" spans="1:17" x14ac:dyDescent="0.25">
      <c r="A2003" s="1776"/>
      <c r="B2003" s="1777"/>
      <c r="C2003" s="1763" t="s">
        <v>16</v>
      </c>
      <c r="D2003" s="1768"/>
      <c r="E2003" s="1779" t="s">
        <v>17</v>
      </c>
      <c r="F2003" s="1766"/>
      <c r="G2003" s="1766">
        <v>995.5</v>
      </c>
      <c r="H2003" s="1766">
        <v>1396.9</v>
      </c>
      <c r="I2003" s="1766">
        <v>1396.9</v>
      </c>
      <c r="J2003" s="1766">
        <v>1396.9</v>
      </c>
      <c r="K2003" s="1157" t="s">
        <v>2791</v>
      </c>
      <c r="L2003" s="1157" t="s">
        <v>182</v>
      </c>
      <c r="M2003" s="1157"/>
      <c r="N2003" s="1157">
        <v>100</v>
      </c>
      <c r="O2003" s="1157">
        <v>100</v>
      </c>
      <c r="P2003" s="1157">
        <v>100</v>
      </c>
      <c r="Q2003" s="1778">
        <v>100</v>
      </c>
    </row>
    <row r="2004" spans="1:17" ht="85.5" x14ac:dyDescent="0.25">
      <c r="A2004" s="1843">
        <v>87</v>
      </c>
      <c r="B2004" s="1845">
        <v>2</v>
      </c>
      <c r="C2004" s="1847"/>
      <c r="D2004" s="1849"/>
      <c r="E2004" s="1780" t="s">
        <v>2792</v>
      </c>
      <c r="F2004" s="1851"/>
      <c r="G2004" s="1853">
        <v>12028.9</v>
      </c>
      <c r="H2004" s="1853">
        <v>15750</v>
      </c>
      <c r="I2004" s="1853">
        <v>15750</v>
      </c>
      <c r="J2004" s="1853">
        <v>15750</v>
      </c>
      <c r="K2004" s="1855"/>
      <c r="L2004" s="1855"/>
      <c r="M2004" s="1855"/>
      <c r="N2004" s="1857"/>
      <c r="O2004" s="1855"/>
      <c r="P2004" s="1855"/>
      <c r="Q2004" s="1859"/>
    </row>
    <row r="2005" spans="1:17" ht="60" x14ac:dyDescent="0.25">
      <c r="A2005" s="1844"/>
      <c r="B2005" s="1846"/>
      <c r="C2005" s="1848"/>
      <c r="D2005" s="1850"/>
      <c r="E2005" s="1781" t="s">
        <v>2908</v>
      </c>
      <c r="F2005" s="1852"/>
      <c r="G2005" s="1854"/>
      <c r="H2005" s="1854"/>
      <c r="I2005" s="1854"/>
      <c r="J2005" s="1854"/>
      <c r="K2005" s="1856"/>
      <c r="L2005" s="1856"/>
      <c r="M2005" s="1856"/>
      <c r="N2005" s="1858"/>
      <c r="O2005" s="1856"/>
      <c r="P2005" s="1856"/>
      <c r="Q2005" s="1860"/>
    </row>
    <row r="2006" spans="1:17" x14ac:dyDescent="0.25">
      <c r="A2006" s="1772"/>
      <c r="B2006" s="1773"/>
      <c r="C2006" s="1763" t="s">
        <v>6</v>
      </c>
      <c r="D2006" s="1764"/>
      <c r="E2006" s="1782" t="s">
        <v>2793</v>
      </c>
      <c r="F2006" s="1766"/>
      <c r="G2006" s="1766">
        <v>5800</v>
      </c>
      <c r="H2006" s="1766">
        <v>7247.9750000000004</v>
      </c>
      <c r="I2006" s="1766">
        <v>6800</v>
      </c>
      <c r="J2006" s="1766">
        <v>6800</v>
      </c>
      <c r="K2006" s="1157" t="s">
        <v>2794</v>
      </c>
      <c r="L2006" s="287" t="s">
        <v>189</v>
      </c>
      <c r="M2006" s="287"/>
      <c r="N2006" s="287">
        <v>30000</v>
      </c>
      <c r="O2006" s="287">
        <v>50000</v>
      </c>
      <c r="P2006" s="287">
        <v>50000</v>
      </c>
      <c r="Q2006" s="1783">
        <v>50000</v>
      </c>
    </row>
    <row r="2007" spans="1:17" ht="45" x14ac:dyDescent="0.25">
      <c r="A2007" s="1784"/>
      <c r="B2007" s="1785"/>
      <c r="C2007" s="1763" t="s">
        <v>8</v>
      </c>
      <c r="D2007" s="1770"/>
      <c r="E2007" s="1774" t="s">
        <v>2795</v>
      </c>
      <c r="F2007" s="1766"/>
      <c r="G2007" s="1766">
        <v>2000</v>
      </c>
      <c r="H2007" s="1766">
        <v>2700</v>
      </c>
      <c r="I2007" s="1766">
        <v>2700</v>
      </c>
      <c r="J2007" s="1766">
        <v>2700</v>
      </c>
      <c r="K2007" s="1786" t="s">
        <v>2796</v>
      </c>
      <c r="L2007" s="1769" t="s">
        <v>189</v>
      </c>
      <c r="M2007" s="1787"/>
      <c r="N2007" s="1788">
        <v>25000</v>
      </c>
      <c r="O2007" s="1788">
        <v>25000</v>
      </c>
      <c r="P2007" s="1788">
        <v>25000</v>
      </c>
      <c r="Q2007" s="1789">
        <v>25000</v>
      </c>
    </row>
    <row r="2008" spans="1:17" ht="30" x14ac:dyDescent="0.25">
      <c r="A2008" s="1784"/>
      <c r="B2008" s="1785"/>
      <c r="C2008" s="1763" t="s">
        <v>10</v>
      </c>
      <c r="D2008" s="1770"/>
      <c r="E2008" s="1790" t="s">
        <v>2797</v>
      </c>
      <c r="F2008" s="1766"/>
      <c r="G2008" s="1766">
        <v>1000</v>
      </c>
      <c r="H2008" s="1766">
        <v>1900</v>
      </c>
      <c r="I2008" s="1766">
        <v>1900</v>
      </c>
      <c r="J2008" s="1766">
        <v>1900</v>
      </c>
      <c r="K2008" s="1786" t="s">
        <v>2798</v>
      </c>
      <c r="L2008" s="1769" t="s">
        <v>189</v>
      </c>
      <c r="M2008" s="1787"/>
      <c r="N2008" s="1195">
        <v>10000</v>
      </c>
      <c r="O2008" s="212">
        <v>20000</v>
      </c>
      <c r="P2008" s="212">
        <v>20000</v>
      </c>
      <c r="Q2008" s="1791">
        <v>30000</v>
      </c>
    </row>
    <row r="2009" spans="1:17" ht="30" x14ac:dyDescent="0.25">
      <c r="A2009" s="1784"/>
      <c r="B2009" s="1785"/>
      <c r="C2009" s="1763" t="s">
        <v>12</v>
      </c>
      <c r="D2009" s="1770"/>
      <c r="E2009" s="1790" t="s">
        <v>2799</v>
      </c>
      <c r="F2009" s="1766"/>
      <c r="G2009" s="1766">
        <v>1500</v>
      </c>
      <c r="H2009" s="1766">
        <v>1752.0250000000001</v>
      </c>
      <c r="I2009" s="1766">
        <v>2200</v>
      </c>
      <c r="J2009" s="1766">
        <v>2200</v>
      </c>
      <c r="K2009" s="211" t="s">
        <v>2800</v>
      </c>
      <c r="L2009" s="287" t="s">
        <v>189</v>
      </c>
      <c r="M2009" s="211"/>
      <c r="N2009" s="1416">
        <v>1</v>
      </c>
      <c r="O2009" s="1416">
        <v>2</v>
      </c>
      <c r="P2009" s="1416">
        <v>2</v>
      </c>
      <c r="Q2009" s="1792">
        <v>2</v>
      </c>
    </row>
    <row r="2010" spans="1:17" ht="45" x14ac:dyDescent="0.25">
      <c r="A2010" s="1784"/>
      <c r="B2010" s="1785"/>
      <c r="C2010" s="1763" t="s">
        <v>14</v>
      </c>
      <c r="D2010" s="1770"/>
      <c r="E2010" s="1790" t="s">
        <v>2801</v>
      </c>
      <c r="F2010" s="1766"/>
      <c r="G2010" s="1766">
        <v>828.9</v>
      </c>
      <c r="H2010" s="1766">
        <v>1000</v>
      </c>
      <c r="I2010" s="1766">
        <v>1000</v>
      </c>
      <c r="J2010" s="1766">
        <v>1000</v>
      </c>
      <c r="K2010" s="211" t="s">
        <v>2802</v>
      </c>
      <c r="L2010" s="287" t="s">
        <v>182</v>
      </c>
      <c r="M2010" s="211"/>
      <c r="N2010" s="212">
        <v>80</v>
      </c>
      <c r="O2010" s="212">
        <v>100</v>
      </c>
      <c r="P2010" s="212">
        <v>100</v>
      </c>
      <c r="Q2010" s="1791">
        <v>100</v>
      </c>
    </row>
    <row r="2011" spans="1:17" ht="45" x14ac:dyDescent="0.25">
      <c r="A2011" s="1784"/>
      <c r="B2011" s="1785"/>
      <c r="C2011" s="1763" t="s">
        <v>16</v>
      </c>
      <c r="D2011" s="1770"/>
      <c r="E2011" s="1774" t="s">
        <v>2803</v>
      </c>
      <c r="F2011" s="1766"/>
      <c r="G2011" s="1766">
        <v>600</v>
      </c>
      <c r="H2011" s="1766">
        <v>800</v>
      </c>
      <c r="I2011" s="1766">
        <v>800</v>
      </c>
      <c r="J2011" s="1766">
        <v>800</v>
      </c>
      <c r="K2011" s="1418" t="s">
        <v>2794</v>
      </c>
      <c r="L2011" s="1258" t="s">
        <v>189</v>
      </c>
      <c r="M2011" s="1793"/>
      <c r="N2011" s="1793">
        <v>20000</v>
      </c>
      <c r="O2011" s="1793">
        <v>50000</v>
      </c>
      <c r="P2011" s="1793">
        <v>50000</v>
      </c>
      <c r="Q2011" s="1794">
        <v>50000</v>
      </c>
    </row>
    <row r="2012" spans="1:17" ht="30" x14ac:dyDescent="0.25">
      <c r="A2012" s="1784"/>
      <c r="B2012" s="1785"/>
      <c r="C2012" s="1763" t="s">
        <v>48</v>
      </c>
      <c r="D2012" s="1770"/>
      <c r="E2012" s="1774" t="s">
        <v>2804</v>
      </c>
      <c r="F2012" s="1766"/>
      <c r="G2012" s="1766">
        <v>300</v>
      </c>
      <c r="H2012" s="1766">
        <v>350</v>
      </c>
      <c r="I2012" s="1766">
        <v>350</v>
      </c>
      <c r="J2012" s="1766">
        <v>350</v>
      </c>
      <c r="K2012" s="1795" t="s">
        <v>2805</v>
      </c>
      <c r="L2012" s="922" t="s">
        <v>182</v>
      </c>
      <c r="M2012" s="1796"/>
      <c r="N2012" s="1796">
        <v>60</v>
      </c>
      <c r="O2012" s="1796">
        <v>75</v>
      </c>
      <c r="P2012" s="1796">
        <v>100</v>
      </c>
      <c r="Q2012" s="1797">
        <v>100</v>
      </c>
    </row>
    <row r="2013" spans="1:17" ht="37.5" customHeight="1" x14ac:dyDescent="0.25">
      <c r="A2013" s="1840" t="s">
        <v>2806</v>
      </c>
      <c r="B2013" s="1841"/>
      <c r="C2013" s="1841"/>
      <c r="D2013" s="1841"/>
      <c r="E2013" s="1842"/>
      <c r="F2013" s="1294">
        <v>0</v>
      </c>
      <c r="G2013" s="1294">
        <v>14324.4</v>
      </c>
      <c r="H2013" s="1294">
        <v>19046.900000000001</v>
      </c>
      <c r="I2013" s="1294">
        <v>19046.900000000001</v>
      </c>
      <c r="J2013" s="1294">
        <v>19046.900000000001</v>
      </c>
      <c r="K2013" s="1486"/>
      <c r="L2013" s="24"/>
      <c r="M2013" s="1798"/>
      <c r="N2013" s="1798"/>
      <c r="O2013" s="1798"/>
      <c r="P2013" s="1798"/>
      <c r="Q2013" s="1798"/>
    </row>
    <row r="2014" spans="1:17" x14ac:dyDescent="0.25">
      <c r="A2014" s="1826" t="s">
        <v>2807</v>
      </c>
      <c r="B2014" s="1827"/>
      <c r="C2014" s="1827"/>
      <c r="D2014" s="1827"/>
      <c r="E2014" s="1827"/>
      <c r="F2014" s="1827"/>
      <c r="G2014" s="1827"/>
      <c r="H2014" s="1827"/>
      <c r="I2014" s="1827"/>
      <c r="J2014" s="1827"/>
      <c r="K2014" s="1827"/>
      <c r="L2014" s="1827"/>
      <c r="M2014" s="1827"/>
      <c r="N2014" s="1827"/>
      <c r="O2014" s="1827"/>
      <c r="P2014" s="1827"/>
      <c r="Q2014" s="1828"/>
    </row>
    <row r="2015" spans="1:17" ht="73.5" x14ac:dyDescent="0.25">
      <c r="A2015" s="1761">
        <v>87</v>
      </c>
      <c r="B2015" s="1762">
        <v>1</v>
      </c>
      <c r="C2015" s="1763"/>
      <c r="D2015" s="1764"/>
      <c r="E2015" s="1765" t="s">
        <v>2815</v>
      </c>
      <c r="F2015" s="1766"/>
      <c r="G2015" s="1767"/>
      <c r="H2015" s="1767">
        <f>H2016+H2017</f>
        <v>2520.8000000000002</v>
      </c>
      <c r="I2015" s="1767">
        <f t="shared" ref="I2015:J2015" si="2">I2016+I2017</f>
        <v>2520.8000000000002</v>
      </c>
      <c r="J2015" s="1767">
        <f t="shared" si="2"/>
        <v>2520.8000000000002</v>
      </c>
      <c r="K2015" s="1799" t="s">
        <v>183</v>
      </c>
      <c r="L2015" s="1769"/>
      <c r="M2015" s="1770"/>
      <c r="N2015" s="1769"/>
      <c r="O2015" s="1770"/>
      <c r="P2015" s="1770"/>
      <c r="Q2015" s="1771"/>
    </row>
    <row r="2016" spans="1:17" x14ac:dyDescent="0.25">
      <c r="A2016" s="1776"/>
      <c r="B2016" s="1777"/>
      <c r="C2016" s="1763" t="s">
        <v>8</v>
      </c>
      <c r="D2016" s="1768"/>
      <c r="E2016" s="1768" t="s">
        <v>9</v>
      </c>
      <c r="F2016" s="1766"/>
      <c r="G2016" s="1766"/>
      <c r="H2016" s="1766">
        <v>1977.6</v>
      </c>
      <c r="I2016" s="1766">
        <v>1977.6</v>
      </c>
      <c r="J2016" s="1766">
        <v>1977.6</v>
      </c>
      <c r="K2016" s="1799" t="s">
        <v>185</v>
      </c>
      <c r="L2016" s="1157" t="s">
        <v>182</v>
      </c>
      <c r="M2016" s="1157"/>
      <c r="N2016" s="1157">
        <v>100</v>
      </c>
      <c r="O2016" s="1157">
        <v>100</v>
      </c>
      <c r="P2016" s="1157">
        <v>100</v>
      </c>
      <c r="Q2016" s="1778">
        <v>100</v>
      </c>
    </row>
    <row r="2017" spans="1:17" ht="30" x14ac:dyDescent="0.25">
      <c r="A2017" s="1776"/>
      <c r="B2017" s="1777"/>
      <c r="C2017" s="1763" t="s">
        <v>10</v>
      </c>
      <c r="D2017" s="1768"/>
      <c r="E2017" s="1779" t="s">
        <v>11</v>
      </c>
      <c r="F2017" s="1766"/>
      <c r="G2017" s="1766"/>
      <c r="H2017" s="1766">
        <v>543.20000000000005</v>
      </c>
      <c r="I2017" s="1766">
        <v>543.20000000000005</v>
      </c>
      <c r="J2017" s="1766">
        <v>543.20000000000005</v>
      </c>
      <c r="K2017" s="1610" t="s">
        <v>186</v>
      </c>
      <c r="L2017" s="1157"/>
      <c r="M2017" s="1157"/>
      <c r="N2017" s="1157"/>
      <c r="O2017" s="1157"/>
      <c r="P2017" s="1157"/>
      <c r="Q2017" s="1778"/>
    </row>
    <row r="2018" spans="1:17" ht="42.75" x14ac:dyDescent="0.25">
      <c r="A2018" s="1843">
        <v>87</v>
      </c>
      <c r="B2018" s="1845">
        <v>2</v>
      </c>
      <c r="C2018" s="1847"/>
      <c r="D2018" s="1849"/>
      <c r="E2018" s="1780" t="s">
        <v>2808</v>
      </c>
      <c r="F2018" s="1851"/>
      <c r="G2018" s="1853"/>
      <c r="H2018" s="1853">
        <f>H2020</f>
        <v>11864.7</v>
      </c>
      <c r="I2018" s="1853">
        <f t="shared" ref="I2018:J2018" si="3">I2020</f>
        <v>11864.7</v>
      </c>
      <c r="J2018" s="1853">
        <f t="shared" si="3"/>
        <v>11864.7</v>
      </c>
      <c r="K2018" s="1855"/>
      <c r="L2018" s="1855"/>
      <c r="M2018" s="1855"/>
      <c r="N2018" s="1857"/>
      <c r="O2018" s="1855"/>
      <c r="P2018" s="1855"/>
      <c r="Q2018" s="1859"/>
    </row>
    <row r="2019" spans="1:17" ht="6.75" customHeight="1" x14ac:dyDescent="0.25">
      <c r="A2019" s="1844"/>
      <c r="B2019" s="1846"/>
      <c r="C2019" s="1848"/>
      <c r="D2019" s="1850"/>
      <c r="E2019" s="1781"/>
      <c r="F2019" s="1852"/>
      <c r="G2019" s="1854"/>
      <c r="H2019" s="1854"/>
      <c r="I2019" s="1854"/>
      <c r="J2019" s="1854"/>
      <c r="K2019" s="1856"/>
      <c r="L2019" s="1856"/>
      <c r="M2019" s="1856"/>
      <c r="N2019" s="1858"/>
      <c r="O2019" s="1856"/>
      <c r="P2019" s="1856"/>
      <c r="Q2019" s="1860"/>
    </row>
    <row r="2020" spans="1:17" ht="30" x14ac:dyDescent="0.25">
      <c r="A2020" s="1772"/>
      <c r="B2020" s="1773"/>
      <c r="C2020" s="1763" t="s">
        <v>6</v>
      </c>
      <c r="D2020" s="1764"/>
      <c r="E2020" s="1782" t="s">
        <v>2809</v>
      </c>
      <c r="F2020" s="1766"/>
      <c r="G2020" s="1766"/>
      <c r="H2020" s="1766">
        <v>11864.7</v>
      </c>
      <c r="I2020" s="1766">
        <v>11864.7</v>
      </c>
      <c r="J2020" s="1766">
        <v>11864.7</v>
      </c>
      <c r="K2020" s="1157" t="s">
        <v>2794</v>
      </c>
      <c r="L2020" s="287" t="s">
        <v>189</v>
      </c>
      <c r="M2020" s="287"/>
      <c r="N2020" s="287">
        <v>30000</v>
      </c>
      <c r="O2020" s="287">
        <v>50000</v>
      </c>
      <c r="P2020" s="287">
        <v>50000</v>
      </c>
      <c r="Q2020" s="1783">
        <v>50000</v>
      </c>
    </row>
    <row r="2021" spans="1:17" ht="24.75" customHeight="1" x14ac:dyDescent="0.25">
      <c r="A2021" s="1840" t="s">
        <v>2810</v>
      </c>
      <c r="B2021" s="1841"/>
      <c r="C2021" s="1841"/>
      <c r="D2021" s="1841"/>
      <c r="E2021" s="1842"/>
      <c r="F2021" s="1294">
        <v>0</v>
      </c>
      <c r="G2021" s="1294">
        <v>0</v>
      </c>
      <c r="H2021" s="1294">
        <f>H2015+H2018</f>
        <v>14385.5</v>
      </c>
      <c r="I2021" s="1294">
        <f t="shared" ref="I2021:J2021" si="4">I2015+I2018</f>
        <v>14385.5</v>
      </c>
      <c r="J2021" s="1294">
        <f t="shared" si="4"/>
        <v>14385.5</v>
      </c>
      <c r="K2021" s="1486"/>
      <c r="L2021" s="24"/>
      <c r="M2021" s="1798"/>
      <c r="N2021" s="1798"/>
      <c r="O2021" s="1798"/>
      <c r="P2021" s="1798"/>
      <c r="Q2021" s="1798"/>
    </row>
    <row r="2022" spans="1:17" x14ac:dyDescent="0.25">
      <c r="H2022" s="790">
        <f>H39+H45+H57+H64+H102+H117+H141+H149+H171+H184+H203+H224+H250+H268+H306+H340+H350+H416+H502+H526+H616+H628+H648+H655+H719+H760+H834+H852+H857+H972+H981+H1032+H1038+H1049+H1056+H1093+H1112+H1125+H1141+H1157+H1179+H1193+H1289+H1315+H1387+H1460+H1475+H1510+H1525+H1546+H1583+H1599+H1617+H1637+H1684+H1697+H1712+H1719+H1733+H1764+H1786+H1813+H1833+H1847+H1857+H1861+H1881+H1885+H1903+H1922+H1926</f>
        <v>138095755.23899999</v>
      </c>
    </row>
    <row r="2023" spans="1:17" x14ac:dyDescent="0.25">
      <c r="H2023" s="15">
        <v>54740326.710000001</v>
      </c>
    </row>
  </sheetData>
  <mergeCells count="3118">
    <mergeCell ref="B723:B724"/>
    <mergeCell ref="B726:B727"/>
    <mergeCell ref="B728:B730"/>
    <mergeCell ref="B741:B742"/>
    <mergeCell ref="D741:D742"/>
    <mergeCell ref="B743:B744"/>
    <mergeCell ref="C743:C744"/>
    <mergeCell ref="B745:B747"/>
    <mergeCell ref="C745:C747"/>
    <mergeCell ref="B753:B754"/>
    <mergeCell ref="F1811:F1812"/>
    <mergeCell ref="G1811:G1812"/>
    <mergeCell ref="H1811:H1812"/>
    <mergeCell ref="I1811:I1812"/>
    <mergeCell ref="J1811:J1812"/>
    <mergeCell ref="B25:B26"/>
    <mergeCell ref="B30:B31"/>
    <mergeCell ref="D707:D710"/>
    <mergeCell ref="B707:B710"/>
    <mergeCell ref="B704:B705"/>
    <mergeCell ref="D704:D705"/>
    <mergeCell ref="D700:D701"/>
    <mergeCell ref="B695:B699"/>
    <mergeCell ref="D695:D699"/>
    <mergeCell ref="B690:B691"/>
    <mergeCell ref="D690:D691"/>
    <mergeCell ref="B702:B703"/>
    <mergeCell ref="D702:D703"/>
    <mergeCell ref="B711:B712"/>
    <mergeCell ref="D711:D712"/>
    <mergeCell ref="B715:B716"/>
    <mergeCell ref="D715:D716"/>
    <mergeCell ref="L455:L456"/>
    <mergeCell ref="A457:A459"/>
    <mergeCell ref="A502:E502"/>
    <mergeCell ref="K502:Q502"/>
    <mergeCell ref="A503:Q503"/>
    <mergeCell ref="F336:F338"/>
    <mergeCell ref="G336:G338"/>
    <mergeCell ref="I336:I338"/>
    <mergeCell ref="J336:J338"/>
    <mergeCell ref="A39:E39"/>
    <mergeCell ref="A45:E45"/>
    <mergeCell ref="A64:E64"/>
    <mergeCell ref="A407:A409"/>
    <mergeCell ref="C407:C409"/>
    <mergeCell ref="F410:F411"/>
    <mergeCell ref="I410:I411"/>
    <mergeCell ref="A416:E416"/>
    <mergeCell ref="A417:Q417"/>
    <mergeCell ref="A418:A419"/>
    <mergeCell ref="B422:B424"/>
    <mergeCell ref="A427:A428"/>
    <mergeCell ref="A430:A432"/>
    <mergeCell ref="A434:A435"/>
    <mergeCell ref="C434:C435"/>
    <mergeCell ref="A436:A439"/>
    <mergeCell ref="A440:A441"/>
    <mergeCell ref="C440:C441"/>
    <mergeCell ref="A442:A445"/>
    <mergeCell ref="C442:C445"/>
    <mergeCell ref="A351:Q351"/>
    <mergeCell ref="A358:A359"/>
    <mergeCell ref="C358:C359"/>
    <mergeCell ref="F362:F365"/>
    <mergeCell ref="A364:A365"/>
    <mergeCell ref="C364:C365"/>
    <mergeCell ref="A368:A369"/>
    <mergeCell ref="C368:C369"/>
    <mergeCell ref="A371:A372"/>
    <mergeCell ref="C371:C372"/>
    <mergeCell ref="F371:F373"/>
    <mergeCell ref="A377:A378"/>
    <mergeCell ref="C377:C378"/>
    <mergeCell ref="F377:F381"/>
    <mergeCell ref="A379:A381"/>
    <mergeCell ref="C379:C381"/>
    <mergeCell ref="A383:A384"/>
    <mergeCell ref="C383:C384"/>
    <mergeCell ref="F383:F389"/>
    <mergeCell ref="D383:D384"/>
    <mergeCell ref="E383:E384"/>
    <mergeCell ref="A386:A388"/>
    <mergeCell ref="C386:C388"/>
    <mergeCell ref="A391:A393"/>
    <mergeCell ref="F391:F395"/>
    <mergeCell ref="A403:A404"/>
    <mergeCell ref="C403:C404"/>
    <mergeCell ref="F405:F409"/>
    <mergeCell ref="I405:I409"/>
    <mergeCell ref="D440:D441"/>
    <mergeCell ref="B452:B456"/>
    <mergeCell ref="C452:C456"/>
    <mergeCell ref="D452:D456"/>
    <mergeCell ref="E452:E456"/>
    <mergeCell ref="F452:F456"/>
    <mergeCell ref="G452:G456"/>
    <mergeCell ref="H452:H456"/>
    <mergeCell ref="I452:I456"/>
    <mergeCell ref="D434:D435"/>
    <mergeCell ref="E434:E435"/>
    <mergeCell ref="F434:F435"/>
    <mergeCell ref="G434:G435"/>
    <mergeCell ref="H434:H435"/>
    <mergeCell ref="I434:I435"/>
    <mergeCell ref="B418:B419"/>
    <mergeCell ref="C418:C419"/>
    <mergeCell ref="D418:D419"/>
    <mergeCell ref="E418:E419"/>
    <mergeCell ref="F418:F419"/>
    <mergeCell ref="G418:G419"/>
    <mergeCell ref="H418:H419"/>
    <mergeCell ref="A452:A456"/>
    <mergeCell ref="B436:B439"/>
    <mergeCell ref="C436:C439"/>
    <mergeCell ref="D436:D439"/>
    <mergeCell ref="B457:B459"/>
    <mergeCell ref="C457:C459"/>
    <mergeCell ref="D457:D459"/>
    <mergeCell ref="E457:E459"/>
    <mergeCell ref="F457:F459"/>
    <mergeCell ref="G457:G459"/>
    <mergeCell ref="H457:H459"/>
    <mergeCell ref="I457:I459"/>
    <mergeCell ref="J457:J459"/>
    <mergeCell ref="E440:E441"/>
    <mergeCell ref="F440:F441"/>
    <mergeCell ref="G440:G441"/>
    <mergeCell ref="H440:H441"/>
    <mergeCell ref="I440:I441"/>
    <mergeCell ref="J440:J441"/>
    <mergeCell ref="D442:D445"/>
    <mergeCell ref="E442:E445"/>
    <mergeCell ref="F442:F445"/>
    <mergeCell ref="G442:G445"/>
    <mergeCell ref="H442:H445"/>
    <mergeCell ref="I442:I445"/>
    <mergeCell ref="J442:J445"/>
    <mergeCell ref="Q405:Q406"/>
    <mergeCell ref="D407:D409"/>
    <mergeCell ref="E407:E409"/>
    <mergeCell ref="K405:K406"/>
    <mergeCell ref="P405:P406"/>
    <mergeCell ref="J434:J435"/>
    <mergeCell ref="H405:H409"/>
    <mergeCell ref="H410:H411"/>
    <mergeCell ref="E436:E439"/>
    <mergeCell ref="F436:F439"/>
    <mergeCell ref="G436:G439"/>
    <mergeCell ref="H436:H439"/>
    <mergeCell ref="I436:I439"/>
    <mergeCell ref="J436:J439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J427:J428"/>
    <mergeCell ref="B430:B432"/>
    <mergeCell ref="C430:C432"/>
    <mergeCell ref="D430:D432"/>
    <mergeCell ref="E430:E432"/>
    <mergeCell ref="F430:F432"/>
    <mergeCell ref="G430:G432"/>
    <mergeCell ref="H430:H432"/>
    <mergeCell ref="I430:I432"/>
    <mergeCell ref="J430:J432"/>
    <mergeCell ref="J743:J744"/>
    <mergeCell ref="E753:E754"/>
    <mergeCell ref="D358:D359"/>
    <mergeCell ref="E358:E359"/>
    <mergeCell ref="F358:F359"/>
    <mergeCell ref="G358:G359"/>
    <mergeCell ref="H358:H359"/>
    <mergeCell ref="I358:I359"/>
    <mergeCell ref="J358:J359"/>
    <mergeCell ref="F368:F369"/>
    <mergeCell ref="G368:G369"/>
    <mergeCell ref="H368:H369"/>
    <mergeCell ref="I368:I369"/>
    <mergeCell ref="J368:J369"/>
    <mergeCell ref="D371:D372"/>
    <mergeCell ref="D748:D749"/>
    <mergeCell ref="H702:H703"/>
    <mergeCell ref="I702:I703"/>
    <mergeCell ref="J702:J703"/>
    <mergeCell ref="I418:I419"/>
    <mergeCell ref="J418:J419"/>
    <mergeCell ref="J452:J456"/>
    <mergeCell ref="H383:H384"/>
    <mergeCell ref="I383:I389"/>
    <mergeCell ref="G728:G730"/>
    <mergeCell ref="H728:H730"/>
    <mergeCell ref="F715:F716"/>
    <mergeCell ref="G715:G716"/>
    <mergeCell ref="D422:D424"/>
    <mergeCell ref="E422:E424"/>
    <mergeCell ref="F422:F424"/>
    <mergeCell ref="G422:G424"/>
    <mergeCell ref="G702:G703"/>
    <mergeCell ref="K358:K359"/>
    <mergeCell ref="L358:L359"/>
    <mergeCell ref="G362:G365"/>
    <mergeCell ref="H362:H365"/>
    <mergeCell ref="I362:I365"/>
    <mergeCell ref="J362:J365"/>
    <mergeCell ref="D364:D365"/>
    <mergeCell ref="E364:E365"/>
    <mergeCell ref="B391:B393"/>
    <mergeCell ref="C391:C393"/>
    <mergeCell ref="I37:I38"/>
    <mergeCell ref="I34:I36"/>
    <mergeCell ref="A65:Q65"/>
    <mergeCell ref="D569:D572"/>
    <mergeCell ref="B599:B600"/>
    <mergeCell ref="B608:B609"/>
    <mergeCell ref="B601:B604"/>
    <mergeCell ref="A601:A604"/>
    <mergeCell ref="A605:A607"/>
    <mergeCell ref="C569:C572"/>
    <mergeCell ref="B569:B572"/>
    <mergeCell ref="B73:B74"/>
    <mergeCell ref="B75:B80"/>
    <mergeCell ref="B350:E350"/>
    <mergeCell ref="A107:A108"/>
    <mergeCell ref="C107:C108"/>
    <mergeCell ref="D107:D108"/>
    <mergeCell ref="J391:J395"/>
    <mergeCell ref="J410:J411"/>
    <mergeCell ref="C422:C424"/>
    <mergeCell ref="H422:H424"/>
    <mergeCell ref="E695:E699"/>
    <mergeCell ref="F695:F699"/>
    <mergeCell ref="G695:G699"/>
    <mergeCell ref="H695:H699"/>
    <mergeCell ref="I695:I699"/>
    <mergeCell ref="J695:J699"/>
    <mergeCell ref="B700:B701"/>
    <mergeCell ref="F700:F701"/>
    <mergeCell ref="C702:C703"/>
    <mergeCell ref="E702:E703"/>
    <mergeCell ref="A760:E760"/>
    <mergeCell ref="C753:C754"/>
    <mergeCell ref="I707:I710"/>
    <mergeCell ref="J707:J710"/>
    <mergeCell ref="F704:F705"/>
    <mergeCell ref="D743:D744"/>
    <mergeCell ref="E743:E744"/>
    <mergeCell ref="E715:E716"/>
    <mergeCell ref="G723:G724"/>
    <mergeCell ref="A711:A712"/>
    <mergeCell ref="C711:C712"/>
    <mergeCell ref="E711:E712"/>
    <mergeCell ref="F711:F712"/>
    <mergeCell ref="G711:G712"/>
    <mergeCell ref="H711:H712"/>
    <mergeCell ref="I711:I712"/>
    <mergeCell ref="J711:J712"/>
    <mergeCell ref="I728:I730"/>
    <mergeCell ref="A707:A710"/>
    <mergeCell ref="C707:C710"/>
    <mergeCell ref="E723:E724"/>
    <mergeCell ref="F702:F703"/>
    <mergeCell ref="E745:E747"/>
    <mergeCell ref="F745:F747"/>
    <mergeCell ref="G745:G747"/>
    <mergeCell ref="H745:H747"/>
    <mergeCell ref="G753:G754"/>
    <mergeCell ref="F753:F754"/>
    <mergeCell ref="G741:G742"/>
    <mergeCell ref="C726:C727"/>
    <mergeCell ref="J704:J705"/>
    <mergeCell ref="A704:A705"/>
    <mergeCell ref="C704:C705"/>
    <mergeCell ref="D728:D730"/>
    <mergeCell ref="E728:E730"/>
    <mergeCell ref="D726:D727"/>
    <mergeCell ref="C748:C749"/>
    <mergeCell ref="F748:F749"/>
    <mergeCell ref="M715:M716"/>
    <mergeCell ref="C736:C740"/>
    <mergeCell ref="B736:B740"/>
    <mergeCell ref="C741:C742"/>
    <mergeCell ref="F743:F744"/>
    <mergeCell ref="I736:I740"/>
    <mergeCell ref="J736:J740"/>
    <mergeCell ref="H753:H754"/>
    <mergeCell ref="I753:I754"/>
    <mergeCell ref="J753:J754"/>
    <mergeCell ref="H715:H716"/>
    <mergeCell ref="I715:I716"/>
    <mergeCell ref="J715:J716"/>
    <mergeCell ref="I745:I747"/>
    <mergeCell ref="H743:H744"/>
    <mergeCell ref="I743:I744"/>
    <mergeCell ref="N715:N716"/>
    <mergeCell ref="O715:O716"/>
    <mergeCell ref="P715:P716"/>
    <mergeCell ref="Q715:Q716"/>
    <mergeCell ref="A719:E719"/>
    <mergeCell ref="G736:G740"/>
    <mergeCell ref="A715:A716"/>
    <mergeCell ref="E748:E749"/>
    <mergeCell ref="D753:D754"/>
    <mergeCell ref="D745:D747"/>
    <mergeCell ref="J728:J730"/>
    <mergeCell ref="E726:E727"/>
    <mergeCell ref="G748:G749"/>
    <mergeCell ref="G743:G744"/>
    <mergeCell ref="H748:H749"/>
    <mergeCell ref="I748:I749"/>
    <mergeCell ref="J748:J749"/>
    <mergeCell ref="F728:F730"/>
    <mergeCell ref="I723:I724"/>
    <mergeCell ref="H741:H742"/>
    <mergeCell ref="I741:I742"/>
    <mergeCell ref="J745:J747"/>
    <mergeCell ref="F726:F727"/>
    <mergeCell ref="G726:G727"/>
    <mergeCell ref="K715:K716"/>
    <mergeCell ref="L715:L716"/>
    <mergeCell ref="F741:F742"/>
    <mergeCell ref="J741:J742"/>
    <mergeCell ref="C728:C730"/>
    <mergeCell ref="D723:D724"/>
    <mergeCell ref="E741:E742"/>
    <mergeCell ref="F736:F740"/>
    <mergeCell ref="K698:K699"/>
    <mergeCell ref="B688:B689"/>
    <mergeCell ref="P672:P673"/>
    <mergeCell ref="Q672:Q673"/>
    <mergeCell ref="O674:O676"/>
    <mergeCell ref="P674:P676"/>
    <mergeCell ref="A119:Q119"/>
    <mergeCell ref="A102:E102"/>
    <mergeCell ref="G383:G389"/>
    <mergeCell ref="J383:J389"/>
    <mergeCell ref="D386:D388"/>
    <mergeCell ref="E386:E388"/>
    <mergeCell ref="D391:D393"/>
    <mergeCell ref="E391:E393"/>
    <mergeCell ref="G391:G395"/>
    <mergeCell ref="H391:H395"/>
    <mergeCell ref="I391:I395"/>
    <mergeCell ref="A245:A246"/>
    <mergeCell ref="B245:B246"/>
    <mergeCell ref="B247:B248"/>
    <mergeCell ref="B528:B529"/>
    <mergeCell ref="B547:B548"/>
    <mergeCell ref="D681:D684"/>
    <mergeCell ref="A674:A677"/>
    <mergeCell ref="C674:C677"/>
    <mergeCell ref="A633:A634"/>
    <mergeCell ref="B633:B634"/>
    <mergeCell ref="A656:Q656"/>
    <mergeCell ref="C695:C699"/>
    <mergeCell ref="F247:F248"/>
    <mergeCell ref="G247:G248"/>
    <mergeCell ref="A690:A691"/>
    <mergeCell ref="L666:L667"/>
    <mergeCell ref="M666:M667"/>
    <mergeCell ref="N666:N667"/>
    <mergeCell ref="J81:J91"/>
    <mergeCell ref="M92:M94"/>
    <mergeCell ref="N92:N94"/>
    <mergeCell ref="O92:O94"/>
    <mergeCell ref="L599:L600"/>
    <mergeCell ref="M599:M600"/>
    <mergeCell ref="K599:K600"/>
    <mergeCell ref="L268:Q268"/>
    <mergeCell ref="E233:E234"/>
    <mergeCell ref="O557:O558"/>
    <mergeCell ref="E235:E236"/>
    <mergeCell ref="J237:J238"/>
    <mergeCell ref="P557:P558"/>
    <mergeCell ref="Q638:Q639"/>
    <mergeCell ref="L608:L609"/>
    <mergeCell ref="G531:G532"/>
    <mergeCell ref="F531:F532"/>
    <mergeCell ref="E559:E561"/>
    <mergeCell ref="E403:E404"/>
    <mergeCell ref="F403:F404"/>
    <mergeCell ref="G403:G404"/>
    <mergeCell ref="H403:H404"/>
    <mergeCell ref="I403:I404"/>
    <mergeCell ref="J403:J404"/>
    <mergeCell ref="G405:G409"/>
    <mergeCell ref="O245:O246"/>
    <mergeCell ref="E379:E381"/>
    <mergeCell ref="G533:G539"/>
    <mergeCell ref="E368:E369"/>
    <mergeCell ref="H589:H591"/>
    <mergeCell ref="H601:H604"/>
    <mergeCell ref="I601:I604"/>
    <mergeCell ref="G605:G607"/>
    <mergeCell ref="A251:Q251"/>
    <mergeCell ref="K685:K686"/>
    <mergeCell ref="O685:O686"/>
    <mergeCell ref="P685:P686"/>
    <mergeCell ref="P92:P94"/>
    <mergeCell ref="Q92:Q94"/>
    <mergeCell ref="J239:J240"/>
    <mergeCell ref="G659:G664"/>
    <mergeCell ref="H659:H664"/>
    <mergeCell ref="I659:I664"/>
    <mergeCell ref="J659:J664"/>
    <mergeCell ref="A92:A94"/>
    <mergeCell ref="C92:C94"/>
    <mergeCell ref="D92:D94"/>
    <mergeCell ref="C296:C299"/>
    <mergeCell ref="H674:H677"/>
    <mergeCell ref="B194:B195"/>
    <mergeCell ref="B231:B232"/>
    <mergeCell ref="H580:H581"/>
    <mergeCell ref="I580:I581"/>
    <mergeCell ref="H681:H684"/>
    <mergeCell ref="I681:I684"/>
    <mergeCell ref="D559:D561"/>
    <mergeCell ref="C559:C561"/>
    <mergeCell ref="M299:M300"/>
    <mergeCell ref="B638:B639"/>
    <mergeCell ref="N685:N686"/>
    <mergeCell ref="G371:G373"/>
    <mergeCell ref="M685:M686"/>
    <mergeCell ref="J605:J607"/>
    <mergeCell ref="G690:G691"/>
    <mergeCell ref="F674:F677"/>
    <mergeCell ref="J666:J673"/>
    <mergeCell ref="F681:F684"/>
    <mergeCell ref="C633:C634"/>
    <mergeCell ref="C605:C607"/>
    <mergeCell ref="D638:D639"/>
    <mergeCell ref="H597:H598"/>
    <mergeCell ref="J674:J677"/>
    <mergeCell ref="F643:F644"/>
    <mergeCell ref="J601:J604"/>
    <mergeCell ref="J585:J586"/>
    <mergeCell ref="H599:H600"/>
    <mergeCell ref="G597:G598"/>
    <mergeCell ref="G610:G613"/>
    <mergeCell ref="F638:F639"/>
    <mergeCell ref="H685:H686"/>
    <mergeCell ref="I685:I686"/>
    <mergeCell ref="J685:J686"/>
    <mergeCell ref="F599:F600"/>
    <mergeCell ref="I599:I600"/>
    <mergeCell ref="F601:F604"/>
    <mergeCell ref="J595:J596"/>
    <mergeCell ref="F595:F596"/>
    <mergeCell ref="F605:F607"/>
    <mergeCell ref="J633:J634"/>
    <mergeCell ref="I643:I644"/>
    <mergeCell ref="H585:H586"/>
    <mergeCell ref="I595:I596"/>
    <mergeCell ref="I597:I598"/>
    <mergeCell ref="O698:O699"/>
    <mergeCell ref="P698:P699"/>
    <mergeCell ref="G681:G684"/>
    <mergeCell ref="F659:F664"/>
    <mergeCell ref="N698:N699"/>
    <mergeCell ref="F688:F689"/>
    <mergeCell ref="N608:N609"/>
    <mergeCell ref="J643:J644"/>
    <mergeCell ref="I633:I634"/>
    <mergeCell ref="H690:H691"/>
    <mergeCell ref="I690:I691"/>
    <mergeCell ref="J690:J691"/>
    <mergeCell ref="F608:F609"/>
    <mergeCell ref="E674:E677"/>
    <mergeCell ref="F666:F673"/>
    <mergeCell ref="G666:G673"/>
    <mergeCell ref="I605:I607"/>
    <mergeCell ref="J681:J684"/>
    <mergeCell ref="G674:G677"/>
    <mergeCell ref="A649:Q649"/>
    <mergeCell ref="A688:A689"/>
    <mergeCell ref="C688:C689"/>
    <mergeCell ref="D688:D689"/>
    <mergeCell ref="E688:E689"/>
    <mergeCell ref="G688:G689"/>
    <mergeCell ref="H688:H689"/>
    <mergeCell ref="I688:I689"/>
    <mergeCell ref="J688:J689"/>
    <mergeCell ref="L682:L684"/>
    <mergeCell ref="M682:M684"/>
    <mergeCell ref="N682:N684"/>
    <mergeCell ref="L685:L686"/>
    <mergeCell ref="H707:H710"/>
    <mergeCell ref="C715:C716"/>
    <mergeCell ref="A695:A699"/>
    <mergeCell ref="E704:E705"/>
    <mergeCell ref="A702:A703"/>
    <mergeCell ref="I638:I639"/>
    <mergeCell ref="A655:E655"/>
    <mergeCell ref="M643:M644"/>
    <mergeCell ref="G704:G705"/>
    <mergeCell ref="H704:H705"/>
    <mergeCell ref="G700:G701"/>
    <mergeCell ref="H700:H701"/>
    <mergeCell ref="I700:I701"/>
    <mergeCell ref="J700:J701"/>
    <mergeCell ref="N672:N673"/>
    <mergeCell ref="G685:G686"/>
    <mergeCell ref="C659:C664"/>
    <mergeCell ref="E659:E664"/>
    <mergeCell ref="K674:K676"/>
    <mergeCell ref="L674:L676"/>
    <mergeCell ref="M674:M676"/>
    <mergeCell ref="N674:N676"/>
    <mergeCell ref="E681:E684"/>
    <mergeCell ref="E638:E639"/>
    <mergeCell ref="H643:H644"/>
    <mergeCell ref="H666:H673"/>
    <mergeCell ref="I666:I673"/>
    <mergeCell ref="G638:G639"/>
    <mergeCell ref="D643:D644"/>
    <mergeCell ref="E643:E644"/>
    <mergeCell ref="L698:L699"/>
    <mergeCell ref="M698:M699"/>
    <mergeCell ref="N243:N244"/>
    <mergeCell ref="O243:O244"/>
    <mergeCell ref="H245:H246"/>
    <mergeCell ref="L648:Q648"/>
    <mergeCell ref="M608:M609"/>
    <mergeCell ref="G643:G644"/>
    <mergeCell ref="D633:D634"/>
    <mergeCell ref="N638:N639"/>
    <mergeCell ref="K608:K609"/>
    <mergeCell ref="A268:E268"/>
    <mergeCell ref="F633:F634"/>
    <mergeCell ref="J610:J613"/>
    <mergeCell ref="D336:D338"/>
    <mergeCell ref="I245:I246"/>
    <mergeCell ref="N643:N644"/>
    <mergeCell ref="H638:H639"/>
    <mergeCell ref="M557:M558"/>
    <mergeCell ref="N582:N583"/>
    <mergeCell ref="I573:I574"/>
    <mergeCell ref="I575:I576"/>
    <mergeCell ref="B643:B644"/>
    <mergeCell ref="E371:E372"/>
    <mergeCell ref="G245:G246"/>
    <mergeCell ref="K643:K644"/>
    <mergeCell ref="O643:O644"/>
    <mergeCell ref="O608:O609"/>
    <mergeCell ref="P608:P609"/>
    <mergeCell ref="J597:J598"/>
    <mergeCell ref="I608:I609"/>
    <mergeCell ref="H595:H596"/>
    <mergeCell ref="F589:F591"/>
    <mergeCell ref="G589:G591"/>
    <mergeCell ref="Q557:Q558"/>
    <mergeCell ref="E580:E581"/>
    <mergeCell ref="I540:I542"/>
    <mergeCell ref="M547:M548"/>
    <mergeCell ref="C638:C639"/>
    <mergeCell ref="A648:E648"/>
    <mergeCell ref="A643:A644"/>
    <mergeCell ref="A720:Q720"/>
    <mergeCell ref="F723:F724"/>
    <mergeCell ref="Q674:Q676"/>
    <mergeCell ref="P682:P684"/>
    <mergeCell ref="I674:I677"/>
    <mergeCell ref="L704:L705"/>
    <mergeCell ref="M704:M705"/>
    <mergeCell ref="N704:N705"/>
    <mergeCell ref="O704:O705"/>
    <mergeCell ref="P704:P705"/>
    <mergeCell ref="Q704:Q705"/>
    <mergeCell ref="O682:O684"/>
    <mergeCell ref="K682:K684"/>
    <mergeCell ref="K704:K705"/>
    <mergeCell ref="Q682:Q684"/>
    <mergeCell ref="P666:P667"/>
    <mergeCell ref="Q666:Q667"/>
    <mergeCell ref="O672:O673"/>
    <mergeCell ref="M672:M673"/>
    <mergeCell ref="K666:K667"/>
    <mergeCell ref="Q685:Q686"/>
    <mergeCell ref="I704:I705"/>
    <mergeCell ref="Q698:Q699"/>
    <mergeCell ref="L643:L644"/>
    <mergeCell ref="A650:Q650"/>
    <mergeCell ref="H30:H31"/>
    <mergeCell ref="N8:Q9"/>
    <mergeCell ref="H25:H26"/>
    <mergeCell ref="J638:J639"/>
    <mergeCell ref="Q582:Q583"/>
    <mergeCell ref="J582:J583"/>
    <mergeCell ref="F533:F539"/>
    <mergeCell ref="F559:F561"/>
    <mergeCell ref="G559:G561"/>
    <mergeCell ref="L557:L558"/>
    <mergeCell ref="E569:E572"/>
    <mergeCell ref="K557:K558"/>
    <mergeCell ref="P582:P583"/>
    <mergeCell ref="G582:G583"/>
    <mergeCell ref="H582:H583"/>
    <mergeCell ref="I582:I583"/>
    <mergeCell ref="H575:H576"/>
    <mergeCell ref="K582:K583"/>
    <mergeCell ref="L582:L583"/>
    <mergeCell ref="I543:I544"/>
    <mergeCell ref="G569:G572"/>
    <mergeCell ref="J580:J581"/>
    <mergeCell ref="F575:F576"/>
    <mergeCell ref="G575:G576"/>
    <mergeCell ref="H559:H561"/>
    <mergeCell ref="Q547:Q548"/>
    <mergeCell ref="I557:I558"/>
    <mergeCell ref="M582:M583"/>
    <mergeCell ref="F564:F568"/>
    <mergeCell ref="J563:J568"/>
    <mergeCell ref="G563:G568"/>
    <mergeCell ref="F582:F583"/>
    <mergeCell ref="N557:N558"/>
    <mergeCell ref="E247:E248"/>
    <mergeCell ref="E243:E244"/>
    <mergeCell ref="E245:E246"/>
    <mergeCell ref="J233:J234"/>
    <mergeCell ref="D231:D232"/>
    <mergeCell ref="E231:E232"/>
    <mergeCell ref="F51:F52"/>
    <mergeCell ref="O299:O300"/>
    <mergeCell ref="J291:J300"/>
    <mergeCell ref="M194:M195"/>
    <mergeCell ref="L194:L195"/>
    <mergeCell ref="K194:K195"/>
    <mergeCell ref="J194:J195"/>
    <mergeCell ref="I178:I180"/>
    <mergeCell ref="C643:C644"/>
    <mergeCell ref="A6:E6"/>
    <mergeCell ref="A8:A10"/>
    <mergeCell ref="C8:C10"/>
    <mergeCell ref="D8:D10"/>
    <mergeCell ref="E8:E10"/>
    <mergeCell ref="A30:A31"/>
    <mergeCell ref="C30:C31"/>
    <mergeCell ref="D30:D31"/>
    <mergeCell ref="E30:E31"/>
    <mergeCell ref="A25:A26"/>
    <mergeCell ref="C25:C26"/>
    <mergeCell ref="D25:D26"/>
    <mergeCell ref="E25:E26"/>
    <mergeCell ref="E47:E48"/>
    <mergeCell ref="A37:A38"/>
    <mergeCell ref="C37:C38"/>
    <mergeCell ref="A241:A242"/>
    <mergeCell ref="C241:C242"/>
    <mergeCell ref="D241:D242"/>
    <mergeCell ref="B275:B278"/>
    <mergeCell ref="A203:E203"/>
    <mergeCell ref="I25:I26"/>
    <mergeCell ref="K8:K10"/>
    <mergeCell ref="L8:L10"/>
    <mergeCell ref="M8:M9"/>
    <mergeCell ref="L39:Q39"/>
    <mergeCell ref="H47:H48"/>
    <mergeCell ref="I47:I48"/>
    <mergeCell ref="F9:J9"/>
    <mergeCell ref="F8:J8"/>
    <mergeCell ref="G235:G236"/>
    <mergeCell ref="C547:C548"/>
    <mergeCell ref="P146:P147"/>
    <mergeCell ref="L233:L234"/>
    <mergeCell ref="A117:E117"/>
    <mergeCell ref="A149:E149"/>
    <mergeCell ref="F176:F177"/>
    <mergeCell ref="D37:D38"/>
    <mergeCell ref="A40:Q40"/>
    <mergeCell ref="L45:Q45"/>
    <mergeCell ref="J25:J26"/>
    <mergeCell ref="G25:G26"/>
    <mergeCell ref="G34:G36"/>
    <mergeCell ref="F30:F31"/>
    <mergeCell ref="H37:H38"/>
    <mergeCell ref="J30:J31"/>
    <mergeCell ref="F34:F36"/>
    <mergeCell ref="B8:B10"/>
    <mergeCell ref="G237:G238"/>
    <mergeCell ref="H237:H238"/>
    <mergeCell ref="E176:E177"/>
    <mergeCell ref="A239:A240"/>
    <mergeCell ref="I233:I234"/>
    <mergeCell ref="C176:C177"/>
    <mergeCell ref="D176:D177"/>
    <mergeCell ref="D233:D234"/>
    <mergeCell ref="O146:O147"/>
    <mergeCell ref="M146:M147"/>
    <mergeCell ref="N146:N147"/>
    <mergeCell ref="A150:Q150"/>
    <mergeCell ref="C194:C195"/>
    <mergeCell ref="H194:H195"/>
    <mergeCell ref="G194:G195"/>
    <mergeCell ref="G233:G234"/>
    <mergeCell ref="F287:F288"/>
    <mergeCell ref="F194:F195"/>
    <mergeCell ref="H239:H240"/>
    <mergeCell ref="Q245:Q246"/>
    <mergeCell ref="I241:I242"/>
    <mergeCell ref="A243:A244"/>
    <mergeCell ref="C243:C244"/>
    <mergeCell ref="E287:E288"/>
    <mergeCell ref="J247:J248"/>
    <mergeCell ref="K247:K248"/>
    <mergeCell ref="H247:H248"/>
    <mergeCell ref="N245:N246"/>
    <mergeCell ref="J245:J246"/>
    <mergeCell ref="K245:K246"/>
    <mergeCell ref="B233:B234"/>
    <mergeCell ref="B239:B240"/>
    <mergeCell ref="H243:H244"/>
    <mergeCell ref="I243:I244"/>
    <mergeCell ref="K239:K240"/>
    <mergeCell ref="L239:L240"/>
    <mergeCell ref="M239:M240"/>
    <mergeCell ref="F245:F246"/>
    <mergeCell ref="K241:K242"/>
    <mergeCell ref="I377:I381"/>
    <mergeCell ref="J377:J381"/>
    <mergeCell ref="D540:D542"/>
    <mergeCell ref="D528:D529"/>
    <mergeCell ref="E540:E542"/>
    <mergeCell ref="H371:H373"/>
    <mergeCell ref="I371:I373"/>
    <mergeCell ref="J371:J373"/>
    <mergeCell ref="D377:D378"/>
    <mergeCell ref="E377:E378"/>
    <mergeCell ref="G377:G381"/>
    <mergeCell ref="J241:J242"/>
    <mergeCell ref="J243:J244"/>
    <mergeCell ref="K243:K244"/>
    <mergeCell ref="H287:H288"/>
    <mergeCell ref="M243:M244"/>
    <mergeCell ref="H377:H381"/>
    <mergeCell ref="D403:D404"/>
    <mergeCell ref="D379:D381"/>
    <mergeCell ref="D368:D369"/>
    <mergeCell ref="I422:I424"/>
    <mergeCell ref="J422:J424"/>
    <mergeCell ref="J405:J409"/>
    <mergeCell ref="L405:L406"/>
    <mergeCell ref="G410:G411"/>
    <mergeCell ref="L231:L232"/>
    <mergeCell ref="M231:M232"/>
    <mergeCell ref="A185:Q185"/>
    <mergeCell ref="A184:E184"/>
    <mergeCell ref="H178:H180"/>
    <mergeCell ref="L245:L246"/>
    <mergeCell ref="A247:A248"/>
    <mergeCell ref="A178:A180"/>
    <mergeCell ref="J275:J278"/>
    <mergeCell ref="N241:N242"/>
    <mergeCell ref="I275:I278"/>
    <mergeCell ref="H275:H278"/>
    <mergeCell ref="C233:C234"/>
    <mergeCell ref="C247:C248"/>
    <mergeCell ref="F178:F180"/>
    <mergeCell ref="G231:G232"/>
    <mergeCell ref="F235:F236"/>
    <mergeCell ref="A237:A238"/>
    <mergeCell ref="E194:E195"/>
    <mergeCell ref="P243:P244"/>
    <mergeCell ref="Q243:Q244"/>
    <mergeCell ref="Q241:Q242"/>
    <mergeCell ref="K233:K234"/>
    <mergeCell ref="G178:G180"/>
    <mergeCell ref="I194:I195"/>
    <mergeCell ref="I235:I236"/>
    <mergeCell ref="J235:J236"/>
    <mergeCell ref="F231:F232"/>
    <mergeCell ref="O194:O195"/>
    <mergeCell ref="I239:I240"/>
    <mergeCell ref="E239:E240"/>
    <mergeCell ref="C237:C238"/>
    <mergeCell ref="G51:G52"/>
    <mergeCell ref="A142:Q142"/>
    <mergeCell ref="J53:J54"/>
    <mergeCell ref="H241:H242"/>
    <mergeCell ref="L243:L244"/>
    <mergeCell ref="O241:O242"/>
    <mergeCell ref="P241:P242"/>
    <mergeCell ref="C239:C240"/>
    <mergeCell ref="L146:L147"/>
    <mergeCell ref="L184:Q184"/>
    <mergeCell ref="P194:P195"/>
    <mergeCell ref="Q194:Q195"/>
    <mergeCell ref="H233:H234"/>
    <mergeCell ref="D239:D240"/>
    <mergeCell ref="A194:A195"/>
    <mergeCell ref="D235:D236"/>
    <mergeCell ref="D194:D195"/>
    <mergeCell ref="K146:K147"/>
    <mergeCell ref="D178:D180"/>
    <mergeCell ref="O73:O74"/>
    <mergeCell ref="F233:F234"/>
    <mergeCell ref="P73:P74"/>
    <mergeCell ref="D81:D91"/>
    <mergeCell ref="H92:H94"/>
    <mergeCell ref="A118:Q118"/>
    <mergeCell ref="J176:J177"/>
    <mergeCell ref="G60:G61"/>
    <mergeCell ref="H60:H61"/>
    <mergeCell ref="I60:I61"/>
    <mergeCell ref="E107:E108"/>
    <mergeCell ref="C73:C74"/>
    <mergeCell ref="D73:D74"/>
    <mergeCell ref="F107:F108"/>
    <mergeCell ref="G107:G108"/>
    <mergeCell ref="G176:G177"/>
    <mergeCell ref="E73:E74"/>
    <mergeCell ref="F73:F74"/>
    <mergeCell ref="G73:G74"/>
    <mergeCell ref="H73:H74"/>
    <mergeCell ref="I73:I74"/>
    <mergeCell ref="I92:I94"/>
    <mergeCell ref="E178:E180"/>
    <mergeCell ref="A204:Q204"/>
    <mergeCell ref="N194:N195"/>
    <mergeCell ref="E81:E91"/>
    <mergeCell ref="F81:F91"/>
    <mergeCell ref="G81:G91"/>
    <mergeCell ref="H81:H91"/>
    <mergeCell ref="I81:I91"/>
    <mergeCell ref="Q146:Q147"/>
    <mergeCell ref="A81:A91"/>
    <mergeCell ref="E92:E94"/>
    <mergeCell ref="F92:F94"/>
    <mergeCell ref="G92:G94"/>
    <mergeCell ref="A11:Q11"/>
    <mergeCell ref="E37:E38"/>
    <mergeCell ref="A34:A36"/>
    <mergeCell ref="C34:C36"/>
    <mergeCell ref="D34:D36"/>
    <mergeCell ref="A46:Q46"/>
    <mergeCell ref="F25:F26"/>
    <mergeCell ref="J47:J48"/>
    <mergeCell ref="J34:J36"/>
    <mergeCell ref="A75:A80"/>
    <mergeCell ref="C75:C80"/>
    <mergeCell ref="J49:J50"/>
    <mergeCell ref="H51:H52"/>
    <mergeCell ref="I51:I52"/>
    <mergeCell ref="G30:G31"/>
    <mergeCell ref="K73:K74"/>
    <mergeCell ref="L73:L74"/>
    <mergeCell ref="M73:M74"/>
    <mergeCell ref="N73:N74"/>
    <mergeCell ref="K75:K80"/>
    <mergeCell ref="E75:E80"/>
    <mergeCell ref="I30:I31"/>
    <mergeCell ref="J73:J74"/>
    <mergeCell ref="E60:E61"/>
    <mergeCell ref="Q73:Q74"/>
    <mergeCell ref="F37:F38"/>
    <mergeCell ref="G37:G38"/>
    <mergeCell ref="F47:F48"/>
    <mergeCell ref="G47:G48"/>
    <mergeCell ref="E34:E36"/>
    <mergeCell ref="J37:J38"/>
    <mergeCell ref="H34:H36"/>
    <mergeCell ref="J51:J52"/>
    <mergeCell ref="E51:E52"/>
    <mergeCell ref="H49:H50"/>
    <mergeCell ref="F49:F50"/>
    <mergeCell ref="G49:G50"/>
    <mergeCell ref="I49:I50"/>
    <mergeCell ref="E49:E50"/>
    <mergeCell ref="E53:E54"/>
    <mergeCell ref="A60:A61"/>
    <mergeCell ref="C60:C61"/>
    <mergeCell ref="A171:E171"/>
    <mergeCell ref="A176:A177"/>
    <mergeCell ref="A172:Q172"/>
    <mergeCell ref="D247:D248"/>
    <mergeCell ref="K237:K238"/>
    <mergeCell ref="G53:G54"/>
    <mergeCell ref="P245:P246"/>
    <mergeCell ref="I176:I177"/>
    <mergeCell ref="E241:E242"/>
    <mergeCell ref="G243:G244"/>
    <mergeCell ref="F243:F244"/>
    <mergeCell ref="G241:G242"/>
    <mergeCell ref="F60:F61"/>
    <mergeCell ref="A141:E141"/>
    <mergeCell ref="H107:H108"/>
    <mergeCell ref="I107:I108"/>
    <mergeCell ref="J107:J108"/>
    <mergeCell ref="B92:B94"/>
    <mergeCell ref="B176:B177"/>
    <mergeCell ref="A73:A74"/>
    <mergeCell ref="J92:J94"/>
    <mergeCell ref="K92:K94"/>
    <mergeCell ref="M245:M246"/>
    <mergeCell ref="H235:H236"/>
    <mergeCell ref="I237:I238"/>
    <mergeCell ref="D237:D238"/>
    <mergeCell ref="F241:F242"/>
    <mergeCell ref="G239:G240"/>
    <mergeCell ref="F239:F240"/>
    <mergeCell ref="A225:Q225"/>
    <mergeCell ref="D243:D244"/>
    <mergeCell ref="F53:F54"/>
    <mergeCell ref="H53:H54"/>
    <mergeCell ref="A58:Q58"/>
    <mergeCell ref="J60:J61"/>
    <mergeCell ref="K60:K61"/>
    <mergeCell ref="L102:Q102"/>
    <mergeCell ref="A103:Q103"/>
    <mergeCell ref="C273:C274"/>
    <mergeCell ref="B273:B274"/>
    <mergeCell ref="A273:A274"/>
    <mergeCell ref="G273:G274"/>
    <mergeCell ref="F273:F274"/>
    <mergeCell ref="E273:E274"/>
    <mergeCell ref="D273:D274"/>
    <mergeCell ref="L92:L94"/>
    <mergeCell ref="E237:E238"/>
    <mergeCell ref="L237:L238"/>
    <mergeCell ref="B81:B91"/>
    <mergeCell ref="H176:H177"/>
    <mergeCell ref="F237:F238"/>
    <mergeCell ref="D75:D80"/>
    <mergeCell ref="D60:D61"/>
    <mergeCell ref="C81:C91"/>
    <mergeCell ref="I53:I54"/>
    <mergeCell ref="I247:I248"/>
    <mergeCell ref="I287:I288"/>
    <mergeCell ref="J287:J288"/>
    <mergeCell ref="H291:H300"/>
    <mergeCell ref="A250:E250"/>
    <mergeCell ref="A233:A234"/>
    <mergeCell ref="L241:L242"/>
    <mergeCell ref="M241:M242"/>
    <mergeCell ref="K235:K236"/>
    <mergeCell ref="K299:K300"/>
    <mergeCell ref="L299:L300"/>
    <mergeCell ref="H231:H232"/>
    <mergeCell ref="I231:I232"/>
    <mergeCell ref="J231:J232"/>
    <mergeCell ref="L235:L236"/>
    <mergeCell ref="J178:J180"/>
    <mergeCell ref="K231:K232"/>
    <mergeCell ref="A224:E224"/>
    <mergeCell ref="A231:A232"/>
    <mergeCell ref="C231:C232"/>
    <mergeCell ref="H75:H80"/>
    <mergeCell ref="C178:C180"/>
    <mergeCell ref="L203:Q203"/>
    <mergeCell ref="A235:A236"/>
    <mergeCell ref="C235:C236"/>
    <mergeCell ref="N299:N300"/>
    <mergeCell ref="J273:J274"/>
    <mergeCell ref="I273:I274"/>
    <mergeCell ref="H273:H274"/>
    <mergeCell ref="I284:I285"/>
    <mergeCell ref="J284:J285"/>
    <mergeCell ref="B336:B338"/>
    <mergeCell ref="A336:A338"/>
    <mergeCell ref="A307:Q307"/>
    <mergeCell ref="A269:Q269"/>
    <mergeCell ref="D275:D278"/>
    <mergeCell ref="C275:C278"/>
    <mergeCell ref="A275:A278"/>
    <mergeCell ref="G275:G278"/>
    <mergeCell ref="I291:I300"/>
    <mergeCell ref="C287:C288"/>
    <mergeCell ref="A306:E306"/>
    <mergeCell ref="L306:Q306"/>
    <mergeCell ref="G284:G285"/>
    <mergeCell ref="P299:P300"/>
    <mergeCell ref="H336:H338"/>
    <mergeCell ref="D287:D288"/>
    <mergeCell ref="Q299:Q300"/>
    <mergeCell ref="A287:A288"/>
    <mergeCell ref="F275:F278"/>
    <mergeCell ref="E275:E278"/>
    <mergeCell ref="H284:H285"/>
    <mergeCell ref="F291:F300"/>
    <mergeCell ref="G291:G300"/>
    <mergeCell ref="E336:E338"/>
    <mergeCell ref="C336:C338"/>
    <mergeCell ref="A294:A295"/>
    <mergeCell ref="C294:C295"/>
    <mergeCell ref="E294:E299"/>
    <mergeCell ref="G287:G288"/>
    <mergeCell ref="Q528:Q529"/>
    <mergeCell ref="K528:K529"/>
    <mergeCell ref="L528:L529"/>
    <mergeCell ref="D294:D295"/>
    <mergeCell ref="M528:M529"/>
    <mergeCell ref="N528:N529"/>
    <mergeCell ref="O528:O529"/>
    <mergeCell ref="I528:I529"/>
    <mergeCell ref="J528:J529"/>
    <mergeCell ref="J547:J548"/>
    <mergeCell ref="J540:J542"/>
    <mergeCell ref="H543:H544"/>
    <mergeCell ref="D547:D548"/>
    <mergeCell ref="L547:L548"/>
    <mergeCell ref="E531:E532"/>
    <mergeCell ref="A504:Q504"/>
    <mergeCell ref="H547:H548"/>
    <mergeCell ref="H540:H542"/>
    <mergeCell ref="E533:E539"/>
    <mergeCell ref="D531:D532"/>
    <mergeCell ref="D533:D539"/>
    <mergeCell ref="C540:C542"/>
    <mergeCell ref="N547:N548"/>
    <mergeCell ref="O547:O548"/>
    <mergeCell ref="I547:I548"/>
    <mergeCell ref="G547:G548"/>
    <mergeCell ref="K547:K548"/>
    <mergeCell ref="P547:P548"/>
    <mergeCell ref="P528:P529"/>
    <mergeCell ref="G543:G544"/>
    <mergeCell ref="A526:E526"/>
    <mergeCell ref="C528:C529"/>
    <mergeCell ref="B748:B749"/>
    <mergeCell ref="A589:A591"/>
    <mergeCell ref="Q599:Q600"/>
    <mergeCell ref="Q608:Q609"/>
    <mergeCell ref="O599:O600"/>
    <mergeCell ref="L655:Q655"/>
    <mergeCell ref="K638:K639"/>
    <mergeCell ref="L638:L639"/>
    <mergeCell ref="E700:E701"/>
    <mergeCell ref="P599:P600"/>
    <mergeCell ref="F597:F598"/>
    <mergeCell ref="N599:N600"/>
    <mergeCell ref="J599:J600"/>
    <mergeCell ref="C599:C600"/>
    <mergeCell ref="D599:D600"/>
    <mergeCell ref="O582:O583"/>
    <mergeCell ref="F585:F586"/>
    <mergeCell ref="I589:I591"/>
    <mergeCell ref="C601:C604"/>
    <mergeCell ref="D601:D604"/>
    <mergeCell ref="E601:E604"/>
    <mergeCell ref="A616:E616"/>
    <mergeCell ref="J608:J609"/>
    <mergeCell ref="H610:H613"/>
    <mergeCell ref="I610:I613"/>
    <mergeCell ref="G633:G634"/>
    <mergeCell ref="H633:H634"/>
    <mergeCell ref="A595:A596"/>
    <mergeCell ref="O638:O639"/>
    <mergeCell ref="P638:P639"/>
    <mergeCell ref="P643:P644"/>
    <mergeCell ref="Q643:Q644"/>
    <mergeCell ref="D736:D740"/>
    <mergeCell ref="F573:F574"/>
    <mergeCell ref="H605:H607"/>
    <mergeCell ref="J559:J561"/>
    <mergeCell ref="I569:I572"/>
    <mergeCell ref="H569:H572"/>
    <mergeCell ref="C666:C673"/>
    <mergeCell ref="E666:E673"/>
    <mergeCell ref="H726:H727"/>
    <mergeCell ref="I726:I727"/>
    <mergeCell ref="J726:J727"/>
    <mergeCell ref="J723:J724"/>
    <mergeCell ref="A629:Q629"/>
    <mergeCell ref="E633:E634"/>
    <mergeCell ref="D605:D607"/>
    <mergeCell ref="A638:A639"/>
    <mergeCell ref="A580:A581"/>
    <mergeCell ref="B617:Q617"/>
    <mergeCell ref="B628:F628"/>
    <mergeCell ref="C580:C581"/>
    <mergeCell ref="E605:E607"/>
    <mergeCell ref="M638:M639"/>
    <mergeCell ref="J573:J574"/>
    <mergeCell ref="C690:C691"/>
    <mergeCell ref="E690:E691"/>
    <mergeCell ref="F690:F691"/>
    <mergeCell ref="O666:O667"/>
    <mergeCell ref="K672:K673"/>
    <mergeCell ref="L672:L673"/>
    <mergeCell ref="E707:E710"/>
    <mergeCell ref="F707:F710"/>
    <mergeCell ref="G707:G710"/>
    <mergeCell ref="G573:G574"/>
    <mergeCell ref="G585:G586"/>
    <mergeCell ref="J531:J532"/>
    <mergeCell ref="A528:A529"/>
    <mergeCell ref="G528:G529"/>
    <mergeCell ref="F547:F548"/>
    <mergeCell ref="A557:A558"/>
    <mergeCell ref="G557:G558"/>
    <mergeCell ref="E543:E544"/>
    <mergeCell ref="F569:F572"/>
    <mergeCell ref="B557:B558"/>
    <mergeCell ref="B582:B583"/>
    <mergeCell ref="B595:B596"/>
    <mergeCell ref="J543:J544"/>
    <mergeCell ref="I533:I539"/>
    <mergeCell ref="H563:H568"/>
    <mergeCell ref="F557:F558"/>
    <mergeCell ref="J533:J539"/>
    <mergeCell ref="F580:F581"/>
    <mergeCell ref="G580:G581"/>
    <mergeCell ref="H533:H539"/>
    <mergeCell ref="B589:B591"/>
    <mergeCell ref="H531:H532"/>
    <mergeCell ref="C531:C532"/>
    <mergeCell ref="G540:G542"/>
    <mergeCell ref="I559:I561"/>
    <mergeCell ref="J575:J576"/>
    <mergeCell ref="H557:H558"/>
    <mergeCell ref="I585:I586"/>
    <mergeCell ref="D543:D544"/>
    <mergeCell ref="H528:H529"/>
    <mergeCell ref="J557:J558"/>
    <mergeCell ref="E736:E740"/>
    <mergeCell ref="H736:H740"/>
    <mergeCell ref="C589:C591"/>
    <mergeCell ref="J589:J591"/>
    <mergeCell ref="C597:C598"/>
    <mergeCell ref="D597:D598"/>
    <mergeCell ref="E589:E591"/>
    <mergeCell ref="A685:A686"/>
    <mergeCell ref="C685:C686"/>
    <mergeCell ref="E685:E686"/>
    <mergeCell ref="F685:F686"/>
    <mergeCell ref="D685:D686"/>
    <mergeCell ref="B559:B561"/>
    <mergeCell ref="F543:F544"/>
    <mergeCell ref="C543:C544"/>
    <mergeCell ref="C681:C684"/>
    <mergeCell ref="C557:C558"/>
    <mergeCell ref="D557:D558"/>
    <mergeCell ref="A681:A684"/>
    <mergeCell ref="A666:A673"/>
    <mergeCell ref="A559:A561"/>
    <mergeCell ref="A547:A548"/>
    <mergeCell ref="A659:A664"/>
    <mergeCell ref="E597:E598"/>
    <mergeCell ref="A569:A572"/>
    <mergeCell ref="D580:D581"/>
    <mergeCell ref="B580:B581"/>
    <mergeCell ref="E585:E586"/>
    <mergeCell ref="B585:B586"/>
    <mergeCell ref="A585:A586"/>
    <mergeCell ref="B597:B598"/>
    <mergeCell ref="C608:C609"/>
    <mergeCell ref="G601:G604"/>
    <mergeCell ref="G595:G596"/>
    <mergeCell ref="A340:E340"/>
    <mergeCell ref="A341:Q341"/>
    <mergeCell ref="L340:Q340"/>
    <mergeCell ref="G608:G609"/>
    <mergeCell ref="H608:H609"/>
    <mergeCell ref="H723:H724"/>
    <mergeCell ref="A582:A583"/>
    <mergeCell ref="C582:C583"/>
    <mergeCell ref="D582:D583"/>
    <mergeCell ref="C723:C724"/>
    <mergeCell ref="D589:D591"/>
    <mergeCell ref="C585:C586"/>
    <mergeCell ref="D585:D586"/>
    <mergeCell ref="C595:C596"/>
    <mergeCell ref="D595:D596"/>
    <mergeCell ref="A599:A600"/>
    <mergeCell ref="A700:A701"/>
    <mergeCell ref="C700:C701"/>
    <mergeCell ref="A527:Q527"/>
    <mergeCell ref="D608:D609"/>
    <mergeCell ref="A608:A609"/>
    <mergeCell ref="C533:C539"/>
    <mergeCell ref="F540:F542"/>
    <mergeCell ref="I531:I532"/>
    <mergeCell ref="F528:F529"/>
    <mergeCell ref="I563:I568"/>
    <mergeCell ref="E595:E596"/>
    <mergeCell ref="H573:H574"/>
    <mergeCell ref="G599:G600"/>
    <mergeCell ref="J569:J572"/>
    <mergeCell ref="A761:Q761"/>
    <mergeCell ref="A768:A770"/>
    <mergeCell ref="B768:B770"/>
    <mergeCell ref="C768:C770"/>
    <mergeCell ref="D768:D770"/>
    <mergeCell ref="E768:E770"/>
    <mergeCell ref="F768:F770"/>
    <mergeCell ref="G768:G770"/>
    <mergeCell ref="H768:H770"/>
    <mergeCell ref="I768:I770"/>
    <mergeCell ref="J768:J770"/>
    <mergeCell ref="A771:A773"/>
    <mergeCell ref="B771:B773"/>
    <mergeCell ref="C771:C773"/>
    <mergeCell ref="D771:D773"/>
    <mergeCell ref="E771:E773"/>
    <mergeCell ref="F771:F773"/>
    <mergeCell ref="G771:G773"/>
    <mergeCell ref="H771:H773"/>
    <mergeCell ref="I771:I773"/>
    <mergeCell ref="J771:J773"/>
    <mergeCell ref="A776:A777"/>
    <mergeCell ref="B776:B777"/>
    <mergeCell ref="C776:C777"/>
    <mergeCell ref="D776:D777"/>
    <mergeCell ref="E776:E777"/>
    <mergeCell ref="F776:F777"/>
    <mergeCell ref="G776:G777"/>
    <mergeCell ref="H776:H777"/>
    <mergeCell ref="I776:I777"/>
    <mergeCell ref="J776:J777"/>
    <mergeCell ref="A780:A781"/>
    <mergeCell ref="B780:B781"/>
    <mergeCell ref="C780:C781"/>
    <mergeCell ref="D780:D781"/>
    <mergeCell ref="E780:E781"/>
    <mergeCell ref="F780:F781"/>
    <mergeCell ref="G780:G781"/>
    <mergeCell ref="H780:H781"/>
    <mergeCell ref="I780:I781"/>
    <mergeCell ref="J780:J781"/>
    <mergeCell ref="A785:A788"/>
    <mergeCell ref="C785:C788"/>
    <mergeCell ref="D785:D788"/>
    <mergeCell ref="E785:E788"/>
    <mergeCell ref="F785:F788"/>
    <mergeCell ref="G785:G788"/>
    <mergeCell ref="H785:H788"/>
    <mergeCell ref="I785:I788"/>
    <mergeCell ref="J785:J788"/>
    <mergeCell ref="A789:A790"/>
    <mergeCell ref="C789:C790"/>
    <mergeCell ref="D789:D790"/>
    <mergeCell ref="E789:E790"/>
    <mergeCell ref="F789:F790"/>
    <mergeCell ref="G789:G790"/>
    <mergeCell ref="H789:H790"/>
    <mergeCell ref="I789:I790"/>
    <mergeCell ref="J789:J790"/>
    <mergeCell ref="A793:A797"/>
    <mergeCell ref="B793:B797"/>
    <mergeCell ref="C793:C797"/>
    <mergeCell ref="D793:D797"/>
    <mergeCell ref="E793:E797"/>
    <mergeCell ref="F793:F797"/>
    <mergeCell ref="G793:G797"/>
    <mergeCell ref="H793:H797"/>
    <mergeCell ref="I793:I797"/>
    <mergeCell ref="J793:J797"/>
    <mergeCell ref="K796:K797"/>
    <mergeCell ref="A799:A801"/>
    <mergeCell ref="B799:B801"/>
    <mergeCell ref="C799:C801"/>
    <mergeCell ref="D799:D801"/>
    <mergeCell ref="E799:E801"/>
    <mergeCell ref="F799:F801"/>
    <mergeCell ref="G799:G801"/>
    <mergeCell ref="H799:H801"/>
    <mergeCell ref="I799:I801"/>
    <mergeCell ref="J799:J801"/>
    <mergeCell ref="A802:A804"/>
    <mergeCell ref="B802:B804"/>
    <mergeCell ref="C802:C804"/>
    <mergeCell ref="D802:D804"/>
    <mergeCell ref="E802:E804"/>
    <mergeCell ref="F802:F804"/>
    <mergeCell ref="G802:G804"/>
    <mergeCell ref="H802:H804"/>
    <mergeCell ref="I802:I804"/>
    <mergeCell ref="J802:J804"/>
    <mergeCell ref="A805:A807"/>
    <mergeCell ref="B805:B807"/>
    <mergeCell ref="C805:C807"/>
    <mergeCell ref="D805:D807"/>
    <mergeCell ref="E805:E807"/>
    <mergeCell ref="F805:F807"/>
    <mergeCell ref="G805:G807"/>
    <mergeCell ref="H805:H807"/>
    <mergeCell ref="I805:I807"/>
    <mergeCell ref="J805:J807"/>
    <mergeCell ref="F817:F819"/>
    <mergeCell ref="A821:A822"/>
    <mergeCell ref="B821:B822"/>
    <mergeCell ref="C821:C822"/>
    <mergeCell ref="D821:D822"/>
    <mergeCell ref="E821:E822"/>
    <mergeCell ref="F821:F822"/>
    <mergeCell ref="G821:G822"/>
    <mergeCell ref="H821:H822"/>
    <mergeCell ref="I821:I822"/>
    <mergeCell ref="J821:J822"/>
    <mergeCell ref="F826:F833"/>
    <mergeCell ref="G826:G833"/>
    <mergeCell ref="A827:A828"/>
    <mergeCell ref="B827:B828"/>
    <mergeCell ref="C827:C828"/>
    <mergeCell ref="D827:D828"/>
    <mergeCell ref="E827:E828"/>
    <mergeCell ref="H827:H828"/>
    <mergeCell ref="I827:I828"/>
    <mergeCell ref="J827:J828"/>
    <mergeCell ref="A834:E834"/>
    <mergeCell ref="A835:Q835"/>
    <mergeCell ref="A852:E852"/>
    <mergeCell ref="A853:Q853"/>
    <mergeCell ref="A855:A856"/>
    <mergeCell ref="B855:B856"/>
    <mergeCell ref="C855:C856"/>
    <mergeCell ref="D855:D856"/>
    <mergeCell ref="E855:E856"/>
    <mergeCell ref="F855:F856"/>
    <mergeCell ref="G855:G856"/>
    <mergeCell ref="H855:H856"/>
    <mergeCell ref="I855:I856"/>
    <mergeCell ref="J855:J856"/>
    <mergeCell ref="A857:E857"/>
    <mergeCell ref="A858:Q858"/>
    <mergeCell ref="A860:A866"/>
    <mergeCell ref="C860:C866"/>
    <mergeCell ref="D860:D866"/>
    <mergeCell ref="E860:E866"/>
    <mergeCell ref="F860:F866"/>
    <mergeCell ref="G860:G866"/>
    <mergeCell ref="H860:H866"/>
    <mergeCell ref="I860:I866"/>
    <mergeCell ref="J860:J866"/>
    <mergeCell ref="K860:K866"/>
    <mergeCell ref="L860:L866"/>
    <mergeCell ref="M860:M866"/>
    <mergeCell ref="N860:N866"/>
    <mergeCell ref="O860:O866"/>
    <mergeCell ref="P860:P866"/>
    <mergeCell ref="Q860:Q866"/>
    <mergeCell ref="A876:A887"/>
    <mergeCell ref="B876:B887"/>
    <mergeCell ref="C876:C887"/>
    <mergeCell ref="D876:D887"/>
    <mergeCell ref="E876:E887"/>
    <mergeCell ref="F876:F887"/>
    <mergeCell ref="G876:G887"/>
    <mergeCell ref="H876:H887"/>
    <mergeCell ref="I876:I887"/>
    <mergeCell ref="J876:J887"/>
    <mergeCell ref="A888:A889"/>
    <mergeCell ref="B888:B889"/>
    <mergeCell ref="C888:C889"/>
    <mergeCell ref="D888:D889"/>
    <mergeCell ref="E888:E889"/>
    <mergeCell ref="F888:F889"/>
    <mergeCell ref="G888:G889"/>
    <mergeCell ref="H888:H889"/>
    <mergeCell ref="I888:I889"/>
    <mergeCell ref="J888:J889"/>
    <mergeCell ref="A890:A892"/>
    <mergeCell ref="B890:B892"/>
    <mergeCell ref="C890:C892"/>
    <mergeCell ref="D890:D892"/>
    <mergeCell ref="E890:E892"/>
    <mergeCell ref="F890:F892"/>
    <mergeCell ref="G890:G892"/>
    <mergeCell ref="H890:H892"/>
    <mergeCell ref="I890:I892"/>
    <mergeCell ref="J890:J892"/>
    <mergeCell ref="A894:A899"/>
    <mergeCell ref="B894:B899"/>
    <mergeCell ref="C894:C899"/>
    <mergeCell ref="D894:D899"/>
    <mergeCell ref="E894:E899"/>
    <mergeCell ref="F894:F899"/>
    <mergeCell ref="G894:G899"/>
    <mergeCell ref="H894:H899"/>
    <mergeCell ref="I894:I899"/>
    <mergeCell ref="J894:J899"/>
    <mergeCell ref="A901:A907"/>
    <mergeCell ref="B901:B907"/>
    <mergeCell ref="C901:C907"/>
    <mergeCell ref="D901:D907"/>
    <mergeCell ref="E901:E907"/>
    <mergeCell ref="F901:F907"/>
    <mergeCell ref="G901:G907"/>
    <mergeCell ref="H901:H907"/>
    <mergeCell ref="I901:I907"/>
    <mergeCell ref="J901:J907"/>
    <mergeCell ref="K901:K905"/>
    <mergeCell ref="L901:L905"/>
    <mergeCell ref="M901:M905"/>
    <mergeCell ref="N901:N905"/>
    <mergeCell ref="O901:O905"/>
    <mergeCell ref="P901:P905"/>
    <mergeCell ref="Q901:Q905"/>
    <mergeCell ref="A908:A910"/>
    <mergeCell ref="B908:B910"/>
    <mergeCell ref="C908:C910"/>
    <mergeCell ref="D908:D910"/>
    <mergeCell ref="E908:E910"/>
    <mergeCell ref="F908:F910"/>
    <mergeCell ref="G908:G910"/>
    <mergeCell ref="H908:H910"/>
    <mergeCell ref="I908:I910"/>
    <mergeCell ref="J908:J910"/>
    <mergeCell ref="A911:A915"/>
    <mergeCell ref="B911:B915"/>
    <mergeCell ref="C911:C915"/>
    <mergeCell ref="D911:D915"/>
    <mergeCell ref="E911:E915"/>
    <mergeCell ref="F911:F915"/>
    <mergeCell ref="G911:G915"/>
    <mergeCell ref="H911:H915"/>
    <mergeCell ref="I911:I915"/>
    <mergeCell ref="J911:J915"/>
    <mergeCell ref="A917:A918"/>
    <mergeCell ref="B917:B918"/>
    <mergeCell ref="C917:C918"/>
    <mergeCell ref="D917:D918"/>
    <mergeCell ref="E917:E918"/>
    <mergeCell ref="F917:F918"/>
    <mergeCell ref="G917:G918"/>
    <mergeCell ref="H917:H918"/>
    <mergeCell ref="I917:I918"/>
    <mergeCell ref="J917:J918"/>
    <mergeCell ref="K917:K918"/>
    <mergeCell ref="L917:L918"/>
    <mergeCell ref="M917:M918"/>
    <mergeCell ref="N917:N918"/>
    <mergeCell ref="O917:O918"/>
    <mergeCell ref="P917:P918"/>
    <mergeCell ref="Q917:Q918"/>
    <mergeCell ref="A919:A920"/>
    <mergeCell ref="C919:C920"/>
    <mergeCell ref="D919:D920"/>
    <mergeCell ref="B921:B924"/>
    <mergeCell ref="C921:C924"/>
    <mergeCell ref="D921:D924"/>
    <mergeCell ref="E921:E924"/>
    <mergeCell ref="F921:F924"/>
    <mergeCell ref="G921:G924"/>
    <mergeCell ref="H921:H924"/>
    <mergeCell ref="I921:I924"/>
    <mergeCell ref="J921:J924"/>
    <mergeCell ref="A922:A924"/>
    <mergeCell ref="A925:A929"/>
    <mergeCell ref="B925:B929"/>
    <mergeCell ref="C925:C929"/>
    <mergeCell ref="D925:D929"/>
    <mergeCell ref="E925:E929"/>
    <mergeCell ref="F925:F929"/>
    <mergeCell ref="G925:G929"/>
    <mergeCell ref="H925:H929"/>
    <mergeCell ref="I925:I929"/>
    <mergeCell ref="J925:J929"/>
    <mergeCell ref="A931:A936"/>
    <mergeCell ref="B931:B936"/>
    <mergeCell ref="C931:C936"/>
    <mergeCell ref="D931:D936"/>
    <mergeCell ref="E931:E936"/>
    <mergeCell ref="F931:F936"/>
    <mergeCell ref="G931:G936"/>
    <mergeCell ref="H931:H936"/>
    <mergeCell ref="I931:I936"/>
    <mergeCell ref="J931:J936"/>
    <mergeCell ref="A937:A938"/>
    <mergeCell ref="B937:B938"/>
    <mergeCell ref="C937:C938"/>
    <mergeCell ref="D937:D938"/>
    <mergeCell ref="E937:E938"/>
    <mergeCell ref="F937:F938"/>
    <mergeCell ref="G937:G938"/>
    <mergeCell ref="H937:H938"/>
    <mergeCell ref="I937:I938"/>
    <mergeCell ref="J937:J938"/>
    <mergeCell ref="A939:A942"/>
    <mergeCell ref="B939:B942"/>
    <mergeCell ref="C939:C942"/>
    <mergeCell ref="D939:D942"/>
    <mergeCell ref="E939:E942"/>
    <mergeCell ref="F939:F942"/>
    <mergeCell ref="G939:G942"/>
    <mergeCell ref="H939:H942"/>
    <mergeCell ref="I939:I942"/>
    <mergeCell ref="J939:J942"/>
    <mergeCell ref="A943:A944"/>
    <mergeCell ref="B943:B944"/>
    <mergeCell ref="C943:C944"/>
    <mergeCell ref="D943:D944"/>
    <mergeCell ref="E943:E944"/>
    <mergeCell ref="F943:F944"/>
    <mergeCell ref="G943:G944"/>
    <mergeCell ref="H943:H944"/>
    <mergeCell ref="I943:I944"/>
    <mergeCell ref="J943:J944"/>
    <mergeCell ref="A946:A948"/>
    <mergeCell ref="B946:B948"/>
    <mergeCell ref="C946:C948"/>
    <mergeCell ref="D946:D948"/>
    <mergeCell ref="E946:E948"/>
    <mergeCell ref="F946:F948"/>
    <mergeCell ref="G946:G948"/>
    <mergeCell ref="H946:H948"/>
    <mergeCell ref="I946:I948"/>
    <mergeCell ref="J946:J948"/>
    <mergeCell ref="A949:A951"/>
    <mergeCell ref="B949:B951"/>
    <mergeCell ref="C949:C951"/>
    <mergeCell ref="D949:D951"/>
    <mergeCell ref="E949:E951"/>
    <mergeCell ref="F949:F951"/>
    <mergeCell ref="G949:G951"/>
    <mergeCell ref="H949:H951"/>
    <mergeCell ref="I949:I951"/>
    <mergeCell ref="J949:J951"/>
    <mergeCell ref="A954:A956"/>
    <mergeCell ref="B954:B956"/>
    <mergeCell ref="C954:C956"/>
    <mergeCell ref="D954:D956"/>
    <mergeCell ref="E954:E956"/>
    <mergeCell ref="F954:F956"/>
    <mergeCell ref="G954:G956"/>
    <mergeCell ref="H954:H956"/>
    <mergeCell ref="I954:I956"/>
    <mergeCell ref="J954:J956"/>
    <mergeCell ref="A958:A962"/>
    <mergeCell ref="B958:B962"/>
    <mergeCell ref="C958:C962"/>
    <mergeCell ref="D958:D962"/>
    <mergeCell ref="E958:E962"/>
    <mergeCell ref="F958:F962"/>
    <mergeCell ref="G958:G962"/>
    <mergeCell ref="H958:H962"/>
    <mergeCell ref="I958:I962"/>
    <mergeCell ref="J958:J962"/>
    <mergeCell ref="A963:A966"/>
    <mergeCell ref="B963:B966"/>
    <mergeCell ref="C963:C966"/>
    <mergeCell ref="D963:D966"/>
    <mergeCell ref="E963:E966"/>
    <mergeCell ref="F963:F966"/>
    <mergeCell ref="G963:G966"/>
    <mergeCell ref="H963:H966"/>
    <mergeCell ref="I963:I966"/>
    <mergeCell ref="J963:J966"/>
    <mergeCell ref="A967:A968"/>
    <mergeCell ref="B967:B968"/>
    <mergeCell ref="C967:C968"/>
    <mergeCell ref="D967:D968"/>
    <mergeCell ref="E967:E968"/>
    <mergeCell ref="F967:F968"/>
    <mergeCell ref="G967:G968"/>
    <mergeCell ref="H967:H968"/>
    <mergeCell ref="I967:I968"/>
    <mergeCell ref="J967:J968"/>
    <mergeCell ref="A972:E972"/>
    <mergeCell ref="L972:Q972"/>
    <mergeCell ref="B973:Q973"/>
    <mergeCell ref="A982:Q982"/>
    <mergeCell ref="B989:B990"/>
    <mergeCell ref="C989:C990"/>
    <mergeCell ref="D989:D990"/>
    <mergeCell ref="E989:E990"/>
    <mergeCell ref="F989:F990"/>
    <mergeCell ref="G989:G990"/>
    <mergeCell ref="H989:H990"/>
    <mergeCell ref="I989:I990"/>
    <mergeCell ref="J989:J990"/>
    <mergeCell ref="B991:B992"/>
    <mergeCell ref="C991:C992"/>
    <mergeCell ref="D991:D992"/>
    <mergeCell ref="E991:E992"/>
    <mergeCell ref="F991:F992"/>
    <mergeCell ref="G991:G992"/>
    <mergeCell ref="H991:H992"/>
    <mergeCell ref="I991:I992"/>
    <mergeCell ref="J991:J992"/>
    <mergeCell ref="A993:A994"/>
    <mergeCell ref="B993:B994"/>
    <mergeCell ref="C993:C994"/>
    <mergeCell ref="D993:D994"/>
    <mergeCell ref="E993:E994"/>
    <mergeCell ref="F993:F994"/>
    <mergeCell ref="G993:G994"/>
    <mergeCell ref="H993:H994"/>
    <mergeCell ref="I993:I994"/>
    <mergeCell ref="J993:J994"/>
    <mergeCell ref="K993:K994"/>
    <mergeCell ref="L993:L994"/>
    <mergeCell ref="M993:M994"/>
    <mergeCell ref="N993:N994"/>
    <mergeCell ref="O993:O994"/>
    <mergeCell ref="P993:P994"/>
    <mergeCell ref="Q993:Q994"/>
    <mergeCell ref="A995:A996"/>
    <mergeCell ref="C995:C997"/>
    <mergeCell ref="D995:D997"/>
    <mergeCell ref="E995:E997"/>
    <mergeCell ref="F995:F997"/>
    <mergeCell ref="G995:G997"/>
    <mergeCell ref="H995:H997"/>
    <mergeCell ref="I995:I997"/>
    <mergeCell ref="J995:J997"/>
    <mergeCell ref="B996:B997"/>
    <mergeCell ref="A998:A999"/>
    <mergeCell ref="B998:B1000"/>
    <mergeCell ref="C998:C1000"/>
    <mergeCell ref="D998:D1000"/>
    <mergeCell ref="E998:E1000"/>
    <mergeCell ref="F998:F1000"/>
    <mergeCell ref="G998:G1000"/>
    <mergeCell ref="H998:H1000"/>
    <mergeCell ref="I998:I1000"/>
    <mergeCell ref="J998:J1000"/>
    <mergeCell ref="A1002:A1003"/>
    <mergeCell ref="C1002:C1003"/>
    <mergeCell ref="D1002:D1003"/>
    <mergeCell ref="E1002:E1003"/>
    <mergeCell ref="F1002:F1003"/>
    <mergeCell ref="G1002:G1003"/>
    <mergeCell ref="H1002:H1003"/>
    <mergeCell ref="I1002:I1003"/>
    <mergeCell ref="J1002:J1003"/>
    <mergeCell ref="A1004:A1005"/>
    <mergeCell ref="B1004:B1005"/>
    <mergeCell ref="C1004:C1005"/>
    <mergeCell ref="D1004:D1005"/>
    <mergeCell ref="E1004:E1005"/>
    <mergeCell ref="F1004:F1005"/>
    <mergeCell ref="G1004:G1005"/>
    <mergeCell ref="H1004:H1005"/>
    <mergeCell ref="I1004:I1005"/>
    <mergeCell ref="J1004:J1005"/>
    <mergeCell ref="K1004:K1005"/>
    <mergeCell ref="L1004:L1005"/>
    <mergeCell ref="M1004:M1005"/>
    <mergeCell ref="N1004:N1005"/>
    <mergeCell ref="O1004:O1005"/>
    <mergeCell ref="P1004:P1005"/>
    <mergeCell ref="Q1004:Q1005"/>
    <mergeCell ref="A1006:A1007"/>
    <mergeCell ref="C1006:C1007"/>
    <mergeCell ref="D1006:D1007"/>
    <mergeCell ref="E1006:E1007"/>
    <mergeCell ref="F1006:F1007"/>
    <mergeCell ref="G1006:G1007"/>
    <mergeCell ref="H1006:H1007"/>
    <mergeCell ref="I1006:I1007"/>
    <mergeCell ref="J1006:J1007"/>
    <mergeCell ref="A1008:A1009"/>
    <mergeCell ref="C1008:C1009"/>
    <mergeCell ref="D1008:D1009"/>
    <mergeCell ref="E1008:E1009"/>
    <mergeCell ref="F1008:F1009"/>
    <mergeCell ref="G1008:G1009"/>
    <mergeCell ref="H1008:H1009"/>
    <mergeCell ref="I1008:I1009"/>
    <mergeCell ref="J1008:J1009"/>
    <mergeCell ref="A1010:A1011"/>
    <mergeCell ref="B1010:B1011"/>
    <mergeCell ref="C1010:C1011"/>
    <mergeCell ref="D1010:D1011"/>
    <mergeCell ref="E1010:E1011"/>
    <mergeCell ref="F1010:F1011"/>
    <mergeCell ref="G1010:G1011"/>
    <mergeCell ref="H1010:H1011"/>
    <mergeCell ref="I1010:I1011"/>
    <mergeCell ref="J1010:J1011"/>
    <mergeCell ref="K1010:K1011"/>
    <mergeCell ref="L1010:L1011"/>
    <mergeCell ref="M1010:M1011"/>
    <mergeCell ref="N1010:N1011"/>
    <mergeCell ref="O1010:O1011"/>
    <mergeCell ref="P1010:P1011"/>
    <mergeCell ref="Q1010:Q1011"/>
    <mergeCell ref="F1013:F1014"/>
    <mergeCell ref="G1013:G1014"/>
    <mergeCell ref="H1013:H1014"/>
    <mergeCell ref="I1013:I1014"/>
    <mergeCell ref="J1013:J1014"/>
    <mergeCell ref="B1018:B1019"/>
    <mergeCell ref="C1018:C1019"/>
    <mergeCell ref="D1018:D1019"/>
    <mergeCell ref="E1018:E1019"/>
    <mergeCell ref="F1018:F1019"/>
    <mergeCell ref="G1018:G1019"/>
    <mergeCell ref="H1018:H1019"/>
    <mergeCell ref="I1018:I1019"/>
    <mergeCell ref="J1018:J1019"/>
    <mergeCell ref="B1020:B1022"/>
    <mergeCell ref="C1020:C1022"/>
    <mergeCell ref="D1020:D1022"/>
    <mergeCell ref="E1020:E1022"/>
    <mergeCell ref="F1020:F1022"/>
    <mergeCell ref="G1020:G1022"/>
    <mergeCell ref="H1020:H1022"/>
    <mergeCell ref="I1020:I1022"/>
    <mergeCell ref="J1020:J1022"/>
    <mergeCell ref="C1025:C1026"/>
    <mergeCell ref="D1025:D1026"/>
    <mergeCell ref="E1025:E1026"/>
    <mergeCell ref="F1025:F1026"/>
    <mergeCell ref="G1025:G1026"/>
    <mergeCell ref="H1025:H1026"/>
    <mergeCell ref="I1025:I1026"/>
    <mergeCell ref="J1025:J1026"/>
    <mergeCell ref="B1028:B1029"/>
    <mergeCell ref="C1028:C1029"/>
    <mergeCell ref="D1028:D1029"/>
    <mergeCell ref="E1028:E1029"/>
    <mergeCell ref="F1028:F1029"/>
    <mergeCell ref="G1028:G1029"/>
    <mergeCell ref="H1028:H1029"/>
    <mergeCell ref="I1028:I1029"/>
    <mergeCell ref="J1028:J1029"/>
    <mergeCell ref="A1032:E1032"/>
    <mergeCell ref="A1033:Q1033"/>
    <mergeCell ref="A1034:Q1034"/>
    <mergeCell ref="A1038:E1038"/>
    <mergeCell ref="L1038:Q1038"/>
    <mergeCell ref="A1039:Q1039"/>
    <mergeCell ref="A1049:E1049"/>
    <mergeCell ref="L1049:Q1049"/>
    <mergeCell ref="A1050:Q1050"/>
    <mergeCell ref="A1052:A1055"/>
    <mergeCell ref="B1052:B1055"/>
    <mergeCell ref="C1052:C1055"/>
    <mergeCell ref="D1052:D1055"/>
    <mergeCell ref="E1052:E1055"/>
    <mergeCell ref="F1052:F1055"/>
    <mergeCell ref="G1052:G1055"/>
    <mergeCell ref="H1052:H1055"/>
    <mergeCell ref="I1052:I1055"/>
    <mergeCell ref="J1052:J1055"/>
    <mergeCell ref="A1056:E1056"/>
    <mergeCell ref="L1056:Q1056"/>
    <mergeCell ref="A1057:Q1057"/>
    <mergeCell ref="A1068:A1069"/>
    <mergeCell ref="B1068:B1069"/>
    <mergeCell ref="C1068:C1069"/>
    <mergeCell ref="D1068:D1069"/>
    <mergeCell ref="E1068:E1069"/>
    <mergeCell ref="K1068:K1069"/>
    <mergeCell ref="A1071:A1074"/>
    <mergeCell ref="B1071:B1074"/>
    <mergeCell ref="C1071:C1074"/>
    <mergeCell ref="D1071:D1074"/>
    <mergeCell ref="E1071:E1074"/>
    <mergeCell ref="F1071:F1074"/>
    <mergeCell ref="G1071:G1074"/>
    <mergeCell ref="H1071:H1074"/>
    <mergeCell ref="I1071:I1074"/>
    <mergeCell ref="J1071:J1074"/>
    <mergeCell ref="A1075:A1078"/>
    <mergeCell ref="B1075:B1078"/>
    <mergeCell ref="C1075:C1078"/>
    <mergeCell ref="D1075:D1078"/>
    <mergeCell ref="E1075:E1078"/>
    <mergeCell ref="F1075:F1078"/>
    <mergeCell ref="G1075:G1078"/>
    <mergeCell ref="H1075:H1078"/>
    <mergeCell ref="I1075:I1078"/>
    <mergeCell ref="J1075:J1078"/>
    <mergeCell ref="A1080:A1082"/>
    <mergeCell ref="B1080:B1082"/>
    <mergeCell ref="C1080:C1082"/>
    <mergeCell ref="D1080:D1082"/>
    <mergeCell ref="E1080:E1082"/>
    <mergeCell ref="F1080:F1082"/>
    <mergeCell ref="G1080:G1082"/>
    <mergeCell ref="H1080:H1082"/>
    <mergeCell ref="I1080:I1082"/>
    <mergeCell ref="J1080:J1082"/>
    <mergeCell ref="A1083:A1084"/>
    <mergeCell ref="B1083:B1084"/>
    <mergeCell ref="C1083:C1084"/>
    <mergeCell ref="D1083:D1084"/>
    <mergeCell ref="E1083:E1084"/>
    <mergeCell ref="K1083:K1084"/>
    <mergeCell ref="A1085:A1087"/>
    <mergeCell ref="C1085:C1087"/>
    <mergeCell ref="D1085:D1087"/>
    <mergeCell ref="E1085:E1087"/>
    <mergeCell ref="F1085:F1086"/>
    <mergeCell ref="G1085:G1086"/>
    <mergeCell ref="H1085:H1086"/>
    <mergeCell ref="I1085:I1086"/>
    <mergeCell ref="J1085:J1086"/>
    <mergeCell ref="A1089:A1090"/>
    <mergeCell ref="B1089:B1090"/>
    <mergeCell ref="C1089:C1090"/>
    <mergeCell ref="D1089:D1090"/>
    <mergeCell ref="E1089:E1090"/>
    <mergeCell ref="K1089:K1090"/>
    <mergeCell ref="A1091:A1092"/>
    <mergeCell ref="B1091:B1092"/>
    <mergeCell ref="C1091:C1092"/>
    <mergeCell ref="D1091:D1092"/>
    <mergeCell ref="E1091:E1092"/>
    <mergeCell ref="K1091:K1092"/>
    <mergeCell ref="A1093:E1093"/>
    <mergeCell ref="A1094:Q1094"/>
    <mergeCell ref="A1104:A1105"/>
    <mergeCell ref="B1104:B1105"/>
    <mergeCell ref="C1104:C1105"/>
    <mergeCell ref="D1104:D1105"/>
    <mergeCell ref="E1104:E1105"/>
    <mergeCell ref="F1104:F1105"/>
    <mergeCell ref="G1104:G1105"/>
    <mergeCell ref="H1104:H1105"/>
    <mergeCell ref="I1104:I1105"/>
    <mergeCell ref="J1104:J1105"/>
    <mergeCell ref="A1106:A1107"/>
    <mergeCell ref="B1106:B1107"/>
    <mergeCell ref="C1106:C1107"/>
    <mergeCell ref="D1106:D1107"/>
    <mergeCell ref="E1106:E1107"/>
    <mergeCell ref="F1106:F1107"/>
    <mergeCell ref="G1106:G1107"/>
    <mergeCell ref="H1106:H1107"/>
    <mergeCell ref="I1106:I1107"/>
    <mergeCell ref="J1106:J1107"/>
    <mergeCell ref="A1108:A1109"/>
    <mergeCell ref="B1108:B1109"/>
    <mergeCell ref="C1108:C1109"/>
    <mergeCell ref="D1108:D1109"/>
    <mergeCell ref="E1108:E1109"/>
    <mergeCell ref="F1108:F1109"/>
    <mergeCell ref="G1108:G1109"/>
    <mergeCell ref="H1108:H1109"/>
    <mergeCell ref="I1108:I1109"/>
    <mergeCell ref="J1108:J1109"/>
    <mergeCell ref="A1110:A1111"/>
    <mergeCell ref="B1110:B1111"/>
    <mergeCell ref="C1110:C1111"/>
    <mergeCell ref="D1110:D1111"/>
    <mergeCell ref="E1110:E1111"/>
    <mergeCell ref="F1110:F1111"/>
    <mergeCell ref="G1110:G1111"/>
    <mergeCell ref="H1110:H1111"/>
    <mergeCell ref="I1110:I1111"/>
    <mergeCell ref="J1110:J1111"/>
    <mergeCell ref="A1112:E1112"/>
    <mergeCell ref="A1113:Q1113"/>
    <mergeCell ref="A1125:E1125"/>
    <mergeCell ref="A1126:Q1126"/>
    <mergeCell ref="A1139:A1140"/>
    <mergeCell ref="B1139:B1140"/>
    <mergeCell ref="C1139:C1140"/>
    <mergeCell ref="D1139:D1140"/>
    <mergeCell ref="E1139:E1140"/>
    <mergeCell ref="F1139:F1140"/>
    <mergeCell ref="G1139:G1140"/>
    <mergeCell ref="H1139:H1140"/>
    <mergeCell ref="I1139:I1140"/>
    <mergeCell ref="J1139:J1140"/>
    <mergeCell ref="A1141:E1141"/>
    <mergeCell ref="A1142:Q1142"/>
    <mergeCell ref="A1143:A1144"/>
    <mergeCell ref="B1143:B1144"/>
    <mergeCell ref="C1143:C1144"/>
    <mergeCell ref="D1143:D1144"/>
    <mergeCell ref="E1143:E1144"/>
    <mergeCell ref="F1143:F1144"/>
    <mergeCell ref="G1143:G1144"/>
    <mergeCell ref="H1143:H1144"/>
    <mergeCell ref="I1143:I1144"/>
    <mergeCell ref="J1143:J1144"/>
    <mergeCell ref="A1145:A1146"/>
    <mergeCell ref="B1145:B1146"/>
    <mergeCell ref="C1145:C1146"/>
    <mergeCell ref="D1145:D1146"/>
    <mergeCell ref="E1145:E1146"/>
    <mergeCell ref="F1145:F1146"/>
    <mergeCell ref="G1145:G1146"/>
    <mergeCell ref="H1145:H1146"/>
    <mergeCell ref="I1145:I1146"/>
    <mergeCell ref="J1145:J1146"/>
    <mergeCell ref="B1147:B1149"/>
    <mergeCell ref="C1147:C1149"/>
    <mergeCell ref="D1147:D1149"/>
    <mergeCell ref="E1147:E1149"/>
    <mergeCell ref="F1147:F1149"/>
    <mergeCell ref="G1147:G1149"/>
    <mergeCell ref="H1147:H1149"/>
    <mergeCell ref="I1147:I1149"/>
    <mergeCell ref="J1147:J1149"/>
    <mergeCell ref="A1151:A1152"/>
    <mergeCell ref="B1151:B1152"/>
    <mergeCell ref="C1151:C1152"/>
    <mergeCell ref="D1151:D1152"/>
    <mergeCell ref="E1151:E1152"/>
    <mergeCell ref="F1151:F1152"/>
    <mergeCell ref="G1151:G1152"/>
    <mergeCell ref="H1151:H1152"/>
    <mergeCell ref="I1151:I1152"/>
    <mergeCell ref="J1151:J1152"/>
    <mergeCell ref="A1153:A1154"/>
    <mergeCell ref="B1153:B1154"/>
    <mergeCell ref="C1153:C1154"/>
    <mergeCell ref="D1153:D1154"/>
    <mergeCell ref="E1153:E1154"/>
    <mergeCell ref="F1153:F1154"/>
    <mergeCell ref="G1153:G1154"/>
    <mergeCell ref="H1153:H1154"/>
    <mergeCell ref="I1153:I1154"/>
    <mergeCell ref="J1153:J1154"/>
    <mergeCell ref="A1155:A1156"/>
    <mergeCell ref="B1155:B1156"/>
    <mergeCell ref="C1155:C1156"/>
    <mergeCell ref="D1155:D1156"/>
    <mergeCell ref="E1155:E1156"/>
    <mergeCell ref="F1155:F1156"/>
    <mergeCell ref="G1155:G1156"/>
    <mergeCell ref="H1155:H1156"/>
    <mergeCell ref="I1155:I1156"/>
    <mergeCell ref="J1155:J1156"/>
    <mergeCell ref="A1157:E1157"/>
    <mergeCell ref="A1158:Q1158"/>
    <mergeCell ref="A1164:A1165"/>
    <mergeCell ref="B1164:B1165"/>
    <mergeCell ref="C1164:C1165"/>
    <mergeCell ref="D1164:D1165"/>
    <mergeCell ref="E1164:E1165"/>
    <mergeCell ref="F1164:F1165"/>
    <mergeCell ref="G1164:G1165"/>
    <mergeCell ref="H1164:H1165"/>
    <mergeCell ref="I1164:I1165"/>
    <mergeCell ref="J1164:J1165"/>
    <mergeCell ref="A1166:A1167"/>
    <mergeCell ref="C1166:C1167"/>
    <mergeCell ref="D1166:D1167"/>
    <mergeCell ref="E1166:E1167"/>
    <mergeCell ref="F1166:F1167"/>
    <mergeCell ref="G1166:G1167"/>
    <mergeCell ref="H1166:H1167"/>
    <mergeCell ref="I1166:I1167"/>
    <mergeCell ref="J1166:J1167"/>
    <mergeCell ref="A1170:A1171"/>
    <mergeCell ref="C1170:C1171"/>
    <mergeCell ref="D1170:D1171"/>
    <mergeCell ref="E1170:E1171"/>
    <mergeCell ref="F1170:F1171"/>
    <mergeCell ref="G1170:G1171"/>
    <mergeCell ref="H1170:H1171"/>
    <mergeCell ref="I1170:I1171"/>
    <mergeCell ref="J1170:J1171"/>
    <mergeCell ref="A1176:A1177"/>
    <mergeCell ref="C1176:C1177"/>
    <mergeCell ref="D1176:D1177"/>
    <mergeCell ref="E1176:E1177"/>
    <mergeCell ref="F1176:F1177"/>
    <mergeCell ref="G1176:G1177"/>
    <mergeCell ref="H1176:H1177"/>
    <mergeCell ref="I1176:I1177"/>
    <mergeCell ref="J1176:J1177"/>
    <mergeCell ref="A1179:E1179"/>
    <mergeCell ref="A1180:Q1180"/>
    <mergeCell ref="M1184:M1185"/>
    <mergeCell ref="N1184:N1185"/>
    <mergeCell ref="O1184:O1185"/>
    <mergeCell ref="P1184:P1185"/>
    <mergeCell ref="Q1184:Q1185"/>
    <mergeCell ref="A1193:E1193"/>
    <mergeCell ref="A1194:Q1194"/>
    <mergeCell ref="A1204:A1205"/>
    <mergeCell ref="B1204:B1205"/>
    <mergeCell ref="C1204:C1205"/>
    <mergeCell ref="D1204:D1205"/>
    <mergeCell ref="E1204:E1205"/>
    <mergeCell ref="F1204:F1205"/>
    <mergeCell ref="G1204:G1205"/>
    <mergeCell ref="H1204:H1205"/>
    <mergeCell ref="I1204:I1205"/>
    <mergeCell ref="J1204:J1205"/>
    <mergeCell ref="A1206:A1212"/>
    <mergeCell ref="B1206:B1212"/>
    <mergeCell ref="C1206:C1212"/>
    <mergeCell ref="D1206:D1212"/>
    <mergeCell ref="E1206:E1212"/>
    <mergeCell ref="F1206:F1212"/>
    <mergeCell ref="G1206:G1212"/>
    <mergeCell ref="H1206:H1212"/>
    <mergeCell ref="I1206:I1212"/>
    <mergeCell ref="J1206:J1212"/>
    <mergeCell ref="A1213:A1217"/>
    <mergeCell ref="B1213:B1217"/>
    <mergeCell ref="C1213:C1217"/>
    <mergeCell ref="D1213:D1217"/>
    <mergeCell ref="E1213:E1217"/>
    <mergeCell ref="F1213:F1217"/>
    <mergeCell ref="G1213:G1217"/>
    <mergeCell ref="H1213:H1217"/>
    <mergeCell ref="I1213:I1217"/>
    <mergeCell ref="J1213:J1217"/>
    <mergeCell ref="A1218:A1220"/>
    <mergeCell ref="B1218:B1220"/>
    <mergeCell ref="C1218:C1220"/>
    <mergeCell ref="D1218:D1220"/>
    <mergeCell ref="E1218:E1220"/>
    <mergeCell ref="F1218:F1220"/>
    <mergeCell ref="G1218:G1220"/>
    <mergeCell ref="H1218:H1220"/>
    <mergeCell ref="I1218:I1220"/>
    <mergeCell ref="J1218:J1220"/>
    <mergeCell ref="A1221:A1224"/>
    <mergeCell ref="B1221:B1224"/>
    <mergeCell ref="C1221:C1224"/>
    <mergeCell ref="D1221:D1224"/>
    <mergeCell ref="E1221:E1224"/>
    <mergeCell ref="F1221:F1224"/>
    <mergeCell ref="G1221:G1224"/>
    <mergeCell ref="H1221:H1224"/>
    <mergeCell ref="I1221:I1224"/>
    <mergeCell ref="J1221:J1224"/>
    <mergeCell ref="A1227:A1228"/>
    <mergeCell ref="B1227:B1228"/>
    <mergeCell ref="C1227:C1228"/>
    <mergeCell ref="D1227:D1228"/>
    <mergeCell ref="E1227:E1228"/>
    <mergeCell ref="F1227:F1228"/>
    <mergeCell ref="G1227:G1228"/>
    <mergeCell ref="H1227:H1228"/>
    <mergeCell ref="I1227:I1228"/>
    <mergeCell ref="J1227:J1228"/>
    <mergeCell ref="A1230:A1232"/>
    <mergeCell ref="B1230:B1232"/>
    <mergeCell ref="C1230:C1232"/>
    <mergeCell ref="D1230:D1232"/>
    <mergeCell ref="E1230:E1232"/>
    <mergeCell ref="F1230:F1232"/>
    <mergeCell ref="G1230:G1232"/>
    <mergeCell ref="H1230:H1232"/>
    <mergeCell ref="I1230:I1232"/>
    <mergeCell ref="J1230:J1232"/>
    <mergeCell ref="A1234:A1235"/>
    <mergeCell ref="B1234:B1235"/>
    <mergeCell ref="C1234:C1235"/>
    <mergeCell ref="D1234:D1235"/>
    <mergeCell ref="E1234:E1235"/>
    <mergeCell ref="F1234:F1235"/>
    <mergeCell ref="G1234:G1235"/>
    <mergeCell ref="H1234:H1235"/>
    <mergeCell ref="I1234:I1235"/>
    <mergeCell ref="J1234:J1235"/>
    <mergeCell ref="A1242:A1245"/>
    <mergeCell ref="B1242:B1245"/>
    <mergeCell ref="C1242:C1245"/>
    <mergeCell ref="D1242:D1245"/>
    <mergeCell ref="E1242:E1245"/>
    <mergeCell ref="F1242:F1245"/>
    <mergeCell ref="G1242:G1245"/>
    <mergeCell ref="H1242:H1245"/>
    <mergeCell ref="I1242:I1245"/>
    <mergeCell ref="J1242:J1245"/>
    <mergeCell ref="A1246:A1249"/>
    <mergeCell ref="B1246:B1249"/>
    <mergeCell ref="C1246:C1249"/>
    <mergeCell ref="D1246:D1249"/>
    <mergeCell ref="E1246:E1249"/>
    <mergeCell ref="F1246:F1249"/>
    <mergeCell ref="G1246:G1249"/>
    <mergeCell ref="H1246:H1249"/>
    <mergeCell ref="I1246:I1249"/>
    <mergeCell ref="J1246:J1249"/>
    <mergeCell ref="A1250:A1253"/>
    <mergeCell ref="B1250:B1253"/>
    <mergeCell ref="C1250:C1253"/>
    <mergeCell ref="D1250:D1253"/>
    <mergeCell ref="E1250:E1253"/>
    <mergeCell ref="F1250:F1253"/>
    <mergeCell ref="G1250:G1253"/>
    <mergeCell ref="H1250:H1253"/>
    <mergeCell ref="I1250:I1253"/>
    <mergeCell ref="J1250:J1253"/>
    <mergeCell ref="A1255:A1257"/>
    <mergeCell ref="B1255:B1257"/>
    <mergeCell ref="C1255:C1257"/>
    <mergeCell ref="D1255:D1257"/>
    <mergeCell ref="E1255:E1257"/>
    <mergeCell ref="F1255:F1257"/>
    <mergeCell ref="G1255:G1257"/>
    <mergeCell ref="H1255:H1257"/>
    <mergeCell ref="I1255:I1257"/>
    <mergeCell ref="J1255:J1257"/>
    <mergeCell ref="A1258:A1264"/>
    <mergeCell ref="B1258:B1264"/>
    <mergeCell ref="C1258:C1264"/>
    <mergeCell ref="D1258:D1264"/>
    <mergeCell ref="E1258:E1264"/>
    <mergeCell ref="F1258:F1264"/>
    <mergeCell ref="G1258:G1264"/>
    <mergeCell ref="H1258:H1264"/>
    <mergeCell ref="I1258:I1264"/>
    <mergeCell ref="J1258:J1264"/>
    <mergeCell ref="A1265:A1269"/>
    <mergeCell ref="B1265:B1269"/>
    <mergeCell ref="C1265:C1269"/>
    <mergeCell ref="D1265:D1269"/>
    <mergeCell ref="E1265:E1269"/>
    <mergeCell ref="F1265:F1269"/>
    <mergeCell ref="G1265:G1269"/>
    <mergeCell ref="H1265:H1269"/>
    <mergeCell ref="I1265:I1269"/>
    <mergeCell ref="J1265:J1269"/>
    <mergeCell ref="A1271:A1274"/>
    <mergeCell ref="B1271:B1274"/>
    <mergeCell ref="C1271:C1274"/>
    <mergeCell ref="D1271:D1274"/>
    <mergeCell ref="E1271:E1274"/>
    <mergeCell ref="F1271:F1274"/>
    <mergeCell ref="G1271:G1274"/>
    <mergeCell ref="H1271:H1274"/>
    <mergeCell ref="I1271:I1274"/>
    <mergeCell ref="J1271:J1274"/>
    <mergeCell ref="A1275:A1278"/>
    <mergeCell ref="B1275:B1278"/>
    <mergeCell ref="C1275:C1278"/>
    <mergeCell ref="D1275:D1278"/>
    <mergeCell ref="E1275:E1278"/>
    <mergeCell ref="F1275:F1278"/>
    <mergeCell ref="G1275:G1278"/>
    <mergeCell ref="H1275:H1278"/>
    <mergeCell ref="I1275:I1278"/>
    <mergeCell ref="J1275:J1278"/>
    <mergeCell ref="A1279:A1285"/>
    <mergeCell ref="B1279:B1285"/>
    <mergeCell ref="C1279:C1285"/>
    <mergeCell ref="D1279:D1285"/>
    <mergeCell ref="E1279:E1285"/>
    <mergeCell ref="F1279:F1285"/>
    <mergeCell ref="G1279:G1285"/>
    <mergeCell ref="H1279:H1285"/>
    <mergeCell ref="I1279:I1285"/>
    <mergeCell ref="J1279:J1285"/>
    <mergeCell ref="A1289:E1289"/>
    <mergeCell ref="A1290:Q1290"/>
    <mergeCell ref="A1315:E1315"/>
    <mergeCell ref="A1316:Q1316"/>
    <mergeCell ref="A1320:A1321"/>
    <mergeCell ref="C1320:C1321"/>
    <mergeCell ref="D1320:D1321"/>
    <mergeCell ref="E1320:E1321"/>
    <mergeCell ref="F1320:F1321"/>
    <mergeCell ref="G1320:G1321"/>
    <mergeCell ref="H1320:H1321"/>
    <mergeCell ref="I1320:I1321"/>
    <mergeCell ref="J1320:J1321"/>
    <mergeCell ref="A1323:A1325"/>
    <mergeCell ref="C1323:C1325"/>
    <mergeCell ref="D1323:D1325"/>
    <mergeCell ref="E1323:E1325"/>
    <mergeCell ref="F1323:F1325"/>
    <mergeCell ref="G1323:G1325"/>
    <mergeCell ref="H1323:H1325"/>
    <mergeCell ref="I1323:I1325"/>
    <mergeCell ref="J1323:J1325"/>
    <mergeCell ref="A1330:A1334"/>
    <mergeCell ref="B1330:B1334"/>
    <mergeCell ref="C1330:C1334"/>
    <mergeCell ref="D1330:D1334"/>
    <mergeCell ref="E1330:E1334"/>
    <mergeCell ref="F1330:F1334"/>
    <mergeCell ref="G1330:G1334"/>
    <mergeCell ref="H1330:H1334"/>
    <mergeCell ref="I1330:I1334"/>
    <mergeCell ref="J1330:J1334"/>
    <mergeCell ref="A1335:A1338"/>
    <mergeCell ref="B1335:B1338"/>
    <mergeCell ref="C1335:C1338"/>
    <mergeCell ref="D1335:D1338"/>
    <mergeCell ref="E1335:E1338"/>
    <mergeCell ref="F1335:F1338"/>
    <mergeCell ref="G1335:G1338"/>
    <mergeCell ref="H1335:H1338"/>
    <mergeCell ref="I1335:I1338"/>
    <mergeCell ref="J1335:J1338"/>
    <mergeCell ref="A1339:A1342"/>
    <mergeCell ref="B1339:B1342"/>
    <mergeCell ref="C1339:C1342"/>
    <mergeCell ref="D1339:D1342"/>
    <mergeCell ref="E1339:E1342"/>
    <mergeCell ref="F1339:F1342"/>
    <mergeCell ref="G1339:G1342"/>
    <mergeCell ref="H1339:H1342"/>
    <mergeCell ref="I1339:I1342"/>
    <mergeCell ref="J1339:J1342"/>
    <mergeCell ref="A1343:A1345"/>
    <mergeCell ref="B1343:B1345"/>
    <mergeCell ref="C1343:C1345"/>
    <mergeCell ref="D1343:D1345"/>
    <mergeCell ref="E1343:E1345"/>
    <mergeCell ref="F1343:F1345"/>
    <mergeCell ref="G1343:G1345"/>
    <mergeCell ref="H1343:H1345"/>
    <mergeCell ref="I1343:I1345"/>
    <mergeCell ref="J1343:J1345"/>
    <mergeCell ref="A1346:A1347"/>
    <mergeCell ref="B1346:B1347"/>
    <mergeCell ref="C1346:C1347"/>
    <mergeCell ref="D1346:D1347"/>
    <mergeCell ref="E1346:E1347"/>
    <mergeCell ref="F1346:F1347"/>
    <mergeCell ref="G1346:G1347"/>
    <mergeCell ref="H1346:H1347"/>
    <mergeCell ref="I1346:I1347"/>
    <mergeCell ref="J1346:J1347"/>
    <mergeCell ref="B1348:B1350"/>
    <mergeCell ref="C1348:C1350"/>
    <mergeCell ref="D1348:D1350"/>
    <mergeCell ref="E1348:E1350"/>
    <mergeCell ref="F1348:F1350"/>
    <mergeCell ref="G1348:G1350"/>
    <mergeCell ref="H1348:H1350"/>
    <mergeCell ref="I1348:I1350"/>
    <mergeCell ref="J1348:J1350"/>
    <mergeCell ref="A1351:A1366"/>
    <mergeCell ref="B1351:B1366"/>
    <mergeCell ref="C1351:C1366"/>
    <mergeCell ref="D1351:D1366"/>
    <mergeCell ref="E1351:E1356"/>
    <mergeCell ref="F1351:F1366"/>
    <mergeCell ref="G1351:G1366"/>
    <mergeCell ref="H1351:H1366"/>
    <mergeCell ref="I1351:I1366"/>
    <mergeCell ref="J1351:J1366"/>
    <mergeCell ref="K1351:K1352"/>
    <mergeCell ref="L1351:L1352"/>
    <mergeCell ref="M1351:M1352"/>
    <mergeCell ref="N1351:N1352"/>
    <mergeCell ref="O1351:O1352"/>
    <mergeCell ref="P1351:P1352"/>
    <mergeCell ref="Q1351:Q1352"/>
    <mergeCell ref="E1357:E1361"/>
    <mergeCell ref="E1362:E1366"/>
    <mergeCell ref="A1367:A1370"/>
    <mergeCell ref="B1367:B1370"/>
    <mergeCell ref="C1367:C1370"/>
    <mergeCell ref="D1367:D1370"/>
    <mergeCell ref="E1367:E1370"/>
    <mergeCell ref="F1367:F1370"/>
    <mergeCell ref="G1367:G1370"/>
    <mergeCell ref="H1367:H1370"/>
    <mergeCell ref="I1367:I1370"/>
    <mergeCell ref="J1367:J1370"/>
    <mergeCell ref="A1371:A1375"/>
    <mergeCell ref="B1371:B1375"/>
    <mergeCell ref="C1371:C1375"/>
    <mergeCell ref="D1371:D1375"/>
    <mergeCell ref="E1371:E1375"/>
    <mergeCell ref="F1371:F1375"/>
    <mergeCell ref="G1371:G1375"/>
    <mergeCell ref="H1371:H1375"/>
    <mergeCell ref="I1371:I1375"/>
    <mergeCell ref="J1371:J1375"/>
    <mergeCell ref="A1376:A1379"/>
    <mergeCell ref="B1376:B1379"/>
    <mergeCell ref="C1376:C1379"/>
    <mergeCell ref="D1376:D1379"/>
    <mergeCell ref="E1376:E1379"/>
    <mergeCell ref="F1376:F1379"/>
    <mergeCell ref="G1376:G1379"/>
    <mergeCell ref="H1376:H1379"/>
    <mergeCell ref="I1376:I1379"/>
    <mergeCell ref="J1376:J1379"/>
    <mergeCell ref="B1380:B1382"/>
    <mergeCell ref="C1380:C1382"/>
    <mergeCell ref="D1380:D1382"/>
    <mergeCell ref="E1380:E1382"/>
    <mergeCell ref="F1380:F1382"/>
    <mergeCell ref="G1380:G1382"/>
    <mergeCell ref="H1380:H1382"/>
    <mergeCell ref="I1380:I1382"/>
    <mergeCell ref="J1380:J1382"/>
    <mergeCell ref="A1383:A1386"/>
    <mergeCell ref="B1383:B1386"/>
    <mergeCell ref="C1383:C1386"/>
    <mergeCell ref="D1383:D1386"/>
    <mergeCell ref="E1383:E1386"/>
    <mergeCell ref="F1383:F1386"/>
    <mergeCell ref="G1383:G1386"/>
    <mergeCell ref="H1383:H1386"/>
    <mergeCell ref="I1383:I1386"/>
    <mergeCell ref="J1383:J1386"/>
    <mergeCell ref="A1387:E1387"/>
    <mergeCell ref="A1388:Q1388"/>
    <mergeCell ref="A1396:A1397"/>
    <mergeCell ref="C1396:C1397"/>
    <mergeCell ref="D1396:D1397"/>
    <mergeCell ref="E1396:E1397"/>
    <mergeCell ref="F1396:F1397"/>
    <mergeCell ref="G1396:G1397"/>
    <mergeCell ref="H1396:H1397"/>
    <mergeCell ref="I1396:I1397"/>
    <mergeCell ref="J1396:J1397"/>
    <mergeCell ref="A1398:A1399"/>
    <mergeCell ref="B1398:B1399"/>
    <mergeCell ref="C1398:C1399"/>
    <mergeCell ref="D1398:D1399"/>
    <mergeCell ref="E1398:E1399"/>
    <mergeCell ref="F1398:F1399"/>
    <mergeCell ref="G1398:G1399"/>
    <mergeCell ref="H1398:H1399"/>
    <mergeCell ref="I1398:I1399"/>
    <mergeCell ref="J1398:J1399"/>
    <mergeCell ref="A1408:A1414"/>
    <mergeCell ref="C1408:C1414"/>
    <mergeCell ref="D1408:D1414"/>
    <mergeCell ref="E1408:E1414"/>
    <mergeCell ref="F1408:F1414"/>
    <mergeCell ref="G1408:G1414"/>
    <mergeCell ref="H1408:H1414"/>
    <mergeCell ref="I1408:I1414"/>
    <mergeCell ref="J1408:J1414"/>
    <mergeCell ref="K1409:K1410"/>
    <mergeCell ref="A1415:A1416"/>
    <mergeCell ref="B1415:B1416"/>
    <mergeCell ref="C1415:C1416"/>
    <mergeCell ref="D1415:D1416"/>
    <mergeCell ref="E1415:E1416"/>
    <mergeCell ref="F1415:F1416"/>
    <mergeCell ref="G1415:G1416"/>
    <mergeCell ref="H1415:H1416"/>
    <mergeCell ref="I1415:I1416"/>
    <mergeCell ref="J1415:J1416"/>
    <mergeCell ref="A1417:A1418"/>
    <mergeCell ref="B1417:B1418"/>
    <mergeCell ref="C1417:C1418"/>
    <mergeCell ref="D1417:D1418"/>
    <mergeCell ref="E1417:E1418"/>
    <mergeCell ref="F1417:F1418"/>
    <mergeCell ref="G1417:G1418"/>
    <mergeCell ref="H1417:H1418"/>
    <mergeCell ref="I1417:I1418"/>
    <mergeCell ref="J1417:J1418"/>
    <mergeCell ref="A1419:A1420"/>
    <mergeCell ref="C1419:C1420"/>
    <mergeCell ref="D1419:D1420"/>
    <mergeCell ref="E1419:E1420"/>
    <mergeCell ref="F1419:F1420"/>
    <mergeCell ref="G1419:G1420"/>
    <mergeCell ref="H1419:H1420"/>
    <mergeCell ref="I1419:I1420"/>
    <mergeCell ref="J1419:J1420"/>
    <mergeCell ref="A1421:A1422"/>
    <mergeCell ref="C1421:C1422"/>
    <mergeCell ref="D1421:D1422"/>
    <mergeCell ref="E1421:E1422"/>
    <mergeCell ref="F1421:F1422"/>
    <mergeCell ref="G1421:G1422"/>
    <mergeCell ref="H1421:H1422"/>
    <mergeCell ref="I1421:I1422"/>
    <mergeCell ref="J1421:J1422"/>
    <mergeCell ref="A1424:A1425"/>
    <mergeCell ref="B1424:B1425"/>
    <mergeCell ref="C1424:C1425"/>
    <mergeCell ref="D1424:D1425"/>
    <mergeCell ref="E1424:E1425"/>
    <mergeCell ref="F1424:F1425"/>
    <mergeCell ref="G1424:G1425"/>
    <mergeCell ref="H1424:H1425"/>
    <mergeCell ref="I1424:I1425"/>
    <mergeCell ref="J1424:J1425"/>
    <mergeCell ref="A1426:A1427"/>
    <mergeCell ref="B1426:B1427"/>
    <mergeCell ref="C1426:C1427"/>
    <mergeCell ref="D1426:D1427"/>
    <mergeCell ref="E1426:E1427"/>
    <mergeCell ref="F1426:F1427"/>
    <mergeCell ref="G1426:G1427"/>
    <mergeCell ref="H1426:H1427"/>
    <mergeCell ref="I1426:I1427"/>
    <mergeCell ref="J1426:J1427"/>
    <mergeCell ref="A1447:A1448"/>
    <mergeCell ref="C1447:C1448"/>
    <mergeCell ref="D1447:D1448"/>
    <mergeCell ref="E1447:E1448"/>
    <mergeCell ref="F1447:F1448"/>
    <mergeCell ref="H1447:H1448"/>
    <mergeCell ref="I1447:I1448"/>
    <mergeCell ref="J1447:J1448"/>
    <mergeCell ref="K1447:K1448"/>
    <mergeCell ref="O1447:Q1447"/>
    <mergeCell ref="O1448:Q1448"/>
    <mergeCell ref="A1449:A1450"/>
    <mergeCell ref="C1449:C1450"/>
    <mergeCell ref="D1449:D1450"/>
    <mergeCell ref="E1449:E1450"/>
    <mergeCell ref="F1449:F1450"/>
    <mergeCell ref="G1449:G1450"/>
    <mergeCell ref="H1449:H1450"/>
    <mergeCell ref="I1449:I1450"/>
    <mergeCell ref="J1449:J1450"/>
    <mergeCell ref="K1449:K1450"/>
    <mergeCell ref="O1449:Q1449"/>
    <mergeCell ref="O1450:Q1450"/>
    <mergeCell ref="O1451:Q1451"/>
    <mergeCell ref="O1452:Q1452"/>
    <mergeCell ref="A1455:A1458"/>
    <mergeCell ref="B1455:B1458"/>
    <mergeCell ref="C1455:C1458"/>
    <mergeCell ref="D1455:D1458"/>
    <mergeCell ref="E1455:E1458"/>
    <mergeCell ref="F1455:F1458"/>
    <mergeCell ref="G1455:G1458"/>
    <mergeCell ref="H1455:H1458"/>
    <mergeCell ref="I1455:I1458"/>
    <mergeCell ref="J1455:J1458"/>
    <mergeCell ref="A1460:E1460"/>
    <mergeCell ref="A1461:Q1461"/>
    <mergeCell ref="A1462:Q1462"/>
    <mergeCell ref="A1464:A1466"/>
    <mergeCell ref="B1464:B1466"/>
    <mergeCell ref="C1464:C1466"/>
    <mergeCell ref="D1464:D1466"/>
    <mergeCell ref="E1464:E1466"/>
    <mergeCell ref="F1464:F1466"/>
    <mergeCell ref="G1464:G1466"/>
    <mergeCell ref="H1464:H1466"/>
    <mergeCell ref="I1464:I1466"/>
    <mergeCell ref="J1464:J1466"/>
    <mergeCell ref="A1467:A1468"/>
    <mergeCell ref="B1467:B1468"/>
    <mergeCell ref="C1467:C1468"/>
    <mergeCell ref="D1467:D1468"/>
    <mergeCell ref="E1467:E1468"/>
    <mergeCell ref="F1467:F1468"/>
    <mergeCell ref="G1467:G1468"/>
    <mergeCell ref="H1467:H1468"/>
    <mergeCell ref="I1467:I1468"/>
    <mergeCell ref="J1467:J1468"/>
    <mergeCell ref="A1469:A1470"/>
    <mergeCell ref="B1469:B1470"/>
    <mergeCell ref="C1469:C1470"/>
    <mergeCell ref="D1469:D1470"/>
    <mergeCell ref="E1469:E1470"/>
    <mergeCell ref="F1469:F1470"/>
    <mergeCell ref="G1469:G1470"/>
    <mergeCell ref="H1469:H1470"/>
    <mergeCell ref="I1469:I1470"/>
    <mergeCell ref="J1469:J1470"/>
    <mergeCell ref="A1475:E1475"/>
    <mergeCell ref="A1476:Q1476"/>
    <mergeCell ref="A1487:A1488"/>
    <mergeCell ref="C1487:C1488"/>
    <mergeCell ref="D1487:D1488"/>
    <mergeCell ref="E1487:E1488"/>
    <mergeCell ref="F1487:F1488"/>
    <mergeCell ref="G1487:G1488"/>
    <mergeCell ref="H1487:H1488"/>
    <mergeCell ref="I1487:I1488"/>
    <mergeCell ref="J1487:J1488"/>
    <mergeCell ref="A1507:A1508"/>
    <mergeCell ref="C1507:C1508"/>
    <mergeCell ref="D1507:D1508"/>
    <mergeCell ref="E1507:E1508"/>
    <mergeCell ref="F1507:F1508"/>
    <mergeCell ref="G1507:G1508"/>
    <mergeCell ref="H1507:H1508"/>
    <mergeCell ref="I1507:I1508"/>
    <mergeCell ref="J1507:J1508"/>
    <mergeCell ref="A1510:E1510"/>
    <mergeCell ref="A1511:Q1511"/>
    <mergeCell ref="A1512:A1513"/>
    <mergeCell ref="B1512:B1513"/>
    <mergeCell ref="C1512:C1513"/>
    <mergeCell ref="D1512:D1513"/>
    <mergeCell ref="F1512:F1513"/>
    <mergeCell ref="G1512:G1513"/>
    <mergeCell ref="H1512:H1513"/>
    <mergeCell ref="I1512:I1513"/>
    <mergeCell ref="J1512:J1513"/>
    <mergeCell ref="K1512:K1513"/>
    <mergeCell ref="L1512:L1513"/>
    <mergeCell ref="M1512:M1513"/>
    <mergeCell ref="N1512:N1513"/>
    <mergeCell ref="O1512:O1513"/>
    <mergeCell ref="P1512:P1513"/>
    <mergeCell ref="Q1512:Q1513"/>
    <mergeCell ref="A1515:A1517"/>
    <mergeCell ref="A1518:A1519"/>
    <mergeCell ref="B1518:B1519"/>
    <mergeCell ref="C1518:C1519"/>
    <mergeCell ref="D1518:D1519"/>
    <mergeCell ref="F1518:F1519"/>
    <mergeCell ref="G1518:G1519"/>
    <mergeCell ref="H1518:H1519"/>
    <mergeCell ref="I1518:I1519"/>
    <mergeCell ref="J1518:J1519"/>
    <mergeCell ref="K1518:K1519"/>
    <mergeCell ref="L1518:L1519"/>
    <mergeCell ref="M1518:M1519"/>
    <mergeCell ref="N1518:N1519"/>
    <mergeCell ref="O1518:O1519"/>
    <mergeCell ref="P1518:P1519"/>
    <mergeCell ref="Q1518:Q1519"/>
    <mergeCell ref="A1521:A1522"/>
    <mergeCell ref="C1521:C1522"/>
    <mergeCell ref="D1521:D1522"/>
    <mergeCell ref="E1521:E1522"/>
    <mergeCell ref="F1521:F1522"/>
    <mergeCell ref="G1521:G1522"/>
    <mergeCell ref="H1521:H1522"/>
    <mergeCell ref="I1521:I1522"/>
    <mergeCell ref="J1521:J1522"/>
    <mergeCell ref="A1523:A1524"/>
    <mergeCell ref="C1523:C1524"/>
    <mergeCell ref="D1523:D1524"/>
    <mergeCell ref="E1523:E1524"/>
    <mergeCell ref="F1523:F1524"/>
    <mergeCell ref="G1523:G1524"/>
    <mergeCell ref="H1523:H1524"/>
    <mergeCell ref="I1523:I1524"/>
    <mergeCell ref="J1523:J1524"/>
    <mergeCell ref="K1523:K1524"/>
    <mergeCell ref="L1523:L1524"/>
    <mergeCell ref="M1523:M1524"/>
    <mergeCell ref="N1523:N1524"/>
    <mergeCell ref="O1523:O1524"/>
    <mergeCell ref="P1523:P1524"/>
    <mergeCell ref="Q1523:Q1524"/>
    <mergeCell ref="A1525:E1525"/>
    <mergeCell ref="A1526:Q1526"/>
    <mergeCell ref="B1533:B1534"/>
    <mergeCell ref="C1533:C1534"/>
    <mergeCell ref="D1533:D1534"/>
    <mergeCell ref="E1533:E1534"/>
    <mergeCell ref="F1533:F1534"/>
    <mergeCell ref="G1533:G1534"/>
    <mergeCell ref="H1533:H1534"/>
    <mergeCell ref="I1533:I1534"/>
    <mergeCell ref="J1533:J1534"/>
    <mergeCell ref="A1546:E1546"/>
    <mergeCell ref="A1547:Q1547"/>
    <mergeCell ref="A1555:A1556"/>
    <mergeCell ref="B1555:B1556"/>
    <mergeCell ref="C1555:C1556"/>
    <mergeCell ref="D1555:D1556"/>
    <mergeCell ref="E1555:E1556"/>
    <mergeCell ref="F1555:F1556"/>
    <mergeCell ref="G1555:G1556"/>
    <mergeCell ref="H1555:H1556"/>
    <mergeCell ref="I1555:I1556"/>
    <mergeCell ref="J1555:J1556"/>
    <mergeCell ref="A1558:A1561"/>
    <mergeCell ref="B1558:B1561"/>
    <mergeCell ref="C1558:C1561"/>
    <mergeCell ref="D1558:D1561"/>
    <mergeCell ref="E1558:E1561"/>
    <mergeCell ref="F1558:F1561"/>
    <mergeCell ref="G1558:G1561"/>
    <mergeCell ref="H1558:H1561"/>
    <mergeCell ref="I1558:I1561"/>
    <mergeCell ref="J1558:J1561"/>
    <mergeCell ref="A1562:A1564"/>
    <mergeCell ref="B1562:B1564"/>
    <mergeCell ref="C1562:C1564"/>
    <mergeCell ref="D1562:D1564"/>
    <mergeCell ref="E1562:E1564"/>
    <mergeCell ref="F1562:F1564"/>
    <mergeCell ref="G1562:G1564"/>
    <mergeCell ref="H1562:H1564"/>
    <mergeCell ref="I1562:I1564"/>
    <mergeCell ref="J1562:J1564"/>
    <mergeCell ref="A1565:A1566"/>
    <mergeCell ref="B1565:B1566"/>
    <mergeCell ref="C1565:C1566"/>
    <mergeCell ref="D1565:D1566"/>
    <mergeCell ref="E1565:E1566"/>
    <mergeCell ref="F1565:F1566"/>
    <mergeCell ref="G1565:G1566"/>
    <mergeCell ref="H1565:H1566"/>
    <mergeCell ref="I1565:I1566"/>
    <mergeCell ref="J1565:J1566"/>
    <mergeCell ref="K1565:K1566"/>
    <mergeCell ref="L1565:L1566"/>
    <mergeCell ref="M1565:M1566"/>
    <mergeCell ref="N1565:N1566"/>
    <mergeCell ref="O1565:O1566"/>
    <mergeCell ref="P1565:P1566"/>
    <mergeCell ref="Q1565:Q1566"/>
    <mergeCell ref="A1567:A1571"/>
    <mergeCell ref="B1567:B1571"/>
    <mergeCell ref="C1567:C1571"/>
    <mergeCell ref="D1567:D1571"/>
    <mergeCell ref="E1567:E1571"/>
    <mergeCell ref="F1567:F1571"/>
    <mergeCell ref="G1567:G1571"/>
    <mergeCell ref="H1567:H1571"/>
    <mergeCell ref="I1567:I1571"/>
    <mergeCell ref="J1567:J1571"/>
    <mergeCell ref="K1567:K1569"/>
    <mergeCell ref="L1567:L1569"/>
    <mergeCell ref="M1567:M1569"/>
    <mergeCell ref="N1567:N1569"/>
    <mergeCell ref="O1567:O1569"/>
    <mergeCell ref="P1567:P1569"/>
    <mergeCell ref="Q1567:Q1569"/>
    <mergeCell ref="A1572:A1575"/>
    <mergeCell ref="B1572:B1575"/>
    <mergeCell ref="C1572:C1575"/>
    <mergeCell ref="D1572:D1575"/>
    <mergeCell ref="E1572:E1575"/>
    <mergeCell ref="F1572:F1575"/>
    <mergeCell ref="G1572:G1575"/>
    <mergeCell ref="H1572:H1575"/>
    <mergeCell ref="I1572:I1575"/>
    <mergeCell ref="J1572:J1575"/>
    <mergeCell ref="A1577:A1578"/>
    <mergeCell ref="B1577:B1578"/>
    <mergeCell ref="C1577:C1578"/>
    <mergeCell ref="D1577:D1578"/>
    <mergeCell ref="E1577:E1578"/>
    <mergeCell ref="F1577:F1578"/>
    <mergeCell ref="G1577:G1578"/>
    <mergeCell ref="H1577:H1578"/>
    <mergeCell ref="I1577:I1578"/>
    <mergeCell ref="J1577:J1578"/>
    <mergeCell ref="A1583:E1583"/>
    <mergeCell ref="A1584:Q1584"/>
    <mergeCell ref="B1591:B1592"/>
    <mergeCell ref="C1591:C1592"/>
    <mergeCell ref="D1591:D1592"/>
    <mergeCell ref="E1591:E1592"/>
    <mergeCell ref="F1591:F1592"/>
    <mergeCell ref="G1591:G1592"/>
    <mergeCell ref="H1591:H1592"/>
    <mergeCell ref="I1591:I1592"/>
    <mergeCell ref="J1591:J1592"/>
    <mergeCell ref="A1599:E1599"/>
    <mergeCell ref="A1600:Q1600"/>
    <mergeCell ref="A1610:A1611"/>
    <mergeCell ref="B1610:B1611"/>
    <mergeCell ref="C1610:C1611"/>
    <mergeCell ref="D1610:D1611"/>
    <mergeCell ref="E1610:E1611"/>
    <mergeCell ref="F1610:F1611"/>
    <mergeCell ref="G1610:G1611"/>
    <mergeCell ref="H1610:H1611"/>
    <mergeCell ref="I1610:I1611"/>
    <mergeCell ref="J1610:J1611"/>
    <mergeCell ref="A1612:A1613"/>
    <mergeCell ref="C1612:C1613"/>
    <mergeCell ref="D1612:D1613"/>
    <mergeCell ref="E1612:E1613"/>
    <mergeCell ref="F1612:F1613"/>
    <mergeCell ref="G1612:G1613"/>
    <mergeCell ref="H1612:H1613"/>
    <mergeCell ref="I1612:I1613"/>
    <mergeCell ref="J1612:J1613"/>
    <mergeCell ref="A1614:A1615"/>
    <mergeCell ref="B1614:B1615"/>
    <mergeCell ref="C1614:C1615"/>
    <mergeCell ref="D1614:D1615"/>
    <mergeCell ref="E1614:E1615"/>
    <mergeCell ref="F1614:F1615"/>
    <mergeCell ref="G1614:G1615"/>
    <mergeCell ref="H1614:H1615"/>
    <mergeCell ref="I1614:I1615"/>
    <mergeCell ref="J1614:J1615"/>
    <mergeCell ref="A1617:E1617"/>
    <mergeCell ref="A1618:Q1618"/>
    <mergeCell ref="A1627:A1628"/>
    <mergeCell ref="B1627:B1628"/>
    <mergeCell ref="C1627:C1628"/>
    <mergeCell ref="D1627:D1628"/>
    <mergeCell ref="E1627:E1628"/>
    <mergeCell ref="F1627:F1628"/>
    <mergeCell ref="G1627:G1628"/>
    <mergeCell ref="H1627:H1628"/>
    <mergeCell ref="I1627:I1628"/>
    <mergeCell ref="J1627:J1628"/>
    <mergeCell ref="A1629:A1630"/>
    <mergeCell ref="B1629:B1630"/>
    <mergeCell ref="C1629:C1630"/>
    <mergeCell ref="D1629:D1630"/>
    <mergeCell ref="E1629:E1630"/>
    <mergeCell ref="F1629:F1630"/>
    <mergeCell ref="G1629:G1630"/>
    <mergeCell ref="H1629:H1630"/>
    <mergeCell ref="I1629:I1630"/>
    <mergeCell ref="J1629:J1630"/>
    <mergeCell ref="A1632:A1633"/>
    <mergeCell ref="B1632:B1633"/>
    <mergeCell ref="C1632:C1633"/>
    <mergeCell ref="D1632:D1633"/>
    <mergeCell ref="E1632:E1633"/>
    <mergeCell ref="F1632:F1633"/>
    <mergeCell ref="G1632:G1633"/>
    <mergeCell ref="H1632:H1633"/>
    <mergeCell ref="I1632:I1633"/>
    <mergeCell ref="J1632:J1633"/>
    <mergeCell ref="A1635:A1636"/>
    <mergeCell ref="B1635:B1636"/>
    <mergeCell ref="C1635:C1636"/>
    <mergeCell ref="D1635:D1636"/>
    <mergeCell ref="E1635:E1636"/>
    <mergeCell ref="F1635:F1636"/>
    <mergeCell ref="G1635:G1636"/>
    <mergeCell ref="H1635:H1636"/>
    <mergeCell ref="I1635:I1636"/>
    <mergeCell ref="J1635:J1636"/>
    <mergeCell ref="A1637:E1637"/>
    <mergeCell ref="A1638:Q1638"/>
    <mergeCell ref="A1647:A1648"/>
    <mergeCell ref="B1647:B1648"/>
    <mergeCell ref="C1647:C1648"/>
    <mergeCell ref="D1647:D1648"/>
    <mergeCell ref="E1647:E1648"/>
    <mergeCell ref="F1647:F1648"/>
    <mergeCell ref="G1647:G1648"/>
    <mergeCell ref="H1647:H1648"/>
    <mergeCell ref="I1647:I1648"/>
    <mergeCell ref="J1647:J1648"/>
    <mergeCell ref="A1650:A1651"/>
    <mergeCell ref="B1650:B1651"/>
    <mergeCell ref="C1650:C1651"/>
    <mergeCell ref="D1650:D1651"/>
    <mergeCell ref="E1650:E1651"/>
    <mergeCell ref="F1650:F1651"/>
    <mergeCell ref="G1650:G1651"/>
    <mergeCell ref="H1650:H1651"/>
    <mergeCell ref="I1650:I1651"/>
    <mergeCell ref="J1650:J1651"/>
    <mergeCell ref="B1663:B1664"/>
    <mergeCell ref="C1663:C1664"/>
    <mergeCell ref="D1663:D1664"/>
    <mergeCell ref="E1663:E1664"/>
    <mergeCell ref="F1663:F1664"/>
    <mergeCell ref="G1663:G1664"/>
    <mergeCell ref="H1663:H1664"/>
    <mergeCell ref="I1663:I1664"/>
    <mergeCell ref="J1663:J1664"/>
    <mergeCell ref="A1665:A1666"/>
    <mergeCell ref="B1665:B1666"/>
    <mergeCell ref="C1665:C1666"/>
    <mergeCell ref="D1665:D1666"/>
    <mergeCell ref="E1665:E1666"/>
    <mergeCell ref="F1665:F1667"/>
    <mergeCell ref="G1665:G1666"/>
    <mergeCell ref="H1665:H1666"/>
    <mergeCell ref="I1665:I1666"/>
    <mergeCell ref="J1665:J1666"/>
    <mergeCell ref="K1665:K1666"/>
    <mergeCell ref="A1670:A1671"/>
    <mergeCell ref="B1670:B1671"/>
    <mergeCell ref="C1670:C1671"/>
    <mergeCell ref="D1670:D1671"/>
    <mergeCell ref="E1670:E1671"/>
    <mergeCell ref="F1670:F1671"/>
    <mergeCell ref="G1670:G1671"/>
    <mergeCell ref="H1670:H1671"/>
    <mergeCell ref="I1670:I1671"/>
    <mergeCell ref="J1670:J1671"/>
    <mergeCell ref="A1672:A1673"/>
    <mergeCell ref="B1672:B1673"/>
    <mergeCell ref="C1672:C1673"/>
    <mergeCell ref="D1672:D1673"/>
    <mergeCell ref="E1672:E1673"/>
    <mergeCell ref="F1672:F1673"/>
    <mergeCell ref="G1672:G1673"/>
    <mergeCell ref="H1672:H1673"/>
    <mergeCell ref="I1672:I1673"/>
    <mergeCell ref="J1672:J1673"/>
    <mergeCell ref="A1675:A1677"/>
    <mergeCell ref="B1675:B1677"/>
    <mergeCell ref="C1675:C1677"/>
    <mergeCell ref="D1675:D1677"/>
    <mergeCell ref="E1675:E1677"/>
    <mergeCell ref="F1675:F1677"/>
    <mergeCell ref="G1675:G1677"/>
    <mergeCell ref="H1675:H1677"/>
    <mergeCell ref="I1675:I1677"/>
    <mergeCell ref="J1675:J1677"/>
    <mergeCell ref="A1678:A1679"/>
    <mergeCell ref="B1678:B1679"/>
    <mergeCell ref="C1678:C1679"/>
    <mergeCell ref="D1678:D1679"/>
    <mergeCell ref="E1678:E1679"/>
    <mergeCell ref="F1678:F1679"/>
    <mergeCell ref="G1678:G1679"/>
    <mergeCell ref="H1678:H1679"/>
    <mergeCell ref="I1678:I1679"/>
    <mergeCell ref="J1678:J1679"/>
    <mergeCell ref="A1684:E1684"/>
    <mergeCell ref="A1685:Q1685"/>
    <mergeCell ref="A1697:E1697"/>
    <mergeCell ref="A1698:Q1698"/>
    <mergeCell ref="A1705:A1706"/>
    <mergeCell ref="C1705:C1706"/>
    <mergeCell ref="D1705:D1706"/>
    <mergeCell ref="E1705:E1706"/>
    <mergeCell ref="F1705:F1706"/>
    <mergeCell ref="G1705:G1706"/>
    <mergeCell ref="H1705:H1706"/>
    <mergeCell ref="I1705:I1706"/>
    <mergeCell ref="J1705:J1706"/>
    <mergeCell ref="A1707:E1707"/>
    <mergeCell ref="A1708:Q1708"/>
    <mergeCell ref="A1712:E1712"/>
    <mergeCell ref="A1713:Q1713"/>
    <mergeCell ref="A1719:E1719"/>
    <mergeCell ref="A1720:Q1720"/>
    <mergeCell ref="A1733:E1733"/>
    <mergeCell ref="A1734:Q1734"/>
    <mergeCell ref="B1742:B1743"/>
    <mergeCell ref="C1742:C1743"/>
    <mergeCell ref="D1742:D1743"/>
    <mergeCell ref="E1742:E1743"/>
    <mergeCell ref="F1742:F1743"/>
    <mergeCell ref="G1742:G1743"/>
    <mergeCell ref="H1742:H1743"/>
    <mergeCell ref="I1742:I1743"/>
    <mergeCell ref="J1742:J1743"/>
    <mergeCell ref="A1749:A1750"/>
    <mergeCell ref="B1749:B1750"/>
    <mergeCell ref="C1749:C1750"/>
    <mergeCell ref="D1749:D1750"/>
    <mergeCell ref="E1749:E1750"/>
    <mergeCell ref="F1749:F1750"/>
    <mergeCell ref="G1749:G1750"/>
    <mergeCell ref="H1749:H1750"/>
    <mergeCell ref="I1749:I1750"/>
    <mergeCell ref="J1749:J1750"/>
    <mergeCell ref="A1751:A1754"/>
    <mergeCell ref="B1751:B1754"/>
    <mergeCell ref="C1751:C1754"/>
    <mergeCell ref="D1751:D1754"/>
    <mergeCell ref="E1751:E1754"/>
    <mergeCell ref="F1751:F1752"/>
    <mergeCell ref="G1751:G1754"/>
    <mergeCell ref="H1751:H1754"/>
    <mergeCell ref="I1751:I1754"/>
    <mergeCell ref="J1751:J1754"/>
    <mergeCell ref="F1753:F1754"/>
    <mergeCell ref="A1755:A1756"/>
    <mergeCell ref="C1755:C1756"/>
    <mergeCell ref="D1755:D1756"/>
    <mergeCell ref="E1755:E1756"/>
    <mergeCell ref="F1755:F1756"/>
    <mergeCell ref="G1755:G1756"/>
    <mergeCell ref="H1755:H1756"/>
    <mergeCell ref="I1755:I1756"/>
    <mergeCell ref="J1755:J1756"/>
    <mergeCell ref="A1757:A1760"/>
    <mergeCell ref="B1757:B1760"/>
    <mergeCell ref="C1757:C1760"/>
    <mergeCell ref="D1757:D1760"/>
    <mergeCell ref="E1757:E1760"/>
    <mergeCell ref="F1757:F1760"/>
    <mergeCell ref="G1757:G1760"/>
    <mergeCell ref="H1757:H1760"/>
    <mergeCell ref="I1757:I1760"/>
    <mergeCell ref="J1757:J1760"/>
    <mergeCell ref="O1760:Q1760"/>
    <mergeCell ref="A1764:E1764"/>
    <mergeCell ref="A1765:Q1765"/>
    <mergeCell ref="A1769:A1770"/>
    <mergeCell ref="C1769:C1770"/>
    <mergeCell ref="D1769:D1770"/>
    <mergeCell ref="E1769:E1770"/>
    <mergeCell ref="F1769:F1770"/>
    <mergeCell ref="G1769:G1770"/>
    <mergeCell ref="H1769:H1770"/>
    <mergeCell ref="I1769:I1770"/>
    <mergeCell ref="J1769:J1770"/>
    <mergeCell ref="A1780:A1781"/>
    <mergeCell ref="C1780:C1781"/>
    <mergeCell ref="D1780:D1781"/>
    <mergeCell ref="E1780:E1781"/>
    <mergeCell ref="F1780:F1781"/>
    <mergeCell ref="G1780:G1781"/>
    <mergeCell ref="H1780:H1781"/>
    <mergeCell ref="I1780:I1781"/>
    <mergeCell ref="J1780:J1781"/>
    <mergeCell ref="A1782:A1783"/>
    <mergeCell ref="C1782:C1783"/>
    <mergeCell ref="D1782:D1783"/>
    <mergeCell ref="E1782:E1783"/>
    <mergeCell ref="F1782:F1783"/>
    <mergeCell ref="G1782:G1783"/>
    <mergeCell ref="H1782:H1783"/>
    <mergeCell ref="I1782:I1783"/>
    <mergeCell ref="J1782:J1783"/>
    <mergeCell ref="A1784:A1785"/>
    <mergeCell ref="C1784:C1785"/>
    <mergeCell ref="D1784:D1785"/>
    <mergeCell ref="E1784:E1785"/>
    <mergeCell ref="A1786:E1786"/>
    <mergeCell ref="A1787:Q1787"/>
    <mergeCell ref="A1801:A1802"/>
    <mergeCell ref="C1801:C1802"/>
    <mergeCell ref="D1801:D1802"/>
    <mergeCell ref="F1801:F1802"/>
    <mergeCell ref="G1801:G1802"/>
    <mergeCell ref="H1801:H1802"/>
    <mergeCell ref="I1801:I1802"/>
    <mergeCell ref="J1801:J1802"/>
    <mergeCell ref="A1803:A1804"/>
    <mergeCell ref="C1803:C1804"/>
    <mergeCell ref="D1803:D1804"/>
    <mergeCell ref="F1803:F1804"/>
    <mergeCell ref="G1803:G1804"/>
    <mergeCell ref="H1803:H1804"/>
    <mergeCell ref="I1803:I1804"/>
    <mergeCell ref="J1803:J1804"/>
    <mergeCell ref="A1806:A1807"/>
    <mergeCell ref="C1806:C1807"/>
    <mergeCell ref="D1806:D1807"/>
    <mergeCell ref="E1806:E1807"/>
    <mergeCell ref="F1806:F1807"/>
    <mergeCell ref="G1806:G1807"/>
    <mergeCell ref="H1806:H1807"/>
    <mergeCell ref="I1806:I1807"/>
    <mergeCell ref="J1806:J1807"/>
    <mergeCell ref="A1810:A1812"/>
    <mergeCell ref="C1811:C1812"/>
    <mergeCell ref="D1811:D1812"/>
    <mergeCell ref="A1813:E1813"/>
    <mergeCell ref="A1814:Q1814"/>
    <mergeCell ref="A1827:A1828"/>
    <mergeCell ref="B1827:B1828"/>
    <mergeCell ref="C1827:C1828"/>
    <mergeCell ref="D1827:D1828"/>
    <mergeCell ref="E1827:E1828"/>
    <mergeCell ref="F1827:F1828"/>
    <mergeCell ref="G1827:G1828"/>
    <mergeCell ref="H1827:H1828"/>
    <mergeCell ref="I1827:I1828"/>
    <mergeCell ref="J1827:J1828"/>
    <mergeCell ref="F1913:F1915"/>
    <mergeCell ref="G1913:G1915"/>
    <mergeCell ref="H1913:H1915"/>
    <mergeCell ref="I1913:I1915"/>
    <mergeCell ref="J1913:J1915"/>
    <mergeCell ref="A1833:E1833"/>
    <mergeCell ref="A1834:Q1834"/>
    <mergeCell ref="A1847:E1847"/>
    <mergeCell ref="A1848:Q1848"/>
    <mergeCell ref="A1857:E1857"/>
    <mergeCell ref="A1858:Q1858"/>
    <mergeCell ref="A1861:E1861"/>
    <mergeCell ref="A1862:Q1862"/>
    <mergeCell ref="A1881:E1881"/>
    <mergeCell ref="A1882:Q1882"/>
    <mergeCell ref="A1885:E1885"/>
    <mergeCell ref="A1886:Q1886"/>
    <mergeCell ref="A1900:A1901"/>
    <mergeCell ref="B1900:B1901"/>
    <mergeCell ref="C1900:C1901"/>
    <mergeCell ref="D1900:D1901"/>
    <mergeCell ref="E1900:E1901"/>
    <mergeCell ref="F1900:F1901"/>
    <mergeCell ref="G1900:G1901"/>
    <mergeCell ref="H1900:H1901"/>
    <mergeCell ref="I1900:I1901"/>
    <mergeCell ref="J1900:J1901"/>
    <mergeCell ref="A1917:A1919"/>
    <mergeCell ref="C1917:C1919"/>
    <mergeCell ref="D1917:D1919"/>
    <mergeCell ref="E1917:E1919"/>
    <mergeCell ref="F1917:F1919"/>
    <mergeCell ref="G1917:G1919"/>
    <mergeCell ref="H1917:H1919"/>
    <mergeCell ref="I1917:I1919"/>
    <mergeCell ref="J1917:J1919"/>
    <mergeCell ref="A1922:E1922"/>
    <mergeCell ref="A1923:Q1923"/>
    <mergeCell ref="A1926:E1926"/>
    <mergeCell ref="A1927:Q1927"/>
    <mergeCell ref="A1928:Q1928"/>
    <mergeCell ref="A1937:A1938"/>
    <mergeCell ref="C1937:C1938"/>
    <mergeCell ref="D1937:D1938"/>
    <mergeCell ref="E1937:E1938"/>
    <mergeCell ref="F1937:F1938"/>
    <mergeCell ref="G1937:G1938"/>
    <mergeCell ref="H1937:H1938"/>
    <mergeCell ref="I1937:I1938"/>
    <mergeCell ref="J1937:J1938"/>
    <mergeCell ref="A1939:A1940"/>
    <mergeCell ref="C1939:C1940"/>
    <mergeCell ref="D1939:D1940"/>
    <mergeCell ref="E1939:E1940"/>
    <mergeCell ref="F1939:F1940"/>
    <mergeCell ref="G1939:G1940"/>
    <mergeCell ref="H1939:H1940"/>
    <mergeCell ref="I1939:I1940"/>
    <mergeCell ref="J1939:J1940"/>
    <mergeCell ref="A1941:A1942"/>
    <mergeCell ref="C1941:C1942"/>
    <mergeCell ref="D1941:D1942"/>
    <mergeCell ref="E1941:E1942"/>
    <mergeCell ref="F1941:F1942"/>
    <mergeCell ref="G1941:G1942"/>
    <mergeCell ref="H1941:H1942"/>
    <mergeCell ref="I1941:I1942"/>
    <mergeCell ref="J1941:J1942"/>
    <mergeCell ref="B1941:B1942"/>
    <mergeCell ref="A1947:A1948"/>
    <mergeCell ref="C1947:C1948"/>
    <mergeCell ref="D1947:D1948"/>
    <mergeCell ref="E1947:E1948"/>
    <mergeCell ref="F1947:F1948"/>
    <mergeCell ref="G1947:G1948"/>
    <mergeCell ref="H1947:H1948"/>
    <mergeCell ref="I1947:I1948"/>
    <mergeCell ref="J1947:J1948"/>
    <mergeCell ref="A1949:A1950"/>
    <mergeCell ref="C1949:C1950"/>
    <mergeCell ref="D1949:D1950"/>
    <mergeCell ref="E1949:E1950"/>
    <mergeCell ref="F1949:F1950"/>
    <mergeCell ref="G1949:G1950"/>
    <mergeCell ref="H1949:H1950"/>
    <mergeCell ref="I1949:I1950"/>
    <mergeCell ref="J1949:J1950"/>
    <mergeCell ref="B1947:B1948"/>
    <mergeCell ref="B1949:B1950"/>
    <mergeCell ref="A1954:A1955"/>
    <mergeCell ref="C1954:C1955"/>
    <mergeCell ref="D1954:D1955"/>
    <mergeCell ref="E1954:E1955"/>
    <mergeCell ref="F1954:F1955"/>
    <mergeCell ref="G1954:G1955"/>
    <mergeCell ref="A1956:A1957"/>
    <mergeCell ref="B1956:B1957"/>
    <mergeCell ref="C1956:C1957"/>
    <mergeCell ref="D1956:D1957"/>
    <mergeCell ref="E1956:E1957"/>
    <mergeCell ref="F1956:F1957"/>
    <mergeCell ref="G1956:G1957"/>
    <mergeCell ref="H1956:H1957"/>
    <mergeCell ref="I1956:I1957"/>
    <mergeCell ref="J1956:J1957"/>
    <mergeCell ref="A1959:E1959"/>
    <mergeCell ref="B1954:B1955"/>
    <mergeCell ref="A1960:Q1960"/>
    <mergeCell ref="A1971:A1972"/>
    <mergeCell ref="B1971:B1972"/>
    <mergeCell ref="C1971:C1972"/>
    <mergeCell ref="D1971:D1972"/>
    <mergeCell ref="E1971:E1972"/>
    <mergeCell ref="F1971:F1972"/>
    <mergeCell ref="G1971:G1972"/>
    <mergeCell ref="H1971:H1972"/>
    <mergeCell ref="I1971:I1972"/>
    <mergeCell ref="J1971:J1972"/>
    <mergeCell ref="K1971:K1972"/>
    <mergeCell ref="A1973:E1973"/>
    <mergeCell ref="A1974:Q1974"/>
    <mergeCell ref="A1988:E1988"/>
    <mergeCell ref="A1989:Q1989"/>
    <mergeCell ref="A1998:E1998"/>
    <mergeCell ref="A1999:Q1999"/>
    <mergeCell ref="A2004:A2005"/>
    <mergeCell ref="B2004:B2005"/>
    <mergeCell ref="C2004:C2005"/>
    <mergeCell ref="D2004:D2005"/>
    <mergeCell ref="F2004:F2005"/>
    <mergeCell ref="G2004:G2005"/>
    <mergeCell ref="H2004:H2005"/>
    <mergeCell ref="I2004:I2005"/>
    <mergeCell ref="J2004:J2005"/>
    <mergeCell ref="K2004:K2005"/>
    <mergeCell ref="L2004:L2005"/>
    <mergeCell ref="M2004:M2005"/>
    <mergeCell ref="N2004:N2005"/>
    <mergeCell ref="O2004:O2005"/>
    <mergeCell ref="P2004:P2005"/>
    <mergeCell ref="Q2004:Q2005"/>
    <mergeCell ref="A2021:E2021"/>
    <mergeCell ref="A2013:E2013"/>
    <mergeCell ref="A2014:Q2014"/>
    <mergeCell ref="A2018:A2019"/>
    <mergeCell ref="B2018:B2019"/>
    <mergeCell ref="C2018:C2019"/>
    <mergeCell ref="D2018:D2019"/>
    <mergeCell ref="F2018:F2019"/>
    <mergeCell ref="G2018:G2019"/>
    <mergeCell ref="H2018:H2019"/>
    <mergeCell ref="I2018:I2019"/>
    <mergeCell ref="J2018:J2019"/>
    <mergeCell ref="K2018:K2019"/>
    <mergeCell ref="L2018:L2019"/>
    <mergeCell ref="M2018:M2019"/>
    <mergeCell ref="N2018:N2019"/>
    <mergeCell ref="O2018:O2019"/>
    <mergeCell ref="P2018:P2019"/>
    <mergeCell ref="Q2018:Q2019"/>
    <mergeCell ref="B531:B532"/>
    <mergeCell ref="B533:B539"/>
    <mergeCell ref="B540:B542"/>
    <mergeCell ref="B543:B544"/>
    <mergeCell ref="B605:B607"/>
    <mergeCell ref="B659:B664"/>
    <mergeCell ref="D659:D664"/>
    <mergeCell ref="B666:B673"/>
    <mergeCell ref="D666:D673"/>
    <mergeCell ref="B674:B677"/>
    <mergeCell ref="D674:D677"/>
    <mergeCell ref="B681:B684"/>
    <mergeCell ref="B860:B866"/>
    <mergeCell ref="B919:B920"/>
    <mergeCell ref="B981:E981"/>
    <mergeCell ref="B1937:B1938"/>
    <mergeCell ref="B1939:B1940"/>
    <mergeCell ref="A1903:E1903"/>
    <mergeCell ref="A1904:Q1904"/>
    <mergeCell ref="A1907:A1908"/>
    <mergeCell ref="C1907:C1908"/>
    <mergeCell ref="D1907:D1908"/>
    <mergeCell ref="E1907:E1908"/>
    <mergeCell ref="F1907:F1908"/>
    <mergeCell ref="G1907:G1908"/>
    <mergeCell ref="H1907:H1908"/>
    <mergeCell ref="I1907:I1908"/>
    <mergeCell ref="J1907:J1908"/>
    <mergeCell ref="A1913:A1915"/>
    <mergeCell ref="C1913:C1915"/>
    <mergeCell ref="D1913:D1915"/>
    <mergeCell ref="E1913:E1915"/>
  </mergeCells>
  <printOptions horizontalCentered="1"/>
  <pageMargins left="0.39370078740157483" right="0.39370078740157483" top="0.78740157480314965" bottom="0.19685039370078741" header="0" footer="0.19685039370078741"/>
  <pageSetup paperSize="9" scale="47" fitToHeight="0" orientation="landscape" r:id="rId1"/>
  <headerFooter>
    <oddFooter>&amp;R&amp;P</oddFooter>
  </headerFooter>
  <rowBreaks count="1" manualBreakCount="1">
    <brk id="264" max="16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3BD7260-F30D-4998-AD62-756FC16D2DBC}"/>
</file>

<file path=customXml/itemProps2.xml><?xml version="1.0" encoding="utf-8"?>
<ds:datastoreItem xmlns:ds="http://schemas.openxmlformats.org/officeDocument/2006/customXml" ds:itemID="{F12ABE14-EDCE-4EED-BC39-2088E5199A54}"/>
</file>

<file path=customXml/itemProps3.xml><?xml version="1.0" encoding="utf-8"?>
<ds:datastoreItem xmlns:ds="http://schemas.openxmlformats.org/officeDocument/2006/customXml" ds:itemID="{ED5BFBEC-77DE-404D-B553-E27AB11237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11</vt:lpstr>
      <vt:lpstr>'Приложение 11'!Заголовки_для_печати</vt:lpstr>
      <vt:lpstr>'Приложение 11'!Область_печати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Зарлык Исмаилов</cp:lastModifiedBy>
  <cp:lastPrinted>2019-12-18T08:07:42Z</cp:lastPrinted>
  <dcterms:created xsi:type="dcterms:W3CDTF">2018-08-08T11:01:49Z</dcterms:created>
  <dcterms:modified xsi:type="dcterms:W3CDTF">2019-12-18T08:07:44Z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