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omments1.xml" ContentType="application/vnd.openxmlformats-officedocument.spreadsheetml.comment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z.ismailov\Desktop\2019.12.03\Бюджет на 2019 (на государственном языке)\"/>
    </mc:Choice>
  </mc:AlternateContent>
  <bookViews>
    <workbookView xWindow="-15" yWindow="-15" windowWidth="17820" windowHeight="12255"/>
  </bookViews>
  <sheets>
    <sheet name="Приложение 11" sheetId="1" r:id="rId1"/>
  </sheets>
  <definedNames>
    <definedName name="_xlnm.Print_Titles" localSheetId="0">'Приложение 11'!$8:$10</definedName>
    <definedName name="_xlnm.Print_Area" localSheetId="0">'Приложение 11'!$A$1:$Q$519</definedName>
  </definedNames>
  <calcPr calcId="162913"/>
</workbook>
</file>

<file path=xl/calcChain.xml><?xml version="1.0" encoding="utf-8"?>
<calcChain xmlns="http://schemas.openxmlformats.org/spreadsheetml/2006/main">
  <c r="H711" i="1" l="1"/>
  <c r="H707" i="1"/>
  <c r="H695" i="1"/>
  <c r="H694" i="1"/>
  <c r="H693" i="1"/>
  <c r="H690" i="1"/>
  <c r="H681" i="1"/>
  <c r="H679" i="1"/>
  <c r="H666" i="1"/>
  <c r="H645" i="1"/>
  <c r="H640" i="1"/>
  <c r="H637" i="1"/>
  <c r="H636" i="1"/>
  <c r="H635" i="1"/>
  <c r="H492" i="1"/>
  <c r="H482" i="1"/>
  <c r="H413" i="1"/>
  <c r="H81" i="1"/>
  <c r="H75" i="1"/>
  <c r="H72" i="1"/>
  <c r="H71" i="1"/>
  <c r="H68" i="1"/>
  <c r="J2018" i="1" l="1"/>
  <c r="I2018" i="1"/>
  <c r="H2018" i="1"/>
  <c r="J2015" i="1"/>
  <c r="I2015" i="1"/>
  <c r="H2015" i="1"/>
  <c r="H2021" i="1" s="1"/>
  <c r="H1997" i="1"/>
  <c r="H1996" i="1" s="1"/>
  <c r="H1990" i="1"/>
  <c r="H1985" i="1"/>
  <c r="H1982" i="1"/>
  <c r="H1988" i="1" s="1"/>
  <c r="H1975" i="1"/>
  <c r="A1974" i="1"/>
  <c r="H1956" i="1"/>
  <c r="H1946" i="1"/>
  <c r="H1936" i="1"/>
  <c r="H1929" i="1"/>
  <c r="H1916" i="1"/>
  <c r="H1905" i="1"/>
  <c r="H1922" i="1" s="1"/>
  <c r="H1896" i="1"/>
  <c r="H1887" i="1"/>
  <c r="H1883" i="1"/>
  <c r="H1885" i="1" s="1"/>
  <c r="H1877" i="1"/>
  <c r="H1873" i="1"/>
  <c r="H1868" i="1"/>
  <c r="H1863" i="1"/>
  <c r="H1859" i="1"/>
  <c r="H1861" i="1" s="1"/>
  <c r="H1853" i="1"/>
  <c r="H1849" i="1"/>
  <c r="H1843" i="1"/>
  <c r="H1835" i="1"/>
  <c r="H1831" i="1"/>
  <c r="H1826" i="1"/>
  <c r="H1823" i="1"/>
  <c r="H1815" i="1"/>
  <c r="H1809" i="1"/>
  <c r="H1806" i="1"/>
  <c r="H1805" i="1" s="1"/>
  <c r="H1797" i="1"/>
  <c r="H1796" i="1"/>
  <c r="H1794" i="1"/>
  <c r="H1793" i="1"/>
  <c r="H1792" i="1"/>
  <c r="H1791" i="1"/>
  <c r="H1790" i="1"/>
  <c r="H1789" i="1"/>
  <c r="H1775" i="1"/>
  <c r="H1766" i="1"/>
  <c r="H1748" i="1"/>
  <c r="H1746" i="1"/>
  <c r="H1745" i="1"/>
  <c r="H1727" i="1"/>
  <c r="H1721" i="1"/>
  <c r="H1716" i="1"/>
  <c r="H1715" i="1"/>
  <c r="H1714" i="1" s="1"/>
  <c r="H1711" i="1"/>
  <c r="H1710" i="1"/>
  <c r="H1704" i="1"/>
  <c r="H1699" i="1"/>
  <c r="H1690" i="1"/>
  <c r="H1686" i="1"/>
  <c r="H1682" i="1"/>
  <c r="H1680" i="1"/>
  <c r="H1674" i="1"/>
  <c r="H1669" i="1"/>
  <c r="H1662" i="1"/>
  <c r="H1652" i="1"/>
  <c r="H1639" i="1"/>
  <c r="H1626" i="1"/>
  <c r="H1619" i="1"/>
  <c r="H1614" i="1"/>
  <c r="H1610" i="1"/>
  <c r="H1607" i="1"/>
  <c r="H1601" i="1" s="1"/>
  <c r="H1597" i="1"/>
  <c r="H1595" i="1"/>
  <c r="H1593" i="1"/>
  <c r="H1585" i="1" s="1"/>
  <c r="H1582" i="1"/>
  <c r="H1554" i="1" s="1"/>
  <c r="H1548" i="1"/>
  <c r="H1543" i="1"/>
  <c r="H1539" i="1"/>
  <c r="H1535" i="1"/>
  <c r="H1527" i="1"/>
  <c r="H1518" i="1"/>
  <c r="H1512" i="1"/>
  <c r="H1503" i="1"/>
  <c r="H1496" i="1"/>
  <c r="H1495" i="1"/>
  <c r="H1493" i="1"/>
  <c r="H1492" i="1"/>
  <c r="H1477" i="1"/>
  <c r="H1473" i="1"/>
  <c r="J1471" i="1"/>
  <c r="I1471" i="1"/>
  <c r="H1471" i="1"/>
  <c r="G1471" i="1"/>
  <c r="F1471" i="1"/>
  <c r="H1463" i="1"/>
  <c r="H1459" i="1"/>
  <c r="H1455" i="1"/>
  <c r="H1447" i="1"/>
  <c r="H1443" i="1"/>
  <c r="H1440" i="1"/>
  <c r="H1439" i="1"/>
  <c r="H1436" i="1"/>
  <c r="H1435" i="1"/>
  <c r="H1428" i="1"/>
  <c r="H1423" i="1"/>
  <c r="H1421" i="1"/>
  <c r="H1419" i="1"/>
  <c r="H1415" i="1"/>
  <c r="H1407" i="1"/>
  <c r="H1405" i="1"/>
  <c r="H1404" i="1"/>
  <c r="H1402" i="1"/>
  <c r="H1401" i="1"/>
  <c r="H1400" i="1"/>
  <c r="H1396" i="1"/>
  <c r="H1395" i="1"/>
  <c r="H1394" i="1"/>
  <c r="H1393" i="1"/>
  <c r="H1392" i="1"/>
  <c r="H1391" i="1"/>
  <c r="H1390" i="1"/>
  <c r="H1346" i="1"/>
  <c r="H1329" i="1"/>
  <c r="H1317" i="1"/>
  <c r="H1313" i="1"/>
  <c r="H1310" i="1"/>
  <c r="H1308" i="1"/>
  <c r="H1307" i="1"/>
  <c r="H1306" i="1"/>
  <c r="H1305" i="1"/>
  <c r="H1304" i="1"/>
  <c r="H1303" i="1"/>
  <c r="H1302" i="1" s="1"/>
  <c r="H1301" i="1"/>
  <c r="H1300" i="1"/>
  <c r="H1298" i="1"/>
  <c r="H1297" i="1"/>
  <c r="H1296" i="1"/>
  <c r="H1295" i="1"/>
  <c r="H1294" i="1"/>
  <c r="H1293" i="1"/>
  <c r="H1292" i="1"/>
  <c r="H1287" i="1"/>
  <c r="H1279" i="1"/>
  <c r="H1275" i="1"/>
  <c r="H1271" i="1"/>
  <c r="H1270" i="1"/>
  <c r="H1265" i="1"/>
  <c r="H1258" i="1"/>
  <c r="H1246" i="1"/>
  <c r="H1242" i="1"/>
  <c r="H1241" i="1"/>
  <c r="H1240" i="1"/>
  <c r="H1237" i="1"/>
  <c r="H1234" i="1"/>
  <c r="H1233" i="1"/>
  <c r="H1230" i="1"/>
  <c r="H1227" i="1"/>
  <c r="H1221" i="1"/>
  <c r="H1213" i="1"/>
  <c r="H1202" i="1"/>
  <c r="H1195" i="1" s="1"/>
  <c r="H1200" i="1"/>
  <c r="H1191" i="1"/>
  <c r="H1190" i="1"/>
  <c r="H1188" i="1" s="1"/>
  <c r="H1181" i="1"/>
  <c r="H1164" i="1"/>
  <c r="H1159" i="1"/>
  <c r="H1151" i="1"/>
  <c r="H1143" i="1"/>
  <c r="H1139" i="1"/>
  <c r="H1138" i="1"/>
  <c r="H1137" i="1"/>
  <c r="H1136" i="1"/>
  <c r="H1134" i="1"/>
  <c r="H1133" i="1"/>
  <c r="H1132" i="1"/>
  <c r="H1131" i="1"/>
  <c r="H1130" i="1"/>
  <c r="H1129" i="1"/>
  <c r="H1128" i="1"/>
  <c r="H1121" i="1"/>
  <c r="H1120" i="1"/>
  <c r="H1119" i="1"/>
  <c r="H1118" i="1"/>
  <c r="H1116" i="1"/>
  <c r="H1115" i="1"/>
  <c r="H1103" i="1"/>
  <c r="H1095" i="1"/>
  <c r="H1088" i="1"/>
  <c r="H1083" i="1"/>
  <c r="H1080" i="1"/>
  <c r="H1071" i="1"/>
  <c r="H1066" i="1"/>
  <c r="H1058" i="1"/>
  <c r="H1052" i="1"/>
  <c r="H1051" i="1" s="1"/>
  <c r="H1056" i="1" s="1"/>
  <c r="H1048" i="1"/>
  <c r="H1047" i="1"/>
  <c r="H1046" i="1"/>
  <c r="H1044" i="1"/>
  <c r="H1042" i="1"/>
  <c r="H1041" i="1"/>
  <c r="H1035" i="1"/>
  <c r="H1038" i="1" s="1"/>
  <c r="H1030" i="1"/>
  <c r="H1027" i="1" s="1"/>
  <c r="H1023" i="1"/>
  <c r="H1020" i="1"/>
  <c r="H1018" i="1"/>
  <c r="H1017" i="1"/>
  <c r="H1015" i="1"/>
  <c r="H1013" i="1"/>
  <c r="H1012" i="1"/>
  <c r="H1008" i="1"/>
  <c r="H1006" i="1"/>
  <c r="H1004" i="1" s="1"/>
  <c r="H1002" i="1"/>
  <c r="H1001" i="1"/>
  <c r="H998" i="1"/>
  <c r="H995" i="1"/>
  <c r="H984" i="1"/>
  <c r="H983" i="1" s="1"/>
  <c r="H979" i="1"/>
  <c r="H977" i="1"/>
  <c r="H976" i="1"/>
  <c r="H974" i="1" s="1"/>
  <c r="H967" i="1"/>
  <c r="H963" i="1"/>
  <c r="H958" i="1"/>
  <c r="H952" i="1"/>
  <c r="H946" i="1"/>
  <c r="H945" i="1"/>
  <c r="H939" i="1"/>
  <c r="H937" i="1"/>
  <c r="H931" i="1"/>
  <c r="H916" i="1"/>
  <c r="H911" i="1"/>
  <c r="H908" i="1"/>
  <c r="H901" i="1"/>
  <c r="H900" i="1"/>
  <c r="H894" i="1"/>
  <c r="H893" i="1"/>
  <c r="H890" i="1"/>
  <c r="H888" i="1"/>
  <c r="H859" i="1"/>
  <c r="H850" i="1"/>
  <c r="H849" i="1"/>
  <c r="H848" i="1" s="1"/>
  <c r="H847" i="1"/>
  <c r="H846" i="1"/>
  <c r="H843" i="1"/>
  <c r="H842" i="1"/>
  <c r="H841" i="1"/>
  <c r="H839" i="1"/>
  <c r="H838" i="1"/>
  <c r="H837" i="1"/>
  <c r="H833" i="1"/>
  <c r="H825" i="1" s="1"/>
  <c r="H816" i="1"/>
  <c r="H810" i="1"/>
  <c r="H799" i="1"/>
  <c r="H798" i="1"/>
  <c r="H792" i="1" s="1"/>
  <c r="H767" i="1"/>
  <c r="H765" i="1"/>
  <c r="H763" i="1"/>
  <c r="H755" i="1"/>
  <c r="H733" i="1"/>
  <c r="H721" i="1"/>
  <c r="H717" i="1"/>
  <c r="H715" i="1"/>
  <c r="H714" i="1"/>
  <c r="H704" i="1"/>
  <c r="H700" i="1" s="1"/>
  <c r="H702" i="1"/>
  <c r="H688" i="1"/>
  <c r="H665" i="1"/>
  <c r="H659" i="1"/>
  <c r="H658" i="1"/>
  <c r="H654" i="1"/>
  <c r="H653" i="1"/>
  <c r="H651" i="1" s="1"/>
  <c r="H655" i="1" s="1"/>
  <c r="H652" i="1"/>
  <c r="H638" i="1"/>
  <c r="H633" i="1"/>
  <c r="H630" i="1"/>
  <c r="H627" i="1"/>
  <c r="H626" i="1"/>
  <c r="H624" i="1"/>
  <c r="H623" i="1"/>
  <c r="H622" i="1"/>
  <c r="H621" i="1"/>
  <c r="H620" i="1" s="1"/>
  <c r="H619" i="1"/>
  <c r="H618" i="1" s="1"/>
  <c r="H614" i="1"/>
  <c r="H608" i="1"/>
  <c r="H599" i="1"/>
  <c r="H597" i="1"/>
  <c r="H595" i="1"/>
  <c r="H582" i="1" s="1"/>
  <c r="H569" i="1"/>
  <c r="H559" i="1"/>
  <c r="H557" i="1" s="1"/>
  <c r="H550" i="1"/>
  <c r="H547" i="1" s="1"/>
  <c r="H528" i="1"/>
  <c r="H524" i="1"/>
  <c r="H522" i="1"/>
  <c r="H1959" i="1" l="1"/>
  <c r="H657" i="1"/>
  <c r="H719" i="1" s="1"/>
  <c r="H762" i="1"/>
  <c r="H1040" i="1"/>
  <c r="H1417" i="1"/>
  <c r="H1637" i="1"/>
  <c r="H836" i="1"/>
  <c r="H876" i="1"/>
  <c r="H993" i="1"/>
  <c r="H1179" i="1"/>
  <c r="H1239" i="1"/>
  <c r="H1475" i="1"/>
  <c r="H1684" i="1"/>
  <c r="H1697" i="1"/>
  <c r="H1709" i="1"/>
  <c r="H1712" i="1" s="1"/>
  <c r="H1788" i="1"/>
  <c r="H1813" i="1" s="1"/>
  <c r="H1857" i="1"/>
  <c r="H1903" i="1"/>
  <c r="H1998" i="1"/>
  <c r="H625" i="1"/>
  <c r="H628" i="1" s="1"/>
  <c r="H706" i="1"/>
  <c r="H845" i="1"/>
  <c r="H1135" i="1"/>
  <c r="H1157" i="1"/>
  <c r="H1299" i="1"/>
  <c r="H1406" i="1"/>
  <c r="H1453" i="1"/>
  <c r="H1707" i="1"/>
  <c r="H1719" i="1"/>
  <c r="H1786" i="1"/>
  <c r="I2021" i="1"/>
  <c r="H713" i="1"/>
  <c r="H981" i="1"/>
  <c r="H1016" i="1"/>
  <c r="H1226" i="1"/>
  <c r="H1398" i="1"/>
  <c r="H1490" i="1"/>
  <c r="H1510" i="1" s="1"/>
  <c r="H1599" i="1"/>
  <c r="H1617" i="1"/>
  <c r="H1881" i="1"/>
  <c r="H1193" i="1"/>
  <c r="H957" i="1"/>
  <c r="H1010" i="1"/>
  <c r="H1032" i="1" s="1"/>
  <c r="H1045" i="1"/>
  <c r="H1093" i="1"/>
  <c r="H1114" i="1"/>
  <c r="H1125" i="1" s="1"/>
  <c r="H1203" i="1"/>
  <c r="H1291" i="1"/>
  <c r="H1315" i="1" s="1"/>
  <c r="H1389" i="1"/>
  <c r="H1546" i="1"/>
  <c r="H1583" i="1"/>
  <c r="H1735" i="1"/>
  <c r="H1764" i="1" s="1"/>
  <c r="H834" i="1"/>
  <c r="H520" i="1"/>
  <c r="H643" i="1"/>
  <c r="H648" i="1" s="1"/>
  <c r="H760" i="1"/>
  <c r="H1112" i="1"/>
  <c r="H1127" i="1"/>
  <c r="H1255" i="1"/>
  <c r="H1289" i="1" s="1"/>
  <c r="H1387" i="1"/>
  <c r="H1433" i="1"/>
  <c r="H1525" i="1"/>
  <c r="H1733" i="1"/>
  <c r="H1833" i="1"/>
  <c r="H1847" i="1"/>
  <c r="J2021" i="1"/>
  <c r="H1049" i="1"/>
  <c r="H616" i="1"/>
  <c r="H1141" i="1"/>
  <c r="H972" i="1" l="1"/>
  <c r="H852" i="1"/>
  <c r="H1460" i="1"/>
  <c r="H155" i="1"/>
  <c r="H165" i="1"/>
  <c r="H146" i="1" l="1"/>
  <c r="H360" i="1" l="1"/>
  <c r="H345" i="1"/>
  <c r="H344" i="1"/>
  <c r="H343" i="1"/>
  <c r="H348" i="1"/>
  <c r="H347" i="1"/>
  <c r="H322" i="1"/>
  <c r="H336" i="1"/>
  <c r="H335" i="1"/>
  <c r="H333" i="1"/>
  <c r="H332" i="1"/>
  <c r="H331" i="1"/>
  <c r="H328" i="1"/>
  <c r="H327" i="1"/>
  <c r="H325" i="1"/>
  <c r="H324" i="1"/>
  <c r="H323" i="1"/>
  <c r="H321" i="1"/>
  <c r="H320" i="1"/>
  <c r="H319" i="1"/>
  <c r="H317" i="1"/>
  <c r="H315" i="1"/>
  <c r="H314" i="1"/>
  <c r="H313" i="1"/>
  <c r="H312" i="1"/>
  <c r="H311" i="1"/>
  <c r="H310" i="1"/>
  <c r="H309" i="1"/>
  <c r="H305" i="1"/>
  <c r="H301" i="1"/>
  <c r="H291" i="1"/>
  <c r="H289" i="1"/>
  <c r="H287" i="1"/>
  <c r="H284" i="1"/>
  <c r="H283" i="1"/>
  <c r="H282" i="1"/>
  <c r="H280" i="1"/>
  <c r="H279" i="1"/>
  <c r="H275" i="1"/>
  <c r="H273" i="1"/>
  <c r="H272" i="1"/>
  <c r="H271" i="1"/>
  <c r="H264" i="1"/>
  <c r="H255" i="1"/>
  <c r="H210" i="1"/>
  <c r="H207" i="1"/>
  <c r="H196" i="1"/>
  <c r="H101" i="1"/>
  <c r="H99" i="1"/>
  <c r="H63" i="1"/>
  <c r="H51" i="1"/>
  <c r="H44" i="1"/>
  <c r="H19" i="1"/>
  <c r="H12" i="1" s="1"/>
  <c r="H474" i="1" l="1"/>
  <c r="H245" i="1" l="1"/>
  <c r="H239" i="1"/>
  <c r="H231" i="1"/>
  <c r="H226" i="1"/>
  <c r="H250" i="1" l="1"/>
  <c r="H209" i="1"/>
  <c r="G350" i="1" l="1"/>
  <c r="I350" i="1"/>
  <c r="J350" i="1"/>
  <c r="F350" i="1"/>
  <c r="H469" i="1" l="1"/>
  <c r="H436" i="1"/>
  <c r="H414" i="1"/>
  <c r="H412" i="1"/>
  <c r="H401" i="1"/>
  <c r="H396" i="1"/>
  <c r="H382" i="1"/>
  <c r="H376" i="1"/>
  <c r="H370" i="1"/>
  <c r="H361" i="1"/>
  <c r="H352" i="1"/>
  <c r="H416" i="1" l="1"/>
  <c r="H502" i="1"/>
  <c r="H100" i="1" l="1"/>
  <c r="H66" i="1"/>
  <c r="H59" i="1" l="1"/>
  <c r="H64" i="1" s="1"/>
  <c r="H41" i="1"/>
  <c r="H45" i="1" s="1"/>
  <c r="H342" i="1" l="1"/>
  <c r="H350" i="1" s="1"/>
  <c r="H154" i="1"/>
  <c r="H145" i="1"/>
  <c r="H143" i="1"/>
  <c r="H135" i="1"/>
  <c r="H132" i="1"/>
  <c r="H126" i="1"/>
  <c r="H120" i="1"/>
  <c r="H111" i="1"/>
  <c r="H104" i="1"/>
  <c r="H152" i="1"/>
  <c r="H151" i="1" s="1"/>
  <c r="H117" i="1" l="1"/>
  <c r="H171" i="1"/>
  <c r="H149" i="1"/>
  <c r="H141" i="1"/>
  <c r="H519" i="1" l="1"/>
  <c r="H517" i="1"/>
  <c r="H516" i="1"/>
  <c r="H513" i="1"/>
  <c r="H512" i="1"/>
  <c r="H510" i="1"/>
  <c r="H507" i="1"/>
  <c r="H518" i="1" l="1"/>
  <c r="H514" i="1"/>
  <c r="H508" i="1"/>
  <c r="H505" i="1"/>
  <c r="H221" i="1"/>
  <c r="H216" i="1"/>
  <c r="H212" i="1"/>
  <c r="H205" i="1"/>
  <c r="H98" i="1"/>
  <c r="H92" i="1"/>
  <c r="H47" i="1"/>
  <c r="H57" i="1" s="1"/>
  <c r="H334" i="1"/>
  <c r="H329" i="1"/>
  <c r="H326" i="1"/>
  <c r="H318" i="1"/>
  <c r="H308" i="1"/>
  <c r="H304" i="1"/>
  <c r="H302" i="1"/>
  <c r="H290" i="1"/>
  <c r="H286" i="1"/>
  <c r="H281" i="1"/>
  <c r="H270" i="1"/>
  <c r="H526" i="1" l="1"/>
  <c r="H102" i="1"/>
  <c r="H306" i="1"/>
  <c r="H224" i="1"/>
  <c r="H340" i="1"/>
  <c r="H261" i="1"/>
  <c r="H252" i="1"/>
  <c r="H194" i="1"/>
  <c r="H186" i="1"/>
  <c r="H33" i="1"/>
  <c r="H28" i="1"/>
  <c r="H22" i="1"/>
  <c r="H39" i="1" l="1"/>
  <c r="H268" i="1"/>
  <c r="H203" i="1"/>
</calcChain>
</file>

<file path=xl/comments1.xml><?xml version="1.0" encoding="utf-8"?>
<comments xmlns="http://schemas.openxmlformats.org/spreadsheetml/2006/main">
  <authors>
    <author>shtybaeva</author>
    <author>Пользователь</author>
  </authors>
  <commentList>
    <comment ref="K1803" authorId="0" shapeId="0">
      <text>
        <r>
          <rPr>
            <b/>
            <sz val="8"/>
            <color indexed="81"/>
            <rFont val="Tahoma"/>
            <family val="2"/>
            <charset val="204"/>
          </rPr>
          <t>shtybaeva:</t>
        </r>
        <r>
          <rPr>
            <sz val="8"/>
            <color indexed="81"/>
            <rFont val="Tahoma"/>
            <family val="2"/>
            <charset val="204"/>
          </rPr>
          <t xml:space="preserve">
месячных -12
квартальных -6
полугодовых-2
годовых-36, других-2
</t>
        </r>
      </text>
    </comment>
    <comment ref="K1937" authorId="1" shapeId="0">
      <text>
        <r>
          <rPr>
            <b/>
            <sz val="9"/>
            <color indexed="81"/>
            <rFont val="Tahoma"/>
            <family val="2"/>
            <charset val="204"/>
          </rPr>
          <t>Пользователь:</t>
        </r>
        <r>
          <rPr>
            <sz val="9"/>
            <color indexed="81"/>
            <rFont val="Tahoma"/>
            <family val="2"/>
            <charset val="204"/>
          </rPr>
          <t xml:space="preserve">
отношение эфирного времени не взятого в зачет а общему эфирному времени</t>
        </r>
      </text>
    </comment>
  </commentList>
</comments>
</file>

<file path=xl/sharedStrings.xml><?xml version="1.0" encoding="utf-8"?>
<sst xmlns="http://schemas.openxmlformats.org/spreadsheetml/2006/main" count="6487" uniqueCount="3162">
  <si>
    <t>Бюджеты министерств и ведомств на программной основе</t>
  </si>
  <si>
    <t>Код ПР</t>
  </si>
  <si>
    <t>Код МЕ</t>
  </si>
  <si>
    <t>Код ИН</t>
  </si>
  <si>
    <t>01</t>
  </si>
  <si>
    <t>02</t>
  </si>
  <si>
    <t>Обеспечение финансового менеджмента и учета</t>
  </si>
  <si>
    <t>03</t>
  </si>
  <si>
    <t>Управление человеческими ресурсами</t>
  </si>
  <si>
    <t>04</t>
  </si>
  <si>
    <t>Правовая поддержка</t>
  </si>
  <si>
    <t>05</t>
  </si>
  <si>
    <t>Поддержание внешних связей и связей с общественностью</t>
  </si>
  <si>
    <t>06</t>
  </si>
  <si>
    <t>0</t>
  </si>
  <si>
    <t>07</t>
  </si>
  <si>
    <t>08</t>
  </si>
  <si>
    <t>1</t>
  </si>
  <si>
    <t>09</t>
  </si>
  <si>
    <t>Организация деятельности и службы обеспечения (ТОП, МОП, автохозяйство, ИТ, охрана и.т.п)</t>
  </si>
  <si>
    <t>10</t>
  </si>
  <si>
    <t>11</t>
  </si>
  <si>
    <t>12</t>
  </si>
  <si>
    <t>13</t>
  </si>
  <si>
    <t>14</t>
  </si>
  <si>
    <t>15</t>
  </si>
  <si>
    <t>16</t>
  </si>
  <si>
    <t>17</t>
  </si>
  <si>
    <t>18</t>
  </si>
  <si>
    <t>19</t>
  </si>
  <si>
    <t>20</t>
  </si>
  <si>
    <t>21</t>
  </si>
  <si>
    <t>22</t>
  </si>
  <si>
    <t xml:space="preserve"> </t>
  </si>
  <si>
    <t>%</t>
  </si>
  <si>
    <t>коэф.</t>
  </si>
  <si>
    <t>ед.</t>
  </si>
  <si>
    <t>чел.</t>
  </si>
  <si>
    <t>мес.</t>
  </si>
  <si>
    <t>дн.</t>
  </si>
  <si>
    <t>сом</t>
  </si>
  <si>
    <t>да/нет</t>
  </si>
  <si>
    <t>нет</t>
  </si>
  <si>
    <t>да</t>
  </si>
  <si>
    <t>шт.</t>
  </si>
  <si>
    <t>чел</t>
  </si>
  <si>
    <t>1300-1500</t>
  </si>
  <si>
    <t>640</t>
  </si>
  <si>
    <t>630</t>
  </si>
  <si>
    <t>кол-во</t>
  </si>
  <si>
    <t>н/п</t>
  </si>
  <si>
    <t>`5/11</t>
  </si>
  <si>
    <t>`10/11</t>
  </si>
  <si>
    <t>`18/11</t>
  </si>
  <si>
    <t>ед./ед.</t>
  </si>
  <si>
    <t>оценка</t>
  </si>
  <si>
    <t xml:space="preserve">ед. </t>
  </si>
  <si>
    <t>Кол уг.дел</t>
  </si>
  <si>
    <t>Количество</t>
  </si>
  <si>
    <t>Количество проверок</t>
  </si>
  <si>
    <t>Представление и предписания</t>
  </si>
  <si>
    <t>Количество уголовных дел</t>
  </si>
  <si>
    <t>Количество уг.дел</t>
  </si>
  <si>
    <t>-</t>
  </si>
  <si>
    <t xml:space="preserve"> + 2</t>
  </si>
  <si>
    <t>млн. долл.</t>
  </si>
  <si>
    <t>п.п.</t>
  </si>
  <si>
    <t>±5</t>
  </si>
  <si>
    <t>10+/-3</t>
  </si>
  <si>
    <t>кпг- 2   кппо-4 кпвз-4 кннч-0 кпвзз-0</t>
  </si>
  <si>
    <t>кппо-4 кпвз-4 кннч-2 кпвзз-2</t>
  </si>
  <si>
    <t>коо- 16258</t>
  </si>
  <si>
    <t>коо- 16200</t>
  </si>
  <si>
    <t>коп-15395</t>
  </si>
  <si>
    <t>коо- 16000</t>
  </si>
  <si>
    <t>по факту</t>
  </si>
  <si>
    <t>14/19</t>
  </si>
  <si>
    <t>Количество принятых НПА</t>
  </si>
  <si>
    <t>ед/ед</t>
  </si>
  <si>
    <t>ед</t>
  </si>
  <si>
    <t>4</t>
  </si>
  <si>
    <t xml:space="preserve">% </t>
  </si>
  <si>
    <t>индекс</t>
  </si>
  <si>
    <t xml:space="preserve">Аудит и аудит ээфективности: оценка исполнения республиканского бюджета, составления и исполнения местного бюджета, внебюджетных  и специальных средств, использования государственной  и муниципальной собственности, обеспечение и реализация международных стандартов государственного аудита. </t>
  </si>
  <si>
    <t xml:space="preserve">чел. </t>
  </si>
  <si>
    <t>от 10 до 15</t>
  </si>
  <si>
    <t>+2</t>
  </si>
  <si>
    <t>±2</t>
  </si>
  <si>
    <t>50+/-5</t>
  </si>
  <si>
    <t>40+/-5</t>
  </si>
  <si>
    <t>_</t>
  </si>
  <si>
    <t>шт</t>
  </si>
  <si>
    <t>39/38</t>
  </si>
  <si>
    <t>секр</t>
  </si>
  <si>
    <t>млн.сом</t>
  </si>
  <si>
    <t xml:space="preserve">постановления </t>
  </si>
  <si>
    <t>аудит не произведен</t>
  </si>
  <si>
    <t>4                                                                 122                                                             0</t>
  </si>
  <si>
    <t>0                                                                       111                                                              0</t>
  </si>
  <si>
    <t>9417                                                          14607                                                          9670                                                 3992150089 сом</t>
  </si>
  <si>
    <t>19018                                             8049                                           5581                                       388945321 сом</t>
  </si>
  <si>
    <t>6021                                                 10074                                        5693                                 3936303442 сом</t>
  </si>
  <si>
    <t xml:space="preserve">8170                                                  5210                                                       3022                                                       332291628 сом </t>
  </si>
  <si>
    <t>2030                                                2625                                                       2154                                            55846646 сом</t>
  </si>
  <si>
    <t xml:space="preserve">4124                                                1892                                                       1528                                           56653693 сом </t>
  </si>
  <si>
    <t>1366                                                       1908                                                      1823</t>
  </si>
  <si>
    <t>6724                                                 947                                              1031</t>
  </si>
  <si>
    <t>898                                          92195                                                 424                                                 12529                                           1045                                            604                                              78</t>
  </si>
  <si>
    <t>473                                                 44975                                                                  159                                                             7386                                                                          494                                                             245                                                       34</t>
  </si>
  <si>
    <t>802                                                         86440                                        398                                                   10285                                               861                                      556                                          65</t>
  </si>
  <si>
    <t>428                                             42142                                                             148                                                        5951                                                                   453                                                           222                                                    22</t>
  </si>
  <si>
    <t>70                                           5337                                                20                                               1841                                                     62                                              48                                          2</t>
  </si>
  <si>
    <t>31                                                    1511                                                      6                                                              786                                                          29                                                                   21                                                       0</t>
  </si>
  <si>
    <t>26                                           418                                                   6                                                  403                                          22                                              0                                       11</t>
  </si>
  <si>
    <t>12                                                             144                                                          2                                                              317                                                                   12                                                    2                                                12</t>
  </si>
  <si>
    <t>141                                                  27576919                                                      19139296                                              211                                                   123</t>
  </si>
  <si>
    <t>97                                                           13655801                                             13655801                                                                    121                                        97</t>
  </si>
  <si>
    <t>24357                                5760                                     2172                                      1925                                       1603                                           5444326000</t>
  </si>
  <si>
    <t>10208                                                       2818                                             1034                                                      684                                                665                                                     45850555</t>
  </si>
  <si>
    <t>21739                                           5760                                                   2076                                                       1785                                                   1488</t>
  </si>
  <si>
    <t xml:space="preserve">8390                                                           2818                                                                   934                                                               634                                                665 </t>
  </si>
  <si>
    <t>2618                                             96                                       140                                      115                            5444326000</t>
  </si>
  <si>
    <t>1818                                                                  100                                                                    50                                                       0                                                 45850555</t>
  </si>
  <si>
    <t>600</t>
  </si>
  <si>
    <t>1000</t>
  </si>
  <si>
    <t>2058</t>
  </si>
  <si>
    <t xml:space="preserve">КБ УД </t>
  </si>
  <si>
    <t xml:space="preserve">коэф. </t>
  </si>
  <si>
    <t xml:space="preserve">кол.во </t>
  </si>
  <si>
    <t xml:space="preserve">колво </t>
  </si>
  <si>
    <t>1067</t>
  </si>
  <si>
    <t>1071</t>
  </si>
  <si>
    <t>1075</t>
  </si>
  <si>
    <t>1079</t>
  </si>
  <si>
    <t>1083</t>
  </si>
  <si>
    <t>Планирование, управление и администрирование</t>
  </si>
  <si>
    <t>23</t>
  </si>
  <si>
    <t>Код ВК</t>
  </si>
  <si>
    <t>Реализация инфраструктурных проектов</t>
  </si>
  <si>
    <t>Реализация проектов государственных инвестиций</t>
  </si>
  <si>
    <t>Итого: всего по Резервным и другим фондам территорий</t>
  </si>
  <si>
    <t>25</t>
  </si>
  <si>
    <t>24</t>
  </si>
  <si>
    <t xml:space="preserve">≤ 60% </t>
  </si>
  <si>
    <t>≥ 35%</t>
  </si>
  <si>
    <t>1 мая</t>
  </si>
  <si>
    <t>15 мая</t>
  </si>
  <si>
    <t>Внедрена</t>
  </si>
  <si>
    <t>Количество разработанных/усовершенствованных инструктивно-методологических документов по программному бюджетированию</t>
  </si>
  <si>
    <t>Своевременность  рассмотрения и подготовки заключений к проектам НПА по вопросам управления</t>
  </si>
  <si>
    <t>"А"</t>
  </si>
  <si>
    <t>95/5</t>
  </si>
  <si>
    <t>6 к 1</t>
  </si>
  <si>
    <t>7 к 1</t>
  </si>
  <si>
    <t>8 к 1</t>
  </si>
  <si>
    <t>9 к 1</t>
  </si>
  <si>
    <t>99/1</t>
  </si>
  <si>
    <t>26. Министерство финансов  Кыргызской Республики</t>
  </si>
  <si>
    <t>не менее 35%</t>
  </si>
  <si>
    <t>не менее 80%</t>
  </si>
  <si>
    <t>не ниже 80%</t>
  </si>
  <si>
    <t>не ниже 90%</t>
  </si>
  <si>
    <t>не ниже 100%</t>
  </si>
  <si>
    <t>не менее 95%</t>
  </si>
  <si>
    <t>случаев</t>
  </si>
  <si>
    <t>не менее 90%</t>
  </si>
  <si>
    <t>не менее 50%</t>
  </si>
  <si>
    <t>не менее 25%</t>
  </si>
  <si>
    <t>не более 13,8%</t>
  </si>
  <si>
    <t>не более 13,5%</t>
  </si>
  <si>
    <t>не более 13,2%</t>
  </si>
  <si>
    <t>не более 13%</t>
  </si>
  <si>
    <t>питание</t>
  </si>
  <si>
    <t>не менее 20%</t>
  </si>
  <si>
    <t>31</t>
  </si>
  <si>
    <t>32</t>
  </si>
  <si>
    <t>112,3-168,5</t>
  </si>
  <si>
    <t>151,7-224,7</t>
  </si>
  <si>
    <t>документ</t>
  </si>
  <si>
    <t xml:space="preserve">документ </t>
  </si>
  <si>
    <t>абонент</t>
  </si>
  <si>
    <t>1000-7000</t>
  </si>
  <si>
    <t>100-600</t>
  </si>
  <si>
    <t>10000-15000</t>
  </si>
  <si>
    <t>отчет</t>
  </si>
  <si>
    <t>коеф</t>
  </si>
  <si>
    <t>52</t>
  </si>
  <si>
    <t>33</t>
  </si>
  <si>
    <t>млрд.сом</t>
  </si>
  <si>
    <t>41770,1</t>
  </si>
  <si>
    <t>3,0/180,3</t>
  </si>
  <si>
    <t>3,0/189,3</t>
  </si>
  <si>
    <t>3,0/198,2</t>
  </si>
  <si>
    <t>3,0/189,2</t>
  </si>
  <si>
    <t>9416,3</t>
  </si>
  <si>
    <t>148/3500</t>
  </si>
  <si>
    <t>300/3000</t>
  </si>
  <si>
    <t>25026,8</t>
  </si>
  <si>
    <t>17770,9</t>
  </si>
  <si>
    <t>18628,2</t>
  </si>
  <si>
    <t>19386</t>
  </si>
  <si>
    <t>Биолигнин</t>
  </si>
  <si>
    <t>литр</t>
  </si>
  <si>
    <t>Триходермин</t>
  </si>
  <si>
    <t>кг/литр</t>
  </si>
  <si>
    <t>Амблисейус</t>
  </si>
  <si>
    <t>Трихограмма</t>
  </si>
  <si>
    <t>грамм</t>
  </si>
  <si>
    <t>1,6/4,3</t>
  </si>
  <si>
    <t>тонн</t>
  </si>
  <si>
    <t xml:space="preserve">анализ </t>
  </si>
  <si>
    <t xml:space="preserve">                                                                                                                                          %                %                  % </t>
  </si>
  <si>
    <t xml:space="preserve">                                                                                                                      59,1                149,0             140,6</t>
  </si>
  <si>
    <t xml:space="preserve">                    65,0               100         147,0                   </t>
  </si>
  <si>
    <t xml:space="preserve">                                        65,5              102,0           148,0          </t>
  </si>
  <si>
    <t xml:space="preserve">                       66,0      102,2         148,5</t>
  </si>
  <si>
    <t xml:space="preserve">                            66,5           105                 149,5</t>
  </si>
  <si>
    <t>%               %</t>
  </si>
  <si>
    <t>110         70,5</t>
  </si>
  <si>
    <t>102,5               70,8</t>
  </si>
  <si>
    <t>102,6                   70,9</t>
  </si>
  <si>
    <t>102,6              71,0</t>
  </si>
  <si>
    <t>102,9          71,5</t>
  </si>
  <si>
    <t>1778,2/1588,2</t>
  </si>
  <si>
    <t>га</t>
  </si>
  <si>
    <t>1698563,8</t>
  </si>
  <si>
    <t>2094304,8</t>
  </si>
  <si>
    <t>15307,3</t>
  </si>
  <si>
    <t>15173,4</t>
  </si>
  <si>
    <t>15400,2</t>
  </si>
  <si>
    <t>15575,6</t>
  </si>
  <si>
    <t>км</t>
  </si>
  <si>
    <t>98/272</t>
  </si>
  <si>
    <t>102/274</t>
  </si>
  <si>
    <t>102/234</t>
  </si>
  <si>
    <t>102/265</t>
  </si>
  <si>
    <t>106/280</t>
  </si>
  <si>
    <t>м.куб.</t>
  </si>
  <si>
    <t>486/753</t>
  </si>
  <si>
    <t>486/747</t>
  </si>
  <si>
    <t>486/749</t>
  </si>
  <si>
    <t>коэфф.</t>
  </si>
  <si>
    <t>экз.</t>
  </si>
  <si>
    <t>га.</t>
  </si>
  <si>
    <t>Конф.</t>
  </si>
  <si>
    <t xml:space="preserve">Станция </t>
  </si>
  <si>
    <t>БД</t>
  </si>
  <si>
    <t>11,8</t>
  </si>
  <si>
    <t>11,6</t>
  </si>
  <si>
    <t>133/135</t>
  </si>
  <si>
    <t>22392          10267</t>
  </si>
  <si>
    <t>26400          10200</t>
  </si>
  <si>
    <t>26500           10300</t>
  </si>
  <si>
    <t>27000    10400</t>
  </si>
  <si>
    <t>27500         10500</t>
  </si>
  <si>
    <t>1 веб-портал</t>
  </si>
  <si>
    <t>40</t>
  </si>
  <si>
    <t>по мере поступления</t>
  </si>
  <si>
    <t xml:space="preserve">куб.м </t>
  </si>
  <si>
    <t>км.</t>
  </si>
  <si>
    <t xml:space="preserve">%  </t>
  </si>
  <si>
    <t>17/34</t>
  </si>
  <si>
    <t>18/52</t>
  </si>
  <si>
    <t>18/70</t>
  </si>
  <si>
    <t>20/90</t>
  </si>
  <si>
    <t>1424/585</t>
  </si>
  <si>
    <t>1424/586</t>
  </si>
  <si>
    <t>1424/587</t>
  </si>
  <si>
    <t>1424/588</t>
  </si>
  <si>
    <t>1424/589</t>
  </si>
  <si>
    <t>82/369</t>
  </si>
  <si>
    <t>квартал</t>
  </si>
  <si>
    <t>48,4</t>
  </si>
  <si>
    <t>млн. сом</t>
  </si>
  <si>
    <t>кв. км</t>
  </si>
  <si>
    <t xml:space="preserve">Составление карт полезных ископаемых в электронном варианте (новый показатель) </t>
  </si>
  <si>
    <t>1 (S-640kм^2)</t>
  </si>
  <si>
    <t>участок</t>
  </si>
  <si>
    <t>пункт</t>
  </si>
  <si>
    <t>каталог</t>
  </si>
  <si>
    <t>Топографические карты масштабного ряда при обновлении</t>
  </si>
  <si>
    <t>Топографические карты необходимого масштаба при обновлении на приграничные территории</t>
  </si>
  <si>
    <t>1 отчет (3док.)</t>
  </si>
  <si>
    <t xml:space="preserve">1 отчет </t>
  </si>
  <si>
    <t xml:space="preserve">150 объект </t>
  </si>
  <si>
    <t xml:space="preserve">(150 обект)1 отчет </t>
  </si>
  <si>
    <t xml:space="preserve">150 объект , 1 отчет </t>
  </si>
  <si>
    <t>150 объект, 1отчет</t>
  </si>
  <si>
    <t xml:space="preserve">150 объект, 1отчет </t>
  </si>
  <si>
    <t xml:space="preserve">1 отчет при финансировании </t>
  </si>
  <si>
    <t>1-генератор</t>
  </si>
  <si>
    <t>сом/Гкал</t>
  </si>
  <si>
    <t>70,6/56,5</t>
  </si>
  <si>
    <t>67/57,6</t>
  </si>
  <si>
    <t>68,3/54,6</t>
  </si>
  <si>
    <t>35/28</t>
  </si>
  <si>
    <t>26,9/23,9</t>
  </si>
  <si>
    <t>31,9/25,5</t>
  </si>
  <si>
    <t>27,1/21,7</t>
  </si>
  <si>
    <t>22,7/18,2</t>
  </si>
  <si>
    <t>22,7/18,3</t>
  </si>
  <si>
    <t>22,7/18,4</t>
  </si>
  <si>
    <t>22,7/18,5</t>
  </si>
  <si>
    <t>64,2/51,4</t>
  </si>
  <si>
    <t>69/54,5</t>
  </si>
  <si>
    <t>63,5/50,8</t>
  </si>
  <si>
    <t xml:space="preserve">тонн </t>
  </si>
  <si>
    <t>кг</t>
  </si>
  <si>
    <t>млрд, сом</t>
  </si>
  <si>
    <t>млн, сом</t>
  </si>
  <si>
    <t>1(1)</t>
  </si>
  <si>
    <t>х</t>
  </si>
  <si>
    <t>экспертиз</t>
  </si>
  <si>
    <t>45</t>
  </si>
  <si>
    <t>46</t>
  </si>
  <si>
    <t>47</t>
  </si>
  <si>
    <t>48</t>
  </si>
  <si>
    <t>7/5</t>
  </si>
  <si>
    <t>11/5</t>
  </si>
  <si>
    <t>11/6</t>
  </si>
  <si>
    <t>11/7</t>
  </si>
  <si>
    <t>11/8</t>
  </si>
  <si>
    <t>рейтинг</t>
  </si>
  <si>
    <t>2</t>
  </si>
  <si>
    <t>5,8-117,8</t>
  </si>
  <si>
    <t>5,5-116,1</t>
  </si>
  <si>
    <t>5,2-115,5</t>
  </si>
  <si>
    <t>4,9-115</t>
  </si>
  <si>
    <t>4,7-114,9</t>
  </si>
  <si>
    <t>99,2</t>
  </si>
  <si>
    <t>99,5</t>
  </si>
  <si>
    <t>99,6</t>
  </si>
  <si>
    <t>99,7</t>
  </si>
  <si>
    <t>2911</t>
  </si>
  <si>
    <t>2000</t>
  </si>
  <si>
    <t>2130</t>
  </si>
  <si>
    <t>2500</t>
  </si>
  <si>
    <t>77,2</t>
  </si>
  <si>
    <t>76,7</t>
  </si>
  <si>
    <t>7/7</t>
  </si>
  <si>
    <t>17/15</t>
  </si>
  <si>
    <t>12/10</t>
  </si>
  <si>
    <t>29//4</t>
  </si>
  <si>
    <t>37/9</t>
  </si>
  <si>
    <t>41</t>
  </si>
  <si>
    <t>49</t>
  </si>
  <si>
    <t>157       944</t>
  </si>
  <si>
    <t>160         950</t>
  </si>
  <si>
    <t>160     950</t>
  </si>
  <si>
    <t>160      950</t>
  </si>
  <si>
    <t>14768    352</t>
  </si>
  <si>
    <t>16490       680</t>
  </si>
  <si>
    <t>16490      680</t>
  </si>
  <si>
    <t>16490        680</t>
  </si>
  <si>
    <t>16490               680</t>
  </si>
  <si>
    <t>48/109</t>
  </si>
  <si>
    <t>1 --1</t>
  </si>
  <si>
    <t>79 Секретариат Совета безопасности Кыргызской Республики</t>
  </si>
  <si>
    <t>100           18</t>
  </si>
  <si>
    <t>90                    18</t>
  </si>
  <si>
    <t>80             18</t>
  </si>
  <si>
    <t>90             18</t>
  </si>
  <si>
    <t>100          18</t>
  </si>
  <si>
    <t>5               50</t>
  </si>
  <si>
    <t>5                        60</t>
  </si>
  <si>
    <t>5                    60</t>
  </si>
  <si>
    <t>5           60</t>
  </si>
  <si>
    <t>6           11</t>
  </si>
  <si>
    <t>2              5</t>
  </si>
  <si>
    <t>2                 2</t>
  </si>
  <si>
    <t>2                   2</t>
  </si>
  <si>
    <t>2                      2</t>
  </si>
  <si>
    <t>50</t>
  </si>
  <si>
    <t>4/4</t>
  </si>
  <si>
    <t>4/7</t>
  </si>
  <si>
    <t>3/5</t>
  </si>
  <si>
    <t>3/4</t>
  </si>
  <si>
    <t>2/3</t>
  </si>
  <si>
    <t>2\10</t>
  </si>
  <si>
    <t>3\10</t>
  </si>
  <si>
    <t>4\10</t>
  </si>
  <si>
    <t xml:space="preserve">%                                                                                                                                                                           </t>
  </si>
  <si>
    <t>1\20</t>
  </si>
  <si>
    <t>1\15</t>
  </si>
  <si>
    <t>1\10</t>
  </si>
  <si>
    <t>2\20</t>
  </si>
  <si>
    <t>2\15</t>
  </si>
  <si>
    <t>Распространение радиопрограмм на всю республику</t>
  </si>
  <si>
    <t>541ч06м20</t>
  </si>
  <si>
    <t>41ч46м20с</t>
  </si>
  <si>
    <t>501ч</t>
  </si>
  <si>
    <t>98</t>
  </si>
  <si>
    <t xml:space="preserve">"Пландаштыруу, башкаруу жана администрациялоо                                                      
Программанын максаты: Башка программаларды ишке ашырууга координациялоочу жана уюштуруучу таасир этүүлөр"
                                                                                                </t>
  </si>
  <si>
    <t xml:space="preserve">Жалпы жетекчиликти камсыз кылуу </t>
  </si>
  <si>
    <t xml:space="preserve">Финансылык менеджментти жана эсепке алууну камсыз кылуу </t>
  </si>
  <si>
    <t xml:space="preserve">Адам ресурстарын башкаруу </t>
  </si>
  <si>
    <t xml:space="preserve">Укуктук колдоо </t>
  </si>
  <si>
    <t xml:space="preserve">Тышкы байланышты жана коомчулук менен байланышты колдоо </t>
  </si>
  <si>
    <t xml:space="preserve">Иштерди уюштуруу жана  камсыз кылуу кызматы </t>
  </si>
  <si>
    <t xml:space="preserve">Калктын бардык топтору үчүн мектепке чейинки билим берүүнүн сапаттуу кызмат көрсөтүүлөрүнө жеткиликтүүлүктү камсыз кылуу </t>
  </si>
  <si>
    <t xml:space="preserve">Транспорттук камсыз кылуу </t>
  </si>
  <si>
    <t>Социалдык колдоо</t>
  </si>
  <si>
    <t xml:space="preserve">Кыргыз Республикасынын Жогорку Кеңешинин өкүлчүлүк функциясы аркылуу элдин кызыкчылыгын жана эркин чагылдыруу  Программанын максаты: өлкөнүн өнүктүрүү артыкчылыктарын аныктоочу чечимдерди кабыл алууда элдин өз эркин эске алуу, жарандардын бардык категорияларынын укуктарын жана кызыкчылыктарын коргоонун жогорку деңгээли, Жогорку Кеңештин ишинин айкындуулугу жана коом алдында отчеттуулугу </t>
  </si>
  <si>
    <t xml:space="preserve">Кыргыз Республикасын өнүктүрүүнүн жалпы мамлекеттик программаларын бекитүүдө  фракция ортосундагы макулдуктардын механизмдерин камсыз кылуу </t>
  </si>
  <si>
    <t>Шайлоочулар менен туруктуу жана иш-аракеттеги диалогдордун механизмдерин түзүү жана камсыз кылуу</t>
  </si>
  <si>
    <t>Жогорку Кеңештин ишинин айкындуулугун жана отчеттуулугун камсыз кылуу</t>
  </si>
  <si>
    <t>Жогорку Кеңештин Төрагасынын алдындагы консультациялык-коомдук Кеңештин  ишин түзүү жана колдоо</t>
  </si>
  <si>
    <t xml:space="preserve"> Жогорку Кеңештин мыйзам чыгаруу функциясы  аркылуу мамлекеттин укуктук системасын түзүү                                         
Программанын максаты: кабыл алынуучу мыйзамдардын жана чечимдердин жогорку сапаты жана иш-аракеттиги</t>
  </si>
  <si>
    <t xml:space="preserve">Коомду жана мамлекетти туруктуу өнүктүрүү үчүн  зарыл болгон реформаларды  мыйзамдуу камсыз кылуу </t>
  </si>
  <si>
    <t xml:space="preserve">Иштелип чыгуучу мыйзам долбоорлорунун сапатын жогорулатуу </t>
  </si>
  <si>
    <t>Чет өлкөлүк парламенттер жана парламент аралык уюмдар менен кызматташтыкты күчөтүү</t>
  </si>
  <si>
    <t>Жогорку Кеңештин контролдук функциясы аркылуу мыйзамдардын аткарылышын камсыз кылуу 
Программанын максаты: Кыргыз Республикасынын Конституциясын жана мыйзамдарын натыйжалуу аткаруу, Өкмөттүн жана башка мамлекеттик органдардын ишинин отчеттуулугунун жана айкындуулугунун жогорку деңгээли</t>
  </si>
  <si>
    <t xml:space="preserve">Өкмөттүн жана башка отчеттук органдардын ишин  контролдоо сапатын жакшыртуу </t>
  </si>
  <si>
    <t xml:space="preserve">Парламенттик контролдоо аспаптарын жакшыртуу </t>
  </si>
  <si>
    <t>11. Кыргыз Республикасынын  Жогорку Кеңеши</t>
  </si>
  <si>
    <t>Жыйынтыгы: Кыргыз Республикасынын Жогорку Кенеши боюнча бардыгы</t>
  </si>
  <si>
    <t>12.  Кыргыз Республикасынын  Президентинин Аппараты</t>
  </si>
  <si>
    <t>КР  Президентинин Аппараты</t>
  </si>
  <si>
    <t>КР Президентинин иштөөсүн эксперттик-аналитикалык, маалыматтык , укуктук , протоколдук, уюштуруучулук, документациялык  камсыздоо</t>
  </si>
  <si>
    <t xml:space="preserve">КР Президентинин ишин "КР Президентинин ишинин кепилдиктери жөнүндө" КР Мыйзамына ылайык камсыздоо </t>
  </si>
  <si>
    <t>Экономикалык , социалдык-маданий  жана башка иш-чаралар, ошондой эле өзгөчө кырдаалдар боюнча күтүлбөгөн чыгымдар келип чыкканда мамлекеттик колдоо көрсөтүү</t>
  </si>
  <si>
    <t>Бюджеттик программалар/
Бюджеттик чаралар</t>
  </si>
  <si>
    <t>Каржылоо</t>
  </si>
  <si>
    <t>(программалар/чаралар боюнча) (миң сом)</t>
  </si>
  <si>
    <t>2019-ж.</t>
  </si>
  <si>
    <t>2020 -ж.</t>
  </si>
  <si>
    <t>2021-ж.</t>
  </si>
  <si>
    <t>2018 -ж.</t>
  </si>
  <si>
    <t>2017 -ж.</t>
  </si>
  <si>
    <t>Натыйжалуулук индикаторлору</t>
  </si>
  <si>
    <t>Ченөө бирдиги</t>
  </si>
  <si>
    <t xml:space="preserve">Максаттуу маанилер </t>
  </si>
  <si>
    <t>2017 ж.</t>
  </si>
  <si>
    <t>2018 ж.</t>
  </si>
  <si>
    <t>2019 ж.</t>
  </si>
  <si>
    <t>2020 ж.</t>
  </si>
  <si>
    <t>2021 ж.</t>
  </si>
  <si>
    <t xml:space="preserve">Бардык программалар боюнча эмгек акыга чыгашалардын суммасына карата 001 программа боюнча эмгек акыга чыгашалардын катышы </t>
  </si>
  <si>
    <t>Калктын ишеним индекси</t>
  </si>
  <si>
    <t>Бюджетти тартип бузуусуз аткаруу пайызы</t>
  </si>
  <si>
    <t>Эмгектик талаш-тартыштар боюнча утуп алган сот процессинин үлүшү</t>
  </si>
  <si>
    <t>Утуп алган сот иштеринин алардын санына карата катышы</t>
  </si>
  <si>
    <t>Министрликтердин/ведомстволордун ЖМКда оң эскертүүлөрдүн саны</t>
  </si>
  <si>
    <t>Борбордук аппаратынын кызматкерлеринин жалпы санынан камсыз кылуу кызматтарынын кызматкерлеринин үлүшү</t>
  </si>
  <si>
    <t>№ 172 "Арген" балдар бакчасына барган балдардын саны</t>
  </si>
  <si>
    <t>Кызматтык автомашиналардын саны</t>
  </si>
  <si>
    <t xml:space="preserve">Кабыл алынган мыйзам долбоорлорунун жалпы санында депутаттар тарабынан демилгеленген мыйзам долбоорлорунун үлүшү </t>
  </si>
  <si>
    <t>Жогорку Кеңештин ишинин жумуш айынын саны  (каникул жана эс алуу күндөрүн кошпогондо)</t>
  </si>
  <si>
    <t>Шайлоочулардын кайрылууларын карап чыгуунун орточо мөөнөтү</t>
  </si>
  <si>
    <t>Парламентке бюджеттин чыгашаларынын ИДПнын номиналдык көлөмүндөгү үлүшү</t>
  </si>
  <si>
    <t>Туруктуу иштеген депутатка штаттык бирдиктердин саны</t>
  </si>
  <si>
    <t xml:space="preserve">Кеңештин өткөрүлгөн жыйындарынын саны </t>
  </si>
  <si>
    <t>Жогорку Кеңеш тарабынан кабыл алынгандардын санынан Президент тарабынан кол коюлган мыйзамдардын үлүшү</t>
  </si>
  <si>
    <t xml:space="preserve">100 депутат-күндө кабыл алынган токтомдордун саны </t>
  </si>
  <si>
    <t>Парламент тарабынан кабыл алынган бир ченемдик актыга  бюджеттин чыгашасы</t>
  </si>
  <si>
    <t xml:space="preserve">100 депутат -күн үчүн Президент тарабынан кол коюлган мыйзамдардын саны </t>
  </si>
  <si>
    <t xml:space="preserve">Кызматташуу жөнүндө кол коюлган документтердин саны </t>
  </si>
  <si>
    <t>Кыргыз Республикасынын Өкмөтүнө калктын ишеним индекси</t>
  </si>
  <si>
    <t xml:space="preserve">Токтомдорду аткаруу </t>
  </si>
  <si>
    <t>Протоколдук тапшырмаларды аткаруу</t>
  </si>
  <si>
    <t xml:space="preserve">Депутаттардын суроо-талаптарын аткаруу </t>
  </si>
  <si>
    <t xml:space="preserve">Түзүлгөн депутаттык комиссиялардын саны </t>
  </si>
  <si>
    <t xml:space="preserve">Иштери аяктаган депутаттык комиссиялардын саны </t>
  </si>
  <si>
    <t xml:space="preserve">Бюджеттик чара боюнча чыгымдардын республикалык бюджеттин жалпы чыгымдарына карата катышы </t>
  </si>
  <si>
    <t xml:space="preserve">Камсыздуулуктун толуктугу </t>
  </si>
  <si>
    <t xml:space="preserve">Финансылык жардам көрсөтүүгө чыгарылган тескемелердин саны  </t>
  </si>
  <si>
    <t>Кыргыз Республикасынын Президентинин Архив фондунун документтерин туруктуу сактоо жана пайдалануу 
Программанын максаты: Кыргыз Республикасынын Президетинин Архив фондунун документтеринин сакталышынын жогорку деңгээли</t>
  </si>
  <si>
    <t xml:space="preserve">Кыргыз Республикасынын Президентинин архив фондунда туруктуу (ал тургай түбөлүк) сактоону камсыз кылган ченемдик шарттарда турган документтердин үлүшү (Кыргыз Республикасынын Президентинин Архив фондунун документтеринин жалпы санына карата пайыз менен)  </t>
  </si>
  <si>
    <t>Архивге кабыл алынган жаңы документтердин үлүшү (Кыргыз Республикасынын Президентинин Архив фондундагы документтердин жалпы санында)</t>
  </si>
  <si>
    <t xml:space="preserve">Кыргыз Республикасынын Президентинин архив фондунун архивдик документтеринин архивин комплекттөө </t>
  </si>
  <si>
    <t xml:space="preserve">Туруктуу мамлекеттик сактоодо турган документтердин сакталышын жана мамлекеттик эсепке алынышын камсыз кылуу </t>
  </si>
  <si>
    <t>Документтердин автоматташтырылган маалыматтык-изилдөө тутумун түзүү жана өркүндөтүү (электрондук архив)Документтердин автоматташтырылган маалыматтык-изилдөө тутумун түзүү жана өркүндөтүү (электрондук архив)</t>
  </si>
  <si>
    <t xml:space="preserve">Документтердин камсыздандыруу фондун сактоо </t>
  </si>
  <si>
    <t>Ишти жана камсыздоо кызматын уюштуруу</t>
  </si>
  <si>
    <t xml:space="preserve">Кыргыз Республикасынын Президентинин архив фондундагы  сактоо абалын жакшыртууну талап кылган документтердин үлүшү (Кыргыз Республикасынын Президентинин Архив фондундагы документтердин жалпы санында)  </t>
  </si>
  <si>
    <t xml:space="preserve">Документтердин маалыматтык -изилдөө тутуму (электрондук архив) түзүлгөн жана иштейт </t>
  </si>
  <si>
    <t>Сандык форматка которулган архивдик документтердин үлүшү</t>
  </si>
  <si>
    <t>Камсыздандыруу көчүрмөлөрү жасалган  өзгөчө баалуу документтердин үлүшү (табылган өзгөчө баалуу документтердин жалпы санына карата)</t>
  </si>
  <si>
    <t>Архив иши жаатында иштелип чыккан жана  иште пайдаланылуучу усулдук материалдардын үлүшү  (Иштеп чыгууга пландалган усулдук материалдардын жалпы санында)</t>
  </si>
  <si>
    <t xml:space="preserve">Архив иши жаатындагы мыйзамдарды өркүндөтүү боюнча  киргизилген жана кабыл алынган сунуштардын саны </t>
  </si>
  <si>
    <t xml:space="preserve">Чет өлкөлүк жана биздин мамлекеттердин архивдеринде жана илимий мекемелеринде тарыхый саясий маанидеги архивдик көчүрмөлөрү табылган жана  көчүрүп алынган документтердин саны </t>
  </si>
  <si>
    <t xml:space="preserve">Борбордук аппаратынын кызматкерлеринин жалпы санынан  камсыз кылуу кызматынын кызматкерлеринин үлүшү </t>
  </si>
  <si>
    <t xml:space="preserve">Жыйынтыгы: Кыргыз Республикасынын Президентинин Архиви боюнча бардыгы </t>
  </si>
  <si>
    <t>14.  КР Өкмөтүнүн Аппараты</t>
  </si>
  <si>
    <t>КР Өкмөтүнүн Аппараты</t>
  </si>
  <si>
    <t xml:space="preserve">Аткаруу бийлигинин мамлекеттик органдарын координациялоо аркылуу КР Өкмөтүнүн ишин камсыздоо жана алардын өз ыйгарым укуктарын жүзөгө ашыруу мониторингин ишке ашыруу, ошондой эле КР Премьер министринин ыйгарым укуктарын ишке ашыруу  </t>
  </si>
  <si>
    <t xml:space="preserve">КР мамлекеттик чек арасын делимитациялоо жана   демаркациялоо маселесинде чечимдерди  координациялоо жана кабыл алуу  </t>
  </si>
  <si>
    <t xml:space="preserve">Республикада өткөрүлүп жаткан социалдык-маданий ж.б. иш-чараларга байланыштуу күтүлбөгөн чыгымдар келип чыкканда мамлекеттик колдоо көрсөтүү </t>
  </si>
  <si>
    <t xml:space="preserve">КР Өкмөтүнүн демилгеси боюнча кабыл алынган ченемдик укуктук актылардын саны </t>
  </si>
  <si>
    <t xml:space="preserve">Мамлекеттик чек араны делимитациялоо жана   демаркациялоо маселеси боюнча өткөрүлгөн жолугушуулардын саны  </t>
  </si>
  <si>
    <t xml:space="preserve">Финансылык жардам көрсөтүүгө чыгарылган тескемелердин саны </t>
  </si>
  <si>
    <t xml:space="preserve">Жыйынтыгы: КР Өкмөтүнүн Аппараты боюнча бардыгы   </t>
  </si>
  <si>
    <t xml:space="preserve">15. Кыргыз Республикасынын Президентинин жана Өкмөтүнүн Иш башкармасы </t>
  </si>
  <si>
    <t>КР Президентинин, КР    Премьер-Министринин, КР Президентинин Аппаратынын жана КР Өкмөтүнүн Аппаратынын ишин камсыздоо</t>
  </si>
  <si>
    <t>Мамлекеттик кызмат көрсөтүүлөрдүн жогорку деңгээлин камсыздоо, ошондой эле мамлекеттик протоколду камсыздоо</t>
  </si>
  <si>
    <t xml:space="preserve">Мамлекеттик мекемелердин бирдиктүү байланыш каналын программалык жана  техникалык камсыздоо жана шайлоолордун,  референдумдардын ачык-айкындуулугун камсыздоо </t>
  </si>
  <si>
    <t>Мамлекетти жана демократиялык коомду, элдин биримдигин бекемдөөгө жана коргоого салым кошкон адамдарды, ошондой эле мамлекеттин жана элдин алдында иштин ар кандай түрлөрү боюнча сиңирген эмгеги үчүн мамлекеттик сыйлыктар менен сыйлоо боюнча иш-чараларды уюштуруу жана камсыздоо</t>
  </si>
  <si>
    <t xml:space="preserve">Кыргыз Республикасынын экс Президентин жана Кыргыз ССРинин мурдагы жетекчилерин транспорттук камсыздоо </t>
  </si>
  <si>
    <t xml:space="preserve">Саммиттерди жана башка мамлекеттик маанидеги иш-чараларды уюштурууну камсыздоо  </t>
  </si>
  <si>
    <t xml:space="preserve">КРПӨИБга жүктөлгөн кызмат адамдарынын ишин камсыздоо </t>
  </si>
  <si>
    <t xml:space="preserve">Мамлекеттик кызмат көрсөтүүлөрдүн жогорку деңгээлин камсыздоо  </t>
  </si>
  <si>
    <t xml:space="preserve">Мамлекеттик сектордо  трансопорттук кызмат көрсөтүүлөрдү берүү </t>
  </si>
  <si>
    <t xml:space="preserve">Балдардын жана жаштардын билим алуусун колдоо
Программанын максаты: Гумандуу, илимий жана кадрлар потенциалын өнүктүрүү жаатындагы демилгелерди колдоо </t>
  </si>
  <si>
    <t>Таланттуу жана жөндөмдүү балдарды, анын ичинде чет өлкөлөрдө окутууга колдоо көрсөтүү</t>
  </si>
  <si>
    <t>Татаал турмуштук кырдаалдагы балдарга даректүү колдоо көрсөтүү;</t>
  </si>
  <si>
    <t xml:space="preserve">Билим берүү жана илим  жана жаштардын инсандык сапатын өнүктүрүүгө  багытталган башка долбоорлор жаатындагы демилгелерди колдоо </t>
  </si>
  <si>
    <t xml:space="preserve">Кыргыз Республикасынын Президентинин жана Өкмөтүнүн Иш башкармасына караштуу мектепке чейинки билим берүүнү колдоо  
Программанын максаты: калктын бардык тобу үчүн мектепке чейинкисапаттуу билим берүүгө жеткиликтүүлүктү камсыздоо   </t>
  </si>
  <si>
    <t xml:space="preserve">Мамлекеттик мектепке чейинки билим берүү уюмдарынын тийиштүү тарамдарын колдоо </t>
  </si>
  <si>
    <t>"Манас" Президенттик камералык оркестринин кесиптик искусствосун өнүктүрүү 
Программанын максаты: кесиптик жана ышкыбоз искусствого дем берүү</t>
  </si>
  <si>
    <t>Кызмат көрсөтүүлөрдү сапатын жогорулатуу жана калкты кесиптик искусствого тартуу</t>
  </si>
  <si>
    <t xml:space="preserve">Тейленүүчү сметалардын саны </t>
  </si>
  <si>
    <t xml:space="preserve">Уюштурулган протоколдук иш-чаралардын үлүшү </t>
  </si>
  <si>
    <t xml:space="preserve">Мамлекеттик мекемелердин саны </t>
  </si>
  <si>
    <t xml:space="preserve">Даярдалган сыйлыктардын саны </t>
  </si>
  <si>
    <t>Мамлекеттик маанидеги иш-чаралардын саны</t>
  </si>
  <si>
    <t>Бюджетти укук бузууларсыз аткаруу пайызы</t>
  </si>
  <si>
    <t xml:space="preserve">Атайын эсептеги каражаттардын үлүшү </t>
  </si>
  <si>
    <t xml:space="preserve">Республикалык бюджеттин эсебинен тейлөөчү, а.и.төмөнкүлөрдүн эсебинен тейлөөчү автомашиналардын саны </t>
  </si>
  <si>
    <t xml:space="preserve"> КР Президентинин Аппараты </t>
  </si>
  <si>
    <t xml:space="preserve"> КР Өкмөтүнүн Аппараты  КР Өкмөтүнүн Аппараты </t>
  </si>
  <si>
    <t xml:space="preserve">КРПӨ Иш башкармасы </t>
  </si>
  <si>
    <r>
      <t xml:space="preserve">Пландаштыруу, башкаруу жана администрациялоо </t>
    </r>
    <r>
      <rPr>
        <i/>
        <sz val="11"/>
        <rFont val="Times New Roman"/>
        <family val="1"/>
        <charset val="204"/>
      </rPr>
      <t xml:space="preserve">Программанын максаты: Жогорку сот системасынын ишин камсыз кылуу ведомстволордун башка программаларын ишке ашырууну координациялоо </t>
    </r>
  </si>
  <si>
    <t xml:space="preserve">Жалпы жетекчиликти камсыздоо </t>
  </si>
  <si>
    <t xml:space="preserve">Тышкы байланыштарды колдоо </t>
  </si>
  <si>
    <t xml:space="preserve">Коомчулук менен байланышты колдоо </t>
  </si>
  <si>
    <t xml:space="preserve">Иштерди камсыздоо жана камсыз кылуу кызматы </t>
  </si>
  <si>
    <r>
      <rPr>
        <b/>
        <sz val="11"/>
        <rFont val="Times New Roman"/>
        <family val="1"/>
        <charset val="204"/>
      </rPr>
      <t>Сапаттуу сот адилеттигине калктын жеткиликтүүлүгүн камсыз кылуу</t>
    </r>
    <r>
      <rPr>
        <sz val="11"/>
        <rFont val="Times New Roman"/>
        <family val="1"/>
        <charset val="204"/>
      </rPr>
      <t xml:space="preserve"> </t>
    </r>
    <r>
      <rPr>
        <b/>
        <sz val="11"/>
        <rFont val="Times New Roman"/>
        <family val="1"/>
        <charset val="204"/>
      </rPr>
      <t xml:space="preserve"> 
</t>
    </r>
    <r>
      <rPr>
        <i/>
        <sz val="11"/>
        <rFont val="Times New Roman"/>
        <family val="1"/>
        <charset val="204"/>
      </rPr>
      <t xml:space="preserve">Программанын максаты: адилеттүүлүктү, болбой койбостукту камсыздоо жана сот чечимдерин аткаруу </t>
    </r>
  </si>
  <si>
    <t xml:space="preserve">Жарандык, жаза жана административдик-экономикалык иштер боюнча сот адилеттигин ишке ашыруу </t>
  </si>
  <si>
    <t xml:space="preserve">Жогорку соттун тийиштүү стандарттагы имарат менен камсыз кылуу </t>
  </si>
  <si>
    <t xml:space="preserve">Жогорку соттун имаратын заманбап жабдуулар менен жабдуу  (эмерек, ПК ж.б.)/ Аларды сатып алууга финансы бөлүү </t>
  </si>
  <si>
    <t>Техникалык жабдуулардын иштөө абалын колдоо  (эмерек, ПК, МФУ, ксерокөчүрмө)</t>
  </si>
  <si>
    <t>Сотторду жана аппараттын кызматкерлерин үзгүлтүксүз окутууларды, квалификациясын жогорулатуу боюнча семинарларды  жүргүзүү (Кыргыз Республикасынын ЖС  УЦС планын кошпогондо)</t>
  </si>
  <si>
    <r>
      <t xml:space="preserve">Пландаштыруу, башкаруу жана администрациялоо                                                                </t>
    </r>
    <r>
      <rPr>
        <i/>
        <sz val="11"/>
        <rFont val="Times New Roman"/>
        <family val="1"/>
        <charset val="204"/>
      </rPr>
      <t xml:space="preserve">Программанын максаты: Конституциялык палатанын системасынын ишин камсыздоо, ведомствонун башка программаларын ишке ашырууну координациялоо </t>
    </r>
  </si>
  <si>
    <t>Тышкы байланышты жана коомчулук менен байланышты колдоо</t>
  </si>
  <si>
    <t xml:space="preserve">Иштерди уюштуруу жана камсыз кылуу кызматы </t>
  </si>
  <si>
    <r>
      <t xml:space="preserve">Конституциялык сот адилеттигинин жогорку сапатын камсыздоо
</t>
    </r>
    <r>
      <rPr>
        <i/>
        <sz val="11"/>
        <rFont val="Times New Roman"/>
        <family val="1"/>
        <charset val="204"/>
      </rPr>
      <t xml:space="preserve">Программанын максаты: адилеттүүлүктү,  болбой койбостукту камсыздоо </t>
    </r>
  </si>
  <si>
    <t xml:space="preserve">Кыргыз Республикасынын Жогорку сотунун Конституциялык палатасынын тажрыйбасын башка өлкөлөргө жайылтуу </t>
  </si>
  <si>
    <t>Кесипкөй эл аралык уюмдардагы мүчөлүк (Азия конституциялык сотторунун ассоциациясы, ВК, Дүйнөлүк  конституциялык соттордун ассоциациясы)</t>
  </si>
  <si>
    <t xml:space="preserve">Кыргызстанда конституционалдык актуалдуу маселелерге арналган  эл аралык  конференцияларды өткөрүү </t>
  </si>
  <si>
    <t xml:space="preserve">Башка өлкөлөрдүн Конституциялык соттору үчүн  стажировкаларды уюштуруу (делегаттарды кабыл алуу). </t>
  </si>
  <si>
    <t xml:space="preserve">Эл аралык эксперттердин катышуусу менен илимий-консультативдик кеңеш түзүү </t>
  </si>
  <si>
    <r>
      <t xml:space="preserve">Конституциялык палатанын ишинин ачыктыгын жана айкындуулугун камсыздоо                                           </t>
    </r>
    <r>
      <rPr>
        <i/>
        <sz val="11"/>
        <rFont val="Times New Roman"/>
        <family val="1"/>
        <charset val="204"/>
      </rPr>
      <t xml:space="preserve">Программанын максаты: Сот системасынын ишинин айкындуулугуна жетүү </t>
    </r>
  </si>
  <si>
    <t xml:space="preserve">Мамлекеттик кадр кызматынын бирдиктүү сайты аркылуу Конституциялык палатанын сотторунун жана Конституциялык палатанын аппаратынын башка кызматкерлеринин кирешелери боюнча маалыматтарга калктын жеткиликтүүлүгүн камсыздоо </t>
  </si>
  <si>
    <t>Маалыматтык коммуникациялар саясаты боюнча иш-чаралар планын ишке ашыруу  (а.и. жарыялоо, ЖМК менен иштөө,  "Вестник" чыгаруу)</t>
  </si>
  <si>
    <r>
      <rPr>
        <b/>
        <sz val="11"/>
        <rFont val="Times New Roman"/>
        <family val="1"/>
        <charset val="204"/>
      </rPr>
      <t xml:space="preserve">Конституциялык сот адилеттигинин натыйжалуулугун жана жеткиликтүүлүгун камсыздоо                                                   
</t>
    </r>
    <r>
      <rPr>
        <i/>
        <sz val="11"/>
        <rFont val="Times New Roman"/>
        <family val="1"/>
        <charset val="204"/>
      </rPr>
      <t xml:space="preserve">Программанын максаты: Конституциялык палатанын аппаратынын ишинин натыйжалуулугун жогорулатуу </t>
    </r>
  </si>
  <si>
    <t xml:space="preserve">Конституциялык сот адилеттигин ишке ашыруу </t>
  </si>
  <si>
    <t xml:space="preserve">Сот практикасын жалпылоо жана өркүндөтүү </t>
  </si>
  <si>
    <t xml:space="preserve">Сот процесстерин  аудио-видео-фиксациялоо системасын колдоо </t>
  </si>
  <si>
    <t xml:space="preserve">Маалыматтык жана техникалык коопсуздук системасын киргизүү </t>
  </si>
  <si>
    <t>Конституциялык сот адилеттигинин автоматташтыруу системаларын колдоо</t>
  </si>
  <si>
    <r>
      <t xml:space="preserve">Кыргыз Республикасынын сот системасынын  натыйжалуулугун, ачык-айкындуулугун жана көз карандысыздыгын жогорулатуу                                                  </t>
    </r>
    <r>
      <rPr>
        <sz val="11"/>
        <rFont val="Times New Roman"/>
        <family val="1"/>
        <charset val="204"/>
      </rPr>
      <t xml:space="preserve"> </t>
    </r>
    <r>
      <rPr>
        <i/>
        <sz val="11"/>
        <rFont val="Times New Roman"/>
        <family val="1"/>
        <charset val="204"/>
      </rPr>
      <t>Программанын максаты: КРде сапаттуу сот адилеттүүлүгүн камсыздоо</t>
    </r>
  </si>
  <si>
    <t xml:space="preserve">Кыргыз Республикасынын сот системасындагы кадрдык потенциалды бекемдөө </t>
  </si>
  <si>
    <t xml:space="preserve">Сотторду, прокурорлорду жана   адвокаттарды биргелешип окутуу   практикасын киргизүү  </t>
  </si>
  <si>
    <t>Эл аралык байланыштарды  (КМШ, алыскы чет өлкөлөр) , сот адилеттүүлүгүнүн жогорку мектебин жана сотторду кесипке,  тематикалык конференцияларды жана    семинарларды өткөрүүгө даярдоо жаатындагы соттор кеңешин  өнүктүрүү</t>
  </si>
  <si>
    <t xml:space="preserve">Региондук деңгээлде жалпы координациялоо </t>
  </si>
  <si>
    <r>
      <t xml:space="preserve">Кыргыз Республикасынын жергиликтүү сотторунун натыйжалуулугун, ачык-айкындуулугун жана көз карандысыздыгын жогорулатуу                                           </t>
    </r>
    <r>
      <rPr>
        <sz val="11"/>
        <rFont val="Times New Roman"/>
        <family val="1"/>
        <charset val="204"/>
      </rPr>
      <t xml:space="preserve">                      </t>
    </r>
    <r>
      <rPr>
        <i/>
        <sz val="11"/>
        <rFont val="Times New Roman"/>
        <family val="1"/>
        <charset val="204"/>
      </rPr>
      <t xml:space="preserve">Программанын максаты: Кыргыз Республикасынын сот системасына ишенимди жогорулатуу </t>
    </r>
  </si>
  <si>
    <t xml:space="preserve">КРдин сотторун тандап алуу боюнча кеңеш тарабынан сотторду көз карандысмыз тандап алуу </t>
  </si>
  <si>
    <t xml:space="preserve"> автоматташкан  маалыматтык системаны киргизүү  (АМС)</t>
  </si>
  <si>
    <t xml:space="preserve">Соттордун имаратынын коопсуздугун камсыздоо жана кайтаруу </t>
  </si>
  <si>
    <t xml:space="preserve">Соттор кеңешине караштуу тартиптик комиссиянын жана КР соттор кеңешинин иши камсыздоо  </t>
  </si>
  <si>
    <t xml:space="preserve">Сот процесстерин аудио видеофиксациялоо системасын киргизүү  </t>
  </si>
  <si>
    <t xml:space="preserve">Сот адилеттүүлүгүн ишке ашыруу </t>
  </si>
  <si>
    <t xml:space="preserve">сот аткаруучуларынын  ишин камсыздоо </t>
  </si>
  <si>
    <t xml:space="preserve">Сот өндүрүшүнүн процесстеринин оперативдүүлүгүн камсыздоо </t>
  </si>
  <si>
    <t xml:space="preserve"> соттук актыларды аралыктан режиминде алуу  үчүн системаны иштеп чыгуу жана киргизүү  ( электрондук сот адилеттүүлүгү системасы)</t>
  </si>
  <si>
    <t>Соттук актыларды автоматташтырылган түрдө бөлүштүрүү  (АРД)</t>
  </si>
  <si>
    <t xml:space="preserve">Сот арачыларынын институтун киргизүү </t>
  </si>
  <si>
    <t>Дүйнөлүк экономикалык форумдун атаандаштыкка жөндөмдүүлүгүнүн глобалдуу индекси рейтингинде  Кыргызстандын орду   ( анын ичинде   "соттордун көз карандысыздыгы" көрсөткүчү боюнча)</t>
  </si>
  <si>
    <t xml:space="preserve">Соттук корпустун ачык-айкындуулугун жана кесипкөйлүгүн күчөтүү </t>
  </si>
  <si>
    <r>
      <t>Маалыматтык системалар менен жабдылган соттордун саны  (видео жазуу жана  сот  процесстерин трансляциялоо, аудио жана видео протоколдоо ж.б.) /</t>
    </r>
    <r>
      <rPr>
        <i/>
        <sz val="11"/>
        <rFont val="Times New Roman"/>
        <family val="1"/>
        <charset val="204"/>
      </rPr>
      <t xml:space="preserve"> Соттук териштирүүлөрдүн толук ачык-айкындыгы камсыздалган </t>
    </r>
  </si>
  <si>
    <t xml:space="preserve">Сот процесстеринин катышуучулары үчүн коопсуздукту камсыздоо </t>
  </si>
  <si>
    <r>
      <rPr>
        <b/>
        <sz val="11"/>
        <rFont val="Times New Roman"/>
        <family val="1"/>
        <charset val="204"/>
      </rPr>
      <t xml:space="preserve">Кыргыз Республикасынын сот системасын өнүктүрүүнүн артыкчылыктуу багыттарын аныктоо  </t>
    </r>
    <r>
      <rPr>
        <sz val="11"/>
        <rFont val="Times New Roman"/>
        <family val="1"/>
        <charset val="204"/>
      </rPr>
      <t xml:space="preserve">/ соттук өз алдынча башкаруу органдарынын  потенциалы күчөтүлгөн  </t>
    </r>
  </si>
  <si>
    <t xml:space="preserve">сот жыйындарын аудио видео фиксациялоо   жана   протоколдоо  системасы менен жабдылган соттордун саны </t>
  </si>
  <si>
    <r>
      <t>сот процесстеринин тараптарынын катышуучуары үчүн шарттарды түзүү  / соттордун кызматтык орун жайлары үчүн бекитилген ченемдерге жооп берүүчү, КР жергиликтүү соттору үчүн модернизацияланган жана курулган жаңы имараттардын саны</t>
    </r>
    <r>
      <rPr>
        <b/>
        <sz val="11"/>
        <rFont val="Times New Roman"/>
        <family val="1"/>
        <charset val="204"/>
      </rPr>
      <t xml:space="preserve">  </t>
    </r>
  </si>
  <si>
    <t xml:space="preserve">Сот имараттарына коопсуздук системасын жана  техникалык каражаттарды киргизүү </t>
  </si>
  <si>
    <r>
      <t xml:space="preserve">соттук чечимдерди аткаруу моделинин өз ара аракеттешүүсүн өркүндөтүү/ сот чечимдерин аткаруу үлүшүн көбөйтүү </t>
    </r>
    <r>
      <rPr>
        <i/>
        <sz val="11"/>
        <rFont val="Times New Roman"/>
        <family val="1"/>
        <charset val="204"/>
      </rPr>
      <t xml:space="preserve"> </t>
    </r>
  </si>
  <si>
    <t xml:space="preserve">соттордун ишин уюштурууну канааттандыраарлык эмес деп эсептеген жарандардын үлүшү, анын ичинде сурамжылангандар </t>
  </si>
  <si>
    <t xml:space="preserve">квалификациялуу юридикалык жардамга жарандардын реалдуу жеткиликтүү болушу камсыздалган  </t>
  </si>
  <si>
    <t xml:space="preserve">сот адилетүүлүгүн жөнөтүү сапатын жакшыртуу </t>
  </si>
  <si>
    <t xml:space="preserve">соттук иштерди тез чечүүнү камсыздоочу маалыматтык технологиялар киргизилген соттордун саны </t>
  </si>
  <si>
    <t xml:space="preserve">сот арачыларынын каттышуусу менен соттук иштерди карай турган район аралык соттордун саны </t>
  </si>
  <si>
    <t xml:space="preserve">Иштерди уюштуруу  жана камсыздоо кызматы  </t>
  </si>
  <si>
    <t>Мамлекеттик  аудитти  жүргүзүү</t>
  </si>
  <si>
    <t xml:space="preserve">Аудит жана натыйжалуулук  аудити :  республикалык  бюджетти аткарууну баалоо, жергиликтүү бюджетти, бюджеттен тышкаркы жана атайын каражаттарды  түзүү жана аткаруу, мамлекеттик жана    муниципалдык менчикти пайдалануу, мамлекеттик аудиттин эл аралык стандарттарын камсыздоо жана ишке ашыруу. </t>
  </si>
  <si>
    <t xml:space="preserve">Кыргыз Республикасынын Эсептөө палатасынын иши жөнүндө Кыргыз Республикасынын Жогорку Кенешинин баалоосу </t>
  </si>
  <si>
    <t xml:space="preserve">Иш-чараларды каржылоону камсыз кылуу </t>
  </si>
  <si>
    <t>Кызматкерлердин жалпы санынан аттестациядан жогорку балл менен өткөн кызматкерлердин үлүшү</t>
  </si>
  <si>
    <t>Кызматкерлердин жалпы санынан квалификациясы жогорулатылган кызматкерлердин үлүшү</t>
  </si>
  <si>
    <t xml:space="preserve">Ченемдик укуктук актылардын жана ички локалдык документтердин иштелип чыккан долбоорлорунун саны </t>
  </si>
  <si>
    <t xml:space="preserve">Жүргүзүлгөн аудитордук иш-чараларды юридикалык коштоолордун саны </t>
  </si>
  <si>
    <t xml:space="preserve">Кыргыз Республикасынын Эсептөө палатасынын кызыкчылыктарын көрсөткөн сот процесстеринин саны </t>
  </si>
  <si>
    <t>Материалдык-техникалык жабдууларды жаңылоо пайызы  (компьютердик жана башка уюштуруу техникалары)</t>
  </si>
  <si>
    <t xml:space="preserve">пландалган аудитордук иш-чаралардын иш жүзүндө аткарылуу %   </t>
  </si>
  <si>
    <r>
      <t xml:space="preserve">Пландаштыруу, башкаруу жана администрациялоо 
</t>
    </r>
    <r>
      <rPr>
        <i/>
        <sz val="11"/>
        <rFont val="Times New Roman"/>
        <family val="1"/>
        <charset val="204"/>
      </rPr>
      <t>Программанын максаты: Башка программаларды ишке ашырууну координациялоочу жана уюштуруучу таасир этүү</t>
    </r>
    <r>
      <rPr>
        <sz val="11"/>
        <rFont val="Times New Roman"/>
        <family val="1"/>
        <charset val="204"/>
      </rPr>
      <t>лөр</t>
    </r>
  </si>
  <si>
    <r>
      <t xml:space="preserve">Шайлоолорго катышуу аркылуу бийликти ишке ашырууга жарандардын конституциялык укугун ишке ашыруу                                                                          </t>
    </r>
    <r>
      <rPr>
        <i/>
        <sz val="11"/>
        <rFont val="Times New Roman"/>
        <family val="1"/>
        <charset val="204"/>
      </rPr>
      <t xml:space="preserve">Максаты: шайлоочулардын референдумдарга жана шайлоолорго келүүсүнүн жогорку деңгээли </t>
    </r>
  </si>
  <si>
    <t xml:space="preserve">Президентти, КРЖК депутаттарын, жергиликтүү кеңештин депутаттарын, жергиликтүү өз алдынча башкаруунун аткаруучу  органдарынын башчыларын шайлоону даярдоону жана өткөрүүнү уюштуруу  </t>
  </si>
  <si>
    <t xml:space="preserve">Төмөн турган  шайлоо комиссияларынын ишин координациялоо жана  аларга укуктук жана техникалык жардамдарды көрсөтүү </t>
  </si>
  <si>
    <t xml:space="preserve">Шайлоо мыйзамдарын аткарууну контролдоону ишке ашыруу </t>
  </si>
  <si>
    <r>
      <rPr>
        <b/>
        <sz val="11"/>
        <rFont val="Times New Roman"/>
        <family val="1"/>
        <charset val="204"/>
      </rPr>
      <t>Ачык-айкындуулукту жогорулатуу                                                Максаты:</t>
    </r>
    <r>
      <rPr>
        <sz val="11"/>
        <rFont val="Times New Roman"/>
        <family val="1"/>
        <charset val="204"/>
      </rPr>
      <t xml:space="preserve"> Шайлоо процессине калктын жогорку ишеним деңгээли </t>
    </r>
  </si>
  <si>
    <t xml:space="preserve">Шайлоочуларды, референдумдун катышуучуларын шайлоо компаниясынын, референдум компаниясынын жүрүшү жөнүндө, шайлоо мыйзамдары жөнүндө кабардар кылуу  </t>
  </si>
  <si>
    <t>Окутуучу жана  маалыматтык программаларды иштеп чыгуу жана  шайлоо комиссияларынын мүчөлөрүн,резервдерин, ошондой эле   шайлоо процессинин  башка катышуучуларын   үзгүлтүксүз окутуунун жүргүзүү</t>
  </si>
  <si>
    <t xml:space="preserve">Башка өлкөлөрдө шайлоолорду, референдумдарды өткөрүү жана даярдоо практикасын үйрөнүү жана Жогорку Кеңешке шайлоо мыйзамдарын өркүндөтүү боюнча сунуштарды берүү </t>
  </si>
  <si>
    <t>Эмгектик талаш-тартыштар боюнча жеңип чыккан сот процессинин үлүшү</t>
  </si>
  <si>
    <t>Жеңип чыккан сот процесстеринин алардын жалпы санына карата катышы</t>
  </si>
  <si>
    <t xml:space="preserve">Жыйналыштардын, жолугушуулардын жана эл аралык кыдыруулардын ж.б.  жыйынтыгы боюнча маалыматтык  пресс - релиздердин саны </t>
  </si>
  <si>
    <t xml:space="preserve">Борбордук аппаратынын кызматкерлеринин жалпы санынан камсыз кылуу кызматынын кызматкерлеринин үлүшү </t>
  </si>
  <si>
    <t xml:space="preserve">Республика боюнча шайлоочулардын такталган тизмесинин үлүшү </t>
  </si>
  <si>
    <t xml:space="preserve">Добуш берүү күнүндө келген шайлоочулардын пайызынын жогорулашы </t>
  </si>
  <si>
    <t xml:space="preserve">Добуш берүүлөрдүн жана шайлоонун жыйынтыгын чыгаруу </t>
  </si>
  <si>
    <t xml:space="preserve">Комиссиянын ишине даттануулардын санынын кыскарышы, шайлоо мыйзамдарын бузуулардын кыскарышы </t>
  </si>
  <si>
    <t>Маалыматтык  компаниялардын саны (тегерек столдор, ЖМКга чыгуулар, чыгарылган басма материалдар)</t>
  </si>
  <si>
    <t xml:space="preserve">Шайлоолорго даярдык көрүү жана өткөрүү боюнча изилденген жана ишке ашырылган практикалардын, усулдардын жана ыкмалардын үлүшү </t>
  </si>
  <si>
    <t>Иштерди уюштуруу жана камсыз кылуу кызматы</t>
  </si>
  <si>
    <t xml:space="preserve">  Региондук деңгээлде жалпы  координациялоо </t>
  </si>
  <si>
    <r>
      <t xml:space="preserve"> Мамлекеттик органдарда мыйзам долбордук ишти координациялоо, экспертизало     нормативдик актыларды систематизациялоо жана  кодификациялоо .                       
</t>
    </r>
    <r>
      <rPr>
        <i/>
        <sz val="11"/>
        <rFont val="Times New Roman"/>
        <family val="1"/>
        <charset val="204"/>
      </rPr>
      <t xml:space="preserve"> Программанын максаты: Нормативдик укуктук камсыз кылуу ,  мыйзам долбоордук ишти координациялоо жана  экспертизанын сапатын жогорулатуу .</t>
    </r>
  </si>
  <si>
    <t xml:space="preserve">Мыйзам долбоорлоо иштеринин планынын аткарылышын координациялоо, ченемдик укуктук актылардын долбоорлорун иштеп чыгуу жана экспертизалоо </t>
  </si>
  <si>
    <t>Мыйзам алдындагы актылардын долбоорлорун экспертизалоо жана эл аралык келишимдердин жана макулдашуулардын долбоорлорун экспертизалоону ишке ашыруу</t>
  </si>
  <si>
    <t xml:space="preserve">ЧУА мамлекеттик реестрин жүргүзүү жана Укуктук маалыматтардын борборлоштурулган маалымат банкын түзүү  </t>
  </si>
  <si>
    <t xml:space="preserve">Укуктук маалымат борборлошкон маалыматтар базасын түзүү </t>
  </si>
  <si>
    <t>Мамлекеттик нотариалдык кызматтарды көрсөтүү, апостилдөө чөйрөсүндөгү иштерди жана мамлекет кепилдик берген юридикалык жардамдарды ишке ашыруу.                                               
Программанын максаты: Адвокаттык, нотариалдык иштерди координациялоочу таасирлер жана апостилдөө</t>
  </si>
  <si>
    <t xml:space="preserve"> нотариалдык ишти ишке ашыруу  </t>
  </si>
  <si>
    <t xml:space="preserve">Кыргыз Республикасынан чыгуучу документтерди апостилдөө жаатында нотариалдык ишти координациялоону ишке ашыруу </t>
  </si>
  <si>
    <t xml:space="preserve">Күрөөлүк бүтүмдөрдү каттоо жаатында бирдиктүү мамлекеттик саясатты жүргүзүү.                                                                        Программанын максаты: Юридикалык жактарды жана күрөөлүк бүтүмдөрдү берилген ыйгарым укуктардын чегинде камсыз кылуу </t>
  </si>
  <si>
    <t xml:space="preserve">Юридикалык жактарды, филиалдарды (өкүлчүлүк)  бирдиктүү мамлекеттик каттоону жүргүзүү </t>
  </si>
  <si>
    <t xml:space="preserve">юридикалык жактардын, филиалдардын (өкүлчүлүктөрдүн) маалыматтар базасын өркүндөтүү жана актуалдаштырууну камсыздоо </t>
  </si>
  <si>
    <t xml:space="preserve">юридикалык жактарды, филиалдарды (өкүлчүлүктөрдү)  онлайн- каттоону иштетүүнү киргизүү </t>
  </si>
  <si>
    <t xml:space="preserve">Юридикалык жактардын, филиалдардын (өкүлчүлүктөрдүн) маалыматтар базасын өркүндөтүү жана актуалдаштырууну камсыздоо </t>
  </si>
  <si>
    <t xml:space="preserve">Юридикалык жактарды, филиалдарды ЮМдин өкүлчүлүктөрүнүн архивде катталган иштеринин сакталуусун камсыздоо  </t>
  </si>
  <si>
    <t xml:space="preserve">Кыймылдуу мүлктөрдү күрөөгө коюу бүтүмдөрүн мамлекеттик каттоону жүргүзүү </t>
  </si>
  <si>
    <t>Мамлекеттик  кепилденген юридикалык жардам 
Программанын максаты: Мамлекеттик  кепилденген юридикалык жардам</t>
  </si>
  <si>
    <t>Мамлекеттик  кепилденген юридикалык жардамды ишке ашыруу</t>
  </si>
  <si>
    <t xml:space="preserve">Тейлөө  функцияларын ишке ашыруу  . Программанын максаты:мамлекеттик кызматкерлердин функциялары менен байланыштуу эмес, тейлөө жана техникалык ишти ишке ашыруу </t>
  </si>
  <si>
    <t xml:space="preserve">КТП жана ТТП кызматчылары тарабынан кызмат көрсөтүүлөрдү ишке ашыруу </t>
  </si>
  <si>
    <t>Бардык программалар боюнча эмгек акыга чыгашалардын суммасына карата 001 программа боюнча эмгек акыга чыгашалардын катышы</t>
  </si>
  <si>
    <t>Калктын министрликке ишеним индекси</t>
  </si>
  <si>
    <t xml:space="preserve">ШКУга мүчө мамлекеттердин юстиция министрлеринин кеңешмесине жана КМШга  мүчө мамлекеттердин юстиция министрлеринин кеңешине катышуу үчүн КРЮМ кызматкерлеринин  баруусу. (министр жана  2 эксперт). </t>
  </si>
  <si>
    <t>ШКУга мүчө мамлекеттердин юстиция министрлеринин кеңешмесине жана КМШга  мүчө мамлекеттердин юстиция министрлеринин кеңешине катышуу үчүн КРЮМ кызматкерлеринин  баруусу. (министр жана  2 эксперт)</t>
  </si>
  <si>
    <t>Министрликтердин/ведомстволордун ЖМКдагы оң эскертүүлөрүнүн саны</t>
  </si>
  <si>
    <t xml:space="preserve">Мыйзам алдындагы актыларды экспертизалоонун саны, эл аралык келишимдердин долбоорлорунун саны </t>
  </si>
  <si>
    <t xml:space="preserve">Аткаруучулук тартиптин деңгээли </t>
  </si>
  <si>
    <t xml:space="preserve"> Экспертиза сапатын жогорулатуу</t>
  </si>
  <si>
    <t xml:space="preserve">Иштелип чыккан ченемдик укуктук актылардын долбоорлорунун саны </t>
  </si>
  <si>
    <t xml:space="preserve">Мамлекеттик реестрге ЧУАларды киргизүү </t>
  </si>
  <si>
    <t xml:space="preserve">КР ченемдик укуктук актыларынын БМБдагы электрондук   версияларынын саны   </t>
  </si>
  <si>
    <t>Сапаттуу жана өз убагындагы кызмат көрсөтүү менен камсыздоо</t>
  </si>
  <si>
    <t xml:space="preserve">1) Мамлекеттик нот.иштердин саны                                    </t>
  </si>
  <si>
    <t>2)апостилдик документтердин саны 3)мыйзамдаштырылган документтердин саны</t>
  </si>
  <si>
    <t xml:space="preserve">Мамлекеттик нот.иштердин саны      </t>
  </si>
  <si>
    <t>Каттоолордун жана күрөөлүк бүтүмдөрдүн сапатын жогорулатуу</t>
  </si>
  <si>
    <t xml:space="preserve">Мамкаттоолордун, кайра каттоолордун жана токтотуулардын саны                </t>
  </si>
  <si>
    <t xml:space="preserve">Программалык камсыздоону иштеп чыгуу жана киргизүү </t>
  </si>
  <si>
    <t xml:space="preserve">юридикалык жактарды, филиалдарды (өкүлчүлүктөрдү) каттоо процессине тартылган ЮМ кызматкерлери үчүн жана аймактык юстиция органдарынын кызматкерлери үчүн окутуу семинарларын өткөрүү </t>
  </si>
  <si>
    <t xml:space="preserve">юридикалык жактардын, филиалдардын (өкүлчүлүктөр) маалымат базасы боюнча кызмат көрсөтүү үчүн келишим боюнча  IT адистерди тартуу </t>
  </si>
  <si>
    <t xml:space="preserve">юридикалык жактардын, филиалдардын (өкүлчүлүктөр) маалымат базасы үчүн сервер сатып алуу   </t>
  </si>
  <si>
    <t xml:space="preserve">Юридикалык жактардын, филиалдардын, ЮМдин өкүлчүлүктөрүнүн жана аймактык органдардын архивдик каттоо документтерин инвентаризациялоо үчүн  келишим боюнча адистерди тартуу  </t>
  </si>
  <si>
    <t xml:space="preserve">Юридикалык жактардын архивдик каттоо документтерин сканирлөө үчүн келишим боюнча адистерди тартуу  </t>
  </si>
  <si>
    <t xml:space="preserve">Каттоо документтерди оцифроакалоо үчүн юстициянын аймактык органдарына сканерлерди сатып алуу </t>
  </si>
  <si>
    <t>Сигнализация сатып алуу жана орнотуу, эшиктерди брондоо</t>
  </si>
  <si>
    <t>Күрөөлүк бүтүмдөрдүн саны</t>
  </si>
  <si>
    <t>Мамлекеттик  кепилденген, сапаттуу юридикалык жардам берүү</t>
  </si>
  <si>
    <t>Көрсөтүлгөн юридикалык жардамдардын саны</t>
  </si>
  <si>
    <t xml:space="preserve">Тейлөө жаатында өз убагында кызмат көрсөтүүлөр менен камсыздоо </t>
  </si>
  <si>
    <t xml:space="preserve">Өз убагындагы жана сапаттуу тейлөөнүн деңгээли </t>
  </si>
  <si>
    <t>24. Резервдик жана аймактардын башка фонддору</t>
  </si>
  <si>
    <t xml:space="preserve">Жыйынтыгы: Кыргыз Республикасынын Юстиция министрлиги боюнча бардыгы </t>
  </si>
  <si>
    <t xml:space="preserve">23. Кыргыз Республикасынын Тышкы иштер министрлиги </t>
  </si>
  <si>
    <t xml:space="preserve">Пландаштыруу, башкаруу жана администрациялоо                                                                                                                              
Программанын максаты: Башка программаларды ишке ашырууга координациялоочу жана уюштуруучу таасир этүүлөр                                                                                                                      </t>
  </si>
  <si>
    <t xml:space="preserve">Мониторинг,  талдоо жүргүзүүнү жана стратегиялык пландоону камсыздоо </t>
  </si>
  <si>
    <t xml:space="preserve">Билим берүү процессин уюштуруу </t>
  </si>
  <si>
    <t xml:space="preserve">Бардык программалар боюнча эмгек акыга чыгашалардын суммасына карата 001 Программа боюнча эмгек акыга чыгашалардын катышы </t>
  </si>
  <si>
    <t>Жеңип чыккан сот иштеринин алардын жалпы санына карата катышы</t>
  </si>
  <si>
    <t xml:space="preserve">Министрликтердин/ведомстволордун ЖМКдагы оң эскертүүлөрүнүн  саны </t>
  </si>
  <si>
    <t xml:space="preserve">Мониторингдин жыйынтыгынын жалпы санынан расмий ички документтерди аткарууга карата кабыл алынган мониторинг натыйжаларынын үлүшү </t>
  </si>
  <si>
    <t xml:space="preserve">Маданий-гуманитардык илимий-изилдөө, билим берүү мүнөзүндөгү  демилгеленген жана жүргүзүлгөн иш-чаралардын  саны </t>
  </si>
  <si>
    <t xml:space="preserve">Эки тараптуу форматта мамлекеттин тышкы саясий ишин жүргүзүү 
Программанын максаты: эки тараптуу форматтагы эл аралык аренада улуттун кызыкчылыгын бардык тараптан жана натыйжалуу камсыз кылуу жана жагымдуу тышкы шарттарды түзүү </t>
  </si>
  <si>
    <t xml:space="preserve">Эки тараптуу форматта чет өлкөлүк  мамлекеттер менен саясий-дипломатиялык өз ара байланышты камсыз кылуу </t>
  </si>
  <si>
    <t>Кыргыз Республикасында Мамлекет башчыларынын, өкмөт башчыларынын, парламенттердин спикерлеринин, тышкы саясий жана тышкы экономикалык ведомстволордун башчыларынын  эки тараптуу визитин өткөрүүнү камсыз кылуу</t>
  </si>
  <si>
    <t xml:space="preserve">Кыргыз Республикасынын Президентинин, Премьер-министринин, Жогорку Кеңешинин Төрагасынын,  Тышкы иштер министринин, министрликтердин жана ведомстволордун чет өлкөлөрдөгү  жетекчилеринин эки тараптуу визитин уюштуруу жана өткөрүү </t>
  </si>
  <si>
    <t xml:space="preserve">Чет өлкөлөр менен эки тараптуу кызматташтыктын бардык спектрлеринин маселелери боюнча  сүйлөшүүлөрдү уюштуруу жана жүргүзүү </t>
  </si>
  <si>
    <t xml:space="preserve">Кыргыз Республикасынын чет өлкөлөрдөгү жана чет өлкөлөрдүн Кыргыз Республикасындагы дипломатиялык миссияларынын географиясын кеңейтүү </t>
  </si>
  <si>
    <t xml:space="preserve">Эл аралык аренада Кыргыз Республикасынын жагымдуу имиджин түзүүгө көмөк  көрсөтүү </t>
  </si>
  <si>
    <t xml:space="preserve">Кыргыз Республикасынын тышкы саясий ишин эл аралык-укуктук камсыз кылуу </t>
  </si>
  <si>
    <t xml:space="preserve">Кыргыз Республикасында жүргүзүлгөн тышкы саясий иш-чаралардын саны </t>
  </si>
  <si>
    <t xml:space="preserve">Чет өлкөлөрдө жүргүзүлгөн тышкы саясий иш-чаралардын саны </t>
  </si>
  <si>
    <t xml:space="preserve">Эки тараптуу формат алкагында ишке ашырылган тышкы саясий иш-чаралардын саны </t>
  </si>
  <si>
    <t xml:space="preserve">Эки тараптуу мамилелер алкагында жүргүзүлгөн  тышкы саясий иш-чаралардын саны </t>
  </si>
  <si>
    <t>Жүргүзүлгөн сүйлөшүүлөрдүн саны</t>
  </si>
  <si>
    <t xml:space="preserve">Ачылган Элчиликтердин, Башкы консулдуктардын,  Кыргыз Республикасынын чет өлкөлөрдөгү  жана чет өлкөлөрдүн Кыргыз Республикасындагы консулдук пункттарынын саны </t>
  </si>
  <si>
    <t xml:space="preserve">Кыргыз Республикасынын Тышкы иштер министрлигинин тышкы саясий иши жөнүндө ЖМКдагы жарыялоолорунун саны </t>
  </si>
  <si>
    <t xml:space="preserve">Кыргыз Республикасынын чет өлкөлөр менен демилгеленген, иштелип чыккан жана түзүлгөн эл аралык документтеринин саны </t>
  </si>
  <si>
    <t>Мамлекеттердин тышкы саясий иштерин көп тараптуу форматта жүргүзүү 
Программанын максаты: Эл аралык жана региондук уюмдардын жана бирикмелердин алкагында  эл аралык аренада улуттун кызыкчылыктарын бардык тараптан жана натыйжалуу камсыз кылуу</t>
  </si>
  <si>
    <t xml:space="preserve">Эл аралык жана региондук уюмдарга жана бирикмелерге Кыргыз Республикасынын катышуусу </t>
  </si>
  <si>
    <t xml:space="preserve">Кыргыз Республикасынын тышкы саясий демилегелерин иштеп чыгуу жана илгерилетүү </t>
  </si>
  <si>
    <t xml:space="preserve">Эл аралык уюмдардын жана бирикмелердин алкагындагы иш-чаралардын саны </t>
  </si>
  <si>
    <t>Эл аралык жана региондук уюмдардын жана бирикмелердин ишине Кыргыз Республикасынын расмий делегациясынын катышуусу</t>
  </si>
  <si>
    <t xml:space="preserve">Кыргыз Республикасынын тышкы саясий демилгелеринин саны </t>
  </si>
  <si>
    <t xml:space="preserve">Кыргыз Республикасынын Тышкы иштер министрлигинин чет өлкөдөгү мекемелеринин ишин камсыздоо                 
Программанын максаты: Саясий жана экономикалык кызматташтыкты эки тараптуу жана көп тараптуу форматта кеңейтүү жана тереңдетүү </t>
  </si>
  <si>
    <t xml:space="preserve">Дипломатиялык жана консулдук кызматкерлерди социалдык жактан колдоо системасын кошкондо  чет өлкөлүк мекемелердин жашоосун камсыз кылуу үчүн жагымдуу жана коопсуз шарттарды түзүү жана колдоо </t>
  </si>
  <si>
    <t xml:space="preserve">Аккредитациялоо өлкөлөрүндө  Кыргыз Республикасынын тышкы саясий курсун камсыз кылуу жана жүргүзүү </t>
  </si>
  <si>
    <t xml:space="preserve">Кыргыз Республикасынын министрликтеринин жана ведомстволорунун  чет өлкөлөр менен  эл аралык кызматташтыкты жүргүзүүсүнө көмөк көрсөтүү жана колдоо </t>
  </si>
  <si>
    <t xml:space="preserve">Чет өлкөлүк мекемелерде жүргүзүлгөн иш-чаралардын саны </t>
  </si>
  <si>
    <t xml:space="preserve">Дипломатиялык жана консулдук кызматкерлерди социалдык жактан колдоо тутумун түзүүнүн зарылдыгын эске алуу менен Кыргыз Республикасынын ИИМ чет олкөлүк мекемелеринин кызматкерлеринин саны </t>
  </si>
  <si>
    <t>Аккредитациялоо өлкөлөрүндө жүргүзүлгөн тышкы саясий иш-чаралардын саны  (визиттерди, сүйлөшүүлөрдү, жолугушууларды уюштуруу жана жүргүзүү, эл аралык жана региондук уюмдардын жана бирикмелердин ишине катышуу)</t>
  </si>
  <si>
    <t>Аккредитациялоо өлкөлөрүндө жүргүзүлгөн иш-чаралардын саны  (Чет өлкөлөрдө Кыргыз Республикасынын кыргыз делегацияларынын жолугушуулары/узатуулары, жайгаштыруу, коштоо )</t>
  </si>
  <si>
    <t xml:space="preserve">Жарандардын жана юридикалык жактардын  укуктарын жана кызыкчылыктарын коргоо 
Программанын максаты: Кыргыз Республикасынын чет өлкөлөрдөгү  жарандарынын жана юридикалык жактарынын  укуктарынын жана кызыкчылыктарынын корголушунун жогорку деңгээли </t>
  </si>
  <si>
    <t xml:space="preserve">Чет өлкөлөрдо консулдук кызматтарды көрсөтүү </t>
  </si>
  <si>
    <t xml:space="preserve">Кыргыз Республикасынын аймагында консулдук кызматтарды көрсөтүү </t>
  </si>
  <si>
    <t xml:space="preserve">Кыргыз Республикасынын чет өлкөлөрдөгү консулдук мекемелеринин географиясын кеңейтүү </t>
  </si>
  <si>
    <t xml:space="preserve">Өз убагындагы жана сапаттуу кызмат көрсөтүүлөр менен камсыздоо </t>
  </si>
  <si>
    <t xml:space="preserve">Кыргыз Республикада жеке жана юридикалык жактарынын, алардын укуктарын жана кызыкчылыктарын коргоо боюнча оң жагына каралган кайрылууларынын саны </t>
  </si>
  <si>
    <t xml:space="preserve">Кыргыз Республикасынын жеке жактарына көрсөтүлгөн консулдук кызматтардын көлөмү </t>
  </si>
  <si>
    <t xml:space="preserve">Чет өлкөлүк жарандарды тейлөөгө байланышкан консулдук иш-аракеттердин көлөмү </t>
  </si>
  <si>
    <t xml:space="preserve">Консулдук кызматтарды көрсөтүү тутумун программалык камсыз кылууну өркүндөтүү </t>
  </si>
  <si>
    <t xml:space="preserve">Башкы консулдуктардын, консулдук пункттардын саны </t>
  </si>
  <si>
    <t xml:space="preserve"> Резервдик жана аймактардын башка фонддору</t>
  </si>
  <si>
    <t>Ысык-Көл облусунун өнүктүрүү фонду</t>
  </si>
  <si>
    <t>Райондордун өнүктүрүү фонду</t>
  </si>
  <si>
    <t>Областтардын өнүктүрүү фонду</t>
  </si>
  <si>
    <t>Кыргыз Республикасынын Өкмөтүнүн облустардагы ыйгарым укуктуу өкүлүнүн резервдик фонду</t>
  </si>
  <si>
    <t>Акимдердин резервдик фонду</t>
  </si>
  <si>
    <t>Мамлекеттик-жеке өнөктөштүк долбоорун даярдоону каржылоо фонду</t>
  </si>
  <si>
    <t>Нарынской облусунун өнүктүрүү фонду</t>
  </si>
  <si>
    <t>Жыйнтыгы: Резервдик жана аймактардын башка фонддору</t>
  </si>
  <si>
    <t>25. Кыргыз Республикасынын Финансы министрлиги</t>
  </si>
  <si>
    <t>Пландаштыруу, башкаруу жана администрациялоо  Программанын максаты: Бул стратегияга киргизилген башка программаларды ишке ашырууга координациялоочу жана уюштуруучу таасир этүүлөр</t>
  </si>
  <si>
    <t>Финансылык менеджментти  жана эсепке алууну камсыздоо</t>
  </si>
  <si>
    <t xml:space="preserve">Тышкы  байланыштарды жана коомчулук менен байланыштарды  колдоо </t>
  </si>
  <si>
    <t>Ишти уюштуруу жана камсыздоо кызматы</t>
  </si>
  <si>
    <t>Мамлекеттик финансыларды  натыйжалуу  башкаруу маселелери боюнча  мамлекеттик башкаруу жана жергиликтүү өз алдынча башкаруу органдарынын  кызматкерлерин  кайра даярдоо жана  квалификациясын жогорулатуу</t>
  </si>
  <si>
    <t>Калктын ишенүү индекси</t>
  </si>
  <si>
    <t xml:space="preserve">Бузууларсыз бюджетти  аткаруунун пайызы </t>
  </si>
  <si>
    <t xml:space="preserve">Эмгектик талаштар боюнча жеңип чыккан   сот процесстеринин  үлүшү  </t>
  </si>
  <si>
    <t xml:space="preserve">Жеңип чыккан  сот иштери жана алардын  жалпы санына катышы  </t>
  </si>
  <si>
    <t xml:space="preserve">ЖМКда министрликтер/ведомстволор тууралуу оң  билдирүүлөрдүн саны </t>
  </si>
  <si>
    <t xml:space="preserve">Жалпы  кызматкерлеринин  санынан  камсыздоо кызматынын кызматкерлеринин үлүшү </t>
  </si>
  <si>
    <t xml:space="preserve">Угуучулардын саны </t>
  </si>
  <si>
    <t xml:space="preserve">Бюджетти түзүү, жана бюджеттин  балансташкандыгын  жана туруктуулугун камсыз кылуу.                                                        
Программанын максаты: Киреше бөлүгүнүн  болжолун  жакшыртуу жана  бюджеттик  иш-чараларды  аныктоону кошкондо, бюджеттик айкындуулукту жогорулатуу жана реалдуу бюджетти  даярдоо. </t>
  </si>
  <si>
    <t>Бюджеттөөнүн программалык - максаттуу ыкмаларын ишке киргизүү жана  республикалык  бюджеттин чыгашаларын талдоо</t>
  </si>
  <si>
    <t xml:space="preserve">Бюджеттик айкындуулукту  камсыздоо </t>
  </si>
  <si>
    <t>Бюджеттин орточо  мөөнөттүү   болжолу</t>
  </si>
  <si>
    <t xml:space="preserve">Республикалык  бюджеттин  ресурстук базасын талдоо жана баалоо </t>
  </si>
  <si>
    <t>Капиталдык чыгашаларды жана  дем берүүчү (үлүштүк) гранттарды пландоо</t>
  </si>
  <si>
    <t>Мамлекеттик инвестицияларды пландоо жана тартуу</t>
  </si>
  <si>
    <t xml:space="preserve">Кыргыз Республикасынын Өкмөтүндө жана Кыргыз Республикасынын Жогорку Кеңешинде  республикалык бюджеттин долбоорун  өз убагында  тапшыруу </t>
  </si>
  <si>
    <t xml:space="preserve">Программалык форматта берилген республикалык бюджеттин чыгашаларынын үлүшү                                                 </t>
  </si>
  <si>
    <t>Программалык форматта берилген республикалык бюджеттин чыгашаларынын үлүшү</t>
  </si>
  <si>
    <t xml:space="preserve">Кыргыз Республикасынын Өкмөтүнүн кеңешине  Кыргыз Республикасынын Фискалдык саясаттын негизги багыттарын түзүү жана  берүү </t>
  </si>
  <si>
    <t xml:space="preserve">Кыргыз Республикасынын Фискалдык саясаттын негизги багыттарына  бюджеттик чыгашалардын орто мөөнөттүү стратегиясын берген  министрликтердин жана ведомстволордун саны </t>
  </si>
  <si>
    <t>Республикалык бюджеттин  кирешесинин көлөмү</t>
  </si>
  <si>
    <t xml:space="preserve">Республикалык бюджеттен  каржыланып бүтүрүлгөн объекттердин  саны </t>
  </si>
  <si>
    <t xml:space="preserve">Тартылган гранттык   жардамдардын  көлөмү </t>
  </si>
  <si>
    <t xml:space="preserve">Жеңилдетилген  негизде  тартылган кредиттик  каражаттардын  көлөмү </t>
  </si>
  <si>
    <t>Бюджеттер аралык мамилелер       Программанын максаты: Бюджет аралык мамилелер системасын өркүндөтүү.</t>
  </si>
  <si>
    <t>Жергиликтүү бюджетти  пландоо жана аткаруунун мониторинги</t>
  </si>
  <si>
    <t xml:space="preserve">Жергиликтүү бюджетти пландоодо жана аткарууда пландык, пландан тышкары жана тематикалык текшерүүлөрдү жүргүзүү </t>
  </si>
  <si>
    <t>Жергиликтүү бюджеттин  бюджеттик отчеттуулугун автоматташтыруу</t>
  </si>
  <si>
    <t xml:space="preserve">Бюджет аралык трансферттерди  албаган  жергиликтүү бюджеттердин үлүшү  </t>
  </si>
  <si>
    <t>Жергиликтүү  бюджеттердин  чыгашаларында мөөнөтү өткөн  кредиттик  карыздардын үлүшү  (01.01.15-жылга бекитилген  16751,1 млн.сомдон  183,2 млн.сом)</t>
  </si>
  <si>
    <t xml:space="preserve">Жылына  жергиликтүү өз алдынча башкаруу органдарды текшерүүлөрдүн саны </t>
  </si>
  <si>
    <t>Дем берүүчү гранттардын эсебинен  каржылоо</t>
  </si>
  <si>
    <t xml:space="preserve">Автоматташкан  программалык камсыздоону колдонгон   райондук финансылык  бөлүмчөлөрдүн (үлүшү) жана жергиликтүү өз алдынча башкаруу органдардын саны </t>
  </si>
  <si>
    <t xml:space="preserve">Мамлекеттик карызды башкаруу                                                                                         Программанын максаты: Кыргыз Республикасынын  мамлекеттик карызынын туруктуулугу </t>
  </si>
  <si>
    <t xml:space="preserve">Орто мөөнөттүү келечекте тышкы карыздын туруктуулугун кармап туруу </t>
  </si>
  <si>
    <t xml:space="preserve">Мамлекеттик карыз алуунун булагы  катары  мамлекеттик баалуу кагаздар рыногунун потенциалын күчөтүү </t>
  </si>
  <si>
    <t xml:space="preserve">Кирешелер жана чыгашалар боюнча  бюджетти аткарууда кассалык  тейлөө.                                                                                              Программанын  максаты:  Бюджетти аткаруу  жана отчеттуулук  процессин жакшыртуу </t>
  </si>
  <si>
    <t xml:space="preserve">Бюджеттик ассигнование, бюджеттик милдеттер жана кассалык  пландардын лимиттери жөнүндө  маалыматтарды  кызыкдар болгон  колдонуучуларга жеткирүү </t>
  </si>
  <si>
    <t>Санкциялаштыруу жана  төлөмдү жүргүзүү</t>
  </si>
  <si>
    <t>Мамлекеттик бюджетти аткаруу тууралуу жана  отчеттуулукту түзүү</t>
  </si>
  <si>
    <t>Кыргыз Республикасынын бюджетти аткаруунун кассалык тейлөөсүнө  байланышкан, жеке эсеп-четту киргизүү жана башка кызматтарды берүү</t>
  </si>
  <si>
    <t>ИДП карата  мамлекеттик тышкы карыздын деңгээли</t>
  </si>
  <si>
    <t xml:space="preserve">Мамлекеттик  карыз боюнча  мөөнөтүнөн өтүп кеткен  карыздардын көлөмү </t>
  </si>
  <si>
    <t>Жаңы тышкы карыз алуулардын  жеңилдетилген деңгээли (% грант-элемент)</t>
  </si>
  <si>
    <t xml:space="preserve">Аукциондук негизде мамлекеттик баалуу кагаздарды чыгаруунун үлүшү </t>
  </si>
  <si>
    <t>Мамлекеттик баалуу кагаздардын жылдык эмиссиясынын жалпы структурасындагы 2-жылдык мамлекеттик баалуу кагаздардын оң өсүшү</t>
  </si>
  <si>
    <t xml:space="preserve">Мамлекеттик  ички карыз боюнча  мөөнөтүнөн өтүп кеткен  карыздардын көлөмү </t>
  </si>
  <si>
    <t xml:space="preserve">Казыналыктын органдары тарабынан бюджет алуучулардын жеке  эсеп-четтун  киргизүү  жана бюджетти аткарууда кассалык тейлөө менен байланышкан,  башка кызматтарды  көрсөтүүнү ишке ашырылуучу, БКБТ (БКТ, БКА)  жана жергиликтүү өз алдынча башкаруу органдарынын үлүшү  </t>
  </si>
  <si>
    <t xml:space="preserve">Казыналыктын органдары тарабынан  бюджеттик ассигнованиелер,бюджеттик милдеттер лимиттери жана кассалык пландар жөнүндө  маалыматтар берилген  республикалык бюджеттин БКА үлүшү </t>
  </si>
  <si>
    <t xml:space="preserve">Бюджеттик милдеттенмелерди эсепке алуу боюнча  республикалык бюджеттин чыгашаларынын   экономикалык  классификация беренелеринин үлүшү </t>
  </si>
  <si>
    <t xml:space="preserve"> графикке ылайык</t>
  </si>
  <si>
    <t xml:space="preserve"> 80 %дан кем эмес </t>
  </si>
  <si>
    <t>бирд.</t>
  </si>
  <si>
    <t>адам.</t>
  </si>
  <si>
    <t xml:space="preserve">ЖӨБОнун райондорунун саны, </t>
  </si>
  <si>
    <t xml:space="preserve">мурунку жылга карата % менен өзгөрүү </t>
  </si>
  <si>
    <t>оң өсүш</t>
  </si>
  <si>
    <t xml:space="preserve">Кыргыз Республикасынын аймагында  баалуу металлдар жана асыл таштар  менен  операцияларга  мамлекеттик контролдоо жана  козөмөл жүргүзүү </t>
  </si>
  <si>
    <t xml:space="preserve">Баалуу металлдардан жана асыл таштардан жасалган  зер жана башка буюмдарды  эн тамгалоо боюнча пробирдик  кызматтарды көрсөтүү </t>
  </si>
  <si>
    <t xml:space="preserve">Белгиленген тартипте  баалуу металлдарды жана асыл таштарды  экспорттоо, импорттоо боюнча  лицензия алууга  эксперттик корутундуну даярдоо </t>
  </si>
  <si>
    <t>Мамлекеттик  финансыларды башкаруунун мониторинги жана  аудити                                                                                                   Программанын максаты: Финансылык башкарууну жана контролдоону өркүндөтүү</t>
  </si>
  <si>
    <t xml:space="preserve">Ички аудитти жүргүзүү </t>
  </si>
  <si>
    <t xml:space="preserve">Тийиштүү жылга  коррупцияга каршы иш-аракеттер боюнча  иш-чаралар планын ишке ашыруу </t>
  </si>
  <si>
    <t>Сатып алуучу уюмдарга жана жабдып жеткирүүчүлөргө (подрядчыларга)  методологиялык жана  консультациялык жардам көрсөтүү</t>
  </si>
  <si>
    <t xml:space="preserve">Программалык бюджеттештирүү боюнча методологиялык базаны өркүндөтүү </t>
  </si>
  <si>
    <t>Мамлекеттик сатып алуулардын  методологиялык жана ченемдик базасын өнүктүрүү</t>
  </si>
  <si>
    <t>Салыктык жана салыктык эмес жыйымдарды өркүндөтүү жана тескөө</t>
  </si>
  <si>
    <t>Сатып алуунун натыйжалуу системасын камсыздоо</t>
  </si>
  <si>
    <t>Кыргыз Республикасынын мамлекеттик сатып алуулар расмий порталын өнүктүрүү</t>
  </si>
  <si>
    <t>Кыргыз Республикасынын   мамлекеттик башкаруу секторунун  ички аудит жана бухгалтердик эсеп боюнча адистердин  квалификациясын жогорулатууга болгон талаптарды ишке ашыруу жана  квалификацияны жогорулатууну  уюштуруу</t>
  </si>
  <si>
    <t>Кыргыз Республикасынын мамлекеттик секторунда ички аудит системасын өнүктүрүүнү баало жана мониторинг,  консультациялык колдоо көрсөтүү</t>
  </si>
  <si>
    <t xml:space="preserve">Экономикалык өсүш үчүн шарттарды түзүү                                                                                                                           Программанын максаты: Мамлекеттик зайымдык каражаттарды кайтаруу </t>
  </si>
  <si>
    <t xml:space="preserve">Мамлекеттик карыз каражаттарга мониторингди, эсепке алууну жана талдоону ишке ашыруу </t>
  </si>
  <si>
    <t>Инфраструктуралык долбоорлорду ишке ашыруу</t>
  </si>
  <si>
    <t>Мамамлекеттик  инвестициялар долбоорлорун ишке ашыруу</t>
  </si>
  <si>
    <t xml:space="preserve">Жыйынтыгы: Кыргыз Республикасынын Финансы министрлиги боюнча бардыгы </t>
  </si>
  <si>
    <t xml:space="preserve">Мамлекеттик карыз каражаттарынын пландык көрсөткүчтөрүн аткаруунун көлөмү </t>
  </si>
  <si>
    <t>Ички аудит кызматтарынын тышкы баалоосу</t>
  </si>
  <si>
    <t>Ички аудит жана бухгалтердин учет боюнча окуудан өткөн адистердин саны</t>
  </si>
  <si>
    <t xml:space="preserve">Жыл аралыгында Порталдын үзгүлтүксүз  иштешинин жалпы убактысы </t>
  </si>
  <si>
    <t xml:space="preserve">Сатып алуу процессиндеги  катышуучулардын  орточо саны  (берилген табыштамалардын жалпы санына  карата мамлекеттик сатып алуулар жөнүндө жарыялардын жалпы санына болгон  катышы ) </t>
  </si>
  <si>
    <t xml:space="preserve">Департаментке   берилген маалыматтардын  жалпы санынан Мамлекеттик сатып алуулар  порталында  мамлекеттик сатып алуулар жөнүндө  жарыялардын үлүшү    </t>
  </si>
  <si>
    <t>PEFA "D"баалоосу</t>
  </si>
  <si>
    <t xml:space="preserve">Бюджеттик программалардын натыйжалуулугун баалоону киргизүү </t>
  </si>
  <si>
    <t xml:space="preserve">Ишке ашырылуучу программалардын саны </t>
  </si>
  <si>
    <t>Берилген жардамга  сатып алуучу уюмдардын жана жабдып берүүчүлөрдүн (подрядчылар) канааттануу деңгээли</t>
  </si>
  <si>
    <t>Кыргыз Республикасынын Финансы министрлигинин расмий сайтында мониторингдин натыйжаларын жайгаштыруу</t>
  </si>
  <si>
    <t xml:space="preserve">Жүргүзүлгөн аудиттердин саны </t>
  </si>
  <si>
    <t xml:space="preserve">Белгиленген тартипте  даярдалган,  эксперттик корутундулардын үлүшү </t>
  </si>
  <si>
    <t xml:space="preserve">Пробирдик төлөмдү жыйноо боюнча  жылдык планды аткаруу </t>
  </si>
  <si>
    <t xml:space="preserve">Өндүрүлүп алынган  айыптардын көлөмү </t>
  </si>
  <si>
    <t xml:space="preserve">Жургүзүлгөн  текшерүүлөрдүн санынан  жеке жана юридикалык жактардан табылган  бузуулардын үлүшү </t>
  </si>
  <si>
    <t>Жургүзүлгөн  текшерүүлөрдүн саны</t>
  </si>
  <si>
    <t xml:space="preserve">Белгиленген мөөнөттө  даярдалган  эксперттик корутундулардын үлүшү </t>
  </si>
  <si>
    <t>саны</t>
  </si>
  <si>
    <t>миң сом</t>
  </si>
  <si>
    <t>4 жолу</t>
  </si>
  <si>
    <t>даана</t>
  </si>
  <si>
    <t xml:space="preserve">Казыналыктын органдары  белгиленген тарабынан бюджет алуучулардын жеке  эсеп-четтун  киргизүү  жана бюджетти аткарууда кассалык тейлөө менен байланышкан,  башка кызматтарды  көрсөтүүнү ишке ашырылуучу, БКБТ (БКТ, БКА)  жана жергиликтүү өз алдынча башкаруу органдарынын үлүшү </t>
  </si>
  <si>
    <t xml:space="preserve">Мамлекеттик бюджет боюнча  жылдык консолидацияланган бухгалтердик отчеттуулукту берүүнүн мөөнөтүү </t>
  </si>
  <si>
    <t>Мамлекеттик бюджетти аткаруу тууралуу  жылдык  отчетту берүүнүн белгиленген мөөнөтү</t>
  </si>
  <si>
    <t>Мамлекеттик бюджетти аткаруу тууралуу ай сайын отчетту берүүнүн белгиленген мөөнөтү</t>
  </si>
  <si>
    <t xml:space="preserve">Бирдиктүү казыналык эсеп аркылуу  казыналыктын  органдары тарабынан  тейленүүчү БКБТ, БКА жана жергиликтүү өз алдынча  башкаруу  органдарынын  каражаттарынын үлүшү </t>
  </si>
  <si>
    <t>Датасы</t>
  </si>
  <si>
    <t>отчеттон кийинки 25 число</t>
  </si>
  <si>
    <t xml:space="preserve"> Соттук актылардын мамлекеттик реестрин түзүү  </t>
  </si>
  <si>
    <t xml:space="preserve"> Электрондук архивди түзүү</t>
  </si>
  <si>
    <t xml:space="preserve">Соттордун, жергиликтүү соттордун кызматкерлеринин кесиптик деңгээлин тийиштүү түрдө камсыз кылуу </t>
  </si>
  <si>
    <t xml:space="preserve">Аткаруу өндүрүшүнүн институтунун ишин камсыздоо </t>
  </si>
  <si>
    <t xml:space="preserve">Сот адилеттүүлүгүн ишке ашыруу үчүн зарыл болгон эмгек шарттарын түзүү </t>
  </si>
  <si>
    <t>Мамлекеттик аудитти жүргүзүү</t>
  </si>
  <si>
    <t xml:space="preserve">Бардыгы: Кыргыз Республикасынын Шайлоорлорду жана референдумдарды өткөрүү боюнча  Борбордук комиссиясы боюнча </t>
  </si>
  <si>
    <t xml:space="preserve">19. Кыргыз Республикасынын Башкы прокуратурасы </t>
  </si>
  <si>
    <r>
      <t xml:space="preserve"> Пландаштыруу, 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 этүүлөр</t>
    </r>
  </si>
  <si>
    <t>Адам ресурстарын башкаруу</t>
  </si>
  <si>
    <t xml:space="preserve">Тышкы байланыштарды жана коомчулук менен байланышты колдоо </t>
  </si>
  <si>
    <t xml:space="preserve">Ички иликтөөлөрдү жүргүзүү </t>
  </si>
  <si>
    <t xml:space="preserve">Аткаруу бийлигинин органдары, жергиликтүү өз алдынча башкаруу органдары жана алардын кызматтык адамдары, ошондой эле тизмеси конституциялык мыйзам менен аныктала турган башка мамлекеттик органдар тарабынан  мыйзамдын бирдей жана так аткарылышына көзөмөл. </t>
  </si>
  <si>
    <t xml:space="preserve">Аткаруу бийлик органдары тарабынан чыгарылган ЧУА мыйзамдуулугун жана мыйзамдардын аткарылышын көзөмөлдөө </t>
  </si>
  <si>
    <t xml:space="preserve">Коррупцияга каршы аракеттер. Коррупцияга каршы аракеттер боюнча мамлекеттик органдардын ишин координациялоо </t>
  </si>
  <si>
    <t xml:space="preserve">Балдардын укугун коргоо боюнча мыйзамдардын аткарылышын көзөмөлдөө </t>
  </si>
  <si>
    <t xml:space="preserve">Ыкчам иликтөө ишин, тергөөлөрдү ишке ашыруучу органдар тарабынан мыйзамдардын сакталышына көзмөл. </t>
  </si>
  <si>
    <t xml:space="preserve">Ички иштер органдарында жана жаза аткаруу органдарында тергөөгө жана ыкчам иликтөө иштерине көзөмөл. </t>
  </si>
  <si>
    <t xml:space="preserve">Экономикалык кылмыштуулук боюнча жана Аскер прокуратурасында тергөө иштерине жана ыкчам иликтөө иштерине көзөмөл. </t>
  </si>
  <si>
    <t xml:space="preserve">Улуттук коопсуздук органдарында тергөө жана ыкчам иликтөө иштерине көзөмөл. </t>
  </si>
  <si>
    <t xml:space="preserve">Аскер прокуратурасында кылмыш иштерин иликтөө. </t>
  </si>
  <si>
    <t xml:space="preserve">Мамлекеттик күнөөлөөнү жана сотто атынан чыгууну колдоону камсыздоо </t>
  </si>
  <si>
    <t>Сотто мамлекеттик айыптоону колдоо</t>
  </si>
  <si>
    <t xml:space="preserve">Мамлекеттин  кызыкчылыгында  жарандык, административдик жана   экономикалык иштерде  прокуратуранын  өкуүлчүлүгү </t>
  </si>
  <si>
    <t xml:space="preserve">Бардыгы: Кыргыз Республикасынын Башкы прокуратурасы боюнча </t>
  </si>
  <si>
    <t>20. Кыргыз Республикасынын Аскер прокуратурасы</t>
  </si>
  <si>
    <t xml:space="preserve">Пландаштыруу, башкаруу жана администрациялоо                                                                                                                              
</t>
  </si>
  <si>
    <t xml:space="preserve">Финансылык жана ресурстук камсыз кылуу </t>
  </si>
  <si>
    <t xml:space="preserve">Иш жөнүндө, аткарууну, кадрларды контролдоо, ЖМК менен өз ара байланыш жана уюштуруу жөнүндө маалымат менен камсыздоо </t>
  </si>
  <si>
    <t>Аскердик мыйзамдардын сакталышын жалпы көзөмөлдөөнү ишке ашыруу</t>
  </si>
  <si>
    <t xml:space="preserve">Кыргыз Республикасынын мыйзамдарынын так жана бирдей аткарылышын көзөмөлдөө </t>
  </si>
  <si>
    <t xml:space="preserve">Мыйзамдардын жана аскердик уставдардын аткарылышын көзөмөлдөө </t>
  </si>
  <si>
    <t xml:space="preserve">Куралдуу күчтөр тарабынан чыгарылган ченемдик актыларга ылайык көзөмөлдөө </t>
  </si>
  <si>
    <t xml:space="preserve">Куралдуу күчтөрдө кылмыш иштерин алдын алуу жана ачуу </t>
  </si>
  <si>
    <t xml:space="preserve">Куралдуу күчтөрдө кылмыш жасаган адамдардын кылмыштарын изилдөө </t>
  </si>
  <si>
    <t>Куралдуу күчтөрдөгү кылмыштардын алдын алуу</t>
  </si>
  <si>
    <t xml:space="preserve">Аскердик соттордо мамлекеттик айыптоолорду колдоо </t>
  </si>
  <si>
    <t xml:space="preserve">Аскердик сот процесстерине катышуу </t>
  </si>
  <si>
    <t xml:space="preserve">Аскердик соттордо мамлекеттик айыптоолорду даярдоо жана көрсөтүү </t>
  </si>
  <si>
    <t xml:space="preserve">Бардыгы: Кыргыз Республикасынын Аскер прокуратурасы боюнча </t>
  </si>
  <si>
    <t>21. Кыргыз Республикасынын Акыйкатчысынын Аппараты (Омбудсмен)</t>
  </si>
  <si>
    <t xml:space="preserve">Мониторинг жүргүзүүнү, талдоону жана стратегиялык пландаштырууну камсыз кылуу    </t>
  </si>
  <si>
    <t xml:space="preserve">Психиатриялык стационарларда болгон бейтаптардын укуктарын коргоо </t>
  </si>
  <si>
    <t xml:space="preserve">Балдардын жана жаштардын укуктарын коргоо </t>
  </si>
  <si>
    <t xml:space="preserve">Укук коргоо органдары  тарабынан жер-жерлерде эркинен ажыратуу жана чектөө боюнча адам укуктарын сактоо </t>
  </si>
  <si>
    <t>Социалдык-экономикалык жана  маданий укуктарды коргоо</t>
  </si>
  <si>
    <t>Жарандык -саясий укуктарды жана мигранттардын укуктарын, чет өлкөлүк жарандардын укуктарын коргоо</t>
  </si>
  <si>
    <t xml:space="preserve"> Материалдык-техникалык базаны камсыздоо</t>
  </si>
  <si>
    <t xml:space="preserve">Бардыгы:Кыргыз Республикасынын Акыйкатчысынын (Омбудсмен) Аппараты боюнча  </t>
  </si>
  <si>
    <t>22. Кыргыз Республикасынын Юстиция министрлиги</t>
  </si>
  <si>
    <r>
      <rPr>
        <b/>
        <sz val="11"/>
        <rFont val="Times New Roman"/>
        <family val="1"/>
        <charset val="204"/>
      </rPr>
      <t xml:space="preserve">Пландаштыруу, башкаруу жана администрациялоо       </t>
    </r>
    <r>
      <rPr>
        <sz val="11"/>
        <rFont val="Times New Roman"/>
        <family val="1"/>
        <charset val="204"/>
      </rPr>
      <t xml:space="preserve">                                                                                                                        
</t>
    </r>
    <r>
      <rPr>
        <i/>
        <sz val="11"/>
        <rFont val="Times New Roman"/>
        <family val="1"/>
        <charset val="204"/>
      </rPr>
      <t>Программанын максаты: Башка программаларды ишке ашырууга координациялоочу жана уюштуруучу таасир этүүлөр</t>
    </r>
  </si>
  <si>
    <t>Жалпы жетекчиликти камсыз кылуу  жана региондук деңгээлде  координациялоо</t>
  </si>
  <si>
    <t xml:space="preserve">Финансылык менеджментти, эсепке алууну, мониторинг жүргүзүүнү, талдоону жана стратегиялык пландаштырууну  камсыз кылуу </t>
  </si>
  <si>
    <t xml:space="preserve">Бардыгы:  Кыргыз Республикасынын Тышкы иштер министрлиги боюнча </t>
  </si>
  <si>
    <r>
      <t xml:space="preserve">Бюджеттик саясатты ишке ашыруу жана методологияны өркүндөтүү                                                                                                                                                                      </t>
    </r>
    <r>
      <rPr>
        <i/>
        <sz val="11"/>
        <rFont val="Times New Roman"/>
        <family val="1"/>
        <charset val="204"/>
      </rPr>
      <t>Программанын  максаты:  Кыргыз Республикасында  мамлекеттик финансыны  башкаруу системасындагы  реформаларды ишке ашыруу</t>
    </r>
  </si>
  <si>
    <t>Кыргыз Республикасынын Финансы митнистрлиги маселелери боюнча мамлекеттик программаларды аткаруу боюнча монтиторинги</t>
  </si>
  <si>
    <t>Адамдардын саны</t>
  </si>
  <si>
    <t>Экс жетекчилер</t>
  </si>
  <si>
    <t>АТБ жана меймандар</t>
  </si>
  <si>
    <t>министрликтер жана ведомстволор</t>
  </si>
  <si>
    <t xml:space="preserve">Атайын каражаттардын эсебинген тейленүүчү автомашиналардын саны а.и. </t>
  </si>
  <si>
    <t>КБ ИБ</t>
  </si>
  <si>
    <t>Меймандар</t>
  </si>
  <si>
    <t xml:space="preserve">Жылдык бюджеттин жалпы суммасынан салыштырма салмак % </t>
  </si>
  <si>
    <t>Балдардын саны</t>
  </si>
  <si>
    <t>Мамлекеттик протоколдук иш-чараларды тейлөө саны</t>
  </si>
  <si>
    <t>Бардыгы: Кыргыз Республикасынын Президентинин Өкмөттүн иш башкармасы</t>
  </si>
  <si>
    <t>16. Кыргызской Республикасынын Жогорку соту</t>
  </si>
  <si>
    <t xml:space="preserve">Кыргыз Республикасынын Жогорку сотунун бардык программасы боюнча чыгашаларга карата 001 программасы боюнча  эмгек акыга чыгашалардын катышы </t>
  </si>
  <si>
    <t xml:space="preserve">Жогорку соттун аппараттарынын кызматкерлеринин кызматтык милдеттерине байланыштуу укук бузуулардын саны </t>
  </si>
  <si>
    <t>Жогорку деңгээлдеги конокторду тосуунун жана кабыл алуунун саны</t>
  </si>
  <si>
    <t>Жогорку деңгээлдеги эл аралык иш-чараларга соттордун 
барууларынын саны</t>
  </si>
  <si>
    <t xml:space="preserve">ЖМКга Жогорку соттун оң билдирүүлөрүнүн саны </t>
  </si>
  <si>
    <t xml:space="preserve">Жогорку соттун борбордук аппаратынын жалпы санынан камсыздоо кызматынын кызматкерлеринин үлүшү </t>
  </si>
  <si>
    <t xml:space="preserve">Жергиликтүү соттордо сапатсыз сот укуктарынын себеби боюнча кайтарылган иштердин саны </t>
  </si>
  <si>
    <t xml:space="preserve">Жергиликтүү соттордо сапатсыз сот укуктарынын себеби боюнча жокко чыгарылган иштердин саны </t>
  </si>
  <si>
    <t>Кыргыз Республикасынын Жогорку сотунун имаратына ылайык аянты боюнча белгиленген стандарттар : ооба / жок</t>
  </si>
  <si>
    <t>Жабдуулар менен жабдылган – 0-100%</t>
  </si>
  <si>
    <t>Жабдууларды колдоо – 0-100%</t>
  </si>
  <si>
    <t xml:space="preserve">Кыргыз Республикасынын Жогорку сотунун аппаратынын кызматкерлерин семинарлар жана башкалар менен камтуу </t>
  </si>
  <si>
    <t>Итого: Кыргызской Республикасынын Жогорку соту</t>
  </si>
  <si>
    <t>Кыргызской Республикасынын Жогорку сотунун Конституциялык палатасы</t>
  </si>
  <si>
    <t xml:space="preserve">Кыргыз Республикасынын Жогорку сотунун Конституциялык палатасынын бардык программалары боюнча  чыгашаларга карата 001 программасы боюнча эмгек акыга чыгашалардын катышы </t>
  </si>
  <si>
    <t xml:space="preserve">Кыргыз Республикасынын Жогорку сотунун Конституциялык палатасынын аппаратынын кызматкерлеринин кызматтык милдеттерине байланышкан укук бузуулардын саны </t>
  </si>
  <si>
    <t xml:space="preserve">Кыргыз Республикасынын Жогорку сотунун Конституциялык палатасынын бюджетин укук бузууларсыз жана акталбаган чыгашаларсыз аткаруу пайызы </t>
  </si>
  <si>
    <t>Мекеменин ЖМКдагы оң эскертүүлөрүнүн саны</t>
  </si>
  <si>
    <t xml:space="preserve">Кыргыз Республикасынын Жогорку сотунун Конституциялык палатасынын кызматкерлеринин жалпы санынан камсыз кылуу кызматынын кызматкерлеринин  үлүшү </t>
  </si>
  <si>
    <t xml:space="preserve">Конституциялуулукту камсыздоо боюнча каралган иштердин саны </t>
  </si>
  <si>
    <t>1 сотко кыдыруулардын саны</t>
  </si>
  <si>
    <t>Кесиптик уюмдардагы мүчөлүк</t>
  </si>
  <si>
    <t xml:space="preserve">Эки жылда бир жолу эл аралык конференцияларды өткөрүү  </t>
  </si>
  <si>
    <t xml:space="preserve">Конституциялык палатасында стажировкасынан өткөн делегаттардын саны  </t>
  </si>
  <si>
    <t xml:space="preserve">Кызматташтык жөнүндө кол коюлган меморандумдардын саны </t>
  </si>
  <si>
    <t xml:space="preserve">Кыргыз Республикасынын Жогорку сотунун Конституциялык палатасынын сотторунун аппараттарынын кызматкерлеринин арасындагы коррупциялык көрүнүштөрдүн саны </t>
  </si>
  <si>
    <t xml:space="preserve">Соттордун жана Конституциялык палатасынын аппаратынын башка кызматкерлеринин кирешелери боюнча маалымат  Мамлекеттик кадр кызматынын бирдиктүү сайтына жайгаштырылган </t>
  </si>
  <si>
    <t xml:space="preserve">Жыл сайын планды аткаруу </t>
  </si>
  <si>
    <t xml:space="preserve">Кыргыз Республикасынын Жогорку сотунун апппаратынын кызматкерлери арасындагы коррупциялык көрүнүштөрдүн саны </t>
  </si>
  <si>
    <t xml:space="preserve">Аудио-видео-фиксация сот процесстерин ар бир жыйында жүргүзүү </t>
  </si>
  <si>
    <t xml:space="preserve">Конституциялык палатада маалыматтык жана техникалык коопсуздук системасы иштелип чыккан жана киргизилген </t>
  </si>
  <si>
    <t xml:space="preserve">Конституциялык сот адилеттигинин автоматташтырылган бардык системаларын ишке киргизүү </t>
  </si>
  <si>
    <t xml:space="preserve">Кыргыз Республикасынын Жогорку сотунун алдындагы Окуу борборунун бардык программалары боюнча  чыгашаларга карата 001 программасы боюнча  эмгек акыга чыгашалардын катышы </t>
  </si>
  <si>
    <t xml:space="preserve">Кыргыз Республикасынын Жогорку сотунун алдында Сот адилеттигинин жогорку мектебинин аппаратынын кызматкерлериниин кызматтык милдеттерине байланышкан укук бузуулардын саны </t>
  </si>
  <si>
    <t>Кесипкөйлүк деңгээлин жогорулатуу</t>
  </si>
  <si>
    <t xml:space="preserve">Сот системасынын кызматчыларынын кесиптик маданият деңгээлин жогорулатуу </t>
  </si>
  <si>
    <t>Бардыгы: Кыргыз Республикасынын Жогорку сотуна караштуу сот адилеттигинин жогорку мектеби</t>
  </si>
  <si>
    <t>Кыргыз Республикасынын Жогорку сотуна караштуу Сот департаменти</t>
  </si>
  <si>
    <t>Сот акыйкаттыгын чыгаруунун сапатын жакшыртуу</t>
  </si>
  <si>
    <t xml:space="preserve">Сот иштерин тез чечүүнү камсыздоочу маалыматитык технологиялар киргизилген соттордун саны </t>
  </si>
  <si>
    <t>Сот арачыларынын катышуусу менен сот иштерин кароочу район аралдык соттордун саны</t>
  </si>
  <si>
    <t>Бардыгы:Кыргыз Республикасынын Жогорку сотуна караштуу Сот департаменти</t>
  </si>
  <si>
    <t>17.  Кыргыз Республикасынын Эсептөө палатасы</t>
  </si>
  <si>
    <t xml:space="preserve">Жүргүзүлгөн иликтөөлөрдүн саны, каралган даттануулардын саны, козголгон кылмыш иштердин саны </t>
  </si>
  <si>
    <t xml:space="preserve">Жүргүзүлгөн текшерүүлөрдүн саны, прокурордук   чара  көрүү  актыларды киргизүү,административдик жана тарптиптик жактан жазаланган адамдар жана  чыгымга карата чара көрүү актылары боюнча орду толтурулган сумма (2018-жылда табылган укук бузуулар) </t>
  </si>
  <si>
    <t>Жүргүзүлгөн текшерүүлөрдүн саны, прокурордук   чара  көрүү  актыларды киргизүү,административдик жана тарптиптик жактан жазаланган адамдар жана  чыгымга карата чара көрүү актылары боюнча орду толтурулган сумма</t>
  </si>
  <si>
    <t xml:space="preserve"> Бардык программалары боюнча  чыгашаларга карата 001 программасы боюнча эмгек акыга чыгашалардын катышы </t>
  </si>
  <si>
    <t>18. Кыргыз Республикасынын шайлоолорду жана референдумдарды өткөрүү боюнча улуттук комиссия</t>
  </si>
  <si>
    <t xml:space="preserve">Жүргүзүлгөн текшерүүлөрдүн саны, кылмыш ишин козгоодо баш тартуу тууралуу текшерилген материалдардын саны, жаап-жашырылган кылмыштардын табылгандарынын саны,  тергөөчүлөрдүн жокко чыгарылган негизделбеген чечимдеринин саны, киргизилген сунуштамалардын саны,  административдик жана дисциплинардык тартипте жазаланган адамдардын саны, укук коргоо органдарынын кылмаш жоопкерчилигине тартылган кызмат адамдарынын саны </t>
  </si>
  <si>
    <t>Сот  процесстеринде  катышуулардын саны. Биринчи инстанциядагы  айыптоочу жазалардын саны.  Апелляциялык, кассациялык жана көзөмөлдөөчү  сунуштардын киргизилген саны. Зыян тартуу доолору боюнча   орду толтурулган суммалар</t>
  </si>
  <si>
    <t>Сот процесстерине катышкандардын саны. Айыптоо өкүмдөрүнүн саны. Киргизилген апелляциялык, кассациялык жана көзөмөл сунуштамалардын саны</t>
  </si>
  <si>
    <t>Сот процесстерине катышкандардын саны. Киргизилген  апелляциялык, кассациялык жана көзөмөл сунуштамаларынын саны. Зыян келтирүү доолору боюнча кайтарылып берилген сумма</t>
  </si>
  <si>
    <t xml:space="preserve">Кыргыз Республикасынын Аскер прокуратурасынын органдарынын  ишин сапаттуу контролдоо жана натыйжалуу башкаруу </t>
  </si>
  <si>
    <t>Аскер кызматчыларынын ишеним индекси</t>
  </si>
  <si>
    <t xml:space="preserve">Жеңип чыккан сот процесстеринин үлүшү </t>
  </si>
  <si>
    <t xml:space="preserve">Жетектөөчү кадрлардын сапаттуу курамын жакшыртуу. Отчеттук маалыматтарды, ЖМКга чыгууларды сапаттуу жана өз учурунда аткаруу </t>
  </si>
  <si>
    <t xml:space="preserve">Аскердик мыйзамдардын сактабагандыгы боюнча укук бузууларды азайтуу </t>
  </si>
  <si>
    <t xml:space="preserve">Аскердик мыйзамдарды сактабагандыгы боюнча  жүргүзүлгөн  текшерүүлөрдүн саны </t>
  </si>
  <si>
    <t xml:space="preserve">Командирлердин жана начальниктердин иш-аракетине даттануулардын жана арыздардын саны </t>
  </si>
  <si>
    <t xml:space="preserve">Иштелип чыккан ченемдик актылардын жалпы санынан  толук иштеп чыгууга кайтарылып берилген ченемдик актылардын үлүшү </t>
  </si>
  <si>
    <t xml:space="preserve">Куралдуу күчтөрдөгү ачылган кылмыштардын пайызын көбөйтүү </t>
  </si>
  <si>
    <t xml:space="preserve">Куралдуу күчтөрдө ачылган кылмыш иштеринин үлүшү </t>
  </si>
  <si>
    <t>Кылмыштарды алдын алуу боюнча окуудан өткөн  аскер кызматчыларынын үлүшү  (аскер кызматчыларынын жалпы санына карата)</t>
  </si>
  <si>
    <t>Аскер сотунун чечими менен колдоого алынган мамлекеттик айыптоолордун үлүшү</t>
  </si>
  <si>
    <t xml:space="preserve">Соттор тарабынан каралган кылмыш иштеринин саны </t>
  </si>
  <si>
    <t xml:space="preserve">Мамлекеттик органдардын жана ЖӨБ органдарынын таасир берүү актылары боюнча оң чечимдеринин үлүшү </t>
  </si>
  <si>
    <t xml:space="preserve">Региондордо адам укуктары боюнча жарандардын даттануу-кайрылууларынын үлүшү </t>
  </si>
  <si>
    <t>Кыргыз Республикасынын Акыйкатчысынын аппаратынан кызмат көрсөтүүсүнөн канааттандырылган арыздануучулардын санынын көбөйүшү  (программа боюнча максаттуу индикатор)</t>
  </si>
  <si>
    <t xml:space="preserve">Психиатриялык стационарларда бейтаптарды күтүү шарттарын жакшыртуу </t>
  </si>
  <si>
    <t>Балдардын жана жаштардын укуктарынын бузулгандыгы боюнча даттануулардын үлүшү  (бардык арыздардын жана даттануулардын жалпы санына карата)</t>
  </si>
  <si>
    <t xml:space="preserve">Жарандардын кайрылууларынан  жер-жерлерде эркинен ажыратуу жана чектөө боюнча оңунан чечилген маселелер </t>
  </si>
  <si>
    <t xml:space="preserve">Социалдык-экономикалык  укуктар боюнча даттануулардын үлүшү( арыздар жана даттануулардын жалпы саны </t>
  </si>
  <si>
    <t>Мигранттардын,  чет өлкөлүк жарандардын укуктарын бузуу боюнча даттануулардын үлүшү</t>
  </si>
  <si>
    <t xml:space="preserve">Бюджетти мыйзам бузуусуз аткаруунун пайызы </t>
  </si>
  <si>
    <t xml:space="preserve">Калктын милдеттүү медициналык камсыздандыруу менен камтылышы </t>
  </si>
  <si>
    <t xml:space="preserve">Калктын ишеним индекси </t>
  </si>
  <si>
    <t xml:space="preserve">2018-2021-жылдарга карата  ММК фондунун өнүгүү стратегиясын жүзөгө ашыруу планынын индикаторлорун аткаруунун деңгээли </t>
  </si>
  <si>
    <t xml:space="preserve">ММК фондунун негизги персоналынын жалпы санына карата кенже жана техникалык персоналдын санынын катышы </t>
  </si>
  <si>
    <t xml:space="preserve">Калктын ишеним индексинин орточо көрсөткүчү </t>
  </si>
  <si>
    <t xml:space="preserve">Саламаттык сактоо уюмдарында иш жүзүндө врачтардын санынын (жеке адам) штаттык ырааттама боюнча бекитилген врачтардын кызмат ордуна карата катышы </t>
  </si>
  <si>
    <t xml:space="preserve">Үй-бүлөлүк дарыгерлердин орточо эмгек акысынын республика боюнча врачтардын орточо эмгек акысына карата деңгээли </t>
  </si>
  <si>
    <t xml:space="preserve">Бирдиктүү төлөөчү тутумунун консолидацияланган бюджетинин планын аткаруу </t>
  </si>
  <si>
    <t>1С бухгалтерия автоматташтырылган эсеп менен саламаттык сактоо уюмдарын камтуу пайызы</t>
  </si>
  <si>
    <t xml:space="preserve"> Баалоо картасы боюнча ишмердигинин сапатына баалоо жүргүзүлгөн баштапкы деңгээлде медициналык-санитардык жардам көрсөтүүчү саламаттык сактоо уюмдарынын саны </t>
  </si>
  <si>
    <t xml:space="preserve">Баалоо картасы боюнча стационардык денгээлде  ишмердигинин сапатына баалоо жүргүзүлгөн саламаттык сактоо уюмдарынын саны </t>
  </si>
  <si>
    <t>Ички аудиттин корутундусунда көрсөтүлгөн сунуштардын жалпы санына карата саламаттык сактоо уюмдары тарабынан аткарылган сунуштардын катышы</t>
  </si>
  <si>
    <t xml:space="preserve">Өткөрүлгөн жолугушуулардын жана жалпыга маалымдоо каражаттарында жарыялоолордун саны       </t>
  </si>
  <si>
    <t xml:space="preserve">Таркатылган басма продукциясынын саны </t>
  </si>
  <si>
    <t xml:space="preserve">Маалыматтык жана социалдык роликтердин саны </t>
  </si>
  <si>
    <t xml:space="preserve">ММК фондунун коштоп жүрүүчү маалымат базаларынын саны </t>
  </si>
  <si>
    <t xml:space="preserve">Компьютерлер менен камсыз болгон жана интернетке жеткиликтүү саламаттык сактоо уюмдарынын үлүшү </t>
  </si>
  <si>
    <t xml:space="preserve">Бейтаптын электрондук картасын киргизген саламаттык сактоо уюмдарынын үлүшү </t>
  </si>
  <si>
    <t xml:space="preserve">Башка программалар боюнча жалпы чыгымдарда Баштапкы медициналык-санитардык жардамга кеткен чыгымдардын үлүшү  </t>
  </si>
  <si>
    <t xml:space="preserve">ҮДТ дарыгерине каттагандардын саны 1 тургунга карата </t>
  </si>
  <si>
    <t xml:space="preserve">"Электрондук кезек" сервисин киргизген БМСЖК уюмдарынын үлүшү </t>
  </si>
  <si>
    <t>Бейтаптардын кызматтын сапатына канааттануу деңгээли (баалоо картасы боюнча )</t>
  </si>
  <si>
    <t xml:space="preserve">Медициналык тез жардам бригадаларынын иш жүзүндө санынын бекитилген санына  карата пайыздык шайкештиги </t>
  </si>
  <si>
    <t xml:space="preserve">Саны 1000 болгон калкка шашылыш мед. жардам бригадалары тарабынан тейленген чакыруулардын саны </t>
  </si>
  <si>
    <t xml:space="preserve">Төрөт үйүнөн чыккандан кийинки алгачкы үч күндө ҮДТда каттоого алынган ымыркайлардын үлүшү  (үйдө төрөлүп, кийин госпиталдаштырылбаган учурда - төрөттөн кийинки алгачкы  үч күн) </t>
  </si>
  <si>
    <t>Үй-бүлөлүк дарыгерге каттаган 1 жашка чейинки курактагы  балдардын пайыздык үлүшү (жалпы практика врачы), %</t>
  </si>
  <si>
    <t xml:space="preserve">Гипертония оорусу менен биринчи жолу катталган бейтаптардын саны, 100 миң сандагы калктын санына карата  </t>
  </si>
  <si>
    <t>12 жумага чейинки мөөнөттө кош бойлуулугу боюнча каттоого турган аялдардын саны  , %</t>
  </si>
  <si>
    <t xml:space="preserve">Баштапкы медициналык-санитардык жардамдын  пилоттук саламаттык сактоо уюмдарында амбулаториялык деңгээлде дарылоосу ийгиликтүү аяктаган кургак учук менен ооруган учурлардын саны   </t>
  </si>
  <si>
    <t xml:space="preserve">Амбулаториялык деңгээлде  МКП рецепттери боюнча сатылган дары-дармек каражаттарынын ордун толтуруунун деңгээли  </t>
  </si>
  <si>
    <t xml:space="preserve">Амбулаториялык деңгээлде  ММК рецепттери боюнча сатылган дары-дармек каражаттарынын ордун толтуруу деңгээли </t>
  </si>
  <si>
    <t xml:space="preserve">Калктан кошумча төлөм катары келип түшкөн каражаттардын жалпы көлөмүнөн БМСЖ уюмдарын өнүктүрүүгө  багытталган чыгымдардын үлүшү </t>
  </si>
  <si>
    <t xml:space="preserve">Акы төлөнүүчү медициналык жана башка кызматтарды көрсөтүүдөн келип түшкөн каражаттардын жалпы көлөмүнөн уюмду өнүктүрүүгө багытталган чыгымдардын үлүшү  </t>
  </si>
  <si>
    <t xml:space="preserve">Жыйынтыктарга жетишүү боюнча өбөлгөлөөчү төлөмдөр жүргүзүлгөн саламаттык сактоо уюмдарынын саны </t>
  </si>
  <si>
    <t>Госпиталдаштыруунун деңгээли 100 кишиге</t>
  </si>
  <si>
    <t>стационардын жалпы чыгымында түздөн түз бейтапка кеткен чыгымдардын үлүшү :</t>
  </si>
  <si>
    <t>медикаменттер</t>
  </si>
  <si>
    <t>тамак-аш</t>
  </si>
  <si>
    <t xml:space="preserve">Социалдык жеңилдиктер боюнча дарыланган калктын саны </t>
  </si>
  <si>
    <t xml:space="preserve">Медициналык көрсөткүчтөрү боюнча жеңилдетилген дарылоо жүргүзүлгөн калктын үлүшү </t>
  </si>
  <si>
    <t>Иш жүзүндө дарыланып чыккандардын макулдашылган планга карата катышы</t>
  </si>
  <si>
    <t xml:space="preserve">Калктын кошумча төлөмүнөн келип түшкөн каражаттардын жалпы көлөмүнөн саламаттык сактоо уюмдарын өнүктүрүүго багытталган чыгымдардын үлүшү  </t>
  </si>
  <si>
    <t xml:space="preserve">Акы төлөнүүчү кызматтардан келип түшкөн каражаттардын жалпы көлөмүнөн саламаттык сактоо уюмдарын өнүктүрүүгө багытталган чыгымдардын үлүшү </t>
  </si>
  <si>
    <t xml:space="preserve">Өбөлгөлөөчү төлөмдөр үчүн баалоо картасы боюнча ишинин сапатына баалоо жүргүзүлгөн саламаттык сактоо уюмдарынын саны </t>
  </si>
  <si>
    <t xml:space="preserve">Терминалдык стадиядагы бөйрөктүн өнөкөт оорусу менен ооруган жеңилдетилген гемодиализдик дарылоо менен камтылган бейтаптардын каттоодо турган бейтаптардын санына карата катышы </t>
  </si>
  <si>
    <t>Терминалдык стадиядагы өнөкөт бөйрөк оорусу менен ооруган, жеке менчик медициналык борборлордо акы төлөнүүчү дарылоодо болгон жана мамлекеттик саламаттык сактоо уюмдарында толук бюджеттик  гемодиализге которууну күтүп жаткан, курч муктаж болгон бейтаптардын саны</t>
  </si>
  <si>
    <r>
      <rPr>
        <b/>
        <sz val="11"/>
        <rFont val="Times New Roman"/>
        <family val="1"/>
        <charset val="204"/>
      </rPr>
      <t xml:space="preserve">Натыйжалуулук индикатору </t>
    </r>
    <r>
      <rPr>
        <sz val="11"/>
        <rFont val="Times New Roman"/>
        <family val="1"/>
        <charset val="204"/>
      </rPr>
      <t xml:space="preserve">(Программа боюнча максаттуу индикатор) Республикалык бюджеттин эсебинен каржыланган пенсияларды төлөөнү кечеңдетүү боюнча бузуулардын саны  </t>
    </r>
  </si>
  <si>
    <t xml:space="preserve">Республикалык бюджеттин эсебинен каржыланган пенсияларды төлөөнү кечеңдетүү боюнча бузуулардын саны  </t>
  </si>
  <si>
    <t xml:space="preserve">Бардык программалар боюнча эмгек акыга чыгымдардын суммасына 004 Программасы боюнча эмгек акыга чыгымдардын катышы </t>
  </si>
  <si>
    <t>кирешелердин көбөйүү пайызы</t>
  </si>
  <si>
    <t xml:space="preserve">бюджетти бузууларсыз аткаруу пайызы </t>
  </si>
  <si>
    <t xml:space="preserve">Квалификацияны жогорулатуу курстарын уюштуруудан алынган кирешелердин суммасына  001  Программасы боюнча эмгек акыга чыгымдардын катышы </t>
  </si>
  <si>
    <t xml:space="preserve">Курстардын жаңыланган материалдарынын уюштурулган курстардын жалпы санына катышы </t>
  </si>
  <si>
    <t xml:space="preserve">Квалификацияны жогорулатуу курстарынын катышуучуларынын жалпы саны </t>
  </si>
  <si>
    <t xml:space="preserve">Пландалган квалификацияны жогорулатуу курстарынын окутуучулук курам менен камсыздалуу пайызы  </t>
  </si>
  <si>
    <t xml:space="preserve">Жабдуулардын үзгүлтүксүз иштөөсүнө жана сакталышына таасир эткен өзгөчө жана авариялык кырдаалдардын саны </t>
  </si>
  <si>
    <t xml:space="preserve">Инструктор тарабынан алынган эл аралык үлгүдөгү сертификаттардын саны  </t>
  </si>
  <si>
    <t xml:space="preserve"> сертификациялык экзамендердин катышуучуларынын саны </t>
  </si>
  <si>
    <t xml:space="preserve">Экзамендерди өткөрүүнүн сертификатталган администраторлорунун саны  </t>
  </si>
  <si>
    <t xml:space="preserve"> сертификациялык  экзамендердин катышуучуларынын саны </t>
  </si>
  <si>
    <t>Үзгүлтүксүз иштөө пайызы</t>
  </si>
  <si>
    <t xml:space="preserve">Уюмдардын ишмердигин жана камсыз кылуу кызматын камсыз кылуу </t>
  </si>
  <si>
    <t xml:space="preserve">Аймактык денгээлде жалпы координация </t>
  </si>
  <si>
    <t xml:space="preserve">Бирдиктүү төлөөчү тутумунун консолидацияланган бюджетин пландоону, бекитүүнү, каржылоону жана аткарылышын эсепке алууну камсыз кылуу </t>
  </si>
  <si>
    <t>КРӨгө караштуу ММК фондунун бюджети боюнча эсеп жана отчеттуулукту камсыз кылуу</t>
  </si>
  <si>
    <t xml:space="preserve">Бирдиктүү төлөөчү тутумунда саламаттык сактоо уюмдары тарабынан көрсөтүлүүчү медициналык кызматтардын сапатына көзөмөл жүргүзүүнү камсыз кылуу </t>
  </si>
  <si>
    <t xml:space="preserve">Бирдиктүү төлөөчү тутумунда каражаттардын максаттуу жана рационалдуу пайдаланылышына көзөмөлдү камсыз кылуу </t>
  </si>
  <si>
    <t xml:space="preserve">ММК фонду тарабынан жүзөгө ашырылуучу программалардын алкагында медициналык кызмат алуудагы укуктары тууралуу калктын маалымдуулугун жогорулатуу боюнча ишти камсыз кылуу </t>
  </si>
  <si>
    <t xml:space="preserve">ММК фондунун дарыланып чыккан учур, ММК КП, МКП, сапатка экспертиза, келишимдердин индикаторлору, ишеним телефондору, ММК полисин берүү боюнча маалымат базаларын коштоп жүрүүнү камсыз кылуу </t>
  </si>
  <si>
    <t xml:space="preserve">Ачык-айкындуулукту жана отчеттуулукту күчөтүү максатында,  медициналык кызматтарды стратегиялык сатып алуулардын алкагында маалымат технологияларын өнүктүрүү </t>
  </si>
  <si>
    <t>ПКР Өкмөтүнө караштуу ММК Фондунун трансфеттери</t>
  </si>
  <si>
    <t>Мамлекеттик башкаруу секторундагы башка бирдиктер боюнча гранттар</t>
  </si>
  <si>
    <t xml:space="preserve">Баштапкы медициналык-санитардык жардамдын деңгээлинде  республиканын калкынын базалык медициналык кызматтарга жеткиликтүүлүгүн камсыз кылуу </t>
  </si>
  <si>
    <t xml:space="preserve">Баштапкы медициналык-санитардык жардам кызматынын уюмдары тарабынан көрсөтүлүүчү кургак учук менен күрөшүү боюнча медициналык жардамга жеткиликтүүлүктү камсыз кылуу  </t>
  </si>
  <si>
    <t xml:space="preserve">Республиканын калкынын МКП боюнча женилдетилген дары-дармекке болгон жеткиликтүүлүгүн камсыз кылуу  (терминалдык стадиядагы онкологиялык оорулуулар;  параноялык шизофрения менен ооругандарды; ар түрдүү генездеги аффективдүү бузулуулар; талма; бронхиалдык астма менен ооругандар) </t>
  </si>
  <si>
    <t xml:space="preserve">Республиканын камсыздандырылган калкынын ММК боюнча жеңилдетилген дары-дармекке жеткиликтүүлүгүн камсыз кылуу </t>
  </si>
  <si>
    <t xml:space="preserve">Калкка Мамлекеттик кепилдиктер программасынын көлөмүнөн тышкары акы төлөнүүчү медициналык кызматтарды көрсөтүүнү камсыз кылуу                                                                </t>
  </si>
  <si>
    <t xml:space="preserve">Бирдиктүү төлөөчү тутумунда иштеген саламаттык сактоо уюмдары тарабынан медициналык эмес жана башка кызматтарды көрсөтүү </t>
  </si>
  <si>
    <t xml:space="preserve">ҮДТнын ишмердигинин сапатынын максаттуу көрсөткүчтөрүнө жетишкендиги үчүн өбөлгөлөөчү төлөмдөрдү төлөө жолу менен калкка медициналык жардам көрсөтүүнүн сапатын жакшыртуу </t>
  </si>
  <si>
    <t>Медициналык мекемелер тарабынан стационардык деңгээлде кызмат көрсөтүү                                                                                       Программанын максаты: Стационардык деңгээлде кепилденген медициналык жардам көрсөтүүнүн сапатын жана натыйжалуулугун  жогорулатат</t>
  </si>
  <si>
    <t xml:space="preserve">МКПнын алкагында стационардык жардамдын деңгээлинде республиканын калкынын медициналык кызматттарга жеткиликтүүлүгүн камсыз кылуу </t>
  </si>
  <si>
    <t xml:space="preserve">Стационардык деңгээлдеги саламаттык сактоо уюмдары тарабынан көрсөтүлүүчү кургак учукка каршы медициналык жардамга жеткиликтүүлүктү камсыз кылуу </t>
  </si>
  <si>
    <t xml:space="preserve">Адистештирилген онкологиялык жана гематологиялык жардамдын деңгээлинде медициналык кызматтарга жеткиликтүүлүктү камсыз кылуу </t>
  </si>
  <si>
    <t xml:space="preserve">Адистештирилген кардиохирургиялык жардамдын деңгээлинде медициналык кызматтарга жеткиликтүүлүктү камсыз кылуу </t>
  </si>
  <si>
    <t xml:space="preserve">Адистештирилген психиатриялык жардамдын деңгээлинде медициналык кызматтарга жеткиликтүүлүктү камсыз кылуу </t>
  </si>
  <si>
    <t xml:space="preserve">Калкка Мамлекеттик кепилдиктер программасынын көлөмүнөн тышкары акы төлөнүүчү медициналык кызматтарды көрсөтүүнү камсыз кылуу                                                                                     </t>
  </si>
  <si>
    <t xml:space="preserve">Уюмдун  ишмердигинин сапатынын максаттуу көрсөткүчтөрүнө жетишкендиги үчүн өбөлгөлөөчү төлөмдөрдү төлөө жолу менен калкка медициналык жардам көрсөтүүнүн сапатын жакшыртуу </t>
  </si>
  <si>
    <r>
      <t xml:space="preserve">Калкка МКПнын көлөмүнөн тышкары көрсөтүлүүчү  медициналык жана башка кызматтарга жеткиликтүүлүктү камсыз кылуу                                                                                                                                                    </t>
    </r>
    <r>
      <rPr>
        <i/>
        <sz val="11"/>
        <rFont val="Times New Roman"/>
        <family val="1"/>
        <charset val="204"/>
      </rPr>
      <t>Программанын максаты: Менчигинин түрүнө карабастан саламаттык сактоо уюмдары тарабынан кеңири спектрдеги кызмат көрсөтүү аркылуу жарандардын канааттангандыгын жогорулатуу</t>
    </r>
  </si>
  <si>
    <t xml:space="preserve">Терминалдык стадиядагы өнөкөт бөйрөк оорусу менен ооруган, жеке менчик медициналык борборлордо акы төлөнүүчү дарылоодогу жана мамлекеттик саламаттык сактоо уюмдарында толук бюджеттик  гемодиализге которууну күтүп жаткан, курч муктаж болгон бейтаптардын жеңилдетилген гемодиализ менен дарылоого жеткиликтүүлүгүн  камсыз кылуу, ошондой эле  гемодиализ кызматын  алууда бейтаптардын чыгымын кыскартуу максатында  </t>
  </si>
  <si>
    <t xml:space="preserve">Бюджеттик каражаттардын эсебинен пенсиялык камсыздоо жана компенсация </t>
  </si>
  <si>
    <t xml:space="preserve">Пенсиянын базалык бөлүгүн камсыздоо </t>
  </si>
  <si>
    <t xml:space="preserve">Пенсионерлерге электр энергиясы үчүн компенсация төлөө </t>
  </si>
  <si>
    <t xml:space="preserve">Аскер кызматчыларын пенсия менен камсыздоо, ички иштер органдарынын кызматкерлерине жана алардын үй-бүлөсүнө бир жолку жөлөк пул төлөө </t>
  </si>
  <si>
    <t xml:space="preserve">Калктын айрым категорияларын жеңилдиктүү (мөөнөтүнөн мурда)  пенсия менен камсыздоо жана пенсияга үстөк акыны төлөө </t>
  </si>
  <si>
    <t xml:space="preserve">Жалпы мамлекеттик программалар </t>
  </si>
  <si>
    <t xml:space="preserve"> ММТжБК "Электрондук өз ара борбору" МИ</t>
  </si>
  <si>
    <t>Кыргыз Республикасында мамлекеттик тилди жана тил саясатын өркүндөтүү, өнүктүрүү боюнча мамлекеттик программаны ишке ашыруу</t>
  </si>
  <si>
    <t>Электрондук экономика</t>
  </si>
  <si>
    <t>Кыргыз Республикасынын региондорун өнүктүрүү  боюнча</t>
  </si>
  <si>
    <t xml:space="preserve">Коопсуз шаар </t>
  </si>
  <si>
    <t xml:space="preserve">Мамлекеттик карыз </t>
  </si>
  <si>
    <t>КНС ордун толтуруу жана  кайтарып берүү</t>
  </si>
  <si>
    <t>Соттун чечимдеринин аткарылышын камсыздоо</t>
  </si>
  <si>
    <t xml:space="preserve"> Бюджеттик кредиттерди башкаруу боюнча Мамлекеттик агенттик</t>
  </si>
  <si>
    <t>Чек арага жакын аймактарды өнүктүрүү</t>
  </si>
  <si>
    <t>ААК "Мамлекеттик Ипотекалык компаниясы"</t>
  </si>
  <si>
    <t xml:space="preserve"> "Кадамжай Сууканал" МИ</t>
  </si>
  <si>
    <t xml:space="preserve"> Япония Өкмөтүнүн Утурлама Фонддорунун кайтарым каражаттары</t>
  </si>
  <si>
    <t>Мамлекеттик программалар, иш-чаралар жана төлөмдөр</t>
  </si>
  <si>
    <t>Капиталдык салымдар</t>
  </si>
  <si>
    <t>Табигый кырсыктан жапа чеккендерге карата иш чаралар</t>
  </si>
  <si>
    <t xml:space="preserve">Жергиликтүү бюджеттен республикалык бюджетке которулган мекемелер </t>
  </si>
  <si>
    <t xml:space="preserve">Райондук бюджеттен республикалык бюджетке которулган мекемелер </t>
  </si>
  <si>
    <t xml:space="preserve"> Экспортко багытталган жана импортту алмаштыруучу ишканаларды каржылоо</t>
  </si>
  <si>
    <t>Коммерциялык банктардын пайыздык ченемдерин субсидиялоо</t>
  </si>
  <si>
    <t>Теңдөөчү трансферттер</t>
  </si>
  <si>
    <t xml:space="preserve">Максаттуу трансферттер </t>
  </si>
  <si>
    <t>Дем берүүчү гранттар</t>
  </si>
  <si>
    <t>Мамлекеттик бюджеттик резерв</t>
  </si>
  <si>
    <t>Бардыгы: КР Финансы министрлиги боюнча (мамлекеттик программалар, иш-чаралар жана төлөмдөр)</t>
  </si>
  <si>
    <t>.27. Маалыматтык  технологиялар улуттук борбору</t>
  </si>
  <si>
    <t>Пландоо, башкаруу жана   администрациялоо</t>
  </si>
  <si>
    <t>Мониторингди, талдоону жана   стратегиялык пландоону камсыздоо</t>
  </si>
  <si>
    <t xml:space="preserve">финансылык  менеджментти жана эсепти камсыздоо  </t>
  </si>
  <si>
    <t xml:space="preserve"> Квалификацияны жогорулатуунун кыска мөөнөттүү курстарынын мазмунун даярдоо </t>
  </si>
  <si>
    <t xml:space="preserve">Квалификацияны жогорулатуу окуу  процессин уюштуруу </t>
  </si>
  <si>
    <t>Окутуучулук  ресурстарды башкаруу</t>
  </si>
  <si>
    <t xml:space="preserve">Тарамдык жана компьютердик жабдуулардын үзгүлтүксүз иштөөсүн жана сакталышын камсыздоо </t>
  </si>
  <si>
    <t xml:space="preserve">Квалификацияны жогорулатуунун кыска мөөнөттүү курстарынын окутуучуларынын квалификациясын жогорулатуу </t>
  </si>
  <si>
    <t xml:space="preserve">Экзамендерди өткөрүү администраторлорун ар жылдык   сертификациялоо  </t>
  </si>
  <si>
    <t xml:space="preserve">Эл аралык тесттик борборлордун авторизацияланган кесиптик сертификациялоо боюнча  экзамендерди уюштуруу  </t>
  </si>
  <si>
    <t xml:space="preserve">Тесттик компьютердик жабдуулардын үзгүлтүксүз иштөөсүн жана сакталышын камсыздоо </t>
  </si>
  <si>
    <r>
      <rPr>
        <b/>
        <sz val="11"/>
        <rFont val="Times New Roman"/>
        <family val="1"/>
        <charset val="204"/>
      </rPr>
      <t xml:space="preserve">Пландаштыруу, башкаруу жана администрациялоо    </t>
    </r>
    <r>
      <rPr>
        <sz val="11"/>
        <rFont val="Times New Roman"/>
        <family val="1"/>
        <charset val="204"/>
      </rPr>
      <t xml:space="preserve">                                                                                                                          
</t>
    </r>
    <r>
      <rPr>
        <i/>
        <sz val="11"/>
        <rFont val="Times New Roman"/>
        <family val="1"/>
        <charset val="204"/>
      </rPr>
      <t>Программанын максаты: Башка программаларды ишке ашырууга координациялоочу жана уюштуруучу таасир этүүлөр</t>
    </r>
  </si>
  <si>
    <r>
      <rPr>
        <b/>
        <sz val="11"/>
        <rFont val="Times New Roman"/>
        <family val="1"/>
        <charset val="204"/>
      </rPr>
      <t xml:space="preserve"> Адамдардын эркиндигин, укуктарын жана дискриминациялардын бардык формаларынын сакталышын контролдоо    </t>
    </r>
    <r>
      <rPr>
        <sz val="11"/>
        <rFont val="Times New Roman"/>
        <family val="1"/>
        <charset val="204"/>
      </rPr>
      <t xml:space="preserve">                                                                  </t>
    </r>
  </si>
  <si>
    <t>13.  Кыргыз Республикасынын  Президентинин Архиви</t>
  </si>
  <si>
    <t>Жыйынтыгы:  Кыргыз Республикасынын Жогорку Сотуна караштуу Конституциялык палатасы боюнча бардыгы</t>
  </si>
  <si>
    <t xml:space="preserve"> Кыргыз Республикасынын Жогорку сотуна караштуу сот адилеттигинин жогорку мектеби</t>
  </si>
  <si>
    <t xml:space="preserve">Жыйынтыгы: Кыргыз Республикасынын Эсептөө палатасы боюнча бардыгы </t>
  </si>
  <si>
    <t xml:space="preserve"> Эл аралык  кызматташтыктын  комптьютердик жабылоо жана  тармактык инфраструктураны администрациялоо Япон агенттигинин  </t>
  </si>
  <si>
    <t xml:space="preserve">Интернет менен үзгүлтүксүз камсыз кылууго баш тартуулардын катышы </t>
  </si>
  <si>
    <t xml:space="preserve">Борбордук Азия илимий-билим берүү тарамынын тарамдык операциялык борборунун күнү-түнү иштөөсүн уюштуруу </t>
  </si>
  <si>
    <t xml:space="preserve">Илимий-изилдөөчүлүк иш, жогорку билим жана кошумча кесиптик билим жаатында алектенген адамдар үчүн эл аралык роуминг сервисин киргизүү жана өнүктүрүү </t>
  </si>
  <si>
    <t xml:space="preserve">eduroam го кошулган илимий-билим берүү мекемелеринин саны </t>
  </si>
  <si>
    <t xml:space="preserve"> Изилдөөчүлүк  жана  билим берүү бирдейлик федерациясын бириктирүүчү эл аралык федералдык кызматты киргизүү жана өнүктүрүү </t>
  </si>
  <si>
    <t xml:space="preserve">edugain ге кошулган илимий-билим берүү мекемелеринин саны </t>
  </si>
  <si>
    <t xml:space="preserve">Тарамдык операциялык борбордун иши үчүн жооптуу кызматкерлердин квалификациясын жогорулатуу </t>
  </si>
  <si>
    <t xml:space="preserve">Тарамдык операциялык борбордун кызматкерлери тарабынан алынган эл аралык үлгүдөгү сертификаттардын  саны </t>
  </si>
  <si>
    <t xml:space="preserve">Кыргыз илимий-билим берүү компьютердик тарамга мүчө ЖОЖдорунун инженерлери жана тарамдык администраторлору үчүн квалификацияны жогорулатуу курстарын уюштуруу  </t>
  </si>
  <si>
    <t xml:space="preserve">Квалификациясын жогорулатуу курстарынын катышуучуларынын саны </t>
  </si>
  <si>
    <t>Жыйынтыгы:  Маалыматтык  технологиялар улуттук борбору боюнча бардыгы</t>
  </si>
  <si>
    <t xml:space="preserve">28. Кыргыз Республикасынын Экономика министрлиги </t>
  </si>
  <si>
    <t>Экономика министрлигинин ички потенциалын өстүрүү.                                                                            Пландаштыруу, башкаруу жана администрациялоо</t>
  </si>
  <si>
    <t xml:space="preserve">Программанын максаты: АРБны өнүктүрүү  аркылуу министрликтин потенциалын күчөтүү, иш процесстерин оптималдаштыруу жана  системаларды өркүндөтүү. Башка программаларды ишке ашырууга координациялоочу жана уюштуруучу таасирлер. </t>
  </si>
  <si>
    <t xml:space="preserve">2ден 5ке чейин </t>
  </si>
  <si>
    <t xml:space="preserve">5тен 10го чейин </t>
  </si>
  <si>
    <t>10дон 15ке чейин</t>
  </si>
  <si>
    <t>Финансылык менеджментти  жана эсепке алууну камсыз кылуу</t>
  </si>
  <si>
    <t>Бюджетти аткаруу пайызы</t>
  </si>
  <si>
    <t xml:space="preserve">Министрликтердин ишине бөлүнгөн каражаттарга жана тандалган артыкчылыктарга ылайык бюджеттик программанын чегинде каржылоо </t>
  </si>
  <si>
    <t>Укуктук колдоо жана экспертиза</t>
  </si>
  <si>
    <t>Сот иштерине катышуу</t>
  </si>
  <si>
    <t xml:space="preserve">Министрликтин мыйзам долбоорлоо иш планын аткаруу </t>
  </si>
  <si>
    <t>Программалардын, ЧУА, типтүү контракттардын долбоорлорун иштеп чыгуу</t>
  </si>
  <si>
    <t xml:space="preserve">Түзүмдүк бөлүктөр тарабынан иштелип чыккан мыйзам долбоорлорун  экспертизалоо </t>
  </si>
  <si>
    <t xml:space="preserve">Тармактык ЧУА жана министрликтин актыларын инвертизациялоо боюнча иш-чаралар </t>
  </si>
  <si>
    <t xml:space="preserve">Башка маморгандар тарабынан иштелип чыккан мыйзам долбоорлорун экспертизалоо </t>
  </si>
  <si>
    <t xml:space="preserve">Жеке жана юридикалык жактардын арыздарын жана кайрылууларын кароого министрликтин түзүмдүк бөлүктөрүнүн укуктук консультациясы </t>
  </si>
  <si>
    <t>Коомчулук менен байланышты колдоо</t>
  </si>
  <si>
    <t xml:space="preserve">Экономика министрлигинин сайтына жана ЖМКга жарыяланган материалдардын саны </t>
  </si>
  <si>
    <t xml:space="preserve">ЖМК катышуусу менен пресс-турларды уюштуруу </t>
  </si>
  <si>
    <t>Бюллетендерди чыгаруу</t>
  </si>
  <si>
    <t>Белгиленген тартипте товарларды, жумуштарды жана кызмат көрсөтүүлөрдү жана консультациялык кызмат көрсөтүүлөрдү сатып алуу</t>
  </si>
  <si>
    <t>Министрликтин кызматкерлерин зарыл болгон мүлк менен камсыз кылуу (канц. керектөөлөр, байланыш каражаттары,  уюштуруу техникасы,  өз убагындагы тех. тейлөө, оңдоо ж.б..)</t>
  </si>
  <si>
    <t>КР Экономика министрлигинде системалык  коррупцияны жоюу боюнча  деталдаштырылган иш-чаралар планына мониторинг жана баалоо жүргүзүү</t>
  </si>
  <si>
    <t>Планды аткаруу пайызы</t>
  </si>
  <si>
    <t>Министрликтин кызматкерлерин окутуу жана квалификацияларын жогорулатуу</t>
  </si>
  <si>
    <t xml:space="preserve">Бюджеттик каражаттардан окуудан өткөн кызматкерлер % </t>
  </si>
  <si>
    <t>Экономиканын артыкчылыктуу чөйрөсүн активдештирүү үчүн жагымдуу ченемдик -укуктук чөйрө</t>
  </si>
  <si>
    <t>Программанын максаты:  Экономиканын жана бизнес  субьекттеринин ишинин, ошондой эле салык салуу базасынын өсүшүнүн артыкчылыктуу чөйрөсүн активдештирүү үчүн ченемдик -укуктук  жагымдуу чөйрөнү түзүү жана акылга сыярлык реформаларды жүргүзүү</t>
  </si>
  <si>
    <t>Ишкердикти өнүктүрүү жана салыктык башкарууну өркүндөтүү үчүн жагымдуу салыктык климатты камсыз кылуу</t>
  </si>
  <si>
    <t xml:space="preserve">Ишкердикти өнүктүрүүнү жана салыктык администрациялоону өнүктүрүүнү колдоо үчүн кабыл алынган ЧУА саны </t>
  </si>
  <si>
    <t xml:space="preserve">Салыктык мыйзамды өзгөртүүдө фискалдык тобокелчиликтеринин таасирин талдоо жана баалоо жүргүзүү </t>
  </si>
  <si>
    <t>Эсептешүүлөрдүн жана аналитикалык материалдардын саны</t>
  </si>
  <si>
    <t>Бажы жол-жоболорун жөнөкөйлөтүү маселелерин жөнгө салуучу Евразия экономикалык союзунун бажы мыйзамдарынын талаптарын имплементациялоо</t>
  </si>
  <si>
    <t>Товарларды чыгаруу мөөнөтү</t>
  </si>
  <si>
    <t>саат</t>
  </si>
  <si>
    <t>Кыргыз Республикасынын жана башка мамлекеттердин ортосунда кош салыкты болтурбоону камсыз кылуу</t>
  </si>
  <si>
    <t xml:space="preserve">Кош салык салуудан четтөө жөнүндө макулдашууга кол койгон жана ратификациялаган өлкөлөрдүн саны </t>
  </si>
  <si>
    <t>Экономикалык жана   социалдык натыйжалуулук критерийлери менен мамлекеттик мүлктү башкаруунун натыйжалуу системасын түзүү</t>
  </si>
  <si>
    <t xml:space="preserve">Мамлекеттик мүлктү башкаруу чөйрөсүндө кабыл алынган ЧУА саны </t>
  </si>
  <si>
    <t>Кыргыз Республикасында  банкроттук жол-жоболорун жүргүзүүнү караган ченемдик-укуктук базаны өркүндөтүү</t>
  </si>
  <si>
    <t xml:space="preserve">Кыргыз Республикасында банкроттук процессти жөнгө салуу чөйрөсүндөгү ЧУА саны </t>
  </si>
  <si>
    <t>Карыз төлөөчүнүн өндүрүшүн сактап калуу максатында банкроттук чыңдоочу жол-жоболорду колдонуу чараларын көрүү</t>
  </si>
  <si>
    <t xml:space="preserve"> Реструктуризациялоо, реабилитациялоо, санациялоо жана дүйнөлүк макулдашуулар колдонулган ишканалардын саны </t>
  </si>
  <si>
    <t>Казакстан  Республикасы менен мүлктүк маселелерге байланыштуу сүйлөшүүлөрдү жүргүзүү боюнча иш чараларды камсыз кылуу</t>
  </si>
  <si>
    <t xml:space="preserve">Эки тараптуу комиссиялардын жолугушуусун уюштуруу </t>
  </si>
  <si>
    <t>Макроэкономикалык жана   инвестициялык саясат, стратегиялык пландоо жана ишкердик саясаты</t>
  </si>
  <si>
    <t>Программанын максаты: Макроэкономикалык өсүштүн, экономикада инвестициялардын динамикалуу өсүшүнүн туруктуулугун камсыз кылуу жана аларды пайдалануунун натыйжалуулугун жогорулатуу, ошондой эле өлкөнүн туруктуу өнүгүүсүн пландаган стратегиялык бирдиктүү системасын жана ишкердикти активдүү өнүктүрүү үчүн жагымдуу шарттарды түзүү</t>
  </si>
  <si>
    <t>МЖӨ алкагында  инвестициялык  жагымдуулукту жогорулатуу</t>
  </si>
  <si>
    <t>Чет өлкөлүк инвестициялардын түз агымы</t>
  </si>
  <si>
    <t>МЖӨ долбоорлорунун техникалык-экономикалык негиздемесин иштеп чыгуу боюнча кол коюлган келишимдер саны</t>
  </si>
  <si>
    <t>Окутуучу семинарларды өткөрүү</t>
  </si>
  <si>
    <t xml:space="preserve">Инвестициялык мыйзамдарды өркүндөтүү, укуктарды жана кызыкчылыктарды камсыз кылуу </t>
  </si>
  <si>
    <t xml:space="preserve">Чет өлкөлүк инвестициялардын түз агымына дем берүү үчүн кабыл алынган ЧУА саны </t>
  </si>
  <si>
    <t>Эл аралык  рейтингдерде өлкөнүн позициясын жакшыртуу</t>
  </si>
  <si>
    <t>Өлкөнүн эл аралык рейтинги боюнча отчетту жыл сайын жаңыртуу жана жарыялоо  (Бизнес жүргүзүү жана эгемендүү рейтинги)</t>
  </si>
  <si>
    <t>орун</t>
  </si>
  <si>
    <t xml:space="preserve">Өлкөнүн инвестициялык климатын жакшыртуу,  ошондой эле чет өлкөлүк инвестицияларды тартуу үчүн жагымдуу шарттарды түзүү </t>
  </si>
  <si>
    <t xml:space="preserve">Инвестицияларды коргоо жана кеңейтүү боюнча эки тараптуу макулдашууларды бекитүү боюнча сүйлөшүүлөрдү жүргүзүү </t>
  </si>
  <si>
    <t>Финансылык ресурстарга жеткиликтүүлүктү кеңейтүү</t>
  </si>
  <si>
    <t>Биргелешкен инвестициялык фонддорду түзүү 
боюнча сүйлөшүүлөрдү жүргүзүү</t>
  </si>
  <si>
    <t xml:space="preserve">бирд. </t>
  </si>
  <si>
    <t>Инвестициялык климатты жакшыртуу программасын ишке ашыруу</t>
  </si>
  <si>
    <t xml:space="preserve">Инвестициялык климатты жакшыртуу программасынын матрицасынын аткарылган иш-чараларынын саны </t>
  </si>
  <si>
    <t>Колдонуудагы инвестициялык мыйзамдар жана өткөрүлгөн иш-чаралар  жөнүндө ишкерлерди маалымдоону жогорулатуу</t>
  </si>
  <si>
    <t xml:space="preserve">Бардык зарыл маалыматтардын болуусу менен Кыргыз Рсепубликасына инвестициялык  ишти киргизүү шарты боюнча   уюлдук колдонмону түзүү жана күтүү </t>
  </si>
  <si>
    <t>Кыргыз Республикасынын инвестициялык мүмкүнчүлүктөрү тууралуу маалыматтык порталды киргизүү жана өркүндөтүү</t>
  </si>
  <si>
    <t xml:space="preserve">Колдонууда маалыматтык порталдарды жаңыртуу  </t>
  </si>
  <si>
    <t>Донордук  жардамды координациялоо, мониторингдин жана баалоонун натыйжалуулугун жогорулатуу</t>
  </si>
  <si>
    <t xml:space="preserve">Донордук жардамга тартылган каражаттардын көлөмү </t>
  </si>
  <si>
    <t xml:space="preserve">Каралган долбоорлордун саны </t>
  </si>
  <si>
    <t xml:space="preserve">Донордук жардамга каражаттарды тартуу боюнча өткөрүлгөн иш-чаралардын саны  </t>
  </si>
  <si>
    <t xml:space="preserve">Долбоорлорду ишке ашырууну координациялоо жана натыйжалуу ишке ашыруу системасын киргизүү боюнча кабыл алынган ЧУА саны  </t>
  </si>
  <si>
    <t xml:space="preserve">Толук жана региондук деңгээлде бирдиктүү макроэкономикалык саясатты координациялоо жана ишке ашыруу   </t>
  </si>
  <si>
    <t xml:space="preserve">Иш жүзүндөгү мааниден макрокөрсөткүчтөрдүн болжолдуу маанилеринин четтөөсү (ИДП өсүү темпи) </t>
  </si>
  <si>
    <t xml:space="preserve">КР Өкмөтүнүн министрликтерин жана административдик ведомстволорун,  облустардагы ыйгарым укуктуу өкүлчүлүктөрүн, Бишкек жана Ош шаардык мэрияларын  макроэкономикалык талдоо жана болжолдоо маселелери  боюнча координациялоону жакшыртууда бирдиктүү макулдашылган макроэкономикалык саясат жүргүзүү  </t>
  </si>
  <si>
    <t>Оперативдик жана экономикалык талдоо багыттары боюнча программалык камсыз кылууну иштеп чыгуу жана ишке киргизүү</t>
  </si>
  <si>
    <t xml:space="preserve">Мамлекеттик материалдык резерв чөйрөсүндө ченемдик укуктук базаны өркүндөтүү </t>
  </si>
  <si>
    <t>Иштелип чыккан ЧУА саны</t>
  </si>
  <si>
    <t xml:space="preserve">Жыл сайын мамлекеттик материалдык резервдин материалдык баалуулуктарын топтоонун номенклатурасын жана ченемин тактоо </t>
  </si>
  <si>
    <t>Ишкердик иш чөйрөсүндөгү тийиштүү ЧУАларды кабыл алуу жолу менен жагымдуу ишкердик чөйрөнү түзүү (Ишкердик ишти өнүктүрүү жана колдоо, жөнгө салуу таасирин талдоо системасында (ЖСТТ),  лицензиялык-уруксат берүү жана контролдук-көзөмөлдөө чөйрөлөрүндө   жаңы ыкмаларды киргизүү)</t>
  </si>
  <si>
    <t>ЧУА саны  (Концепциялар, токтомдор, мыйзамдар)</t>
  </si>
  <si>
    <t xml:space="preserve">Монополияга каршы (атаандаш) мыйзамды, мыйзамдарды жакшыртуу, керектөөчүлөрдүн жана жарнама жаатындагы укуктарды коргоо, керектөөчүлөрдүн укуктарын коргоону координациялоо боюнча  иш жүргүзүү </t>
  </si>
  <si>
    <t xml:space="preserve">Өлкөнү жана аймактарды өнүктүрүүдө узак мөөнөттүү негиздерин жана артыкчылыктарын аныктоо </t>
  </si>
  <si>
    <t xml:space="preserve">Региондорду өнүктүрүүнүн иштелип чыккан жана кабыл алынган программаларанын саны </t>
  </si>
  <si>
    <t xml:space="preserve">Стратегиялык пландаштырууну камсыз кылуу </t>
  </si>
  <si>
    <t xml:space="preserve">Бекитилген ички стратегиялык документтердин жана пландардын саны </t>
  </si>
  <si>
    <t xml:space="preserve">Министрдин иш-аракеттер/милдеттер планын аткаруу пайызы  </t>
  </si>
  <si>
    <t xml:space="preserve">Географиясынын кеңейиши менен   экспорттун, ошондой эле  товарлар жана кызмат көрсөтүүлөрдүн туруктуу өсүшү. Соода балансынын оң сальдосун камсыз кылуу </t>
  </si>
  <si>
    <t xml:space="preserve">Программанын максаты: Экспорттун ырааттуу өсүшү жана ички сооданы өнүктүрүү үчүн жагымдуу шарт түзүү. </t>
  </si>
  <si>
    <t xml:space="preserve">Евразия экономикалык союзу жөнүндө келишимди эске алуу менен ДСУнун жана региондук соода-экономикалык уюмунун алдындагы милдеттенмелерге ылайык, соодада ченемдик укуктук базанын белгилүүлүгүн жана аныктыгын камсыз кылуу </t>
  </si>
  <si>
    <t xml:space="preserve">Жөнөтүлгөн билдирүүлөрдүн саны </t>
  </si>
  <si>
    <t xml:space="preserve">ДСУ алдында Кыргыз Республикасынын эл аралык милдеттенмелерин сактоону жана көп тараптуу соода системасынын алкагында Кыргыз Республикасынын катышуу артыкчылыктарын натыйжалуу пайдаланууну  камсыз кылуу </t>
  </si>
  <si>
    <t xml:space="preserve">Өкүлчүлүктүн катышуусу менен ДСУ жумушчу органдарынын   жолугушуусунун саны </t>
  </si>
  <si>
    <t>КР үчүн актуалдуу маселе боюнча катчылык жана делегациялар менен өткөрүлгөн жолугушуулардын саны</t>
  </si>
  <si>
    <t xml:space="preserve">Ички сооданы өнүктүрүү үчүн жагымдуу шарттарды түзүү </t>
  </si>
  <si>
    <t xml:space="preserve">Дүң жана чекене товар жүгүртүү, автомобиль жана мотоциклдерди оңдоо </t>
  </si>
  <si>
    <t xml:space="preserve">Ата мекендик товарлардын экспортун илгерилетүүгө көмөктөшүү  </t>
  </si>
  <si>
    <t xml:space="preserve">Товарларды экспорттоо көлөмүнүн өсүү темпи </t>
  </si>
  <si>
    <t xml:space="preserve">Чет өлкөлөр менен Кыргыз Республикасынын соода-экономикалык кызматташтыгы боюнча  өкмөттөр аралык комиссиялардын жыйындарын өткөрүү  аркылуу тышкы экономикалык кызматташтыктын өнүгүүсүн камсыз кылуу </t>
  </si>
  <si>
    <t xml:space="preserve">Соода экономикалык кызматташтык боюнча өкмөттөр аралык комиссиялардын протоколдорунун саны </t>
  </si>
  <si>
    <t xml:space="preserve">Соода-экономикалык кызматташтык тууралуу макулдашууга кол коюуга даярдалды/ кол коюлду </t>
  </si>
  <si>
    <t>Өкмөттөр аралык комиссиялар алкагында ишке ашырылган макулдашуулардын пайызы</t>
  </si>
  <si>
    <t>Техникалык  тоскоолдуктарды жана   экспорттук потенциалды активдештирүү кыскартуу үчүн ченемдик-укуктук жагымдуу чөйрөнү түзүү.  Халал индустрияны өнүктүрүү</t>
  </si>
  <si>
    <t xml:space="preserve">Техникалык жөнгө салуу жана метрология чөйрөсүндө ЧУА саны </t>
  </si>
  <si>
    <t>ТС/ЕАЭС техникалык регламенттеринде   белгиленген талаптар жана эрежелер жөнүндө  ишкердик субьекттерине, продукцияны колдонуучуларга маалыматтык-түшүндүрүү иштерин жүргүзүү</t>
  </si>
  <si>
    <t>Өткөрүлгөн иш-чаралардын саны</t>
  </si>
  <si>
    <t>Бирдиктүү терезе принциби боюнча тышкы экономикалык иш боюнча кызматтарды көрсөтүүнү өнүктүрүү</t>
  </si>
  <si>
    <t xml:space="preserve">Ички бизнес процесстерин толук автоматташтырууну жүргүзгөн, тартылган министрликтер тарабынан "бирдиктүү терезе" принциби боюнча берилген документтердин үлүшү </t>
  </si>
  <si>
    <t>Эл аралык жана европалык нормалар менен улуттук стандарттарды гармонизациялоо деңгээлин жогорулатуу жана  мамлекетти жана жарандарды ишенимсиз натыжаларынан коргоо</t>
  </si>
  <si>
    <t>ТР ТС үчүн стандарттарды камсыз кылуу деңгээли</t>
  </si>
  <si>
    <t xml:space="preserve">жаңы ТР ТС кабыл алынганына жараша 100% </t>
  </si>
  <si>
    <t xml:space="preserve">Колдонулуучу КР стандарттарын гармонизациялоо деңгээли  </t>
  </si>
  <si>
    <t xml:space="preserve">КЦАны ИСО/МЭК 17011 шайкештигин тастыктоо   </t>
  </si>
  <si>
    <t>ИСО/ МЭК 17025 сынак,калибрлүү  лабораториялардын талаптарынын  компетенттүүлүгүн ырастоо; медициналык лабораторияларга ылайык келүү ИСО 15189.</t>
  </si>
  <si>
    <t>Продукциянын/кызматтардын  талаптарын сертификациялоо боюнча органдардын компетенттүүлүгүн ырастоо ИСО/ МЭК17065, органдардын   менеджмент системасын сертификаттоо ИСО/МЭК 17021, ИСО/МЭК  персоналын сертификаттоо боюнча17024, ИСО/МЭК 17020 контролдоо органдары</t>
  </si>
  <si>
    <t xml:space="preserve">Мамлекеттик кызмат көрсөтүүлөрдүн бирдиктүү реестри, аткаруу бийлик органдарынын ишин баалоо системасы </t>
  </si>
  <si>
    <t>Программанын максаты: Мамлекеттик кызмат көрсөтүүлөрдү берүү чөйрөсүн, аткаруу бийлик жана жергиликтүү өз алдынча башкаруу органдарынын иштерин баалоо системасын  жөнгө салуучу ченемдик укуктук базасын өркүндөтүү</t>
  </si>
  <si>
    <t xml:space="preserve">Мамлекеттик кызмат көрсөтүүлөрдү берүү системасын мындан ары оптималдаштырууну ченемдик укуктук камсыз кылуу </t>
  </si>
  <si>
    <t xml:space="preserve">Мамлекеттик кызмат көрсөтүүлөрдү берүү системасын оптималдаштыруу боюнча (ЧУА) ченем-укуктук актылардын саны  (Бирдиктүү реестр, стандарттар  жана  мамлекеттик кызмат көрсүтүүлөр  административдик  регламенттери) </t>
  </si>
  <si>
    <t xml:space="preserve">Мамлекеттик жана   муниципалдык кызмат көрсөтүүлөр системасын оптималдаштыруу боюнча ведомстволор аралык комиссиянын жыйынын өткөрүүнү уюштуруу  </t>
  </si>
  <si>
    <t xml:space="preserve"> Функциялардын ведомстволук реестринин экспертизасынын жыйынтыгы жана мамлекеттик органдардын функцияларынын бирдиктүү реестрин түзүү боюнча консультациялык жолугушууларды өткөрүү</t>
  </si>
  <si>
    <t xml:space="preserve">Мамлекеттик кызмат көрсөтүүлөрдүн, стандарттардын жана мамлекеттик кызмат көрсөтүүнүн административдик регламенттеринин долбоорун иштеп чыгуу маселелери боюнча эксперттик жана консультациялык жолугушууларды уюштуруу жана өткөрүү </t>
  </si>
  <si>
    <t>Маморгандардын, маморгандардын жетекчилеринин, түзүмдүк  бөлүмдөрдүн  натыйжасына багытталган мамлекеттик башкаруу сапатын баалоо системасын киргизүү</t>
  </si>
  <si>
    <t xml:space="preserve">Мамлекеттик башкаруу (маморгандар, бөлүмдөрдүн жетекчилери) сапатын баалоо система чөйрөсүндө иштелип чыккан ЧУА саны </t>
  </si>
  <si>
    <t>Ченемдик укуктук база системасын аларды баалоону өркүндөтүү максатында мамлекеттик органдардын өкүлдөрүнүн менен экспертиза жана консультатциялык жолугушууларды өткөрүү жана уюштуруу.</t>
  </si>
  <si>
    <t>Кыргыз Республикасынын Өкмөтүнүн 2016 -жылдын 17-июндагы №329 "Кыргыз Республикасынын мамлекеттик аткаруу бийлигинин, Бишкек, Ош мэрияларынын отчеттук мезгилге социалдык-экономикалык өнүктүрүүнүн жыйынтыктарын баалоо жөнүндө "  токтомуна ылайык ыйгарым укуктуу жетекчилеринин ишин баалоо  бириктирүү боюнча сунуштарды киргизүү</t>
  </si>
  <si>
    <t xml:space="preserve">2014-жылдын 29-майындагы Евразия экономикалык биримдиги жөнүндө келишим боюнча шарттардын жана милдеттемелердин аткарылышы менен байланышкан министрликтердин жана ведомстволордун ишин координациялоо  </t>
  </si>
  <si>
    <t>Программанын максаты: Евразия экономикалык союздун жана Евразия экономикалык комиссиясынын маселелери боюнча  министрликтер менен ведомстволордун аракеттери боюнча  ишин координациялоону камсыз кылуу</t>
  </si>
  <si>
    <t xml:space="preserve">Кыргыз Республикасынын ЕАЭСге кирүүсүнөн экономикалык жана социалдык таасирлерине комплекстүү талдоо жүргүзүү </t>
  </si>
  <si>
    <t>Даярдалган аналитикалык материалдардын саны</t>
  </si>
  <si>
    <t>ЕАЭС интеграциялоо шарттарына Кыргыз Республикасынын адаптация болуу маселеси боюнча калкка маалымдоо үчүн маалыматтык кампанияларды жана окутуучу семинарларды, иш-чараларды өткөрүү</t>
  </si>
  <si>
    <t xml:space="preserve">Калкты маалымдоо боюнча иш-чаралардын, семинарлардын саны </t>
  </si>
  <si>
    <t xml:space="preserve">"Евразия экономикалык союзуна Кыргыз Республикасынын катышуусу жөнүндө"  брошюраларды даярдоо жана чыгаруу </t>
  </si>
  <si>
    <t xml:space="preserve">Кыргыз Республикасынын Евразия экономикалык союзуна катышуусу жөнүндө чыгарылган брошюралардын саны  </t>
  </si>
  <si>
    <t xml:space="preserve">Евразия экономикалык союз алкагында көйгөйлүү маселелерди чечүү боюнча бирдиктүү күч-аракеттер  үчүн бизнес-коомчулугу менен натыйжалуу иш түзүү </t>
  </si>
  <si>
    <t xml:space="preserve">Бизнес-коомчулуктун өкүлдөрү менен өткөрүлгөн жолугушуулардын саны </t>
  </si>
  <si>
    <t>Мамлектеттик инвестициялардын долбоорлорун ишке ашыруу</t>
  </si>
  <si>
    <t xml:space="preserve">Жыйынтыгы: Кыргыз Республикасынын Экономика министрлиги  боюнча бардыгы </t>
  </si>
  <si>
    <t>29. Кыргыз Республикасынын Өкмөтүнө караштуу Жер ресурсы боюнча мамлекеттик агенттиги</t>
  </si>
  <si>
    <t xml:space="preserve">Пландаштыруу, башкаруу жана администрациялоо                             </t>
  </si>
  <si>
    <t>Ишти жана камсыз кылуу кызматын уюштуруу</t>
  </si>
  <si>
    <t>Кыргыз Республикасында аймагын жана анын региондорун топографиялык-геодезиялык жана картографиялык мааниде  камсыз кылуу</t>
  </si>
  <si>
    <t xml:space="preserve">Мамлекеттик геодизикалык тармакты реконструкциялоо жана колдоо  </t>
  </si>
  <si>
    <t>Топографиялык карталарды жаңыртуу жана басуу</t>
  </si>
  <si>
    <t xml:space="preserve">Жерге жайгаштыруу боюнча долбоордук-издөө жана изилдөө иштерин аткаруу </t>
  </si>
  <si>
    <t xml:space="preserve">Топурактын изилдөө, айдоо жерлерге мониторинг жүргүзүү, жерге жайгаштыруу боюнча долбоорлоо-изилдөө иштери </t>
  </si>
  <si>
    <t>КР мамлекеттик чек арасын делимитациялоо жана демаркациялоо</t>
  </si>
  <si>
    <t>Чек ара белгилерин рекогносцировкалоо жана орнотуу</t>
  </si>
  <si>
    <t>Чек ара аймактарында топографиялык  карталарды жаныртуу</t>
  </si>
  <si>
    <t>Жыйынтыгы: Кыргыз Республикасынын Өкмөтүнө караштуу Жер ресурстары боюнча мамлекеттик агенттиги</t>
  </si>
  <si>
    <t xml:space="preserve">32. Кыргыз Республикасынын Өкмөтүнө караштуу Жазаларды аткаруу мамлекеттик кызматы </t>
  </si>
  <si>
    <r>
      <t xml:space="preserve">Пландаштыруу, башкаруу жана администрациялоо                             
</t>
    </r>
    <r>
      <rPr>
        <i/>
        <sz val="11"/>
        <rFont val="Times New Roman"/>
        <family val="1"/>
        <charset val="204"/>
      </rPr>
      <t xml:space="preserve">Программанын максаты: тергөөдөгүлөрдү жана соттологондорду оңдоо жана багуу </t>
    </r>
  </si>
  <si>
    <t xml:space="preserve">Бардык программалар боюнча  эмгек акыга чыгашалардын суммасына карата 001 программасы боюнча эмгек акыга чыгашалардын катышы </t>
  </si>
  <si>
    <t xml:space="preserve">Жазаларды аткаруу мамлекеттик кызматынын ишин жана уюмдун бөлүктөрүнүн ишин камсыз кылуу үчүн жетекчиликти жүргүзүү жана контролдоо </t>
  </si>
  <si>
    <t>Кыргыз Республикасынын Өкмөтүнө караштуу Жазаларды аткаруу мамлекеттик кызматынын ишинин ачык-айкындуулугун камсыз кылуу</t>
  </si>
  <si>
    <t xml:space="preserve">Жазаларды аткаруу мамлекеттик кызматынын бөлүмдөрүнүн камсыз кылуу кызматын жана ишин уюштуруу </t>
  </si>
  <si>
    <t xml:space="preserve">УИСте жазаларды аткаруунун тартибин жана шарттарын уюштуруу </t>
  </si>
  <si>
    <r>
      <t xml:space="preserve">Соттолгондорду жана тергөөдөгүлөрдү багуу.  </t>
    </r>
    <r>
      <rPr>
        <i/>
        <sz val="11"/>
        <rFont val="Times New Roman"/>
        <family val="1"/>
        <charset val="204"/>
      </rPr>
      <t xml:space="preserve">Максаты:  Жазаны өтөөнү, жазанын максаттарына жетишүүнү  камсыз кылуучу жана   соттолгондордун жазадан бошотулгандан кийин  ресоциалдаштырууга көмөктөшүүчү шарттарды түзүү жана колдоо                   </t>
    </r>
    <r>
      <rPr>
        <sz val="11"/>
        <rFont val="Times New Roman"/>
        <family val="1"/>
        <charset val="204"/>
      </rPr>
      <t xml:space="preserve">  </t>
    </r>
    <r>
      <rPr>
        <b/>
        <sz val="11"/>
        <rFont val="Times New Roman"/>
        <family val="1"/>
        <charset val="204"/>
      </rPr>
      <t xml:space="preserve">           </t>
    </r>
  </si>
  <si>
    <t xml:space="preserve">Жазаны аткаруу жана аяктоо режимин бузуу деңгээли (1000 адамга) </t>
  </si>
  <si>
    <t xml:space="preserve">Соттолгондорду эмгекке тартуу жана эмгектин натыйжасында алардын моралдык жана материалдык кызыкчылыктары үчүн шарттарды түзүү </t>
  </si>
  <si>
    <t xml:space="preserve">Эркинен ажыратылган жеринде соттолгондордун жазаларын аткаруу боюнча иштерди уюштуруу </t>
  </si>
  <si>
    <t xml:space="preserve">Соттолгондордун саны, качкындардын саны, өлтүрүүлөрдүн саны </t>
  </si>
  <si>
    <t xml:space="preserve">Мекемелердин инфраструктурасын камсыз кылуу жана соттолгондорду эмгекке тартуу </t>
  </si>
  <si>
    <t xml:space="preserve">Курулуш, реконструкциялоо, оңдоо-калыбына келтирүү иштери </t>
  </si>
  <si>
    <t xml:space="preserve">Соттолгондорду тамак-аш азыктары менен камсыз кылуу </t>
  </si>
  <si>
    <t xml:space="preserve">Соттолгондордун санына категориялар боюнча тамак-аш ченемдери </t>
  </si>
  <si>
    <r>
      <t xml:space="preserve">Атайын контингенттин ден соолугун камсыз кылуу.  
</t>
    </r>
    <r>
      <rPr>
        <sz val="11"/>
        <rFont val="Times New Roman"/>
        <family val="1"/>
        <charset val="204"/>
      </rPr>
      <t xml:space="preserve">Программанын максаты: Соттолгондорго жана тергөөдөгүлөргө зарыл болгон медициналык кызматтарды көрсөтүү </t>
    </r>
  </si>
  <si>
    <t xml:space="preserve">Дарылоо мекемелеринде жалпы ооруларды азайтуу </t>
  </si>
  <si>
    <t xml:space="preserve">Дарылоо мекемелеринде соттолгондордун жазаларын аткарууну уюштуруу  </t>
  </si>
  <si>
    <t xml:space="preserve">Баштапкы медициналык-санитардык жардам көрсөтүү </t>
  </si>
  <si>
    <t>Соттолгондорду дарылоо мекемелеринде  тамак аш азыктары менен камсыз кылуу</t>
  </si>
  <si>
    <t xml:space="preserve">Соттолгондордун санына категория боюнча тамактануу ченеми </t>
  </si>
  <si>
    <t xml:space="preserve">Жазаларды аткаруу мамлекеттик кызматынындагы дарылоо мекемелеринин инфраструктурасын камсыз кылуу </t>
  </si>
  <si>
    <t xml:space="preserve">Курулуш,  реконструкциялоо, оңдоо-калыбына келтирүү иштери </t>
  </si>
  <si>
    <r>
      <t xml:space="preserve">Жазаларды аткаруу мамлекеттик кызмат системасында  мектепке чейинки билим берүүнү колдоо                                                              </t>
    </r>
    <r>
      <rPr>
        <i/>
        <sz val="11"/>
        <rFont val="Times New Roman"/>
        <family val="1"/>
        <charset val="204"/>
      </rPr>
      <t>Программанын максаты: балдарды мектепке даярдоо</t>
    </r>
  </si>
  <si>
    <t xml:space="preserve">Мектепке чейин курактагы балдардын акыл-эсин жогорулатуу жана дене тарбиясын өнүктүрүү </t>
  </si>
  <si>
    <t xml:space="preserve">Мектепке чейинки мекемелерди колдоо жана аларды кеңейтүү </t>
  </si>
  <si>
    <t xml:space="preserve">Мектепке чейинки мекемелерди каржылоо пайызын жакшыртуу </t>
  </si>
  <si>
    <t xml:space="preserve">Балдарды мектепке даярдоо программаларын 2 жаштан 7 жашка чейин жогорулатуу </t>
  </si>
  <si>
    <t xml:space="preserve">Билим берүү мекемелеринин материалдык-техникалык базасын жакшыртуу </t>
  </si>
  <si>
    <t xml:space="preserve">Вариативдик мектепке чейинки билим берүү мекемелерин  кеңейтүү </t>
  </si>
  <si>
    <t xml:space="preserve">Мектепке чейинки билим берүүнүн сапаттуу кызмат көрсөтүүлөргө жеткиликтүүлүктү камсыз кылуу </t>
  </si>
  <si>
    <t xml:space="preserve">Жыйынтыгы:  Кыргыз Республикасынын Өкмөтүнө караштуу Жазаларды аткаруу мамлекеттик кызматы боюнча бардыгы </t>
  </si>
  <si>
    <t>Кыргыз Республикасынын Өкмөтүнө караштуу Жазаларды аткаруу мамлекеттик кызматынын Түзөтүү мекемелерин коргоо жана соттолгондорду жана камакка алынган адамдарды коштоп жүрүү боюнча департаменти</t>
  </si>
  <si>
    <r>
      <rPr>
        <b/>
        <sz val="11"/>
        <rFont val="Times New Roman"/>
        <family val="1"/>
        <charset val="204"/>
      </rPr>
      <t xml:space="preserve">Түзөтүү мекемелерин кайтаруу, соттолгондорду жана камакка алынган адамдарды конвой менен коштоп жүрүү           </t>
    </r>
    <r>
      <rPr>
        <sz val="11"/>
        <rFont val="Times New Roman"/>
        <family val="1"/>
        <charset val="204"/>
      </rPr>
      <t xml:space="preserve">                                                                                    Программанын максаты: Түзөтүү мекемелеринде соттолгондордун жана камакка алынган адамдардын  режимди сактоосун камсыз кылуу.</t>
    </r>
  </si>
  <si>
    <t>Түзөтүү мекемелериндеги күзөт жана коргоо жана соттолгондорду конвои менен коштоо</t>
  </si>
  <si>
    <t xml:space="preserve">Качуулар саны-2                 соттолгондорду качуусунун бетин ачуулардын саны  -1   ички зонага кирүүлөр саны - 0       часовойлорго кол салуулар саны  -0       тышкы  тыюу салынган зонага кирүү   - 0 </t>
  </si>
  <si>
    <t xml:space="preserve">Сот мекемесинде конвои менен коштоп жүрүүнү камсыз кылуу </t>
  </si>
  <si>
    <t xml:space="preserve">Коштоп жүрүүчү  айыпталгандардын жана соттолгондордун саны - 23626 </t>
  </si>
  <si>
    <t>Түзөтүү мекемелеринин администрациялары, соттор,  ички иштер жана улуттук коопсуздук органдары, Коргоо иштери боюнча мамлекеттик комитетинин мекемелери менен өз ара аракеттенүүлөр</t>
  </si>
  <si>
    <t>Процесстерди камсыз кылуу саны- 12564   КШУ- 2 жүргүзүү саны</t>
  </si>
  <si>
    <t>Жыйынтыгы: Кыргыз Республикасынын Өкмөтүнө караштуу Жазаларды аткаруу мамлекеттик кызматынын Түзөтүү мекемелерин коргоо жана соттолгондорду жана камакка алынган адамдарды коштоп жүрүү боюнча департаменти боюнча бардыгы</t>
  </si>
  <si>
    <t xml:space="preserve">34. Кыргыз Республикасынын Билим берүү жана илим министрлиги </t>
  </si>
  <si>
    <r>
      <t xml:space="preserve">Пландаштыруу, башкаруу жана администрациялоо 
</t>
    </r>
    <r>
      <rPr>
        <sz val="11"/>
        <rFont val="Times New Roman"/>
        <family val="1"/>
        <charset val="204"/>
      </rPr>
      <t xml:space="preserve">Программанын максаты: Башка программаларды ишке ашырууга координациялоочу жана уюштуруучу таасирлер </t>
    </r>
  </si>
  <si>
    <t xml:space="preserve">Башка ЭА программалары боюнча    чыгашалардын001 суммасына карата ЭА программасы боюнча чыгашалардынкатышы </t>
  </si>
  <si>
    <t xml:space="preserve">Региондук деңгээлде (бюджет жана атайын каражаттар) жалпы координациялоо </t>
  </si>
  <si>
    <t>Жалпы билим берүүчү  уюмдарды окуу китептери,компьютерлер жана эмеректер менен камсыз кылуу</t>
  </si>
  <si>
    <t xml:space="preserve">факт боюнча </t>
  </si>
  <si>
    <t xml:space="preserve"> Республикалык деңгээлде жалпы координациялоо</t>
  </si>
  <si>
    <t xml:space="preserve">Бузууларсыз бюджетти аткаруу пайызы </t>
  </si>
  <si>
    <t>Эмгектик талаштар боюнча сот процесстерин утуу үлүшү</t>
  </si>
  <si>
    <t>Алардын жалпы санына утуп алынган сот иштеринин катышы</t>
  </si>
  <si>
    <t xml:space="preserve">Министрликтердин/ведомстволордун ЖМКдагы оң эскерүүлөрүнүн саны </t>
  </si>
  <si>
    <t xml:space="preserve">Борбордук аппараттын кызматкерлеринин жалпы санынан камсыз кылуу кызмат көрсөтүү кызматкерлеринин үлүшү </t>
  </si>
  <si>
    <r>
      <t xml:space="preserve">Мектепке чейинки, мектепте жана мектептен тышкары билим берүүнү колдоо жана өнүктүрүү жана  мектепке балдарды даярдоо                                                                                                  </t>
    </r>
    <r>
      <rPr>
        <i/>
        <sz val="11"/>
        <rFont val="Times New Roman"/>
        <family val="1"/>
        <charset val="204"/>
      </rPr>
      <t xml:space="preserve">Программанын максаты: калктын бардык тобу үчүн мектепке чейинки, мектепте жана мектептен тышкары билим берүүнүн сапаттуу  кызмат көрсөтүүлөргө жеткиликтүүлүгүн камсыз кылуу </t>
    </r>
  </si>
  <si>
    <t xml:space="preserve">Мектепке чейинки даярдоо программасы менен (5,5-7 жаш) курактагы балдарды камтуу (каалоосуна жараша) </t>
  </si>
  <si>
    <t xml:space="preserve">Мектепке чейинки билим берүү уюмдарын (МББУ) колдоо жана кеңейтүү 5-6 жаштагы  балдарды  (мүмкүнчүлүгү чектелген балдарды кошкондо) мектепке чейинки даярдоо программага камтууну жогорулатуу(бюджеттик каражаттар) </t>
  </si>
  <si>
    <t xml:space="preserve">Мектепке чейинки  даярдоо программалары менен камтылган        тиешелүү курактагы балдардын саны </t>
  </si>
  <si>
    <t>адам</t>
  </si>
  <si>
    <t xml:space="preserve"> 100 миңден кем эмес</t>
  </si>
  <si>
    <t>Мектеп алдындагы даярдык боюнча жабдылган  класс-комплекттердин  саны (парта, стул, стол  5 - 6 -жаштагы курактагы балдардын өзгөчөлүгүн эсепке алуу менен)</t>
  </si>
  <si>
    <t>Мектеп алдындагы даярдык боюнча  жабдылган класс-комплекттердин үлүшү</t>
  </si>
  <si>
    <t xml:space="preserve">МББ мамлекеттик стандарттар киргизилгендердин саны       </t>
  </si>
  <si>
    <t>Мамлекеттик стандарт киргизилген МББУ үлүшү</t>
  </si>
  <si>
    <t>Квалификациясын  жогорулатуудан өтүүчү педагогдордун саны;</t>
  </si>
  <si>
    <t>Мамлекеттик жана муниципалдык мектепке чейинки билим берүүчү уюмдардын тармагын кеңейтүү (атайын  каражаттар)</t>
  </si>
  <si>
    <t>Жаңы МББУ саны</t>
  </si>
  <si>
    <t>факт боюнча</t>
  </si>
  <si>
    <t>Муктаждыктан МББУ жаңы үлүшү</t>
  </si>
  <si>
    <t xml:space="preserve">Майнаптуу билим берүүгө жеткиликтүүлүктү камсыз кылуу жолу менен балдарды толук кандуу өнүктүрүү үчүн шарттарды түзүү </t>
  </si>
  <si>
    <t>Базалык билим берүүгө (1-9 класс) балдарды камтуу</t>
  </si>
  <si>
    <t xml:space="preserve"> 96% кем эмес</t>
  </si>
  <si>
    <t>Стандарттарга ылайык  (бюжеттик каражаттар) мектеп мекемелеринин тармагынын иштешин колдоо</t>
  </si>
  <si>
    <t>Педагогикалык кадрлар менен  толук (100%) комплекттелген  мектептердин үлүшү</t>
  </si>
  <si>
    <t xml:space="preserve">Интернат тибиндеги балдар мекемелерин каржылоону  башкарууну  оптималдаштыруу </t>
  </si>
  <si>
    <t>Оптималдаштыруу/транформациялоо пландары даярдалган интернат тибиндеги мекемелердин саны</t>
  </si>
  <si>
    <t>Компетенттүү ыкманы эсепке алуу менен  (МИ тышкы каржылоо) билим берүүнү күтүүнү модернизациялоо БВ жана АӨБ</t>
  </si>
  <si>
    <t xml:space="preserve">1 -кл  үчүн (эскиргенин эске алуу менен) окуу методикалык комплекстер менен камсыздалган мектептердин үлүшү; </t>
  </si>
  <si>
    <t xml:space="preserve">2-4-класстар үчүн окуу методикалык комплекстер менен камсыздуулук үлүшү </t>
  </si>
  <si>
    <t>Жалпы билим берүүчү жана атайын мектептер базасында  өзгөчө муктаждыктагы балдарга инклюзивдүү билим берүү шарттарын камсыз кылуу</t>
  </si>
  <si>
    <t xml:space="preserve">Өзгөчө муктаждыктагы балдарды окутуу үчүн шарттарды түзүлгөн жалпы  билим берүүчү жана атайын мектептер саны </t>
  </si>
  <si>
    <t>Билим берүүчү кызматтарды  (МИ ички каржылоо) алуучулар алдында  жоопкерчиликке негизделген финансылык-административдик өз алдынчалык принциптерине жалпы билим берүүчү уюмдарды которуу</t>
  </si>
  <si>
    <t xml:space="preserve">Ченемдик  бюджеттик каржылоого өткөн мектептердин салыштырма салмагы (ППУР) </t>
  </si>
  <si>
    <r>
      <rPr>
        <b/>
        <sz val="11"/>
        <rFont val="Times New Roman"/>
        <family val="1"/>
        <charset val="204"/>
      </rPr>
      <t>Баштапкы жана орто кесиптик билим берүүнү өнүктүрүү.</t>
    </r>
    <r>
      <rPr>
        <sz val="11"/>
        <rFont val="Times New Roman"/>
        <family val="1"/>
        <charset val="204"/>
      </rPr>
      <t xml:space="preserve">
</t>
    </r>
    <r>
      <rPr>
        <i/>
        <sz val="11"/>
        <rFont val="Times New Roman"/>
        <family val="1"/>
        <charset val="204"/>
      </rPr>
      <t xml:space="preserve">Программанын максаты: Башкаруунун натыйжалуу системасын жана каржылоо механизмдерин түзүү  </t>
    </r>
  </si>
  <si>
    <t xml:space="preserve">Сарамжалдуу жана оптималдуу кесиптик-техникалык билим берүү системасы түзүлдү </t>
  </si>
  <si>
    <t xml:space="preserve">Окуусун аяктагандан кийин биринчи жылы ишке орношкон жана иштеген орто кесиптик окуу жайлардын бүтүрүүчүлөрүнүн үлүшү  (окуусун уланткандыгын эсепке алуу менен) </t>
  </si>
  <si>
    <t>Башталгыч кесиптик билим берүүнүн окутууга карата жеткиликтүүлүгүн жакшыртуу (бюджет жана атайын каражат).</t>
  </si>
  <si>
    <t xml:space="preserve"> суммалык үлүш 60%: - оңдолгон БКБОЖ 20% (анын ичинен ДМЧА үчүн шарт ); БКБОЖ заманбап өндүрүштүк окуу жабдуулары менен жабдылышы 20%; БКБОЖ жалпы санына карата жалпы билим берүү процессине  мультимедиялык жана инновациялык технологиялар киргизилген БКБОЖ 20% </t>
  </si>
  <si>
    <t>%(суммалык үлүш)</t>
  </si>
  <si>
    <t xml:space="preserve">Калктын социалдык аялуу жана ДМЧА категорияларын окутуу үчүн иштелип чыккан инклюзивдүү программалардын саны </t>
  </si>
  <si>
    <t>ӨЭУ системасы  жана эмгек рыногунун муктаждыктарынын ортосундагы өз ара байланышты камсыз кылуу</t>
  </si>
  <si>
    <t xml:space="preserve">Экономика секторунда талап кылынган кесип боюнча окутулган жарандардын саны (республикалык бюджеттин эсебинен жана контракттык-кыска мөөнөттүү негизде ) </t>
  </si>
  <si>
    <t xml:space="preserve">адам (жыл сайын) </t>
  </si>
  <si>
    <t xml:space="preserve">Педагогикалык кызматкердин жана өндүрүштүк окутуу устаттарынын квалификациясын жогорулатуу  (бюджеттик каражат). </t>
  </si>
  <si>
    <t xml:space="preserve"> Квалификациясын жогорулатуудан өткөн ӨСИ саны, анын ичинен  окуу жайларынын өндүрүштүк базасында окутулган устаттар жана жумуш берүүчүлөр </t>
  </si>
  <si>
    <t>Өлкө артыкчылыктарын жана региондордун экономикалык стратегияларын талдоо негизинде орто кесиптик билимдүү кадрларды даярдоо түзүмүн өзгөртүү  (бюджеттик каражаттар)</t>
  </si>
  <si>
    <t xml:space="preserve">Өлкөлүк артыкчылыктар жана экономикалык стратегияларга шайкеш келген кесиптерге бөлүнгөн бюджеттик орундардын үлүшү </t>
  </si>
  <si>
    <t>Орто кесиптик билим берүү имиджин жогорулатууга багытталган республиканын орто кесиптик билим берүү системасы жөнүндө калкка маалымдоо, квалификациялык мүнөздөмөнү жана бүтүрүүчүлөрдүн квалификациясын баалоо процессин жана орто кесиптик билим берүү системасын оптимизациялоону түзүүгө карата жумуш берүүчүлөрдү тартуу (атайын каражаттар)</t>
  </si>
  <si>
    <t xml:space="preserve">Мамлекеттик аттестациялык комиссиянын курамына кирген жумуш берүүчүлөрдүн үлүшү </t>
  </si>
  <si>
    <t xml:space="preserve">Эмгек рыногунун талаптарына шайкеш келген (бюджеттик топтом ишке ашырылып жаткан)  ОКББ кесиптеринин үлүшү </t>
  </si>
  <si>
    <t xml:space="preserve">Жумуш берүүчүлөрдөн адистерди даярдоого заказ алуучу билим берүү уюмдарынын үлүшү </t>
  </si>
  <si>
    <r>
      <t xml:space="preserve">Жогорку кесиптик билим берүү                                                                                                                                                                                             </t>
    </r>
    <r>
      <rPr>
        <i/>
        <sz val="11"/>
        <rFont val="Times New Roman"/>
        <family val="1"/>
        <charset val="204"/>
      </rPr>
      <t xml:space="preserve">Программанын максаты: Жогорку окуу жайларында эмгек рыногунун талаптарына ылайык кадрларды даярдоо </t>
    </r>
  </si>
  <si>
    <t xml:space="preserve">Бюджеттик  негиздеги ЖОЖ ишке орношкон бүтүрүүчүлөрүнүн үлүшү (окуусун уланткандыгын жана өздөрү ишке орношкондугун эске алуу менен) </t>
  </si>
  <si>
    <t xml:space="preserve">ЖОЖ педагогикалык адистиктерин (бюджеттик негизде) бүтүрүүчүлөрүнүн адистиги боюнча ишке орношкондордун үлүшү </t>
  </si>
  <si>
    <t>Өлкө артыкчылыктарын жана региондордун экономикалык стратегияларын талдоонун негизинде  жогорку кесиптик билимдүү кадрларды даярдоо түзүмдөрүн өзгөртүү (атайын каражаттар).</t>
  </si>
  <si>
    <t xml:space="preserve">Өлкө артыкчылыктарына жана экономикалык стратегияларга ылайык келген  жогорку кесиптик билим берүү (бюджеттик кабыл алуу ишке ашырылуучу) багыттарынын жана адистиктеринин үлүшү </t>
  </si>
  <si>
    <t xml:space="preserve">Максаттуу даярдоо жөнүндө жумуш берүүчүлөр менен түзүлгөн келишимдердин негизинде кабыл алуу планын түзгөн жождордун (жалпы сандан %) үлүшү </t>
  </si>
  <si>
    <t>Жогорку окуу жайларынын окутуучуларынын квалификациясын жогорулатуу тутумун өнүктүрүү үчүн шарттарды түзүү (бюджет.  кар).</t>
  </si>
  <si>
    <t xml:space="preserve">Квалификациясын жогорулатуу программаларына катышкан педагогдордун үлүшү          </t>
  </si>
  <si>
    <r>
      <t xml:space="preserve">Чоңдор үчүн билим берүү                                                                                                                                         </t>
    </r>
    <r>
      <rPr>
        <sz val="11"/>
        <rFont val="Times New Roman"/>
        <family val="1"/>
        <charset val="204"/>
      </rPr>
      <t xml:space="preserve">Программанын максаты: Билим берүү деңгээлин жогорулатуу аркылуу калктын керектөөлөрүн канааттандыруу </t>
    </r>
  </si>
  <si>
    <t>Кайрылгандардын ичинен лицензияланган билим берүү программалары менен камтылган чоң калктын үлүшү  (формалдуу: кечки/нөөмөттүк/сырттан окутуу, формалдуу эмес - квалификациясын жогорулатуу, кайра даярдоо )</t>
  </si>
  <si>
    <t>Билими жок адамдарды же белгиленген мөөнөттө мектептик билим берүү ченеминен  чыккандарды  негизги билим  берүү менен камсыз кылуу (бюджеттик каражаттар)</t>
  </si>
  <si>
    <t>Кечки/нөөмөттүк/ сырттан окутуу мектептеринин саны</t>
  </si>
  <si>
    <t>Кечки/нөөмөттүк/ сырттан окутуу мектептерине кабыл алынгандардын саны</t>
  </si>
  <si>
    <t>Кечки/нөөмөттүк/ сырттан окутуу класстарынын саны</t>
  </si>
  <si>
    <t xml:space="preserve">Күндүзгү билим берүү мектептеринин алдындагы (кечки/нөөмөттүк/ сырттан окуу класстарына кабыл алынгандардын саны </t>
  </si>
  <si>
    <t>Эмгек рыногунун тез өзгөрүшү менен активдүү калкты экономикалык адаптациялоого көмөктөшүү (атайын  каражаттар)</t>
  </si>
  <si>
    <t xml:space="preserve">Кошумча кесиптик билим берүү кызматтарын  көрсөтүүчү  орто кесиптик билим берүүчү окуу жайлардын саны               </t>
  </si>
  <si>
    <t xml:space="preserve">Кошумча кесиптик билим берүү кызмат көрсөтүүлөргө көрсөтүүчү  жогорку кесиптик билим берүүчү окуу жайлардын саны      </t>
  </si>
  <si>
    <r>
      <t xml:space="preserve">Илимдин артыкчылыктуу тармактарын өнүктүрүүнү  мамлекеттик колдоо   
</t>
    </r>
    <r>
      <rPr>
        <i/>
        <sz val="11"/>
        <rFont val="Times New Roman"/>
        <family val="1"/>
        <charset val="204"/>
      </rPr>
      <t xml:space="preserve">Программанын максаты: Колдонмо илимди (ЖОЖ)  жана  ЖОЖдук илимди өнүктүрүү,  практикалык колдонууга алууга илимий-изилдөө иштеринин санын ЖОЖдордо көбөйтүү </t>
    </r>
    <r>
      <rPr>
        <sz val="11"/>
        <rFont val="Times New Roman"/>
        <family val="1"/>
        <charset val="204"/>
      </rPr>
      <t xml:space="preserve">       </t>
    </r>
    <r>
      <rPr>
        <b/>
        <sz val="11"/>
        <rFont val="Times New Roman"/>
        <family val="1"/>
        <charset val="204"/>
      </rPr>
      <t xml:space="preserve">                                                                                                                                                                                                                                                                                                                                                               </t>
    </r>
  </si>
  <si>
    <t>Илимий-изилдөөчү иштерге ЖОЖДорго бөлүнгөн каражаттардын үлүшү</t>
  </si>
  <si>
    <t>Прикладдык илимди өнүктүрүү (бюджеттик каражаттар)</t>
  </si>
  <si>
    <t xml:space="preserve">Республиканын экономикасына оң позитивдүү илгерилөөнү камсыз кылууго багыталган илимий долбоорлор үлүшүнүн  көбөйүшү </t>
  </si>
  <si>
    <t xml:space="preserve">Практикалык колдонууну алууга  (ТӨӨП) багытталган жогорку окуу жайларында ИИИ санын көбөйтүү, жогорку окуу жай илиминин потенциалын жана сапатын жогорулатуу институттук мүмкүнчүлүктөрдү өнүктүрүү </t>
  </si>
  <si>
    <t>Изилдөөлөргө жана иштеп чыгууларга тартылган жаш адистердин үлүшү</t>
  </si>
  <si>
    <t>10го чейин</t>
  </si>
  <si>
    <t xml:space="preserve">Жыйынтыгы: Кыргыз Республикасынын Билим берүү жана илим министрлиги боюнча бардыгы </t>
  </si>
  <si>
    <t>35. Кыргыз Республикасынын Өкмөтүнө караштуу Интеллектуалдык менчик жана инновациялар мамлекеттик кызматы</t>
  </si>
  <si>
    <r>
      <t xml:space="preserve">Пландаштыруу жана башкаруу                                      </t>
    </r>
    <r>
      <rPr>
        <i/>
        <sz val="11"/>
        <rFont val="Times New Roman"/>
        <family val="1"/>
        <charset val="204"/>
      </rPr>
      <t xml:space="preserve">Программанын максаттары: башка программаларды ишке ашырууга координациялоочу жана уюштуруучу таасирлер </t>
    </r>
  </si>
  <si>
    <t>001 программасы боюнча эмгек акыга чыгашалардынбардык программалар боюнча эмгек акыга чыгашалардынсуммасына катышы</t>
  </si>
  <si>
    <t>Жалпы жетекчиликти камсыз кылуу</t>
  </si>
  <si>
    <t>Финансы менеджментин жана эсебин камсыз кылуу</t>
  </si>
  <si>
    <t>Бюджетти бузуусуз аткаруунун пайызы</t>
  </si>
  <si>
    <t>Жүргүзүлгөн сатып алуулардын саны</t>
  </si>
  <si>
    <t>Окуу курстарынан жана стажировкадан өткөн ведомствонун кызматкерлеринин саны</t>
  </si>
  <si>
    <t>Интеллектулдык менчиктин объектилерин коргоо боюнча соттук иштердин саны</t>
  </si>
  <si>
    <t xml:space="preserve">Интеллектуалдык менчикти жана инновацияларды өнүктүрүү чөйрөсүндө иштелип чыккан ЧУА долбоорлорунун саны </t>
  </si>
  <si>
    <t xml:space="preserve">Тышкы байланыштарды жана коомчулук менен болгон байланыштарды колдоо  </t>
  </si>
  <si>
    <t xml:space="preserve">Чет өлкөлүк патенттик ведомстволор менен кол коюлган келишимдердин, меморандумдардын, макулдашуулардын жана иш-чаралар пландарынын саны </t>
  </si>
  <si>
    <t xml:space="preserve">Ведомствонун ЖМКга оң эскертүүлөрүнүн саны же, ведомствонун web-ресурсунда жарыяланган материалдарынын саны  </t>
  </si>
  <si>
    <t xml:space="preserve">Кыргызпатенттин иши жөнүндө видеороликтердин саны </t>
  </si>
  <si>
    <t xml:space="preserve">БА кызматкерлеринин жалпы санынан камсыз кылуу кызматынын кызматкерлеринин үлүшү </t>
  </si>
  <si>
    <t>Мониторингди, талдоону жана стратегиялык пландоону камсыз кылуу (коррупцияга каршы аракеттенүү, стратегиялык пландоо жана талдоо боюнча)</t>
  </si>
  <si>
    <t xml:space="preserve"> Кыргызпатенттин жана анын жетекчисинин ишин баалоо</t>
  </si>
  <si>
    <t>Авторлордун интеллектуалдык ишинин жаңы натыйжаларын жаратуусуна жана ойлоп табуучулардын, авторлордун жана илимий кызматкерлердин аброюн жогорулатуугадем берүү</t>
  </si>
  <si>
    <t xml:space="preserve">Ойлоп табуучуларга, авторлорго жана илимий кызматкерлерге сыйлыктардын саны </t>
  </si>
  <si>
    <t xml:space="preserve">Интеллектуалдык менчик объектилерин түзүү процессине мамлекеттик, илимий-изилдөө мекемелерин жана жеке ишканаларды тартуу </t>
  </si>
  <si>
    <t>Кызматтык ойлоп табууларга табыштамалардын үлүшү</t>
  </si>
  <si>
    <t xml:space="preserve">Интеллектуалдык менчикти жаратуу үчүн инфратүзүмдү өнүктүрүү 
</t>
  </si>
  <si>
    <t xml:space="preserve">Технологияларды жана инновацияларды колдоо борборунун филиалдарынын саны </t>
  </si>
  <si>
    <t xml:space="preserve">Технологияларды жана инновацияларды колдоо борборунун патенттик издөө боюнча окутулган координаторлорунун саны </t>
  </si>
  <si>
    <t xml:space="preserve">Технологияларды жана инновацияларды колдоо борборунун кызмат көрсөтүүлөрүн пайдалануучуларынын саны, бир жылда 500 адамдан кем эмес санда </t>
  </si>
  <si>
    <t xml:space="preserve">Технологияларды жана инновацияларды колдоо борборунун сыйланган координаторлорунун саны  </t>
  </si>
  <si>
    <t xml:space="preserve">Мамлекеттик патенттик-техникалык китепкананын электрондук ресурстарынын үлүшү  </t>
  </si>
  <si>
    <t xml:space="preserve">Таланттуу балдарды жана жаштарды табуунун жана чыгармачылык процесске тартуунун механизмдерин иштеп чыгуу </t>
  </si>
  <si>
    <t>Балдардын жана жаштардын илимий-техникалык чыгармачылык жаатындагы сыйлыктардын саны</t>
  </si>
  <si>
    <t>Илимий-техникалык жана чыгармачылык багыттагы республикалык жана облустук конкурстардын, олимпиадалардын, көргөзмөлөрдүн саны</t>
  </si>
  <si>
    <t xml:space="preserve">Илимий-техникалык чыгармачылык кружоктор тарамдарын кеңейтүү </t>
  </si>
  <si>
    <t xml:space="preserve">Балдардын илимий-техникалык кружокторунун саны </t>
  </si>
  <si>
    <t xml:space="preserve">Балдарды илимий-техникалык чыгармачылык менен камтуу  </t>
  </si>
  <si>
    <t>Жеткиликтүү билим берүү жана маалымат ресурстарын жана эл аралык жана аймактык өнөктөштөрдүн тажрыйбаларын пайдалануу</t>
  </si>
  <si>
    <t xml:space="preserve">Россия мамлекеттик интеллектуалдык менчик академиясында окутулган адистердин саны </t>
  </si>
  <si>
    <t xml:space="preserve">Ишканалар жана бюджеттик уюмдар үчүн окутулган патент таануучу-адистердин саны </t>
  </si>
  <si>
    <t>Башка өлкөлөрдүн патенттик жана патенттик эмес маалыматтарынын маалымат базаларынын саны</t>
  </si>
  <si>
    <t xml:space="preserve">Табыштамаларды  берүүдө жана карап чыгууда IT-технологияларды пайдаланууну кеңейтүү </t>
  </si>
  <si>
    <t xml:space="preserve">Электрондук документ жүгүртүү 
</t>
  </si>
  <si>
    <t xml:space="preserve">Интеллектуалдык менчик объектилерине электрондук түрдө берилген табыштамалардын  үлүшү </t>
  </si>
  <si>
    <t xml:space="preserve">Контрафактылык продукцияны жайылтуунун деңгээлин төмөндөтүү жана мыйзам бузууларга каршы күрөштүн натыйжалуулугун жогорулатуу үчүн мамлекеттер аралык жана ведомстволор аралык өз ара аракеттешүүнү жөнгө салуу </t>
  </si>
  <si>
    <t>Интеллектуалдык менчик жаатында укук бузууларга бөгөт коюу боюнча ведомстволор аралык комиссиянын өткөрүлгөн отурумдарынын саны</t>
  </si>
  <si>
    <t xml:space="preserve">Интеллектуалдык менчик укуктарын ишке ашыруу процессине жарандык коомду тартуу, талаш-тартыштарды сотко чейин жөнгө салуу үчүн медиация институтун түзүү
</t>
  </si>
  <si>
    <t xml:space="preserve">Интеллектуалдык менчикке байланышкан талаш-тартыштарды чечүү боюнча окутулган медиаторлордун саны </t>
  </si>
  <si>
    <t xml:space="preserve">Бюджеттик чөйрөнүн уюмдары тарабынан интеллектуалдык менчикти пайдалануу боюнча ишке колдоо көрсөтүү 
</t>
  </si>
  <si>
    <t xml:space="preserve"> "Мыкты инновациялык долбоор" конкурсунун жыйынтыктары боюнча каржылоо үчүн тандалып алынган инновациялык долбоорлордун саны </t>
  </si>
  <si>
    <t xml:space="preserve">Интеллектуалдык менчиктин авторлору менен бизнес-түзүмдөрдүн өз ара аракеттешүүсү үчүн көргөзмө-тажрыйба аянттарын түзүү  
</t>
  </si>
  <si>
    <t xml:space="preserve"> Республиканын ЖОЖдорунун базасында түзүлгөн технопарктардын саны</t>
  </si>
  <si>
    <t xml:space="preserve"> Өткөрүлгөн көргөзмөлөрдүн жана жарманкелердин саны </t>
  </si>
  <si>
    <t>Инновациялык ишти өнүктүрүүнү финансылык колдоо үчүн шарттарды түзүү</t>
  </si>
  <si>
    <t xml:space="preserve">Мамлекеттик инновациялык фонд </t>
  </si>
  <si>
    <t xml:space="preserve">Инновациялык адистиктер боюнча кадрларды кесиптик даярдоо жана квалификациясын  жогорулатуу процессин уюштуруу  </t>
  </si>
  <si>
    <t xml:space="preserve">Инновацияларды өнүктүрүү чөйрөсүндө окутулган адистердин саны </t>
  </si>
  <si>
    <t xml:space="preserve">Инфраструктуралык долбоорлорду ишке ашыруу </t>
  </si>
  <si>
    <t xml:space="preserve">Мамлекеттик инвестициялар долбоорлорун ишке ашыруу </t>
  </si>
  <si>
    <t xml:space="preserve">Жыйынтыгы: Кыргыз Республикасынын Өкмөтүнө караштуу Интеллектуалдык менчик жана инновациялар мамлекеттик кызматы боюнча бардыгы </t>
  </si>
  <si>
    <t>38. Кыргыз Республикасынын Эмгек жана социалдык өнүктүрүү министрлиги</t>
  </si>
  <si>
    <r>
      <t xml:space="preserve">Пландаштыруу, башкаруу жана администрациялоо. </t>
    </r>
    <r>
      <rPr>
        <sz val="11"/>
        <rFont val="Times New Roman"/>
        <family val="1"/>
        <charset val="204"/>
      </rPr>
      <t>Программанын максаты: Ушул стратегияга кирген бюджеттик программаларды натыйжалуу ишке ашырууну камсыз кылуу үчүн координация жана уюштуруу.</t>
    </r>
  </si>
  <si>
    <t>камсыз кылуу кызматы (административдик колдоо ж.б.)</t>
  </si>
  <si>
    <t>Мамлекеттик жөлөкпулдарды, жеңилдиктердин ордуна акчалай компенсацияларды жана башка социалдык төлөмдөрдү, ден соолугунун мүмкүнчүлүгу чектелген адамдарды жана улгайган жарандарды социалдык тейлөөнү өз убагында жана сапаттуу көрсөтүүнү камсыз кылуу</t>
  </si>
  <si>
    <t>Өз убагында жана сапаттуу социалдык кызматтарды көрсөтүү, жарандардын социалдык жактан корголбогон категорияларына, турмуштук оор кырдаалда турган үй-бүлөлөрдү жана балдарды натыйжалуу социалдык коргоону камсыз кылуу</t>
  </si>
  <si>
    <r>
      <t xml:space="preserve">Турмуштук оор кырдаалда турган үй-бүлөлөр жана балдар. </t>
    </r>
    <r>
      <rPr>
        <i/>
        <sz val="11"/>
        <rFont val="Times New Roman"/>
        <family val="1"/>
        <charset val="204"/>
      </rPr>
      <t xml:space="preserve">Максаты: 1. Турмуштук оор кырдаалда </t>
    </r>
    <r>
      <rPr>
        <b/>
        <i/>
        <sz val="11"/>
        <rFont val="Times New Roman"/>
        <family val="1"/>
        <charset val="204"/>
      </rPr>
      <t>(ТОК)</t>
    </r>
    <r>
      <rPr>
        <i/>
        <sz val="11"/>
        <rFont val="Times New Roman"/>
        <family val="1"/>
        <charset val="204"/>
      </rPr>
      <t xml:space="preserve"> турган адамдардын, ден соолугунун мүмкүнчүлүгү чектелген адамдарды жана улгайган жарандарды кошо байгерчилигин жогорулатуу, ошондой эле балдарды мамлекеттик жөлөкпулдар менен камсыз кылуу; 2. ТОК турган багып алуучу үй-бүлөлөр институтун өнүктүрүү; 3. Чет элдик мамлекеттин аймагында ата-энесинин камкордугусуз калган КР жараны болгон балдарды КР кайтаруу ; 4.  ТОК турган үй-бүлолөрду жана балдарды эрте табуу жана үй-бүло менен баланы ажыратууну болтурбоо максатында мамлекеттик жардам көрсөтүү.</t>
    </r>
  </si>
  <si>
    <t>Бала төрөлгөндө  бир жолку төлөм жана 16 жашка чейинки балдары бар муктаж үй-бүлөлөргө ар айлык жөлөкпулдар менен камсыз кылуу</t>
  </si>
  <si>
    <t>"балага сүйүнчү"- ар бир бала төрөлгөндө берилүүчү
 бир жолку жөлөкпулдун өлчөмү</t>
  </si>
  <si>
    <t>"үй-бүлөгө көмөк" - 16 жашка чейинки жаштагы балдары бар муктаж жүй-бүлөлөргө ар айлык жөлөкпулдун өлчөмү</t>
  </si>
  <si>
    <t xml:space="preserve">Пенсия, ай сайын социалдык жөлөкпул менен камсыз кылууго укугу болбогон адамдарды камсыз кылуу </t>
  </si>
  <si>
    <t xml:space="preserve">пенсиянын базалык бөлүгүнө ДМЧ балдар үчүн жөлөкпулдардын өлчөмүнүн катышы </t>
  </si>
  <si>
    <t>пенсиянын базалык бөлүгүнө ДМЧА үчүн жөлөкпулдардын өлчөмдөрүнүн катышы</t>
  </si>
  <si>
    <t>пенсиянын базалык бөлүгүнө улгайган жарандардын АСЖ өлчөмдөрүнүн катышы</t>
  </si>
  <si>
    <t>Базалык жылдын деңгээлинде 2010-жылдын апрель-июнунда болгон окуялардын жыйынтыгында каза болгондордун үй-булө мүчөлөрүнө жана жабыркаган жарандарга кошумча ай сайын социалдык жөлөкпулду төлөө</t>
  </si>
  <si>
    <t xml:space="preserve">Кошумча ай сайын берилүүчү социалдык жөлөкпулдун өлчөмү </t>
  </si>
  <si>
    <t>эсептөө көрсөткүчтөрүнүн саны</t>
  </si>
  <si>
    <t>Жалал-Абад областынын Аксы районунда 2002-жылы болгон окуялардын жыйынтыгында каза болгондордун үй-булө мүчөлөрүнө жана жабыркаган жарандарга  кошумча социалдык жөлөкпулду төлөө</t>
  </si>
  <si>
    <t xml:space="preserve">Кошумча социалдык жөлөкпулдун өлчөмү </t>
  </si>
  <si>
    <t>эсептөө көрсөткүчү</t>
  </si>
  <si>
    <t>Мамлекеттик социалдык заказдын алкагында турмуштук оорк ырдаалда турган балдар үчүн социалдык кызматтарды өнүктүрүү (КР Балдар жөнүндө кодексинин 5-беренесинде ТОК балдардын категориясы аныкталган)</t>
  </si>
  <si>
    <t>Борбордун болушу</t>
  </si>
  <si>
    <t>борборлордун саны</t>
  </si>
  <si>
    <t>Мурда түзүлгөн борборлорду колдоо</t>
  </si>
  <si>
    <t>РШСӨБ үй-бүлөнү жана балдарды коргоо бөлүмдөрүнүн кызматкерлеринин потенциалын жогорулатуу</t>
  </si>
  <si>
    <t>окутууга РШСӨБ үй бүлөнү жана балдарды коргоо бөлүмдөрүнүн 100дөн  кем эмес кызматкерлери камтылган</t>
  </si>
  <si>
    <t>ТОК турган үй-бүлөлөрдү жана балдарды табуу жана социалдык коштоо маселеси боюнча РШСӨБ үй-бүлөнү жана балдарды коргоо бөлүмдөрүнүн ишмердигине мониторинг жана баалоо жүргузүү</t>
  </si>
  <si>
    <t xml:space="preserve">Жарым жылдык боюнча отчеттордун болушу </t>
  </si>
  <si>
    <t>Багып алуучу (фостердик) үй-бүлөлөрдүн санын көбөйтүү</t>
  </si>
  <si>
    <t>Даярдалган багып алуучу үй-бүлөлөрдүн саны</t>
  </si>
  <si>
    <t>Багып алуучу үй-бүлөгө жайгаштырылган балдардын саны</t>
  </si>
  <si>
    <t>Чет  мамлекеттин аймагында КР жараны болгон, ата-энесинин кароосуз калган балдарды кайтаруу (репатриация)</t>
  </si>
  <si>
    <t>Кайтарылган балдардын саны</t>
  </si>
  <si>
    <t>ТОК турган балдарды багуу боюнча кызматтарды көрсөткөн, менчигинин формасына карабастан, интернат тибиндеги балдар мекемелерине мониторинг жүргүзүү</t>
  </si>
  <si>
    <t>Жарым жылдык боюнча отчеттун болушу</t>
  </si>
  <si>
    <t>Багып алуучу үй-бүлөгө асыроого, камкордукка (көзөмөлдүккө) берилген балдарга, ошондой эле менчигинин түрүнө карабастан интернат тибиндеги балдар мекемелерине мониторинг жүргүзүү</t>
  </si>
  <si>
    <t>РШСӨБ квартал сайын отчеттун болушу</t>
  </si>
  <si>
    <t>ТОК турган балдарды табуунун жана социалдык коштоону жүзөгө ашыруу</t>
  </si>
  <si>
    <t>ТОК турган, табылган балдардын саны</t>
  </si>
  <si>
    <t>Иштелип чыккан жана ишке ашкан БКЖП саны</t>
  </si>
  <si>
    <t>ТОК турган, табылган үй-бүлөлөрдүн саны</t>
  </si>
  <si>
    <t>Иштелип чыккан жана ишке ашкан ҮЖИП саны</t>
  </si>
  <si>
    <t>Балдардын укуктарын сапаттуу камсыз кылууга жана коргоого чараларды күчөтүү</t>
  </si>
  <si>
    <t>Кабыл алынган ЧУАнын барлыгы</t>
  </si>
  <si>
    <t>РШСӨБ штаттык бирдиктерин көбөйтүү</t>
  </si>
  <si>
    <t>бирдик</t>
  </si>
  <si>
    <t>Телефон аркылуу абоненттерге, анын ичинде балдарга консультативдик-психологиялык жардам көрсөтүү</t>
  </si>
  <si>
    <t>Абоненттерден, анын ичинде балдардан түшкөн чалуулардын саны</t>
  </si>
  <si>
    <r>
      <rPr>
        <b/>
        <sz val="11"/>
        <rFont val="Times New Roman"/>
        <family val="1"/>
        <charset val="204"/>
      </rPr>
      <t xml:space="preserve">Ден соолугунун мүмкүнчүлүгү чектелген адамдарды (ДМЧА) жана улгайган жарандарды социалдык коргоо. </t>
    </r>
    <r>
      <rPr>
        <sz val="11"/>
        <rFont val="Times New Roman"/>
        <family val="1"/>
        <charset val="204"/>
      </rPr>
      <t xml:space="preserve"> Максаты: Базалык кызматтарга бирдей жетүүнү камсыз кылуу жана ден соолугунун мүмкүнчүлүгү чектелген адамдарды коомго натыйжалуу интеграциялоо максатында алар үчүн жашоо жөндөмдүүлүктүн жеткиликтүү чөйрөсүн түзүү.                                         </t>
    </r>
  </si>
  <si>
    <t>Медициналык-социалдык экспертизанын (МСЭ) административдик, функционалдык түзүмүн жана инфраструктурасын оптималдаштыруу</t>
  </si>
  <si>
    <t>1. МКФ жаңыртылган методикасы иштелип чыккан</t>
  </si>
  <si>
    <t>2.МКФ боюнча окутулган дарыгер-эксперттердин саны</t>
  </si>
  <si>
    <t>3. МСЭКте реабилитолог кызматын киргизүү</t>
  </si>
  <si>
    <t>штаттык бирдик</t>
  </si>
  <si>
    <t>4. Аймактык МСЭКтерди адистештирилген автомобилдер (даана) жана айдоочулар (штаттык бирдик) менен камсыз кылуу</t>
  </si>
  <si>
    <t>Ден соолугунун мүмкүнчүлүгү чектелген (ДМЧА) адамдарды реабилитациялоо</t>
  </si>
  <si>
    <t>Реабилитацияга камтылган ДМЧА саны</t>
  </si>
  <si>
    <t xml:space="preserve">Социалдык стационардык мекемелерде кызмат көрсөтүү
</t>
  </si>
  <si>
    <t>1. Тейленгендердин саны</t>
  </si>
  <si>
    <t xml:space="preserve">2. чыгашалардын жалпы суммасы (респ.бюджет)
</t>
  </si>
  <si>
    <t>миң адам</t>
  </si>
  <si>
    <t xml:space="preserve">3. Айына бир кызмат алуучуну тейлөөгө сумма 
</t>
  </si>
  <si>
    <t>Мамлекеттик социалдык заказдын алкагында улгайган жарандарга жана ден соолугунун мүмкүнчүлүгү чектелген адамдарга (ДМЧА)  социалдык кызматтарды көрсөтүү</t>
  </si>
  <si>
    <t>1.Жаңы редакциядагы мамлекеттик социалдык заказды киргизүү боюнча мыйзамдык актыларды иштеп чыгуу</t>
  </si>
  <si>
    <t>2. ДМЧА жалпы санына мамлекеттик социалдык заказ аркылуу камтылган ДМЧА саны</t>
  </si>
  <si>
    <t>3. ЭСӨМ системасында улгайган жарандардын жалпы санына мамлееттик социалдык заказ аркылуу камтылган улгайган жарандардын саны</t>
  </si>
  <si>
    <t>ДМЧА реабилитациялоо үчүн техникалык каражаттар менен камсыз кылуу (протездик-ортопедиялык буюмдар, техникалык көмөкчү каражаттар жана башка адистештирилген каражаттар)</t>
  </si>
  <si>
    <t>1.техникалык каражаттар менен камсыздалган ДМЧА саны (адам) жана бирдикке муктаждык</t>
  </si>
  <si>
    <t>2. Окутулган адистердин саны</t>
  </si>
  <si>
    <t>3.Даярдалган протездик-ортопедиялык буюмдардын саны (бирдик) жана бирдикке муктаждык</t>
  </si>
  <si>
    <t>Санаториялык-курорттук дарыланууга жолдомолор менен ДМЧА камсыз кылуу</t>
  </si>
  <si>
    <t>1. Кайрылуулардын санына санаториялык-курорттук дарыланууга жолдомолор менен камсыздалган ДМЧА саны</t>
  </si>
  <si>
    <t>Ден соолугунун мүмкүнчүлүгү чектелген балдар үчүн кам энелерди коомдук колдоо</t>
  </si>
  <si>
    <t>Базалык жылдын деңгээлинде жарандардын 25 категориясына акчалай компенсациялардын өлчөмүн сактоо</t>
  </si>
  <si>
    <t>Акчалай компенсациялардын өлчөмдөрү</t>
  </si>
  <si>
    <t>Улуу Ата Мекендик Согуштун ардагерлерине 9- майга жыл сайын бир жолку акчалай жөлөкпулду төлөөнү камсыз кылуу</t>
  </si>
  <si>
    <t>Акчалай жөлөкпулдун өлчөмү</t>
  </si>
  <si>
    <t>Улуу Ата Мекендик Согуштун ардагерлерине 9- майга жыл сайын кошумча бир жолку акчалай жөлөкпулду төлөөнү камсыз кылуу</t>
  </si>
  <si>
    <t>Кошумча акчалай жөлөкпулдун өлчөмдөрү</t>
  </si>
  <si>
    <t>Улуу Ата Мекендик Согуштун ардагерлерине ай сайын өмүр бою стипендия төлөөнү камсыз кылуу</t>
  </si>
  <si>
    <t>Өмүр бою берилүүчү стипендиянын өлчөмү</t>
  </si>
  <si>
    <t>Расымдык жөлөкпул (сөөк коюуга) төлөөнү камсыз кылуу</t>
  </si>
  <si>
    <t>Орто айлык акыга % менен расымдык жөлөкпулдун орто өлчөмүнүн катышы</t>
  </si>
  <si>
    <r>
      <t xml:space="preserve">Эмгек жана иш менен камсыз кылуу. </t>
    </r>
    <r>
      <rPr>
        <sz val="11"/>
        <rFont val="Times New Roman"/>
        <family val="1"/>
        <charset val="204"/>
      </rPr>
      <t>Программанын максаты: 1. Калкты иш менен камсыз кылууга натыйжалуу көмөк көрсөтүү (иш менен камсыз кылуунун активдүү саясатын ишке ашыруу), ыңгайлуу ишти издөө боюнча кызматтарды көрсөтүү жана ишсиз жарандарды жана мамлекеттик иш менен камсыз кылуу органы аркылуу иш издеген адамдарды социалдык жактан колдоо; 2. Кызматтардын иерархиясы жана кызматкерлердин ишинин жыйынтыгы менен эмгек акысын төлөөнүн натыйжалуу системасын түзүү; 3. Кош бойлуулук жана төрөт боюнча жөлөкпул төлөөнү камсыз кылуу.</t>
    </r>
  </si>
  <si>
    <t>Жөлөкпул алуучулардын саны</t>
  </si>
  <si>
    <t>Эмгек рыногунда талап кылынган кесиптерге ишсиз жарандарды окутуу</t>
  </si>
  <si>
    <t xml:space="preserve">Жумушсуз жарандардын үлүшү, окутуудан кийин ишке орношкондор, кайра окутуу, квалификациясын жогорулатуу    </t>
  </si>
  <si>
    <t>Убактылуу иш менен камсыз болууну кеңейтүү</t>
  </si>
  <si>
    <t xml:space="preserve">Акы төлөнгөн коомдук иштердин линиясы боюнча камтылган ишсиздердин саны </t>
  </si>
  <si>
    <t>РШСӨБ жана ИКБ иш менен камсыз кылууга көмөк көрсөтүү бөлүмдөрүнүн кызматкерлеринин потенциалын жогорулатуу</t>
  </si>
  <si>
    <t>Окутууга РШСӨБ жана ИКБ 210 кызматкеринен кем эмес окутуу камтылган</t>
  </si>
  <si>
    <t>Ишсиздерди жумуш менен камсыз болгон калктын санына интеграциялоо</t>
  </si>
  <si>
    <t>Бош орундар жарманкесине баруунун жыйынтыгында ишсиз, ишке орношкондордун саны</t>
  </si>
  <si>
    <t>Ишке орноштуруу</t>
  </si>
  <si>
    <t>Мамлекеттик жарандык жана муниципалдык кызматкерлердин эмгек акысын төлөө системасын өркүндөтүү</t>
  </si>
  <si>
    <t>Эмгек акысын төлөөнүн жаңы системасын киргизүү; эмгек акысын төлөөдө акыйкаттыкка жетүүгө болот, ал "бирдей ишке бирдей төлөм" принцибине негизделген; мамлекеттик жана муниципалдык кызматтардын жаңы реестрлери киргизилген; көпчүлүк кызматкерлер үчүн горизонталдык илгерилөө мүмкүнчүлүгу көбөйгөн; кызматкерлер өзүнүн квалификациясынын жогорулашына жана карьералык өсүшкө аракет жасашат.</t>
  </si>
  <si>
    <t>Он биринчи иш күндөн тартып кош бойлуулук жана төрөт боюнча жөлөкпул төлөөнү камсыз кылуу</t>
  </si>
  <si>
    <t>Орто айлык акыга % менен кош бойлуулук жана төрөт боюнча жөлөкпулдун орто айлык өлчөмүнүн катышы</t>
  </si>
  <si>
    <r>
      <rPr>
        <b/>
        <i/>
        <sz val="11"/>
        <rFont val="Times New Roman"/>
        <family val="1"/>
        <charset val="204"/>
      </rPr>
      <t xml:space="preserve">2020-жылга чейин Гендердик теңчиликке жетүү боюнча улуттук стратегияны ишке ашыруу. </t>
    </r>
    <r>
      <rPr>
        <i/>
        <sz val="11"/>
        <rFont val="Times New Roman"/>
        <family val="1"/>
        <charset val="204"/>
      </rPr>
      <t>Максаты: Кыргыз Республикасынын калкынын адамдык потенциалын толук кандуу ишке ашыруу үчүн жынысына, жаш курагына, социалдык статусуна, ден соолук мүмкүнчүлүтөрүнө, гендердик бирдейлигине жана басмырлоонун башка негиздерине карабастан өлкөнүн жарандарынын бирдей укуктарын жана мүмкүнчүлүктөрүн  камсыз кылуу үчүн институционалдык базаны түзүү</t>
    </r>
  </si>
  <si>
    <t>Экономикалык жактан активдүү эмес аялдардын санын азайтуу максатында жергиликтүү деңгээлде эмгекке жарамдуу курактагы экономикалык жактан активдүү эмес  калк үчүн кесиптик багыт берүү боюнча иш-чараларды уюштуруу</t>
  </si>
  <si>
    <t>Эмгекке жарамдуу курактагы аялдардын экономикалык активдүүлүгүн жогорулатуу</t>
  </si>
  <si>
    <t>Пилоттук министерстволордо гендердик саясаттын ишке ашырылышына мониторинг жүргүзүүнүн негизинде (МКК, СМ, ӨКМ) Гендердик дискриминация жана гендердик зомбулуктун алдын алуу бөлүгүндө колдонулуп жаткан мыйзамдарга өзгөртүү киргизүү</t>
  </si>
  <si>
    <t>Мониторинг өткөрүлдү жана  отчет даярдалды</t>
  </si>
  <si>
    <t>ЧУА (ченемдик укуктук актылар) иштелип чыкты</t>
  </si>
  <si>
    <t>Үй-бүлөлүк зомбулуктан коргоо боюнча комиттердин ишин уюштуруу үчүн жергиликтүү коомчулуктардын деңгээлинде үй-бүлөлүк зомбулуктан коргоо боюнча жергиликтүү комиттерди түзүү жана алардын иш пландарын иштеп чыгуу маселелери боюнча ЖӨБО кызматкерлери жана жергиликтүү активисттер менен эки күндүк семинарларды өткөрүү</t>
  </si>
  <si>
    <t>Өткөрүлгөн семинарлар жана уюштурулган комитет боюнча отчет</t>
  </si>
  <si>
    <t>Үй-бүлөлүк зомбулуктан жабыркагандар үчүн социалдык кызмат көрсөтүүнү баалоо методологиясы</t>
  </si>
  <si>
    <t>Изилдөөлөр боюнча отчет</t>
  </si>
  <si>
    <t>Социалдык кызматтардын/кризис борборлорунун  гендердик жана үй-бүлөлүк зомбулуктан жапа чеккендерге жардам берүү боюнча кызматтарын өнүктүрүү</t>
  </si>
  <si>
    <t>Жабыркагандарга кызмат көрсөтүүчү  кризистик  борборлордун саны</t>
  </si>
  <si>
    <t>Үй-бүлөлүк зомбулук жасаган адамдар  үчүн түзөтүү  программаларынын кызматына муктаждыктарды баалоо боюнча методологияны иштеп чыгуу</t>
  </si>
  <si>
    <t xml:space="preserve">Баалоонун методологиясы боюнча отчет </t>
  </si>
  <si>
    <t xml:space="preserve">Пилоттук облустарда үй-бүлөлүк зомбулук жасаган адамдар  үчүн түзөтүү  программаларын ишке киргизүү </t>
  </si>
  <si>
    <t>Түзөтүү  программаларынан  өткөн адамдардын   саны</t>
  </si>
  <si>
    <t>Жыйынтыгы: Кыргыз Республикасынын Эмгек жана социалдык өнүктүрүү министрлиги боюнча бардыгы</t>
  </si>
  <si>
    <t xml:space="preserve">39. Кыргыз Республикасынын Президентине караштуу Мамлекеттик башкаруу академиясы </t>
  </si>
  <si>
    <t xml:space="preserve">Пландаштыруу, башкаруу жана администрациялоо 
Программанын максаты: Башка программаларды ишке ашырууга координациялоочу жана уюштуруучу таасирлер </t>
  </si>
  <si>
    <t xml:space="preserve">Эмгектик талаш-тартыштар боюнча утуп алган сот процессинин үлүшү </t>
  </si>
  <si>
    <t xml:space="preserve">Утуп  алган сот иштеринин алардын санына карата катышы </t>
  </si>
  <si>
    <t>бирд./бирд.</t>
  </si>
  <si>
    <t>Иштерди  жана камсыз кылуу кызматын уюштуруу</t>
  </si>
  <si>
    <t xml:space="preserve"> Мониторингди, талдоону жана стратегиялык пландоону камсыз кылуу</t>
  </si>
  <si>
    <t xml:space="preserve"> Талдоодон жана  экспертизадан өткөн финансылык жана илимий иштердин көлөмү</t>
  </si>
  <si>
    <r>
      <t xml:space="preserve">Кыргыз Республикасынын Президентине караштуу Мамлекеттик башкаруу академиясы тарабынан жогорку кесиптик билим берүү 
</t>
    </r>
    <r>
      <rPr>
        <i/>
        <sz val="11"/>
        <rFont val="Times New Roman"/>
        <family val="1"/>
        <charset val="204"/>
      </rPr>
      <t xml:space="preserve">Программанын максаты: эмгек рыногунун талаптарына ылайык  жогорку кесиптик билим берүү  менен кадрларды даярдоо </t>
    </r>
  </si>
  <si>
    <t xml:space="preserve">Академияны ийгиликтүү аяктаган жогорку кесиптик билимдин бүтүрүүчүлөрүнүн үлүшү </t>
  </si>
  <si>
    <t>Окуу программаларын ишке ашыруу</t>
  </si>
  <si>
    <t>Окуп жаткан  студенттердин жылдык көлөмү</t>
  </si>
  <si>
    <t>Жогорку кесиптик билим берүүнүн квалифициялуу кадрдык персоналын даярдоо</t>
  </si>
  <si>
    <t xml:space="preserve">Республикалык жана эл аралык деңгээлдеги мелдештерде, конкурстарда байгелүү орундарды ээлеген студенттердин үлүшү  </t>
  </si>
  <si>
    <r>
      <t xml:space="preserve">Мамлекеттик жана  муниципалдык кызматкерлердин квалификациясын жогорулатуу
</t>
    </r>
    <r>
      <rPr>
        <i/>
        <sz val="11"/>
        <rFont val="Times New Roman"/>
        <family val="1"/>
        <charset val="204"/>
      </rPr>
      <t xml:space="preserve">Программанын максаты: мамлекеттик жана  муниципалдык кызматкерлерди даярдоо, кайра даярдоо жана квалификациясын жогорулатуу </t>
    </r>
  </si>
  <si>
    <t xml:space="preserve">Сертификаттарды алган мамлекеттик жана муниципалдык кызматкерлердин саны </t>
  </si>
  <si>
    <t>Тренингдерди өткөрүү</t>
  </si>
  <si>
    <t>Квалификациясын жогорулатууга тартылган мамлекеттик кызматкерлердин саны</t>
  </si>
  <si>
    <r>
      <t xml:space="preserve">Кыргыз Республикасынын Президентине караштуу Мамлекеттик башкаруу академиясы тарабынан орто кесиптик билим берүү 
</t>
    </r>
    <r>
      <rPr>
        <i/>
        <sz val="11"/>
        <rFont val="Times New Roman"/>
        <family val="1"/>
        <charset val="204"/>
      </rPr>
      <t xml:space="preserve">Программанын максаты: эмгек рыногунун талаптарына ылайык  орто кесиптик билим берүү  менен кадрларды даярдоо </t>
    </r>
  </si>
  <si>
    <t xml:space="preserve"> Техникумду ийгиликтүү аяктаган кесиптик орто билим берүүнүн бүтүрүүчүлөрүнүн үлүшү</t>
  </si>
  <si>
    <t>Орто кесиптик билим берүүнүн квалификациялуу кадрдык персоналын даярдоо</t>
  </si>
  <si>
    <t xml:space="preserve">Республикалык жана эл аралык деңгээлдеги мелдештерде, конкурстарда байгелүү орундарды ээлеген, окуп жаткандардын үлүшү  </t>
  </si>
  <si>
    <t xml:space="preserve">Жыйынтыгы: Кыргыз Республикасынын Президентине караштуу Мамлекеттик башкаруу академиясы  боюнча бардыгы </t>
  </si>
  <si>
    <t xml:space="preserve">40. "Согуштун, эмгектин, Куралдуу күчтөрдүн, Кыргыз Республикасынын укук коргоо органдарынын ардагерлер (пенсионерлер) уюму" коомдук бирикмеси </t>
  </si>
  <si>
    <t xml:space="preserve">Ардагерлердин жана ардагерлер уюмдарынын материалдык жана социалдык укуктарын коргоо боюнча сунуштарды киргизүү </t>
  </si>
  <si>
    <t xml:space="preserve">Ардагерлердин жашоо деңгээлин жогорулатуу боюнча мамлекеттик органдарга сунуштарды киргизүү, ошондой эле ардагерлерди жана ардагерлер уюмдарын социалдык коргоо жаатындагы  мыйзамдарды өркүндөтүү  
</t>
  </si>
  <si>
    <t>41. Кыргыз Республикасынын Айыл чарба, тамак-аш өнөр жайы жана мелиорация министрлиги</t>
  </si>
  <si>
    <t xml:space="preserve">Борбордук аппаратын кызматкерлеринин жалпы санынан камсыз кылуу кызмат көрсөтүү кызматкерлеринин үлүшү </t>
  </si>
  <si>
    <t xml:space="preserve"> Өлкө деңгээлинде улуттук жана мамлекеттик программаларды аткаруу даражасы</t>
  </si>
  <si>
    <t>КР облустарында аймактык өкүлчүлүктөрдүн кызматкерлеринин саны</t>
  </si>
  <si>
    <t>сан</t>
  </si>
  <si>
    <t xml:space="preserve"> Ички мониторинг  жана  контролду камсыз кылуу (ички аудит кызматы )</t>
  </si>
  <si>
    <t>Стратегиялык жана жылдык план</t>
  </si>
  <si>
    <t>Агрардык  секторду өнүктүрүүнүн жалпы координациясы</t>
  </si>
  <si>
    <t>Агрардык сектордогу региондук өкүлчүлүктөрдүн кызматкерлеринин саны</t>
  </si>
  <si>
    <t xml:space="preserve"> Айыл чарбасын мамлекеттик колдоо</t>
  </si>
  <si>
    <t xml:space="preserve">айыл чарбасындагы ИДП </t>
  </si>
  <si>
    <t>Мурунку жылга  %  физикалык көлөмдүн индекси</t>
  </si>
  <si>
    <t>Мурунку жылга % баанын индекси</t>
  </si>
  <si>
    <t>тамак-аш өнөр жайындагы ИДП</t>
  </si>
  <si>
    <t>Мурунку жылга  %  физикалык көлөм индекси</t>
  </si>
  <si>
    <t>Өсүмдүк өстүрүүчүлүк продукциясынын ИДП</t>
  </si>
  <si>
    <t>Мал чарба продукциясынын ИДП</t>
  </si>
  <si>
    <t>Өсүмдүк оорулары жана зыянкечтери менен күрөшүү боюнча иш-чараларды жүргүзүү</t>
  </si>
  <si>
    <t xml:space="preserve">Саранчы зыянкечтерине каршы айыл чарба жайыттарын химиялык иштетүү аянты </t>
  </si>
  <si>
    <t>миң га</t>
  </si>
  <si>
    <t>ААК карантиндик зыянкечтерине каршы айыл чарба жайыттарын химиялык иштетүү аянттары</t>
  </si>
  <si>
    <t xml:space="preserve">Зыянкечтерди, чегиртке жана АББ карантиндик зыянкечти табууга айыл чарба өсүмдүктөрүн айдоону изилдөө,  чегиртке жана АББ зыянкечтерине каршы химиялык тазалоону уюштуруу жана контролдоо </t>
  </si>
  <si>
    <t xml:space="preserve"> Саранчы зыянкечтерин табууну изилдөө аянттары </t>
  </si>
  <si>
    <t>АКК зыянкечтерин  табууга изилдөө аянттары</t>
  </si>
  <si>
    <t>Пестициддер менен камсыздуулук</t>
  </si>
  <si>
    <t>.литр</t>
  </si>
  <si>
    <t xml:space="preserve">Фитосанитардык жана  агрохимиялык коопсуздукту камсыз кылуу </t>
  </si>
  <si>
    <t xml:space="preserve"> Лабараториялык изилдөөлөрдүн саны </t>
  </si>
  <si>
    <t xml:space="preserve">Өсүмдүктөрдү биологиялык коргоо </t>
  </si>
  <si>
    <t xml:space="preserve">Кыргыз Республикасы боюнча айыл чарба багытындагы жерлерди биологиялык каражаттар менен тазалоо </t>
  </si>
  <si>
    <t xml:space="preserve"> Биологиялык каражаттар өндүрүшүнүн көлөмүн көбөйтүү </t>
  </si>
  <si>
    <t>миң. өзгөч</t>
  </si>
  <si>
    <t xml:space="preserve">Айыл чарбасында  механизацияны өнүктүрүү </t>
  </si>
  <si>
    <t>Айыл чарба  техникасынын  лизинги</t>
  </si>
  <si>
    <t>бирд</t>
  </si>
  <si>
    <t>Үрөн айдоолоруна талаа инцпецияларын жүргүзүү, дандардын сынамыктарын тестирлөө</t>
  </si>
  <si>
    <t xml:space="preserve"> Үрөн айдоолоруна  талаа инспекциясын жүргүзүү</t>
  </si>
  <si>
    <t>миң.га</t>
  </si>
  <si>
    <t>Себилүүчү элита үрөндөрүн айдоо аянтынын салыштырма салмагы</t>
  </si>
  <si>
    <t xml:space="preserve"> Сертификатталган  үрөндөрдүн болуусу </t>
  </si>
  <si>
    <t>миң.тонн</t>
  </si>
  <si>
    <t>Буудайды жана продуктарды кайра иштетүүгө экспертизалоону жүргүзүү</t>
  </si>
  <si>
    <t>Сертификатталган үрөндөрдүн көлөмү</t>
  </si>
  <si>
    <t xml:space="preserve">Мамрезерв нан комбинатындагы продуктулардын буудайынын үлгүлөрүнө анализ жүргүзүү </t>
  </si>
  <si>
    <t xml:space="preserve">Фермердик жана дыйкан чарбаларында нан комбинатындагы продуктулардын  буудайынын үлгүлөрүнө анализ жүргүзүү </t>
  </si>
  <si>
    <t>миң.га%</t>
  </si>
  <si>
    <t xml:space="preserve"> Апробациялар  сортсынактоо, расмий сынактоону жүргүзүү, өсүмдүктөрдүн  генетикалык ресурстарын сактоо </t>
  </si>
  <si>
    <t xml:space="preserve">А/ч өсүмдүктөрүнүн    гибриддерин  жаңы сортторун расмий сыноодон  өткөрүү </t>
  </si>
  <si>
    <t>сорт-тажр</t>
  </si>
  <si>
    <t>а/ч өсүмдүктөрүнүн сортторуна жага гибриддерине  сапаттуу баалоо жүргүзүү</t>
  </si>
  <si>
    <t xml:space="preserve">  Өсүмдүктөрдүн генетикалык ресурстарын сактоо</t>
  </si>
  <si>
    <t>үлгү</t>
  </si>
  <si>
    <t xml:space="preserve"> Жерге жайгаштыруу боюнча долбоор-иликтөө жана изилдөө иштерин аткаруу</t>
  </si>
  <si>
    <t>Райондун/ айыл аймактар боюнча жер фонддорун жана чек араларын белгилөөнү инвентаризациялоо</t>
  </si>
  <si>
    <t>11районов 116 айыл  аймактар</t>
  </si>
  <si>
    <t>11 районов 130 айыл  аймактар</t>
  </si>
  <si>
    <t xml:space="preserve">2район 23 айыл  аймактар, 7 шаар, мамрезервдин жерлери </t>
  </si>
  <si>
    <t xml:space="preserve">2 район, 90 калктуу пункт. мамрезервдин жерлери </t>
  </si>
  <si>
    <t xml:space="preserve">2 район, 85 калктуу пункт мамрезервдин жерлери </t>
  </si>
  <si>
    <t>Жер катмарын изилдөөнү корректировкалоо, айдоо жерлерди мониторингдөө</t>
  </si>
  <si>
    <t xml:space="preserve">Райондор/айыл аймактар боюнча топурак жана геобатаникалык изилдөө материалдарын корректировкалоо </t>
  </si>
  <si>
    <t>42район, 40 аймактар</t>
  </si>
  <si>
    <t>4 район,    45  аймактар</t>
  </si>
  <si>
    <t>4 район,   45  аймактар</t>
  </si>
  <si>
    <t>4 район,     45  аймактар</t>
  </si>
  <si>
    <t>Жер иштетүүнү, үрөнчүлүктү өнүктүрүү, жердин түшүмдүүлүгүн жогорулатуу</t>
  </si>
  <si>
    <t xml:space="preserve">Калкты өсүмдүк өстүрүүнүн негизги продуктулары (жеке өндүрүшүнүн  эсебинен) буудай, картошка, жашылча-жемиштер менен камсыз кылуу </t>
  </si>
  <si>
    <t xml:space="preserve">Азык-түлүк коопсуздугун жана өсүмдүк өстүрүүдө агромаркетингди камсыз кылуу </t>
  </si>
  <si>
    <t xml:space="preserve">Өз министрлигинин эсебинен импортту эске алуу менен азык-түлүк коопсуздугунун жогорку туруктуулугу </t>
  </si>
  <si>
    <t xml:space="preserve"> "Коомдук үрөн фонддорун  колдоо" долбоорун   ишке ашыруу</t>
  </si>
  <si>
    <t xml:space="preserve"> Коомдук  үрөн фонддорун колдоо</t>
  </si>
  <si>
    <t xml:space="preserve"> Аялдарды кошкондо, фермерлер менен өз ара жардам тобун түзүү
</t>
  </si>
  <si>
    <t>698 топ 4774 ферм.,    4120 аял</t>
  </si>
  <si>
    <t xml:space="preserve">Долбоор алкагында  сатылып алынган үрөн жана  минералдык жер семирткичтер
</t>
  </si>
  <si>
    <t>тонна</t>
  </si>
  <si>
    <t xml:space="preserve">Долбоордун катышуучуларынын жалпы себилген аянты
</t>
  </si>
  <si>
    <t xml:space="preserve"> "КР Айыл чарба техникасын берүүнү каржылоо" долбоорун ишке ашыруу (АКФ ЕврАзЭС)</t>
  </si>
  <si>
    <t>Айыл чарба  техникасын берүү</t>
  </si>
  <si>
    <t>Айыл чарба техникасынын өсүү темпи</t>
  </si>
  <si>
    <t>Айыл чарба техникасынын  саны</t>
  </si>
  <si>
    <t>Айыл чарба техникасынын аймактарга берүү көлөмү</t>
  </si>
  <si>
    <t>Айыл чарба техникасынын  аймактарга берүү көлөмү</t>
  </si>
  <si>
    <t xml:space="preserve"> "Агрокаржылоого кошумча нарк байланышы (КФБ) долбоорун ишке ашыруу</t>
  </si>
  <si>
    <t>Айыл чарбасына  ЦДС   номиналдык ИДП</t>
  </si>
  <si>
    <t xml:space="preserve">Асылдандыруу ишин өнүктүрүүнү колдоо </t>
  </si>
  <si>
    <t>Мурунку жылга %да  ИММ реалдуу өсүү темпи</t>
  </si>
  <si>
    <t>Ири мүйүздүү малдарды тукумдаштыруу</t>
  </si>
  <si>
    <t>баш</t>
  </si>
  <si>
    <t>Майда  мүйүздүү малдарды  тукумдаштыруу</t>
  </si>
  <si>
    <t>ИММ  жасалма  тукумдаштырууну ачуу (Түркия кредити)</t>
  </si>
  <si>
    <t xml:space="preserve">  Асыл тукум чарбаларын түзүү</t>
  </si>
  <si>
    <t xml:space="preserve"> ЮСАИД линиясы боюнча ИММ cатылып алынган  асыл тукумду алуу</t>
  </si>
  <si>
    <t>Ветеринардык дары  каражаттарын сапатын жана коопсуздугун  эсепке алуу жана  контролдоо</t>
  </si>
  <si>
    <t xml:space="preserve">Мамлекеттик каттоо жана  ветеринардык дары каражаттарын сертификаттоо </t>
  </si>
  <si>
    <t xml:space="preserve"> Ветеринардык дары каражаттарын экспертизалоо сапаты </t>
  </si>
  <si>
    <t xml:space="preserve"> Балык  запастарын күтүү жана көбөйтүү</t>
  </si>
  <si>
    <t>Берилген балык уулоо карточкаларынын саны</t>
  </si>
  <si>
    <t>Мыйзам бузуу фактысы боюнча аныкталган боюнча  иш чаралар саны</t>
  </si>
  <si>
    <t xml:space="preserve">Кыргыз Республикасынын сууларында уруктарды чыгаруу (балык уулоо) </t>
  </si>
  <si>
    <t>млн. даана.</t>
  </si>
  <si>
    <t xml:space="preserve"> Товар балыгынын өндүрүшүн көбөйтүү</t>
  </si>
  <si>
    <t>миң тонн</t>
  </si>
  <si>
    <t>Жайыттар жана жайыт чарбасын пайдалануу абалын мониторингдөө</t>
  </si>
  <si>
    <t xml:space="preserve"> Республика боюнча жайыттар аянты</t>
  </si>
  <si>
    <t xml:space="preserve"> Экологиялык туруктуу жайыт комитеттеринин саны</t>
  </si>
  <si>
    <t xml:space="preserve"> Мал чарбасын жана  рыноку өнүктүрүү долбоору- 1,2 донор МФСР</t>
  </si>
  <si>
    <t xml:space="preserve">Долбоордо белгиленген ОПП натыйжалуу  иш критерийин эсепке алуу менен тийиштүү түрдө ишке ашкан малдардын ден соолугу боюнча план саны  (ПЗЖ) 
</t>
  </si>
  <si>
    <t xml:space="preserve"> "Рынокко карата жеткиликтүүлүктү камсыз кылуу" долбоору</t>
  </si>
  <si>
    <t xml:space="preserve"> Долбоорду  ишке ашыруу зонасында  максаттуу фермерлер тарабынан  сатылган мал чарба продукциясынын наркы
</t>
  </si>
  <si>
    <t xml:space="preserve"> Фермердик чарбада иштөө эсебинен (40% аял) туруктуу жумуш ордун түзүү</t>
  </si>
  <si>
    <t xml:space="preserve">Кайра иштетүү пункттарынын жана  жаңы а/ч чарба ишканаларынын санын көбөйтүү
</t>
  </si>
  <si>
    <t xml:space="preserve"> "Жайыттарды башкарууну жакшыртуу" долбоору- донор ДБ </t>
  </si>
  <si>
    <t xml:space="preserve">Долбоор тарабынан белгиленген, ОПП ишинин натыйжалуулук критерийин эсепке алуу менен тийиштүү түрдө даярдалган жана ишке ашырылган, жайыттарды башкаруу боюнча (ПСУП) коомдоштуктардын  пландарынын саны
</t>
  </si>
  <si>
    <t xml:space="preserve"> Пайдаланылган жайыттардын аянтын  көбөйтүү
</t>
  </si>
  <si>
    <t>саны.га</t>
  </si>
  <si>
    <t xml:space="preserve">Сүт секторунун өндүрүмдүүлүгүн комплекстүү өнүктүрүү  (ДБ) </t>
  </si>
  <si>
    <t>Айыл чарба секторун каржылоого көмөк көрсөтүү</t>
  </si>
  <si>
    <t xml:space="preserve"> "Малдын  ден соолугу боюнча  региондук долбоорду" ишке ашыруу</t>
  </si>
  <si>
    <t xml:space="preserve">Этил спирти, алкогол продукциясы жана спирт камтуучу продукция өндүрүшү жана жүгүртүү үчүн контролдук </t>
  </si>
  <si>
    <t>Мыйзамсыз жүгүртүүлөрдү  токтотуу  ( алкоголь продукцияларын алып коюу)</t>
  </si>
  <si>
    <t>даана (0,5 бут)</t>
  </si>
  <si>
    <t xml:space="preserve"> Алкоголь продукциясын өндүрүү көлөмү                                                                     </t>
  </si>
  <si>
    <t>миң дал</t>
  </si>
  <si>
    <t xml:space="preserve">  Ишкердик   субьекттерин лицензиялоо</t>
  </si>
  <si>
    <t xml:space="preserve">Мамлекеттик  ирригациялык фондду жана  мелиорацияны колдоо жана өнүктүрүү
</t>
  </si>
  <si>
    <t xml:space="preserve">Сугат жерлердин көлөмү 
</t>
  </si>
  <si>
    <t>Аппаратты күтүү</t>
  </si>
  <si>
    <t>Аймак боюнча сугат жерлердин  аянты</t>
  </si>
  <si>
    <t>Баткен обл.-57,6, Ош обл.-127,3, Жалал-Абад обл.-125,0, Нарын обл.-120,5, Ысык-Көл обл.-156,5, Талас обл.-112,8, Чүй обл.-312,4, Бишкек ш.-9,2, Ош ш.-2,5</t>
  </si>
  <si>
    <t>Баткен обл.-57,6, Ош обл.-127,3, Жалал-Абад обл.-125,0, Нарын обл.-120,5, Ысык-Көл обл.-156,5, Талас обл.-112,8, Чүй обл.-312,4, Бишкек ш.-9,2, Ош ш.-2,6</t>
  </si>
  <si>
    <t>Баткен обл.-57,6, Ош обл.-127,3, Жалал-Абад обл.-125,0, Нарын обл.-120,5, Ысык-Көл обл.-156,5, Талас обл.-112,8, Чүй обл.-312,4, Бишкек ш.-9,2, Ош ш.-2,7</t>
  </si>
  <si>
    <t>Баткен обл.-57,6, Ош обл.-127,3, Жалал-Абад обл.-125,0, Нарын обл.-120,5, Ысык-Көл обл.-156,5, Талас обл.-112,8, Чүй обл.-312,4, Бишкек ш.-9,2, Ош ш.-2,8</t>
  </si>
  <si>
    <t>Баткен обл.-57,6, Ош обл.-127,3, Жалал-Абад обл.-125,0, Нарын обл.-120,5, Ысык-Көл обл.-156,5, Талас обл.-112,8, Чүй обл.-312,4, Бишкек ш.-9,2, Ош ш.-2,9</t>
  </si>
  <si>
    <t xml:space="preserve">Агын суу агызылган ченемдик  тазаланган суулардын агуусунун үлүшү
</t>
  </si>
  <si>
    <t xml:space="preserve"> Транспортировкалоодо сууну жоготуу пайыздары
</t>
  </si>
  <si>
    <t xml:space="preserve">  Өндүрүштүк, чарбалык, ичүүчү, муктаждыктарга , сугатка,сугаруу жана а/ч суу менен жабдуу  тосуу пайызы
</t>
  </si>
  <si>
    <t>өнд.-0,9%, чарб ичүү.-2%, сугат-62%,а/ч суу менен жабд.-0,7%</t>
  </si>
  <si>
    <t>өнд.-0,9%, чарб ичүү.-2%, сугат-62%,  а/чсуу менен жабд.-0,7%</t>
  </si>
  <si>
    <t>өнд.-0,9%, чарб ичүү.-2%, сугат-62%, а/чсуу менен жабд.-0,7%</t>
  </si>
  <si>
    <t>өнд.-0,9%, чарб ичүү.-2%, сугат-62%, а/ч суу менен жабд.-0,7%</t>
  </si>
  <si>
    <r>
      <t xml:space="preserve">Мамлекеттик ирригациялык жана мелиоративдик курулмаларды күтүү жана капиталдык оңдоо,    курулмалар жана насостук   станциялар жана  скважиналардан башкасы
</t>
    </r>
    <r>
      <rPr>
        <b/>
        <sz val="11"/>
        <color theme="1"/>
        <rFont val="Calibri"/>
        <family val="2"/>
        <charset val="204"/>
        <scheme val="minor"/>
      </rPr>
      <t/>
    </r>
  </si>
  <si>
    <t xml:space="preserve">4.1.1   Жерлердин  мелиоративдик абалын жакшыртуу </t>
  </si>
  <si>
    <t>4.1.2   Иригациялык  каналдарды калыбына келтирүү</t>
  </si>
  <si>
    <t>4.1.4    ГВС, ГТС оңдоо,  суу берүүнүн көлөмүн жөнгө салууу</t>
  </si>
  <si>
    <t xml:space="preserve">4.1.5  МИ ремонтунун суу көлөмүн эсепке алууну жакшыртуу </t>
  </si>
  <si>
    <t xml:space="preserve">Насостук станцияларды күтүү жана капиталдык ремонттоо жана сугат суусун берүү </t>
  </si>
  <si>
    <t>4.1.3  Капиталдык оңдоо  жана   насостук агрегаттарды алмаштыруу</t>
  </si>
  <si>
    <t>Сугатка  сугат суусун берүү</t>
  </si>
  <si>
    <t xml:space="preserve"> «А/ч өндүрүмдүүлүгүн жана азыктанууну жакшыртуу долбоорун ишке ашыруу (а/ч жана азык түлүк коопсуздугу глобалдык фонду)</t>
  </si>
  <si>
    <t xml:space="preserve">Суу пайдалануучулар  ассоциациясы (АВП) саныны көбөйүшү жана алар тарабынан  жерлерди тейлөө 
</t>
  </si>
  <si>
    <t>саны /бирд. Га</t>
  </si>
  <si>
    <t xml:space="preserve"> « Улуттук  суу ресурстарын башкаруу, фаза 1»  долбоорун ишке ашыруу ( Өнүктүрүү жана кызматташтык Швейцария бюросу)</t>
  </si>
  <si>
    <t>Cуу ресурcтары</t>
  </si>
  <si>
    <t xml:space="preserve"> КРда  Сарымсак  ирригациялык  тармагын өнүктүрүү (ИӨБ)</t>
  </si>
  <si>
    <t>Жыйынтыгы:  Кыргыз Республикасынын Айыл чарба, тамак-аш өнөр жайы жана мелиорация министрлиги боюнча бардыгы</t>
  </si>
  <si>
    <t>42.КР Өкмөтүнө караштуу Суу ресурстары мамлекеттик агенттиги</t>
  </si>
  <si>
    <t xml:space="preserve">Пландаштыруу, башкаруу жана администрациялоо                                                                                                                              </t>
  </si>
  <si>
    <t>Мамлекеттик суу чарба объектилерди күтүү жана капиталдык оңдоо</t>
  </si>
  <si>
    <t xml:space="preserve">Суу менен камсыз кылуу жана саркынды сууларды чыгарууну туруктуу өнүктүрүү </t>
  </si>
  <si>
    <t xml:space="preserve">Калктуу пункттарда ичүүчү суу менен камсыз кылуу жана саркынды сууларды чыгарууну туруктуу өнүктүрүү үчүн шарттарды түзүү </t>
  </si>
  <si>
    <t>Мамлекеттик инвестициялардын долбоорлорун ишке ашыруу</t>
  </si>
  <si>
    <t>Жыйынтыгы: Өкмөтүнө караштуу Суу ресурстары мамлекеттик агенттиги</t>
  </si>
  <si>
    <t>44. Кыргызс Республикасынын Маданият, маалымат жанга туризм министрлиги</t>
  </si>
  <si>
    <r>
      <t xml:space="preserve">Пландаштыруу, 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таасирлер</t>
    </r>
  </si>
  <si>
    <t xml:space="preserve">Бардык программалар боюнча эмгек акыга чыгашалар суммасына 001 программасы боюнча эмгек акыга чыгашалардын катышы </t>
  </si>
  <si>
    <t xml:space="preserve">Калктын ишеним көрсөтүү индекси  </t>
  </si>
  <si>
    <t>Финансылык менеджментти жана эсепти камсыз кылуу</t>
  </si>
  <si>
    <t>Эреже бузуусуз бюджетти аткаруу пайызы</t>
  </si>
  <si>
    <t xml:space="preserve">Адам  ресурстарын башкаруу </t>
  </si>
  <si>
    <t>Эмгек талаш-тартыштары боюнча жеңген  сот процесстеринин үлүшү</t>
  </si>
  <si>
    <t xml:space="preserve">Тышкы байланышты  колдоо </t>
  </si>
  <si>
    <t>Министрликтерге, ведомстволорго карата ЖМКларда айтылган оң пикирлердин саны</t>
  </si>
  <si>
    <t xml:space="preserve">Камсыз кылуу жана коомчулук менен байланыш бөлүмү </t>
  </si>
  <si>
    <t xml:space="preserve">БА кызматкерлеринин жалпы санынан камсыз кылуу кызматтарынын кызматкерлеринин үлүшү  </t>
  </si>
  <si>
    <t>Искусствону өнүктүрүүнү башкаруу</t>
  </si>
  <si>
    <t xml:space="preserve">ЧУА иштелип чыккан долбоорлорунун саны   </t>
  </si>
  <si>
    <t xml:space="preserve">Өлкөнүн  деңгээлиндеги мамлекеттик жана улуттук программаларды аткаруу даражасы </t>
  </si>
  <si>
    <t>Тарыхый-маданий мурастарды (ТММ) пайдалануу, коргоо, сактоо боюнча ЧУА  долбоорлорун иштеп чыгуу</t>
  </si>
  <si>
    <t xml:space="preserve">ЧУА  иштелип чыккан долбоорлорунун саны  </t>
  </si>
  <si>
    <t xml:space="preserve">Тарыхый-маданий мурастарды сактоо
Программанын максаты: Маданий мурастарды эл аралык деңгээлге жылдыруу, коомчулукка  популяризациялоо, рационалдуу пайдалануу, кепилденген коргоо жана сактоонун ишенимдүү  системасын түзүү. 
</t>
  </si>
  <si>
    <t xml:space="preserve">Китепканалардын сапатын жана жеткиликтүүлүгүн жогорулатуу </t>
  </si>
  <si>
    <t xml:space="preserve">Китепканаларга келүүчүлөрдүн саны </t>
  </si>
  <si>
    <t>Калктын китепканалардын кызмат көрсөтүүлөрүнө камтылышы  (тейленүүчү аймактын жашоочуларынын жалпы санынан китепканага келүүчүлөрдүн % )</t>
  </si>
  <si>
    <t xml:space="preserve">Санариптик алып жүрүүчүгө өткөн чыгармалардын саны </t>
  </si>
  <si>
    <t xml:space="preserve">Музейлердин кызмат көрсөтүүлөрүнүн жеткиликтүүлүк сапатын жогорулатуу </t>
  </si>
  <si>
    <t>Музей экспонаттарынын саны</t>
  </si>
  <si>
    <t>Музейге келүүчүлөрдүн саны</t>
  </si>
  <si>
    <t xml:space="preserve">Сүрөт искусствосу боюнча көргөзмөлөрдүн саны </t>
  </si>
  <si>
    <t>Маданий баалуулуктарга жеткиликтүүлүк мүмкүнчүлүктөрүн кеңейтүү</t>
  </si>
  <si>
    <t xml:space="preserve">Эл аралык жана республикалык маанидеги өткөрүлгөн иш-чаралардын саны  </t>
  </si>
  <si>
    <t>жолу</t>
  </si>
  <si>
    <t>Тарыхый-маданий мурас объекттерин сактоону жана коргоону камсыз кылуу  боюнча шарттарды түзүү.</t>
  </si>
  <si>
    <t xml:space="preserve">Кабыл алынган ЧУА  саны  </t>
  </si>
  <si>
    <t xml:space="preserve">Тарыхый-маданий мурас эстеликтеринин реставрациялангандарынын саны </t>
  </si>
  <si>
    <t xml:space="preserve">Театралдык-оюн-зоок мекемелеринин кызмат көрсөтүүлөрүнүн сапатын жогорулатуу жана калкты профессионалдык искусствого тартуу. </t>
  </si>
  <si>
    <t xml:space="preserve">Өткөрүлгөн  гастролдордун саны </t>
  </si>
  <si>
    <t xml:space="preserve">Жаңы коюлган оюн-зооктордун саны </t>
  </si>
  <si>
    <t xml:space="preserve">Чыгармачылык активдүүлүктү маданияттын чыгармачылык ишинин потенциалын жогорулатуу </t>
  </si>
  <si>
    <t xml:space="preserve">Театралдык оюн-зоокторду көрүүчүлөрдүн саны </t>
  </si>
  <si>
    <t xml:space="preserve">Театралдык оюн-зооктордун кызматкерлери үчүн мастер класстардын  саны </t>
  </si>
  <si>
    <r>
      <t xml:space="preserve">Маданият жана искусство чөйрөсүндөгү билим берүү. </t>
    </r>
    <r>
      <rPr>
        <i/>
        <sz val="11"/>
        <rFont val="Times New Roman"/>
        <family val="1"/>
        <charset val="204"/>
      </rPr>
      <t xml:space="preserve">Программанын максаты:  Искусство мекемелеринин реалдуу керектөөлөрүнө карата маданият тармагындагы кадрларынын билим жана жумуштуулук саясатын багыттоо. </t>
    </r>
  </si>
  <si>
    <t>Маданият чөйрөсүндөгү билим берүү сапатын жогорулатуу үчүн шарттарды камсыз кылуу</t>
  </si>
  <si>
    <t xml:space="preserve">Билим берүү мекемелеринин жалпы санында заманбап материалдык-техникалык жабдуулар менен жабдылган маданият чөйрөсүндөгү билим берүү мекемелери үчүн </t>
  </si>
  <si>
    <t>Тармакты кесипкөй кадрлар менен камсыз кылуу</t>
  </si>
  <si>
    <t xml:space="preserve">Маданият чөйрөсүндө эмгек ишмердигин улантып жаткан жалпы сандагы бүтүрүүчүлөр үчүн  </t>
  </si>
  <si>
    <t xml:space="preserve">Билим берүү мекемелеринде окуп жаткандардын саны  </t>
  </si>
  <si>
    <t xml:space="preserve">Балдардын мектепке педагогикалык даярдыгынын деңгээлин жогорулатуу. </t>
  </si>
  <si>
    <t xml:space="preserve">Мектепке чейинки билим берүүдөгү балдардын саны </t>
  </si>
  <si>
    <r>
      <t xml:space="preserve">Улуттук киноматографияны сактоо, өнүктүрүү жана  популяризациялоо. 
</t>
    </r>
    <r>
      <rPr>
        <sz val="11"/>
        <rFont val="Times New Roman"/>
        <family val="1"/>
        <charset val="204"/>
      </rPr>
      <t>Программанын максаты:  Кыргыз киноматоргафиясынын көрүүчүлөргө популярдуулугунун жана  мүмкүнчүлүктөрүнүн жана потенциалынын прогрессивдүү өсүү динамикасын камсыз кылуу.</t>
    </r>
  </si>
  <si>
    <t xml:space="preserve">Киноматография чөйрөсүндө мамлекеттик саясатты ишке ашыруу. </t>
  </si>
  <si>
    <t xml:space="preserve">Улуттук фильмдерди жаратуу үчүн шарттарды камсыз кылуу.  </t>
  </si>
  <si>
    <t xml:space="preserve">Чыгарылган улуттук фильмдердин саны </t>
  </si>
  <si>
    <t>Продукциянын линиясы боюнча чыгарылган фильмдердин саны</t>
  </si>
  <si>
    <t xml:space="preserve">Дүйнөлүк жана ата мекендик киноискусство чыгармаларына жарандардын жеткиликтүүлүгү үчүн шарттарды түзүү. </t>
  </si>
  <si>
    <t>Өлкөнүн калкынын жалпы санындагы көрүүчүлөрдүн келүүсү үчүн</t>
  </si>
  <si>
    <t xml:space="preserve">Калктын социалдык жактан  аялуу катмары үчүн акысыз  сеанстардын саны  </t>
  </si>
  <si>
    <t xml:space="preserve">Дүң жыйым </t>
  </si>
  <si>
    <r>
      <t xml:space="preserve">Туристтик тармактын өнүгүшү
</t>
    </r>
    <r>
      <rPr>
        <sz val="11"/>
        <rFont val="Times New Roman"/>
        <family val="1"/>
        <charset val="204"/>
      </rPr>
      <t xml:space="preserve">Программанын максаты: Кыргызстан Борбордук Азиядагы туризмдин аймактык борборлорунун бири болушу керек.  </t>
    </r>
  </si>
  <si>
    <t>Туризмди үгүттөөгө көмөк көрсөтүүчү билим берүү жана маркетинг иш-чараларын иштеп чыгуу жана ишке ашыруу</t>
  </si>
  <si>
    <t xml:space="preserve">Билим берүү жана маркетингдик иш-чаралардын саны  </t>
  </si>
  <si>
    <t xml:space="preserve">Кыргызстандын туристтик мүмкүнчүлүктөрүн үгүттөө. </t>
  </si>
  <si>
    <t xml:space="preserve">Эл аралык маанидеги ишке ашырылган иш-чаралардын саны </t>
  </si>
  <si>
    <t xml:space="preserve">Бүткүл дүйнөлүк  туристтик уюмдун классификациясына туура келүүчү алыскы жана жакынкы чет өлкөдөн келген жарандардын саны </t>
  </si>
  <si>
    <t>Маалыматтык чөйрөнү өнүктүрүү.
Программанын максаты: Мамлекеттик маалыматтык саясатты түзүү.</t>
  </si>
  <si>
    <t xml:space="preserve">Маалымат чөйрөсүндө мамлекеттик саясатты ишке ашыруу.  </t>
  </si>
  <si>
    <t>Иштелип чыккан ЧУА долбоорлорунун саны</t>
  </si>
  <si>
    <t>Мамлекеттик ЖМКлардын жалпы санындагы техникалык кайра жабдылган ЖМКлар</t>
  </si>
  <si>
    <t xml:space="preserve">Мамлекеттик аймактык ЖМКны өнүктүрүү үчүн шарттарды түзүү.  </t>
  </si>
  <si>
    <t xml:space="preserve">Мамлекеттик региондук ЖМКлардын кадрларын даярдоо жана кайра даярдоо  </t>
  </si>
  <si>
    <t xml:space="preserve">Телеканалдардын социалдык пакетин түзүү жана анын үзгүлтүксүз эфирдик санарип жана спутникалык берүүсү </t>
  </si>
  <si>
    <t>Өндүрүлгөн улуттук  аудиовизуалдык  продуктунун саны</t>
  </si>
  <si>
    <t>Жыйынтыгы: Кыргыз Республикасынын Маданият, маалымат жана туризм министрлиги боюнча бардыгы</t>
  </si>
  <si>
    <t xml:space="preserve">Эскертүү: программалык форматта Маданият , маалымат жана туризм  министрлиги боюнча чыгашалар Токтогул атындагы мамсыйлыктар боюнча комитеттин  - 842,7 миң сом;  "Кабар" КУМА - 22 407,5 миң сом жана  "Манас-Ордо" Кыргыз улуттук комплекси  - 18 157,6 миң сом суммасында чыгашаларды камтыбайт, алар өз алдынча бюджеттик мекемелер катары каржыланат </t>
  </si>
  <si>
    <t>КРнын Токтогул атындагы мамлекеттик сыйлыктары боюнча комитети</t>
  </si>
  <si>
    <t xml:space="preserve">Адабият, искусство жана архитектура жаатында  мамлекеттик сыйлыкты тапшыруу                                </t>
  </si>
  <si>
    <t>Бюджетти бузууларсыз аткаруу</t>
  </si>
  <si>
    <t xml:space="preserve">Жалпы жетекчиликти, финансылык менеджментти жана эсепти камсыз кылуу </t>
  </si>
  <si>
    <t>001 программасы боюнча эмгек акыга чыгашалардын бүткүл комитет боюнча эмгек акыга кеткен чыгашалардын суммасына карата катышы</t>
  </si>
  <si>
    <t>Адабият, искусство жана архитектура жаатында Токтогул атындагы Кыргыз Республикасынын мамлекеттик сыйлыгын тапшыруу</t>
  </si>
  <si>
    <t>Мамлекеттик сыйлык алган катышуучулардын саны</t>
  </si>
  <si>
    <t>Жыйынтыгы: Токтогул атындагы мамлекеттик сыйлыктар боюнча комитети боюнча  бардыгы</t>
  </si>
  <si>
    <t>“Кабар“ Кыргыз улуттук маалымат агенттиги</t>
  </si>
  <si>
    <r>
      <t xml:space="preserve">Пландаштыруу, 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таасирлер</t>
    </r>
  </si>
  <si>
    <t xml:space="preserve">Калктын ишеним индекси  </t>
  </si>
  <si>
    <t>Финансылык менеджмент жана эсепке алууну камсыз кылуу</t>
  </si>
  <si>
    <t>Бузууларсыз бюджетти аткаруу пайызы</t>
  </si>
  <si>
    <t>Тышкы байланыштар жана коомчулук менен байланышты колдоо</t>
  </si>
  <si>
    <t xml:space="preserve">Министрликтин/ведомствонун ЖМКдагы оң эскерүүлөрүнүн саны </t>
  </si>
  <si>
    <r>
      <t xml:space="preserve">Мамлекеттик бийликтин расмий булактарынан калкка жана чет өлкөлүк аудиторияга маалыматтык кызмат көрсөтүүлөрдү берүү
</t>
    </r>
    <r>
      <rPr>
        <sz val="11"/>
        <rFont val="Times New Roman"/>
        <family val="1"/>
        <charset val="204"/>
      </rPr>
      <t xml:space="preserve">Программанын максаты: КР калкына жана мамлекеттик бийлик расмий булактарынан  чет өлкөлүк аудиторияга маалыматтык кызмат көрсөтүүлөр </t>
    </r>
  </si>
  <si>
    <t>Маалыматтык агенттик чыгаруучу маалыматтардын жалпы саны</t>
  </si>
  <si>
    <t>Кыргызстан турмушу жана Кыргыз Республикасынын Президентинин иши жөнүндө маалыматтарды үзгүлтүксүз даярдоо</t>
  </si>
  <si>
    <t xml:space="preserve"> Ар бир журналист  кыргыз жана орус тилдеринде  9-12 маалымат чыгарган  жумалык маалыматтардын хронометражы</t>
  </si>
  <si>
    <t>маал.</t>
  </si>
  <si>
    <t>Чет өлкөлүк окурманга биздин өлкө жөнүндө маалыматты билдирүү</t>
  </si>
  <si>
    <t xml:space="preserve"> Маалыматтарды  жана  аналитикалык материалдарды   англис жана  түрк тилдерине которуу</t>
  </si>
  <si>
    <t>Талдоо жүргүзүү</t>
  </si>
  <si>
    <t>Жылына орточо сайтка киргендердин хронометражы</t>
  </si>
  <si>
    <t>Жыйынтыгы:  "Кабар" Кыргыз улуттук маалымат мгенттиги боюнча бардыгы</t>
  </si>
  <si>
    <t xml:space="preserve"> "Манас Ордо" кыргыз улуттук комплекси</t>
  </si>
  <si>
    <t xml:space="preserve">Улуттук аң-сезимди бекемдөө, Кыргыз Республикасында элдердин улуттар аралык ынтымагын, рухий, маданий баалуулуктарды жана салттарды өнүктүрүүгө жана өз ара байытууга активдүү көмөк көрсөтүү, "Манас" эпосунун рухий жана адеп-ахлактык мурасын үгүттөөнү активизациялоо </t>
  </si>
  <si>
    <t xml:space="preserve"> Комплекске келгендердин саны</t>
  </si>
  <si>
    <t>миң</t>
  </si>
  <si>
    <t xml:space="preserve"> Комплекстин аймагында экскурсиялык, туристтик, мейманканалык ишти, илимий- агартуучулук жана маданий-жалпы иштерди уюштуруу</t>
  </si>
  <si>
    <t xml:space="preserve"> Экспонаттардын саны</t>
  </si>
  <si>
    <t xml:space="preserve"> Экскурсиялардын саны</t>
  </si>
  <si>
    <t xml:space="preserve"> Жарыяланган маалыматтардын түрлөрүнүн саны  (иштиктүү папкалар, дубал календарлары , блокнот, буклет, брошюралар ( орус жана  кыргыз тилдеринде), китептер</t>
  </si>
  <si>
    <t xml:space="preserve"> Публикациялардын саны</t>
  </si>
  <si>
    <t>Жыйынтыгы:  "Манас Ордо"кыргыз улуттук  комплекси боюнча бардыгы</t>
  </si>
  <si>
    <t>45.  Кыргыз Республикасынын Өзгөчө кырдаалдар министрлиги</t>
  </si>
  <si>
    <t xml:space="preserve">Министрликтин эмгек акы фондуна карата "Пландоо, башкаруу жана администрациялоо" программасы боюнча эмгек акы фондунун катышы </t>
  </si>
  <si>
    <t xml:space="preserve">Бюджетти бузууларсыз аткаруу пайызы </t>
  </si>
  <si>
    <t xml:space="preserve">Эмгек талаш-тартыштар боюнча утуп алган сот процесстеринин үлүшү  </t>
  </si>
  <si>
    <t xml:space="preserve">Утуп алган сот иштеринин алардын жалпы санына карата катышы </t>
  </si>
  <si>
    <t>бирд/ бирд</t>
  </si>
  <si>
    <t>Тышкы байланыштарды жана коомчулук менен байланышты колдоо</t>
  </si>
  <si>
    <t xml:space="preserve">Министрликтердин/ведомств.-дун жалпыга маалымдоо каражаттарында оң  эскерүүлөрдүн саны </t>
  </si>
  <si>
    <t>Ички мониторингди  жана  контролдоону камсыз кылуу ( ички  аудит кызматы)</t>
  </si>
  <si>
    <t>Болжолдоонун акталуусу</t>
  </si>
  <si>
    <t>Кооптуу табигый, техногендик процесстерди жана көрүнүштөрдү талдоо жана мониторинг жүргүзүүнү ишке ашыруу  жана кээ бир кооптуу аймактарга илимий издөөлөрдү жүргүзүү</t>
  </si>
  <si>
    <t xml:space="preserve">
Биринчи кезектеги алдын алуучу иштердин мониторингин жүргүзүү боюнча болжолдоонун акталышы </t>
  </si>
  <si>
    <t xml:space="preserve">Адистештирилген метеорологиялык, агрометеорологиялык жана гидрометеорологиялык маалыматтардын болжолунун бардык түрлөрүн чыгаруу жана берүү </t>
  </si>
  <si>
    <t xml:space="preserve">Кооптуу жаратылыш кырсыктарын жана процесстерин болжолдоонун акталышы </t>
  </si>
  <si>
    <t xml:space="preserve">Табигый кырсыктардын тобокелдигин кыскартуу боюнча мамлекеттик инвестициялар  </t>
  </si>
  <si>
    <t>Өздөштүрүү</t>
  </si>
  <si>
    <t>Өзгөчө кырдаалдардын алдын-алуу,  сактоо жана алдын-ала коргоочу иш-чараларды жүргүзүү 
Программанын максаты: Алдын-ала коргоочу жана сактоочу иш чараларды пландуу жүргүзүү жардамы менен өзгөчө кырдаалдардын терс кесепеттерин жана тобокелдиктерди минималдаштыруу</t>
  </si>
  <si>
    <t xml:space="preserve">ӨК алдын алуу боюнча аткарылган иштердин көлөмү  </t>
  </si>
  <si>
    <t xml:space="preserve">Бүткөрүлгөн объекттердин саны </t>
  </si>
  <si>
    <t xml:space="preserve">Корголгон короо-жайлардын саны </t>
  </si>
  <si>
    <t>Корголгон айыл чарба жерлеринин саны</t>
  </si>
  <si>
    <t>Биринчи кезектеги превентивдик, авариялык-калыбына келтирүүчү, коргоочу иш-чараларды өткөрүү; селден коргоочу инженердик курулмаларды куруу жана пайдалануу</t>
  </si>
  <si>
    <t>Аткарылган иштердин  көлөмү</t>
  </si>
  <si>
    <t xml:space="preserve">Уран өндүрүү боюнча мурунку тоолуу катмарларды жана калдык сактоо жайларын инженердик-радиациялык комплекстик изилдөө жана калдык сактоо жайларында биринчи кезектеги авариялык-калыбына келтирүү иштерин жүргүзүү        </t>
  </si>
  <si>
    <r>
      <t xml:space="preserve">Өрт өчүрүү, иликтөө-куткаруу, авариялык-калыбына келтирүү жана башка кечиктирилгис иштерди уюштуруу, өзгөчө кырдаалдардын кесепетин жоюу.    Программанын максаты:
</t>
    </r>
    <r>
      <rPr>
        <sz val="11"/>
        <rFont val="Times New Roman"/>
        <family val="1"/>
        <charset val="204"/>
      </rPr>
      <t xml:space="preserve">Өзгөчө кырдаалдарда издөө, куткаруу жана  кырсыктардан өз убагында жана алдын алуу иш-чараларды өткөрүү                    </t>
    </r>
    <r>
      <rPr>
        <b/>
        <sz val="11"/>
        <rFont val="Times New Roman"/>
        <family val="1"/>
        <charset val="204"/>
      </rPr>
      <t xml:space="preserve">                                                       </t>
    </r>
  </si>
  <si>
    <t>Өзгөчө кырдаалдарда сакталган адамдардын саны</t>
  </si>
  <si>
    <t xml:space="preserve">Өлүмгө учуроолордун деңгээлин азайтуу </t>
  </si>
  <si>
    <t xml:space="preserve">Өрттүн кесепетинен келтирилген материалдык зыяндын деңгээлин төмөндөтүү </t>
  </si>
  <si>
    <t xml:space="preserve">ӨК кесепеттерин жоюу, издөө-куткаруу, авариялык калыбына келтирүү жана башка кечиктирилгис иштерди жүргүзүү,  өрттү өчүрүүнү жана ага байланышкан куткаруу иштерин уюштуруу  . </t>
  </si>
  <si>
    <t>Өзгөчө кырдаалдарда  сакталган адамдардын саны</t>
  </si>
  <si>
    <t xml:space="preserve">Өрттү өчүрүүнү жана ага байланышкан куткаруу иштерин уюштуруу  </t>
  </si>
  <si>
    <t xml:space="preserve">Өрттөн өлүмгө учуроолордун деңгээлин азайтуу </t>
  </si>
  <si>
    <r>
      <t xml:space="preserve">Өз алдынча башкаруу органдарын, Жарандык коргоо күчтөрүн жана калкты өзгөчө кырдаалдарда иш-аракетке даярдоо                                                                                                                      Программанын максаты: </t>
    </r>
    <r>
      <rPr>
        <sz val="11"/>
        <rFont val="Times New Roman"/>
        <family val="1"/>
        <charset val="204"/>
      </rPr>
      <t xml:space="preserve">Калктын жана Жарандык коргоо күчтөрүнүн, өз алдынча башкаруу органдарынын даярдыкта жана кабардар болуусунун деңгээлин жогорулатуунун эсебинен өзгөчө кырдаалдардын терс кесепеттерин жана тобокелдиктерин минимималдаштыруу                               </t>
    </r>
    <r>
      <rPr>
        <b/>
        <sz val="11"/>
        <rFont val="Times New Roman"/>
        <family val="1"/>
        <charset val="204"/>
      </rPr>
      <t xml:space="preserve">      </t>
    </r>
  </si>
  <si>
    <t xml:space="preserve">Даярдалган адистердин саны </t>
  </si>
  <si>
    <t>Калкты, өз алдынча башкаруу органдарын, жарандык коргоо адистерин өзгөчө кырдаалдарда иш-аракетке даярдоо жана кайра даярдоо</t>
  </si>
  <si>
    <t xml:space="preserve">Жарандык коргонуу боюнча даярдалган адистердин саны </t>
  </si>
  <si>
    <t xml:space="preserve">Суучулдук иш боюнча адистерди даярдоо жана кайра даярдоо,  бардык суу объектилеринде суу астындагы-техникалык, издөө-куткаруу, илимий-изилдөөчүлүк жана  эксперттик иштерди жүргүзүү  </t>
  </si>
  <si>
    <t xml:space="preserve">Суучулдардын иши боюнча даярдалган адистердин саны </t>
  </si>
  <si>
    <t>Жыйынтыгы: Кыргыз Республикасынын Өзгөчө кырдаалдар министрлиги боюнча бардыгы</t>
  </si>
  <si>
    <t>46.  Жерди прикладдык изилдөө Борбордук Азиялык институту</t>
  </si>
  <si>
    <t xml:space="preserve">Бардык программалар боюнча эмгек акыга чыгашалардын суммасына карата 001 Программа боюнча  эмгек акыга чыгашалардын катышы </t>
  </si>
  <si>
    <t xml:space="preserve"> бюджетти бузууларсыз аткаруу пайызы</t>
  </si>
  <si>
    <t xml:space="preserve">Эмгек талаш-тартыштары боюнча утуп алган сот процесстеринин үлүшү </t>
  </si>
  <si>
    <t>бирд/бирд</t>
  </si>
  <si>
    <t xml:space="preserve">   ЖМКларда мин-к/вед-волорду оң эскерүүлөрдүн саны</t>
  </si>
  <si>
    <t xml:space="preserve"> БА  кызматкерлеринин жалпы санынан камсыздоо кызматынын кызматкерлеринин үлүшү</t>
  </si>
  <si>
    <t>Лабораториялык корпусту капиталдык ондоо</t>
  </si>
  <si>
    <t xml:space="preserve">Кооптуу жаратылыш ресурстарын, климатты жана суу ресурстарын жана геоэкологияны изилдөө жана мониторинг тутумун түзүү </t>
  </si>
  <si>
    <r>
      <rPr>
        <b/>
        <sz val="11"/>
        <rFont val="Times New Roman"/>
        <family val="1"/>
        <charset val="204"/>
      </rPr>
      <t xml:space="preserve">Натыйжалуулук индикатору  </t>
    </r>
    <r>
      <rPr>
        <sz val="11"/>
        <rFont val="Times New Roman"/>
        <family val="1"/>
        <charset val="204"/>
      </rPr>
      <t xml:space="preserve">(Программа боюнча максаттуу </t>
    </r>
    <r>
      <rPr>
        <i/>
        <sz val="11"/>
        <rFont val="Times New Roman"/>
        <family val="1"/>
        <charset val="204"/>
      </rPr>
      <t xml:space="preserve"> индикатор</t>
    </r>
    <r>
      <rPr>
        <sz val="11"/>
        <rFont val="Times New Roman"/>
        <family val="1"/>
        <charset val="204"/>
      </rPr>
      <t>)</t>
    </r>
  </si>
  <si>
    <t xml:space="preserve"> Кыргызстандагы жана Борбордук Азия өлкөлөрү менен чектешкен региондордогу геодинамикалык процесстерди жана геотобокелчиликтерди изилдөө  </t>
  </si>
  <si>
    <t>Басылмалар тууралуу маалымат</t>
  </si>
  <si>
    <t>басылма</t>
  </si>
  <si>
    <t>Мониторингдин маалыматтары</t>
  </si>
  <si>
    <t>сунуштама</t>
  </si>
  <si>
    <t xml:space="preserve"> Кыргызстандын негизги мөңгүлөрүн жана Ысык-Көлдүн    бассейнин изилдөө </t>
  </si>
  <si>
    <t>Тренинг жана семинарлар</t>
  </si>
  <si>
    <t>Мониторинг тармактарын кеңейтүү жана модернизациялоо ( станцияларды)</t>
  </si>
  <si>
    <t xml:space="preserve"> Мониторинг базасын жана кооптуу жаратылыш процесстеринин геомаалымдык базасын иштеп чыгуу </t>
  </si>
  <si>
    <t>Реалдуу убакытта маалымат базаларын толуктоо</t>
  </si>
  <si>
    <t xml:space="preserve"> Жаратылыш кырсыктарынын тобокелдиктерин изилдөө :  айыл коомчулугундагы кооптуу жагдай жана ага адаптацияланууну баалоонун социалдык -экономикалык методологиясы </t>
  </si>
  <si>
    <t>Жыйынтыгы: Борбордук Азиялык Жерди прикладдык изилдөө институту боюнча бардыгы</t>
  </si>
  <si>
    <t>47. Кыргыз Республикасынын Өкмөтүнө караштуу Мамлекеттик салык кызматы</t>
  </si>
  <si>
    <t>Аныктык деңгээли жана /же  Калктын ишеним индекси</t>
  </si>
  <si>
    <t>камсыз кылуу кызматы</t>
  </si>
  <si>
    <t>20дан көп эмес</t>
  </si>
  <si>
    <t>Салык жыйноонун толуктугун камсыздоо</t>
  </si>
  <si>
    <t>Салык жыйымдарынын өсүү темпинин жогорулашы</t>
  </si>
  <si>
    <t>Салыктык төлөмдөрдү жыйноонун толуктугун камсыз кылуу</t>
  </si>
  <si>
    <t>Салыктарды чогултуу пландык көрсөткүчтөрүнүн аткаруу %</t>
  </si>
  <si>
    <t>Салык салууну жөнөкөйлөтүүгө багытталган иш-чаралар</t>
  </si>
  <si>
    <t xml:space="preserve">Отчеттуулукту электрондук түрдө берген салык төлөөчүлөрдүн саны: </t>
  </si>
  <si>
    <t>Салык калдыгын кыскартуу боюнча комплекстүү иш-чараларды өткөрүү</t>
  </si>
  <si>
    <t>Салыктык түшүүлөрдүн жалпы көлөмүнөн салык калдыгынын үлүшү</t>
  </si>
  <si>
    <t>Жыйынтыгы: Кыргыз Республикасынын Өкмөтүнө караштуу Мамлекеттик салык кызматы боюнча бардыгы</t>
  </si>
  <si>
    <t>48. Кыргыз Республикасынын Өкмөтүнө караштуу мамлекеттик Бажы кызматы</t>
  </si>
  <si>
    <t xml:space="preserve"> бюджеттин чыгаша бөлүгүн бузууларсыз аткаруу пайызы</t>
  </si>
  <si>
    <t>11 иш</t>
  </si>
  <si>
    <t>бирдик/бирдик</t>
  </si>
  <si>
    <t xml:space="preserve"> БА жана ведомстволук органдардын  кызматкерлеринин жалпы санынан камсыздоо кызматынын кызматкерлеринин үлүшү</t>
  </si>
  <si>
    <t xml:space="preserve"> Мониторинг, талдоо жана  стратегиялык  пландоону камсыз кылуу </t>
  </si>
  <si>
    <t xml:space="preserve">Бажы кызматынын өнүктүрүү ишине мониторинг, талдоо   жана   стратегиялык пландоо </t>
  </si>
  <si>
    <r>
      <t xml:space="preserve">Фискалдык программа Программанын максаты. Бажы конртолдугу
</t>
    </r>
    <r>
      <rPr>
        <b/>
        <i/>
        <sz val="11"/>
        <rFont val="Times New Roman"/>
        <family val="1"/>
        <charset val="204"/>
      </rPr>
      <t xml:space="preserve"> </t>
    </r>
  </si>
  <si>
    <r>
      <t>Натыйжалуулук и</t>
    </r>
    <r>
      <rPr>
        <b/>
        <sz val="11"/>
        <rFont val="Times New Roman"/>
        <family val="1"/>
        <charset val="204"/>
      </rPr>
      <t xml:space="preserve">ндикатору </t>
    </r>
    <r>
      <rPr>
        <sz val="11"/>
        <rFont val="Times New Roman"/>
        <family val="1"/>
        <charset val="204"/>
      </rPr>
      <t>( Программа боюнча  максаттуу индикатор )</t>
    </r>
  </si>
  <si>
    <t xml:space="preserve">Бажы төлөмдөрүн жыйноо жана бажы жол-жоболорун ишке ашыруу </t>
  </si>
  <si>
    <t xml:space="preserve">Республикалык бюджеттин киреше бөлүгүн толтуруу пайызы </t>
  </si>
  <si>
    <t>Өткөрмө пункттардын курулушу, жабдуулоо</t>
  </si>
  <si>
    <t>Бажы органдарынын   курулган реконструкцияланган /өткөрмө пункттарынын саны</t>
  </si>
  <si>
    <r>
      <t xml:space="preserve">Бажы укук бузууларын алдын алуу жана бөгөт коюу  
</t>
    </r>
    <r>
      <rPr>
        <i/>
        <sz val="11"/>
        <rFont val="Times New Roman"/>
        <family val="1"/>
        <charset val="204"/>
      </rPr>
      <t xml:space="preserve"> Программаны максаты.Бажы жол-жоболорун сактоо </t>
    </r>
  </si>
  <si>
    <t>Укук бузууларды табуу</t>
  </si>
  <si>
    <t xml:space="preserve">Бажы укук бузууларын алдын алуу жана бөгөт коюу  
 </t>
  </si>
  <si>
    <t xml:space="preserve"> Комптенттүү  органдарга өткөрүлүп берилген материалдардын саны </t>
  </si>
  <si>
    <t xml:space="preserve"> Административдик укук бузулардын тууралуу иштердин саны  </t>
  </si>
  <si>
    <t>Жыйынтыгы: Кыргыз Республикасынын Өкмөтүнө караштуу Мамлекеттик бажы кызматы боюнча бардыгы</t>
  </si>
  <si>
    <t xml:space="preserve">49. «Кыргыз азиздер жана дүлөйлөр коомунун» борбордук башкармалыгы </t>
  </si>
  <si>
    <r>
      <t xml:space="preserve">Көрүүсү жана угуусу боюнча майыптар үчүн коомдо тең укуктарды жана мүмкүнчүлүктөрдү камсыздоо.                                                                                                                
</t>
    </r>
    <r>
      <rPr>
        <i/>
        <sz val="11"/>
        <rFont val="Times New Roman"/>
        <family val="1"/>
        <charset val="204"/>
      </rPr>
      <t xml:space="preserve">Программанын максаты: Ден соолук мүмкүнчүлүктөрү чектелген адамдарды социалдык реаблитациялоо      </t>
    </r>
    <r>
      <rPr>
        <b/>
        <sz val="11"/>
        <rFont val="Times New Roman"/>
        <family val="1"/>
        <charset val="204"/>
      </rPr>
      <t xml:space="preserve">                                                                                                                </t>
    </r>
  </si>
  <si>
    <t>Көрүүсү жана угуусу боюнча майыптар үчүн атайын КАК (КОС) жана КДК (КОГ) китепканаларынын китеп фондун камсыздоо, бул алардын окуусуна жана жумушка орношуусуна  мүмкүндүк берет</t>
  </si>
  <si>
    <t xml:space="preserve">Жалпы китеп фонду, анын ичинде Брайль рельефтик-чекиттик шрифт системасы боюнча зарыл адабият менен атайын китепкананын камсыз болушу                                                                                                                                                                                   </t>
  </si>
  <si>
    <t>Атайын китепкананы камсыздоо</t>
  </si>
  <si>
    <t xml:space="preserve">Кыргыз азиздер жана дүлөйлөр коому боюнча көчмө атайын китепканаларды түзүү </t>
  </si>
  <si>
    <t>Санариптик залга баруу</t>
  </si>
  <si>
    <t xml:space="preserve">Товарларды жана кызматтарды пайдалануу </t>
  </si>
  <si>
    <t xml:space="preserve"> Кыргызча синтезатор менен  санариптелген жана үндөштүрүлгөн </t>
  </si>
  <si>
    <t>Кыргыз жана орус тилдеринде СД  дисктерине китеп фондунун аудио китептерин жаздыруу</t>
  </si>
  <si>
    <t>Саламаттыгы сак коомго реаблитациялоо жана интеграциялоо үчүн көрүүсү жана угуусу боюнча майыптарга тифлосурдокаражаттарды сатып алуу</t>
  </si>
  <si>
    <t>Көрүүсү жана угуусу боюнча майыптардын тифлосурдокаражаттар менен камсыз болуусу</t>
  </si>
  <si>
    <r>
      <t xml:space="preserve">Иштеп жаткан, көрүүсү жана угуусу боюнча майыптарды социалдык коргоо. 
</t>
    </r>
    <r>
      <rPr>
        <i/>
        <sz val="11"/>
        <rFont val="Times New Roman"/>
        <family val="1"/>
        <charset val="204"/>
      </rPr>
      <t xml:space="preserve">Программанын максаты: Эмгекке аралаштыруу, жагымдуу шарттарды түзүп берүү                                                                                         </t>
    </r>
  </si>
  <si>
    <t xml:space="preserve"> Кыргыз азиздер жана дүлөөйлөр коомунун окуу-өндүрүштүк ишканаларында майыптардын иш менен камсыз болуусу </t>
  </si>
  <si>
    <t xml:space="preserve">2017-жылы  Кыргыз дүлөйлөр жана азиздер коомунун иш жүзүндө  окуу-өндүрүштүк ишканалар өндүрүштөрүнүн, чыгарылган продукция өндүрүү көлөмүнүн өсүшү </t>
  </si>
  <si>
    <t>Кыргыз азиздер жана дүлөйлөр коому боюнча КНС салыктарын жана жыйымдарынын ордун толтуруу</t>
  </si>
  <si>
    <t xml:space="preserve">2017-жылы көрүү жана угуу боюнча майыптардын эмгегине акы төлөөнүн  орточо айлыктын өсүшү </t>
  </si>
  <si>
    <t>Кыргыз азиздер жана дүлөйлөр коомунда, окуу-өндүрүштүк ишканаларда өндүрүүлөрдөн түшкөн пайданы алуу</t>
  </si>
  <si>
    <t>Кыргыз азиздер жана дүлөйлөр коому боюнча иш берүүчүлөрдөн социалдык фондго чегерүүлөрдүн (17,25%) ордун толтуруу</t>
  </si>
  <si>
    <t xml:space="preserve">Жыйынтыгы: «Кыргыз азиздер жана дүлөйлөр коомунун» борбордук башкармалыгы боюнча бардыгы </t>
  </si>
  <si>
    <t>50. Кыргыз Республикасынын Президентине караштуу Мамлекеттик тил боюнча   улуттук  комиссия</t>
  </si>
  <si>
    <t xml:space="preserve">Кыргыз тилинин Улуттук корпусун түзүү жана өнүктүрүү,  кыргыз тилинин илимий  стилин түзүү жана өнүктүрүү. </t>
  </si>
  <si>
    <t>Тилди үйрөнүү  боюнча окуу-методикалык адабиятты чыгаруу:  Орус тилдүү топторго кыргыз тили ,  конкурстук негизде 5-6 жаштагы балдар үчүн мамлекеттик тилде балдар жана өспүрүмдөр  үчүн "Кыргыз эл жомоктору"китебин чыгаруу</t>
  </si>
  <si>
    <t xml:space="preserve">500 нуска.                                                    
500 нуска                                                                
500  нуска  </t>
  </si>
  <si>
    <t>Басма  продукциясын чыгаруу: Дүйнө элдеринин сөздүктөрү</t>
  </si>
  <si>
    <t xml:space="preserve">ар бири  500  нуска  </t>
  </si>
  <si>
    <t>Көркөм  каталогдор боюнча көркөм адабий чыгармаларды басуу</t>
  </si>
  <si>
    <t xml:space="preserve"> Мамлекеттик тилдин кадыр-баркын жогорулатууга багытталган атайын программаларды, социалдык жана жарнамалык роликтерди түзүү</t>
  </si>
  <si>
    <t>Берүү программалары макулдашуу боюнча</t>
  </si>
  <si>
    <t xml:space="preserve">Дүйнө адабиятынын жаңы үлгүлөрүн мамл. тилге которуу жана аларды басып чыгаруу: Нобель сыйлыгынын  лауреаттарынын чыгармалары, чыгыштын жана батыштын классикалык адабияты , түрк адабияты, лингвистикалык кыргыз тилининин маалыматтамасы </t>
  </si>
  <si>
    <t xml:space="preserve">Кыргыз тилинин  сөздүктөрүн басып чыгаруу  </t>
  </si>
  <si>
    <t>Котормо сөздүктөрдү басып чыгаруу</t>
  </si>
  <si>
    <t>Мамлекеттик тилдеги иш кагаздардын реквизиттери жана стилистикалык ченемдери боюнча методикалык-нускама басылмаларды басып чыгаруу</t>
  </si>
  <si>
    <t>Интернет порталдарды жана сайттарды мамлекеттик тилге которуу,  Интернет-ресурстарды тилди үйрөтүүдө колдонуу</t>
  </si>
  <si>
    <t>Бюджеттик чаралардын аталыштары илиминин жана терминдердин  электрондук формасы үчүн веб-портал түзүү</t>
  </si>
  <si>
    <t xml:space="preserve">Жыйынтыгы: Кыргыз Республикасынын Президентине караштуу Мамлекеттик тил боюнча улуттук комиссия боюнча бардыгы </t>
  </si>
  <si>
    <t>51.  Кыргыз Республикасынын Өкмөтүнө караштуу жергиликтүү өз алдынча башкаруу жана  этнос аралык мамилелер иштери боюнча мамлекеттик агенттик</t>
  </si>
  <si>
    <t>Жергиликтүү өз алдынча башкаруунун өнүктүрүү, этнос аралык  ынтымакты түзүү жана чыңдоо</t>
  </si>
  <si>
    <t xml:space="preserve">Кыргыз Республикасында жергиликтүү өз алдынча башкарууну өнүктүрүү </t>
  </si>
  <si>
    <t xml:space="preserve"> Жергиликтүү өз алдынча башкаруу органдары чөйрөсүндөгү мамлекттик программаларды ишке ашыруунун толуктугу</t>
  </si>
  <si>
    <t xml:space="preserve">Этнос аралык мамилелер </t>
  </si>
  <si>
    <t xml:space="preserve"> Этнос аралык мамилелер чөйрөсүндө  чыр-чатактарды кыскартуу</t>
  </si>
  <si>
    <t>Жыйынтыгы: Кыргыз Республикасынын Өкмөтүнө караштуу Жергиликтүү өз алдынча башкаруу иштери жана этностор аралык мамилелер боюнча мамлекеттик агенттиги боюнча бардыгы</t>
  </si>
  <si>
    <t>52. Кыргыз Республикасынын Өкмөтүнө караштуу Курчап турган чөйрөнү коргоо жана токой чарбасы мамлекеттик агенттиги</t>
  </si>
  <si>
    <r>
      <t xml:space="preserve">Пландоо, башкаруу жана администрациялоо 
</t>
    </r>
    <r>
      <rPr>
        <i/>
        <sz val="11"/>
        <rFont val="Times New Roman"/>
        <family val="1"/>
        <charset val="204"/>
      </rPr>
      <t xml:space="preserve">Программанын максаты: Курчап турган чөйрөнү коргоо жана токой чарбасы мамлекеттик агенттигинин натыйжалуу иши үчүн шарттарды координациялоо жана түзүү </t>
    </r>
  </si>
  <si>
    <t xml:space="preserve">Курчап турган чөйрөнү коргоо жана токой чарбасы мамлекеттик агенттигинин борбордук аппараты боюнча эмгек акыга чыгашалардын суммасына 001 программасы боюнча эмгек акыга чыгашалардын катышы </t>
  </si>
  <si>
    <t>Курчап турган чөйрөгө аяр мамиле  жасоону жана жаратылышты сарамжалдуу пайдаланууну үгүттөө</t>
  </si>
  <si>
    <t xml:space="preserve">Айлана-чөйрөгө этият мамилени жана сарамжалдуу жаратылышты пайдаланууну үгүттөө  боюнча ЖМКдагы иш-чаралардын, акциялардын, публикациялардын саны </t>
  </si>
  <si>
    <t xml:space="preserve">ЖКРФ каражаттарынын эсебинен иш-чараларды өткөрүү </t>
  </si>
  <si>
    <t xml:space="preserve">жактырылган долбоорлордун саны (отчеттуулукта баяндоо менен) </t>
  </si>
  <si>
    <r>
      <t xml:space="preserve">«Экологиялык коопсуздукту камсыздоо»
</t>
    </r>
    <r>
      <rPr>
        <i/>
        <sz val="11"/>
        <rFont val="Times New Roman"/>
        <family val="1"/>
        <charset val="204"/>
      </rPr>
      <t xml:space="preserve">Программанын максаты: калктын саламаттыгын жана айлана-чөйрөгө, анын ичинде климаттын өзгөрүшүн эске алуу менен чарбалык жана башка иштен мүмкүн болуучу терс кесепеттердин таасирин алдын алуу </t>
    </r>
  </si>
  <si>
    <t xml:space="preserve">"Экологоиялык натыйжалуулуктун индекси" рейтигиндеги Кыргыз Республикасынын  позициясы </t>
  </si>
  <si>
    <t xml:space="preserve">Экологиялык саясат боюнча ишти координациялоо  </t>
  </si>
  <si>
    <t xml:space="preserve">Айлана-чөйрөнү коргоо жана климатты өзгөртүү жаатында ведомстволор аралык координациялык механизмдердин жыйындарынын саны </t>
  </si>
  <si>
    <t>Курчап турган чөйрөнү коргоо же /болбосо ага көрсөтөлгөн терс таасирлерди төмөндөтүү боюнча  улуттук жана  секторалдык  стратегиялык документтердеги атайын бөлүмдөрдүн саны</t>
  </si>
  <si>
    <t xml:space="preserve">Мамлекеттик экологиялык экспертизаны жүргүзүү жана жаратылышты пайдаланууну жөнгө салуу </t>
  </si>
  <si>
    <t>Мамлекеттик  экологиялык  экспертизага түшкөн объекттерге берилген корутундулардын саны</t>
  </si>
  <si>
    <t xml:space="preserve">түшүү  боюнча </t>
  </si>
  <si>
    <t xml:space="preserve">түшүү боюнча </t>
  </si>
  <si>
    <t>Мамлекеттик  экологиялык экспертизаны жүргүзүүнун жыйынтыгы боюнча берилген оң корутундулардын саны</t>
  </si>
  <si>
    <t>экспертизанын жыйынтыгы боюнча</t>
  </si>
  <si>
    <t xml:space="preserve">Мамлекеттик экологиялык экспертизаны жүргүзүүнүн жыйынтыгы боюнча берилген терс корутундулардын саны </t>
  </si>
  <si>
    <t xml:space="preserve">  Стационардык булактардан атмосферага чыккан булгануучу заттардын чыгуусуна  берилген арыздарды кароолордун  саны</t>
  </si>
  <si>
    <t xml:space="preserve">Булганган агып чыккан суулардын  чыгарууга  уруксатка жазылган арыздардын каралгандарынын саны </t>
  </si>
  <si>
    <t xml:space="preserve">Озон бузуучу заттарга уруксат алууга арыздардын каралган саны  </t>
  </si>
  <si>
    <t>Ууландыруучу матер.жана заттардын, анын ичинде  радиоактивдүү калдыктарын утилдештирүүгө, сактоого, көмүүгө, жок кылууга келген  арыздардын каралган саны</t>
  </si>
  <si>
    <t xml:space="preserve">Курчап турган чөйрөнүн абалына мониторинг жүргүзүү системасын өнүктүрүү   </t>
  </si>
  <si>
    <t>Курчап турган чөйрөнүн компоненттеринин сапатын аныктоого алынган үлгүлөрдун саны</t>
  </si>
  <si>
    <t xml:space="preserve">Жүргүзүлүүчү лабораториялык изилдөөлөрдүн саны  </t>
  </si>
  <si>
    <t xml:space="preserve">Участкаларды байкоодогу жүргүзүлүүчү комиссиялык изилдөөлөрдүн саны </t>
  </si>
  <si>
    <t>Ысык-Көлдүн жээктеринин булгануусуна байкоо жүргүзүү точкаларынын саны</t>
  </si>
  <si>
    <t xml:space="preserve">"Кереге"  маалымат системасынын байкоочу индикаторлорунун саны  </t>
  </si>
  <si>
    <t xml:space="preserve">Радиациялык, биологиялык жана химиялык коопсуздук боюнча ишти координациялоо  </t>
  </si>
  <si>
    <t xml:space="preserve">Туруктуу органикалык булгоочулардан (ТОБ): эскирген пестициддер көмүлгөн жерлерден: айлана-чөйрөгө жана калктын саламаттыгы үчүн азайтылган тобокелчиликтердин саны  </t>
  </si>
  <si>
    <t xml:space="preserve">Радиактивдүү калдык сактоочу жайлардан жана иондуу нурлануу булактарынан: айлана-чөйрөгө жана калктын саламаттыгы үчүн азайтылган тобокелчиликтердин саны </t>
  </si>
  <si>
    <t xml:space="preserve">Өндүрүштүн жана керектөөнүн калдыктарын башкаруу </t>
  </si>
  <si>
    <t xml:space="preserve">Катуу тиричилик калдыктар үчүн  контейнерлер менен камсыз болуу % </t>
  </si>
  <si>
    <t xml:space="preserve">Катуу тиричилик калдыктарды чыгаруу үчүн атайын техника менен камсыз болуу %   </t>
  </si>
  <si>
    <t xml:space="preserve">Тазаланган таштандынын саны </t>
  </si>
  <si>
    <t xml:space="preserve"> чаң тоскучтар менен камсыз болуу % </t>
  </si>
  <si>
    <t>ЖКРФ каражаттарынын эсебинен иш-чараларды өткөрүү</t>
  </si>
  <si>
    <t xml:space="preserve">жактырылган долбоорлордун саны  (отчеттуулукта баяндоо менен) </t>
  </si>
  <si>
    <r>
      <t xml:space="preserve">Токой экосистемаларын өнүктүрүү 
</t>
    </r>
    <r>
      <rPr>
        <i/>
        <sz val="11"/>
        <rFont val="Times New Roman"/>
        <family val="1"/>
        <charset val="204"/>
      </rPr>
      <t xml:space="preserve">Программанын максаты: токой экосистемаларын коргоо, токойлорду көбөйтүү жана сарамжалдуу токой пайдалануу </t>
    </r>
  </si>
  <si>
    <t>Мамлекеттик токой фондунун токойлорунун  аянты</t>
  </si>
  <si>
    <t xml:space="preserve">Токойлорду токой бузуулардан жана өрттөн коргоо </t>
  </si>
  <si>
    <t xml:space="preserve">Токой эрежелерин бузуулардан  жана өрттөн коргоого тийиштүү мамлекеттик токой фондунун аянты  </t>
  </si>
  <si>
    <t xml:space="preserve">Өрттүн жалпы санына карата учурунда өчүрүлгөн токой өрттөрүнүн санынын катышы  </t>
  </si>
  <si>
    <t>Токойлорду зыянкечтерден жана илдеттерден коргоо</t>
  </si>
  <si>
    <t xml:space="preserve">Токой зыянкечтерине каршы иштелип чыккан аянттын токой зыянкечтеринен жуккан жалпы аянтына карата катышы </t>
  </si>
  <si>
    <t xml:space="preserve">Токой ресурстарын кайра өндүрүү </t>
  </si>
  <si>
    <t>Токой өсүмдүктөрүнүн байыр алуусу,  %</t>
  </si>
  <si>
    <t>МТФ жерлериндеги токой өсүмдүктөрүнүн жыл сайын отургузуу аянты</t>
  </si>
  <si>
    <t xml:space="preserve">Отургузулуучу материалдардын өстөрүлгөн саны </t>
  </si>
  <si>
    <t>Токойлордун азыктуулугун жогорулатуу жана сактоо</t>
  </si>
  <si>
    <t>Тазалоо жүргүзүлгөн  аянт</t>
  </si>
  <si>
    <t>Токой пайдаланууну уюштуруу</t>
  </si>
  <si>
    <t xml:space="preserve">УСКга мамлекеттик статистикалык отчеттуулук берген токой пайдалануучуларынын саны </t>
  </si>
  <si>
    <t xml:space="preserve">миң адам  </t>
  </si>
  <si>
    <t xml:space="preserve">Токойдон  киреше алуучу калктын саны </t>
  </si>
  <si>
    <t>Токой чарбасын координациялоо жана жүргүзүүнү уюштуруу</t>
  </si>
  <si>
    <t xml:space="preserve">Департаменттин жана токой чарбасынын кызматкерлеринин жалпы санынан ТТП жана КТП, жетекчилигинин, бухгалтерия, кадр кызматкерлеринин үлүшү </t>
  </si>
  <si>
    <t>Токой чарбасын региондук  деңгээлде жүргүзүүнү уюштуруу</t>
  </si>
  <si>
    <t xml:space="preserve"> Токой чарбасынын кызматкерлеринин жалпы санынан ТТП жана КТП, токой чарбасынын жетекчилигинин, бухгалтерия кызматкерлеринин үлүшү</t>
  </si>
  <si>
    <t>ЖКРФ каражаттары аркылуу иш-чараларды өткөрүү</t>
  </si>
  <si>
    <r>
      <t xml:space="preserve">Токой, аңчылык ресурстарды эсепке алуу, токой чарбаларын жүргүзүүнү жана аңчылык чарба иштерин пландоо  
</t>
    </r>
    <r>
      <rPr>
        <i/>
        <sz val="11"/>
        <rFont val="Times New Roman"/>
        <family val="1"/>
        <charset val="204"/>
      </rPr>
      <t xml:space="preserve">Программанын максаты: токой ресурстарын, аңчылык жерлерди сапаттык жана сандык мүнөздөмө жөнүндө маалымат менен камсыздоо, баалоо, болжолдоо, пландоо жана эсепке алуу  </t>
    </r>
  </si>
  <si>
    <t xml:space="preserve"> Токойлорду инвентаризациялоо боюнча,  токой чарбалык иш-чараларды пландаштыруу боюнча, жапайы жаныбарларды эсепке алуу боюнча, типология жана бонитировкалоо боюнча,  картографиялык материалдардын сандык моделдерин, токой жайгаштыруу долбоорлорунун, аңчылык  чарба ишинин стратегиялык планынын, чарбалар аралык аңчылыкты уюштуруу  долбоорлорунун маалыматтар базасын камтуу, %  </t>
  </si>
  <si>
    <t>миң  га</t>
  </si>
  <si>
    <t>Токой-аңчылык  жайгаштыруу иштерин башкаруу жана уюштуруу</t>
  </si>
  <si>
    <t xml:space="preserve">"Токой аңчылык жайгаштыруу" ММ  кызматкерлеринин жалпы санынан жетекчиликтин, бухгалтерия, кадр, ТОП жана МОП  кызматкерлеринин үлүшү </t>
  </si>
  <si>
    <t>Токойлорду инвентаризациялоону жүргүзүү</t>
  </si>
  <si>
    <t>Токойлорду улуттук инвентаризациялоо жүргүзүлгөн аянт</t>
  </si>
  <si>
    <t xml:space="preserve">Токой жайгаштырууну жүргүзүү </t>
  </si>
  <si>
    <t>Токой жайгаштыруу тарабынан өткөрүлгөн аянт</t>
  </si>
  <si>
    <t>Бөлүкчөлөрдү баалоо</t>
  </si>
  <si>
    <t xml:space="preserve">Токойлорду инвентаризациялоонун сыноо аянтынын саны </t>
  </si>
  <si>
    <t>Токой жайгаштыруу долбоорлору</t>
  </si>
  <si>
    <t xml:space="preserve">Анчылык жайгаштырууну жүргүзүү </t>
  </si>
  <si>
    <t>Чарба аралык аңчылык жайгаштыруу жүргүзүлгөн аянт</t>
  </si>
  <si>
    <t xml:space="preserve">Жапайы жаныбарларды эсепке алуучу байкоо пункттары </t>
  </si>
  <si>
    <t xml:space="preserve">Жапайы жаныбарларды эсепке алуу боюнча өтүлгөн маршруттардын узундугу </t>
  </si>
  <si>
    <t xml:space="preserve">Чарба аралык аңчылык жайгаштыруу долбоорлору </t>
  </si>
  <si>
    <t>Камералык иштерди жүргүзүү</t>
  </si>
  <si>
    <t>Камералык иштер (санариптөө)</t>
  </si>
  <si>
    <t xml:space="preserve">Бөлүкчөлөрдү баалоо жана токойлорду инвентаризациялоо карточкаларын киргизүү  </t>
  </si>
  <si>
    <t xml:space="preserve"> Таксациялык баяндоолорду чыгаруу </t>
  </si>
  <si>
    <t xml:space="preserve"> Картографиялык материалдарды чыгаруу  </t>
  </si>
  <si>
    <t xml:space="preserve"> ЖКРФ каражаттары аркылуу иш-чараларды өткөрүү</t>
  </si>
  <si>
    <r>
      <t xml:space="preserve">Биоартүрдүүлүктү коргоо  
</t>
    </r>
    <r>
      <rPr>
        <i/>
        <sz val="11"/>
        <rFont val="Times New Roman"/>
        <family val="1"/>
        <charset val="204"/>
      </rPr>
      <t xml:space="preserve">Программанын максаты:  биоартүрдүүлүктү сактоо жана жакшыртуу, анын ичинде жаныбарлар жана өсүмдүк дүйнөсүнүн сейрек жана жоголуп бара жаткан популяцияларын калыбына келтирүү; Кыргыз Республикасынын биоартүрдүүлүктү туруктуу пайдалануу </t>
    </r>
  </si>
  <si>
    <t xml:space="preserve"> Кызыл китепке киргизилген корголуудагы айбанаттардын (омурткалуулар жана омурткасыздар) түрлөрүнүн саны</t>
  </si>
  <si>
    <t>Кызыл китепке киргизилген корголуудагы куштардын түрлөрүнүн саны</t>
  </si>
  <si>
    <t>Кызыл китепке киргизилген жогорку түзүлүштөгү өсүмдүктөрдүн жана козу карындардын  түрлөрүнүн саны</t>
  </si>
  <si>
    <t xml:space="preserve">ӨКЖА иштерин  координациялоо жана экосистемаларды сактоо боюнча маселелерди үгүттөө </t>
  </si>
  <si>
    <t xml:space="preserve">"Токой аңчылык жайгаштыруу" ММ  кызматкерлеринин жалпы санынан жетекчиликтин, бухгалтерия, кадр, ТТП жана КТП  кызматкерлеринин үлүшү </t>
  </si>
  <si>
    <t xml:space="preserve">Башкаруунун натыйжалуулугун эл аралык баалоо киргизилген ОКЖА саны </t>
  </si>
  <si>
    <t>Өлкөнүн жалпы аянтына карата өзгөчө корголуучу жаратылыш аймактарынын үлүшү</t>
  </si>
  <si>
    <t xml:space="preserve">Улуттук жаратылыш  парктарынын жана коруктарынын аянты  </t>
  </si>
  <si>
    <t>ӨКЖАда иштелип чыккан экологиялык жолдордун саны</t>
  </si>
  <si>
    <t>ӨКЖАнын маалыматтык борборлордун  саны</t>
  </si>
  <si>
    <t>биотүрдүүлүктү сактоо маселелерин үгүттөө  боюнча жүргүзүлгөн иш-чаралардын саны</t>
  </si>
  <si>
    <t xml:space="preserve">ӨКЖА аймактарында биотүрдүүлүктү сактоо боюнча иш-чаралар </t>
  </si>
  <si>
    <t xml:space="preserve">ӨКЖАда аңчылык жаныбарлары үчүн коюлган шор топурактардын саны </t>
  </si>
  <si>
    <t>ӨКЖА аймагындагы тазаланган булактардын саны</t>
  </si>
  <si>
    <t xml:space="preserve">Өрттөрдүн саны  </t>
  </si>
  <si>
    <t xml:space="preserve">ӨКЖА жалпы аянтына карата деградацияланган экосистем аянтынын катышы  (коруктар жана улуттук парктар ) </t>
  </si>
  <si>
    <t xml:space="preserve">ӨКЖА аймагында ачыкталган бузуулардын мындай учурлардын санына карата катышы (браконьердик, токой бузуулары, малды мыйзамсыз жаюу, ӨКЖА   режимин бузуу ж.б.) </t>
  </si>
  <si>
    <t xml:space="preserve">ӨКЖА  илимий-изилдөө иштерин жүргүзүү </t>
  </si>
  <si>
    <t>Жүргүзүлгөн илимий иштердин саны</t>
  </si>
  <si>
    <t>Жаныбарлар дүйнөсүнө  жана улуттук жапайы жаныбарлардын маалыматтар базасынын  объектилерине мониторинг, эсепке алууну жана кадастр жүргүзүүнү киргизүү</t>
  </si>
  <si>
    <t>Эсепке алынууга камтылган жапайы жаныбарлардын түрлөрүнүн/түрчөлөрүнүн саны</t>
  </si>
  <si>
    <t xml:space="preserve">КР Кызыл китебине киргизилген, эсепке алынууга камтылган жапайы жаныбарлардын түрлөрү/түрчөлөрүнүн саны </t>
  </si>
  <si>
    <t>Мониторинг өткөрүлүүчү аянтчалардын саны</t>
  </si>
  <si>
    <t xml:space="preserve">КР жапайы жаныбарлар базасына киргизилген, жапайы жаныбарлардын түрлөрү/түрчөлөрү жөнүндө маалымат </t>
  </si>
  <si>
    <t xml:space="preserve">Жаныбарлар дүйнөсүнүн объекттерин колдоо, сактоо жана кайра өндүрүү  </t>
  </si>
  <si>
    <t xml:space="preserve">Атылган  "зыяндуу" жаныбарлардын саны </t>
  </si>
  <si>
    <t xml:space="preserve">Анчылык жаныбарлар үчүн шор топурак ташталган орундардын саны   </t>
  </si>
  <si>
    <t xml:space="preserve">Аңчылык чарбалардын аймактарында тазаланган булактардын саны </t>
  </si>
  <si>
    <t xml:space="preserve">Жапайы жаныбарлардын ооруларды жайылтуусун табуу жана алдын алуу боюнча иш-чаралардын саны  </t>
  </si>
  <si>
    <t xml:space="preserve">Жаныбарлар жана өсүмдүктөр дүйнөсүнүн жаратылыш ресурстарын жана алар жашаган/көбөйгөн жерлерди коргоо,  координациялоо жана пайдаланууну контролдоо  </t>
  </si>
  <si>
    <t xml:space="preserve"> Орнотулган маалыматтык аншлагдардын жана  паннолордун жыл үчүн/бардыгынын саны </t>
  </si>
  <si>
    <t xml:space="preserve">Ачылган  аңчылык эрежелерин бузуулар жана броконьерлик учурлардын санына карата  катышы  </t>
  </si>
  <si>
    <t>Келтирилген зыяндын ордун толтуруу боюнча  өндүрүлгөн суммалардын катышы</t>
  </si>
  <si>
    <t xml:space="preserve">Аңчылык чарба ишин жүргүзүү укугуна берилген арыздардын каралган саны   </t>
  </si>
  <si>
    <t>Жаныбарлар дүйнөсүнүн ресурстарын биргелешип коргоого тартылган жергиликтүү жамааттардын саны</t>
  </si>
  <si>
    <t>Аңчылыкты пайдалануучулардын ишин координациялоо</t>
  </si>
  <si>
    <t>аңчылыкты пайдалануучулардын саны</t>
  </si>
  <si>
    <t xml:space="preserve">Берилген мамлекеттик мергенчилик күбөлүктөрдүн саны </t>
  </si>
  <si>
    <t>жактырылган долбоорлордун саны  (отчеттуулукта баяндоо менен)</t>
  </si>
  <si>
    <t>Жыйынтыгы: Кыргыз Республикасынын Өкмөтүнө караштуу Курчап турган чөйрөнү коргоо жана токой чарбасы мамлекеттик агенттиги боюнча бардыгы</t>
  </si>
  <si>
    <t>53. Кыргыз Республикасынын Өкмөтүнө караштуу Мамлекеттик каттоо кызматы</t>
  </si>
  <si>
    <t xml:space="preserve">001 программасы боюнча эмгек акыга  чыгашалардын бардык программалар боюнча эмгек акыга  чыгашалардын суммасына карата катышы </t>
  </si>
  <si>
    <t xml:space="preserve">Бюджетти  бузууларсыз аткаруу пайызы </t>
  </si>
  <si>
    <t xml:space="preserve">Эмгектик талаш-тартыштар боюнча жеңип чыккан сот иштеринин катышы </t>
  </si>
  <si>
    <t xml:space="preserve">Алардын жалпы санына карата жеңип чыккан сот иштеринин катышы </t>
  </si>
  <si>
    <t>Мин.ведом. ЖМКдагы оң эскерүүлөрүнүн  саны</t>
  </si>
  <si>
    <t>Борбордук аппараттын  кызматкерлеринин жалпы санынан камсыздоо кызматтарынын кызматкерлеринин үлүшү</t>
  </si>
  <si>
    <t>2014-2017-жылдарга Кыргыз Республикасынын Өкмөтүнө караштуу Мамлекеттик каттоо кызматынын өнүктүрүү стратегиясын ишке ашыруу</t>
  </si>
  <si>
    <t>Калкты  жана жарандык абал актыларын каттоо</t>
  </si>
  <si>
    <t xml:space="preserve">Калктан келген даттануулардын санынын кыскарышы </t>
  </si>
  <si>
    <t>Калкты каттоо</t>
  </si>
  <si>
    <t xml:space="preserve">Персонификацияланган паспорттордун саны </t>
  </si>
  <si>
    <t>Жарандык абал актыларын каттоо</t>
  </si>
  <si>
    <t xml:space="preserve">Жарандык абалдын катталган актыларынын саны </t>
  </si>
  <si>
    <t>Транспорт каражаттарын жана айдоочулук курамды каттоо</t>
  </si>
  <si>
    <t>Натыйжалуулук индикатору</t>
  </si>
  <si>
    <t>Транспорт каражаттарын каттоо</t>
  </si>
  <si>
    <t>Катталган транспорт каражаттары</t>
  </si>
  <si>
    <t>Айдоочулук курамды каттоо</t>
  </si>
  <si>
    <t xml:space="preserve">Берилген айдоочулук күбөлүктөр </t>
  </si>
  <si>
    <t>Кыймылсыз мүлккө укукту каттоо</t>
  </si>
  <si>
    <t xml:space="preserve">Пландоо, башкаруу жана  администрациялоо                                                                                                                              </t>
  </si>
  <si>
    <t xml:space="preserve">Калктан келген даттануулардын санынын кыскарышы  </t>
  </si>
  <si>
    <t xml:space="preserve"> КР архив фондунун документтеринин сакталышын камсыз кылуу</t>
  </si>
  <si>
    <t xml:space="preserve">Мамлекетин жана коомдун кызыкчылыгы үчүн КР Улуттук архивдик фондун  түзүү, комплектөө, сактоо жана пайдалануу  </t>
  </si>
  <si>
    <t>сактоо бирд</t>
  </si>
  <si>
    <t>Архив документтерин сактоодо сапатты жана коопсуздукту жогорулатуу</t>
  </si>
  <si>
    <t xml:space="preserve">Архивдик документтерди туруктуу негизде сактоо үчүн  сактоонун ченемдерин жана стандарттарын камсыздоого мүмкүндүк берет </t>
  </si>
  <si>
    <t>Коробка саны</t>
  </si>
  <si>
    <t xml:space="preserve"> Архив документтерин  санариптөө</t>
  </si>
  <si>
    <t xml:space="preserve">Архивдик  документтердин камсыздандыруу  фондун түзүү ( архивдик  документтердин санариптик көчүрмөсү); документтердин түп нускасын пайдаланбоо максатында архивдик документтерди пайдалануу  фондун түзүү,  архивдик документтерди оперативдүү издөө  </t>
  </si>
  <si>
    <t>2015-2025 -жылдарда чет өлкөлөрдөгү аривдерде,музейлерде жана китепканалардагы кыргыздар жана Кыргызстан жөнүндө документтерди жана материалдарды табуу жана топтоо боюнча программа</t>
  </si>
  <si>
    <t xml:space="preserve">Архивдик  фондду баалуу тарыхый документтер менен толуктоо  </t>
  </si>
  <si>
    <t>барак/сактоо бирд</t>
  </si>
  <si>
    <t>Чет өлкөлүк архивдерде кыргыздар жана Кыргызстан документалдык тарыхын изилдөө</t>
  </si>
  <si>
    <t>Илимий-изилдөө иштерин кеңейтүү</t>
  </si>
  <si>
    <t>күндөрдүн саны</t>
  </si>
  <si>
    <t>Тарыхый мураска ээ болгон документтерди көчүрмөлөө жана КР  жеткирүү</t>
  </si>
  <si>
    <t xml:space="preserve">Чет өлкөлүк архивдерден алынган документтердин негизинде  архивдик фондду түзүү  </t>
  </si>
  <si>
    <t>Жыйынтыгы: Кыргыз Республикасынын Өкмөтүнө караштуу Мамлекеттик каттоо кызматы боюнча бардыгы</t>
  </si>
  <si>
    <t>54. КРӨ караштуу Экологиялык жана техникалык коопсуздук боюнча мамлекеттик инспекциясы</t>
  </si>
  <si>
    <t xml:space="preserve"> Программанын максаты:  ЭТКБМИ  натыйжалуу иши үчүн  шарттарды  координациялоо жана түзүү . </t>
  </si>
  <si>
    <t xml:space="preserve">Бардык программалар боюнча эмгек акыга  чыгашалардын суммасына карата 001 программасы боюнча эмгек акыга  чыгашалардын катышы </t>
  </si>
  <si>
    <t>калктын ишеним индекси</t>
  </si>
  <si>
    <t xml:space="preserve"> ГИЭТБ  системасында  эмгек талаштары боюнча  утуп алган сот процесстеринин  үлүшү</t>
  </si>
  <si>
    <t xml:space="preserve"> Акыркы 3 жыл ичинде кайра окутуу жана квалификацияларды жогорулатуудан өткөн инпекторлордун үлүшү</t>
  </si>
  <si>
    <t xml:space="preserve">Алардын жалпы санына карата утуп  чыккан сот иштеринин катышы </t>
  </si>
  <si>
    <t xml:space="preserve"> ГИЭТБ  иши боюнча көрсөтүлгөн видео роликтердин саны</t>
  </si>
  <si>
    <t xml:space="preserve">Контролдук-көзөмөл ишинин жалпы көлөмүндө профилактикалык иш чаралар үлүшү </t>
  </si>
  <si>
    <t xml:space="preserve">Өткөрүлгөн семинарлар, конференциялар,ЖМК түшүндүрүү иштеринин, түз байланыш жана башка иш-чаралар  саны </t>
  </si>
  <si>
    <t>Тышкы байланыштарды колдоо</t>
  </si>
  <si>
    <t>тартылган гранттардын саны</t>
  </si>
  <si>
    <t xml:space="preserve"> Борбордук  аппарат жана  региондук башкармалыктардын кызматкерлеринин жалпы санынан камсыздалган кызматтардын кызматкерлеринин саны</t>
  </si>
  <si>
    <t xml:space="preserve">   ГИЭТБ  өнүктүрүү стратегиясынын негизинде (квартал сайын) отчетторду түзүү, көйгөйлүү жактарды   табуу жана аларды  чечүү жолдору</t>
  </si>
  <si>
    <r>
      <t xml:space="preserve">Мониторинг жана экологиялык коопсуздук контролдоо                                  
</t>
    </r>
    <r>
      <rPr>
        <i/>
        <sz val="11"/>
        <rFont val="Times New Roman"/>
        <family val="1"/>
        <charset val="204"/>
      </rPr>
      <t xml:space="preserve"> Программанын максаты:  Кыргыз Республикасындагы экологиялык коопсуздуктун жогорку деңгээли </t>
    </r>
  </si>
  <si>
    <t xml:space="preserve"> Экологиялык натыйжалуулук  индекс рейтингинде КР позициясы</t>
  </si>
  <si>
    <t xml:space="preserve"> Курчап турган чөйрөнү коргоону, жаратылыш ресурстарынын сарамжалдуу пайдаланууну, биоресурстарды колдонууну жана коргоону, химиялык коопсуздукту мамлекеттик контролдоо</t>
  </si>
  <si>
    <t xml:space="preserve"> биоартүрдүүлүктү коргоо менен байланыштуу  табылган укук бузуулардын саны </t>
  </si>
  <si>
    <t xml:space="preserve"> санкцияланбаган таштандылар саны  </t>
  </si>
  <si>
    <t xml:space="preserve"> текшерүүлөрдүн жалпы саны</t>
  </si>
  <si>
    <t xml:space="preserve"> текшерүү аркылуу контролдоого жана көзөмөлгө  тийиштүү обьекттерди камтуу  </t>
  </si>
  <si>
    <t>Текшерүү жүргүзүүдө жазма буйруктарды аткарбоого  байланыштуу бузуулардын  аныкталгандарынын саны</t>
  </si>
  <si>
    <t xml:space="preserve">Суу ресурстарын  жана объекттерин колдонууну көзөмөлдөөнү жана контролдоону ишке ашыруу </t>
  </si>
  <si>
    <t xml:space="preserve"> Суу ресурстары жана  объекттерди контролдоо жана көзөмөлдөө процессинде аныкталган  бузуулардын саны</t>
  </si>
  <si>
    <t xml:space="preserve">   текшерүү аркылуу контролдоого жана көзөмөлгө  тийиштүү обьекттерди камтуу  </t>
  </si>
  <si>
    <t>Жерлерди коргоону,  контролдоону, көзөмөлдөөнү ишке ашыруу</t>
  </si>
  <si>
    <t xml:space="preserve"> деградация себеби боюнча а/ч иштеринен алынып салынган  жер аянттары </t>
  </si>
  <si>
    <t>Текшерүү жүргүзүүдө жазма буйруктарды аткарбоого  байланыштуу бузуулардын  аныкталгандарынын үлүшү</t>
  </si>
  <si>
    <t>Радиоактивдүү жана ядролук материалдарды жана объекттерди көзөмөлдөөнү жана контролдоону  ишке ашыруу</t>
  </si>
  <si>
    <t xml:space="preserve"> текшерүү аркылуу контролдоого жана көзөмөлгө  тийиштүү обьекттерди камтуу   </t>
  </si>
  <si>
    <t>Техникалык коопсуздукту контролдоо жана мониторинг .                                                     Программанын максаты Кыргыз Республикасында техникалык коопсуздуктун жогорку деңгээли</t>
  </si>
  <si>
    <t xml:space="preserve">Тобокелчилик түрү боюнча контролдонуучу өлүм учурларынын жалпы саны </t>
  </si>
  <si>
    <t xml:space="preserve"> контролдонуучу тобокелчиликтердин түрү боюнча  жабырланган жана жаракат алган учурлардын жалпы  саны</t>
  </si>
  <si>
    <t>Эмгекти коргоо жана эмгектик мамилелер</t>
  </si>
  <si>
    <t xml:space="preserve"> Өндүрүштө болгон кырсык учурларды изилдөөлөрдүн  саны</t>
  </si>
  <si>
    <t xml:space="preserve">  текшерүү аркылуу контролдоого жана көзөмөлгө  тийиштүү обьекттерди камтуу </t>
  </si>
  <si>
    <t> Өнөр жай коопсуздугун камсыз кылуу</t>
  </si>
  <si>
    <t xml:space="preserve"> өнөр жай  объекттеринде болгон кырсыктуу учурлар саны</t>
  </si>
  <si>
    <t xml:space="preserve"> өнөр жай объекттеринде табылган бузуулар саны</t>
  </si>
  <si>
    <t>текшерүүлөрдүн жалпы саны</t>
  </si>
  <si>
    <t xml:space="preserve">текшерүү аркылуу контролдоого жана көзөмөлгө  тийиштүү обьекттерди камтуу </t>
  </si>
  <si>
    <t>Тоо-кен  көзөмөлүн ишке ашыруу</t>
  </si>
  <si>
    <t xml:space="preserve"> текшерүү аркылуу контролдоого жана көзөмөлгө  тийиштүү обьекттерди камтуу    </t>
  </si>
  <si>
    <t>Тоо көзөмөлү чөйрөсүндөгү бузуулар менен байланыштуу  кырсыктуу учурлар саны</t>
  </si>
  <si>
    <t xml:space="preserve"> өндүрүш объекттериндеги  пайдаланууга берүүдөгү эрежелердин бузуулар  саны</t>
  </si>
  <si>
    <t>Жер казынасын сарамжалдуу пайдалануу</t>
  </si>
  <si>
    <t xml:space="preserve">   текшерүү аркылуу контролдоого жана көзөмөлгө  тийиштүү обьекттерди камтуу     </t>
  </si>
  <si>
    <t xml:space="preserve">   жүргүзүлүп жаткан  иштердин долбоордон  четтетилгендеринин  саны</t>
  </si>
  <si>
    <t>Лицензиялык макулдашуулардын бузуулары менен байланыштуу инциденттердин саны</t>
  </si>
  <si>
    <t>Реконструкцияланып  жаткан имраттардын жана курулуштардын сапатын жана ишенимдүүлүгүн камсыздоо</t>
  </si>
  <si>
    <t xml:space="preserve"> текшерүү аркылуу контролдоого жана көзөмөлгө  тийиштүү обьекттерди камтуу</t>
  </si>
  <si>
    <t>текшерүүлөрдү жүргүзүүдө аныкталган жана четтетилген бузуулар үлүшү</t>
  </si>
  <si>
    <t xml:space="preserve"> Технологияларды жана ченемдерди  бузуу менен байланыштуу инциденттердин саны</t>
  </si>
  <si>
    <t>Энергосистемасында технологиялык бузууларды жана  электротравматизмдин  кырсыктарын иликтөө</t>
  </si>
  <si>
    <t>текшерүү аркылуу контролдоого жана көзөмөлгө  тийиштүү обьекттерди камтуу</t>
  </si>
  <si>
    <t xml:space="preserve">Текшерүү жүргүзүүдө жазма буйруктарды аткарбоого  байланыштуу бузуулардын  аныкталгандарынын саны </t>
  </si>
  <si>
    <t xml:space="preserve">   Технологияларды жана ченемдерди  бузуу менен байланыштуу инциденттердин саны</t>
  </si>
  <si>
    <t>Энергосистемасын пайдалдануу процессинде  табылган бузуулардын саны</t>
  </si>
  <si>
    <t>Өрт коопсуздугунун ченемдеринин жана эрежелеринин талаптарын аткарууну көзөмөлдөөнү жана контролдоону ишке ашыруу</t>
  </si>
  <si>
    <t>Технологияларды жана ченемдерди  бузуу менен байланыштуу инциденттердин саны(азаюу)</t>
  </si>
  <si>
    <t>Транспорттук коопсуздук чөйрөсүндө контролдоону жана көзөмөлдөөнү ишке ашыруу</t>
  </si>
  <si>
    <t xml:space="preserve">текшерүү аркылуу контролдоого жана көзөмөлгө  тийиштүү обьекттерди камтуу  </t>
  </si>
  <si>
    <t xml:space="preserve">Мамлекеттин жана жарандардын кызыкчылыгын  ченөөлөрдүн анык эмес жыйынтыгынан коргоо </t>
  </si>
  <si>
    <t xml:space="preserve"> "ОЕИ" КР Мыйзамынын талаптарын бузуулардын саны
</t>
  </si>
  <si>
    <t>Жыйынтыгы: Экологиялык жана техникалык коопсуздук боюнча мамлекеттик инспекция боюнча бардыгы</t>
  </si>
  <si>
    <t>55. Кыргыз Республикасынын Өнөр жай, энергетика жана жер казынасын пайдалануу мамлекеттик комитети</t>
  </si>
  <si>
    <t>001 программасы боюнча эмгек акыга  чыгашалардын агенттик  боюнча эмгек акыга чыгашалардын суммасына карата катышы</t>
  </si>
  <si>
    <t>Бюджеттин бузууларсыз аткаруу пайызы</t>
  </si>
  <si>
    <t xml:space="preserve">Эмгек талаштары боюнча утуп алган сот процесстеринин үлүшү </t>
  </si>
  <si>
    <t xml:space="preserve">Утуп алган сот иштеринин аягына чыккан иштеринин санына карата катышы </t>
  </si>
  <si>
    <t>ЖМКдагы министрликти/ведомствону оң эскерүүлөрдүн саны</t>
  </si>
  <si>
    <t xml:space="preserve">Борбордук аппаратынын кызматкерлеринин жалпы санынан камсыз кылуу кызматын көрсөтүүчү кызматкерлердин үлүшү </t>
  </si>
  <si>
    <t xml:space="preserve">Системалык коррупцияны демонтаждоо боюнча планды аткаруу </t>
  </si>
  <si>
    <t xml:space="preserve">Бекитилген текшерүүлөр планына карата жүргүзүлгөн аудитордук текшерүүлөрдүн үлүшү </t>
  </si>
  <si>
    <r>
      <t xml:space="preserve">Жаратылыш ресурстарын башкаруу 
</t>
    </r>
    <r>
      <rPr>
        <i/>
        <sz val="11"/>
        <rFont val="Times New Roman"/>
        <family val="1"/>
        <charset val="204"/>
      </rPr>
      <t xml:space="preserve">Программанын максаты: Кен казуу өнөр жайын өнүктүрүү үчүн жагымдуу шарттар жана жер казыналарын максаттуу пайдалануу </t>
    </r>
  </si>
  <si>
    <t>Пайдалуу кендерди казуу ,млн.сом</t>
  </si>
  <si>
    <t xml:space="preserve">Ɵткөн жылдын өсүү темпине карата физикалык көлөмдүн индекси   % менен </t>
  </si>
  <si>
    <t>Жер казынасын пайдалануу боюнча мыйзамдарды  жөнгө салууну өркүндөтүү</t>
  </si>
  <si>
    <t xml:space="preserve">Жер казынасын пайдалануу жаатында иштелип чыккан ченемдик укуктук актылардын саны </t>
  </si>
  <si>
    <t xml:space="preserve"> Жер казынасын пайдаланууну лицензиялоо, недропользования, жер казынасын пайдалануу жана изилдөө боюнча   директивдик документтерди  өркүндөтүү</t>
  </si>
  <si>
    <t xml:space="preserve">Лицензия алууга түшкөн арыздардын жалпы санына берилген лицензиялардын суммасынын жана жүйөөлөштүрүлгөн баш тартуулардын катышынын көбөйүшү </t>
  </si>
  <si>
    <t xml:space="preserve">Жер казыналарын пайдаланууда мамлекеттин экономикалык кызыкчылыктарын коргоо </t>
  </si>
  <si>
    <t xml:space="preserve">Пайдалуу кердердин запастарын эсептөө менен,  геологиялык отчеттордун жана долбоорлордун, КР Запастар боюнча мамлекеттик комиссия  тарабынан каралгандарынын саны </t>
  </si>
  <si>
    <t xml:space="preserve">Жер казынасын пайдалануучулар тарабынан геологиялык маалыматтын (отчёттордун) берилиши </t>
  </si>
  <si>
    <t xml:space="preserve">Арыз берүүчүлөргө берилген отчеттордун саны </t>
  </si>
  <si>
    <t>сактоо бирдиги</t>
  </si>
  <si>
    <t xml:space="preserve">Кооптуу өндүрүш объекттерин курууга жана эксплуатациялоого өнөр жайлык коопсуздукту экспертизалоо </t>
  </si>
  <si>
    <t xml:space="preserve">Кооптуу өндүрүш объекттерин курууга жана эксплуатациялоого өнөр жайлык коопсуздук маселеси боюнча жүргүзүлгөн  экспертизалардын саны  </t>
  </si>
  <si>
    <t>Кендерди сарамжалдуу пайдалануу</t>
  </si>
  <si>
    <t xml:space="preserve">Кендерди коргоо бөлүгүндөгү долбоордлорду экспертизалоо саны (жаңы көрсөткүч) </t>
  </si>
  <si>
    <r>
      <t xml:space="preserve">Жерди геологиялык изилдѳѳ, жер алдындагы суулардын жана кооптуу экзогендик геологиялык процесстердин абалын кѳзѳмѳлдѳѳ                                    
</t>
    </r>
    <r>
      <rPr>
        <sz val="11"/>
        <rFont val="Times New Roman"/>
        <family val="1"/>
        <charset val="204"/>
      </rPr>
      <t>Программанын максаты: пайдалуу кендер бар жерлерге издѳѳ-баалоо жумуштарын жүргүзүү, аларды табуу, болжолдуу ресурстарын баалоо. Геологиялык чѳйрѳнү системалуу изилдѳѳ, жер алдындагы суулардын жана кооптуу экзогендик геологиялык процесстердин сапаты менен режимине байкоо жүргүзүү.</t>
    </r>
  </si>
  <si>
    <t xml:space="preserve"> Программанын максаты:иликтөө-баалоо иштерин жүргүзүү , алардын болжолдуу ресурстарын  баалоо менен пайдалуу кен  казып алуучу жерлерди казып алууга багытталган жерлерди аныктоо</t>
  </si>
  <si>
    <t>Изилдөөнү жүргүзүү аянты</t>
  </si>
  <si>
    <t xml:space="preserve">Геологиялык маалыматтардын жеткиликтүүлүгү, геологиялык материалдарды талдоону жана жалпылоону камсыз кылуу </t>
  </si>
  <si>
    <t xml:space="preserve"> Санараиптик алып жүрүүчүгө материалдарды которуу</t>
  </si>
  <si>
    <t>Сканерленген барактардын саны</t>
  </si>
  <si>
    <t xml:space="preserve">  Маалымдамаларды түзүү жана кен казылыып алынуучу жерлерди бөлүштүрүү (кеөрсөткүч)</t>
  </si>
  <si>
    <t xml:space="preserve"> Маалымдамалардын саны</t>
  </si>
  <si>
    <t>Кен чыккан жерлердин саны</t>
  </si>
  <si>
    <t xml:space="preserve"> Курулуш таштары боюнча карталардын электрондук вариантын түзүү(жаңы көрсөткүч) </t>
  </si>
  <si>
    <t xml:space="preserve"> карта саны </t>
  </si>
  <si>
    <t>1:200000 масштабагы планшеттер саны</t>
  </si>
  <si>
    <t xml:space="preserve"> Геология-геохимиялык изилдөөлөрдүн бардык түрү б-ча  маалыматтар базасын түзүү(жаңы көрсөткүч) </t>
  </si>
  <si>
    <t>миң.проб.</t>
  </si>
  <si>
    <t xml:space="preserve"> Электрондук вариантта кен адистештирүү картасын түзүү,  м-бда 1:200000; 1:500000 (жаңы көрсөткүч) </t>
  </si>
  <si>
    <t xml:space="preserve">Жер алдындагы суулардын режимин жана сапатын байкоо жагында геологиялык чөйрөнү мониторингдөө жана кооптуу экзогендик геологиялык процесстери. </t>
  </si>
  <si>
    <t xml:space="preserve"> Жер алындагы суулардын сапатынын абалы үчүн суу пайдалануудагы  изилденген объекттер саны</t>
  </si>
  <si>
    <t>Кооптуу  геологиялык процесстердин пайда болуу  участокторунун изилденген саны</t>
  </si>
  <si>
    <r>
      <rPr>
        <b/>
        <sz val="11"/>
        <rFont val="Times New Roman"/>
        <family val="1"/>
        <charset val="204"/>
      </rPr>
      <t xml:space="preserve">Кыргыз Республикасынын аймактарын жана региондорун топографиялык-геодезиялык жана картографиялык жагынан камсыз кылуу                                                                                        </t>
    </r>
    <r>
      <rPr>
        <i/>
        <sz val="11"/>
        <rFont val="Times New Roman"/>
        <family val="1"/>
        <charset val="204"/>
      </rPr>
      <t xml:space="preserve">Программанын максаты: Чарбалык иштин муктаждыктарын камсыз кылуу жана минералдык-чийки заттык базанын өнүгүүсүн божомолдоо үчүн Кыргыз Республикасынын аймагынын заманбап геологиялык-картографиялык негизи  </t>
    </r>
  </si>
  <si>
    <t xml:space="preserve">Программанын максаты:  КР аймагында замнбап картографогеодезиялык негиз    күч структураларын муктаждыктарын камсыздоо үчүн , чарба иштеринде  минералдык-сырьелук базаны өнүктүрүү болжолу </t>
  </si>
  <si>
    <t>Мамлекеттик геодезиялык тарамды кайра конструкциялоо жана колдоо</t>
  </si>
  <si>
    <t>GPS пункттары-экинчилик тартиптеги тармактарж-а   жогорулатылган тартиптеги нолдук ж-а баштапкы исходные пункттар</t>
  </si>
  <si>
    <t xml:space="preserve"> Координаттардын катологдору ж-а  СК-42, СК-95 ж-а Kyrg-06  координата сист. геодезиялык  сист жогорулугу  1:200 000 масштабагы карта барактары</t>
  </si>
  <si>
    <t xml:space="preserve">Масштабдуу катардагы топографиялык карталарды жаңылоо жана басып чыгаруу </t>
  </si>
  <si>
    <t>барак</t>
  </si>
  <si>
    <t xml:space="preserve">Карталарды басып чыгарууга даярдоодо масштабдык топогр карталар </t>
  </si>
  <si>
    <r>
      <rPr>
        <b/>
        <sz val="11"/>
        <rFont val="Times New Roman"/>
        <family val="1"/>
        <charset val="204"/>
      </rPr>
      <t xml:space="preserve">Кыргыз Республикасынын мамлекеттик чек арасын делимитациялоо жана демаркациялоо                  
</t>
    </r>
    <r>
      <rPr>
        <sz val="11"/>
        <rFont val="Times New Roman"/>
        <family val="1"/>
        <charset val="204"/>
      </rPr>
      <t xml:space="preserve">Программанын максаты: Өлкөнүн геосаясий кызыкчылыктарын камсыз кылуу үчүн Кыргыз Республикасынын аймагынын заманбап картографиялык жана геодезиялык негизи </t>
    </r>
  </si>
  <si>
    <t xml:space="preserve">Программанын максаты:Өлкөнүн геосаясий кызыкчылыктарын камсыздоо үчүн замнбап  картографиялык ж-а  геодезиялык негизи </t>
  </si>
  <si>
    <t xml:space="preserve">Чек ара белгилериндеги жана чыгуу пункттарындагы өлчөөлөр жана рекогносцировка </t>
  </si>
  <si>
    <t xml:space="preserve"> Кыргыз Республикасынын мамлекеттик чек ара линиясы б-ча чек аралык белгилер</t>
  </si>
  <si>
    <t>елги</t>
  </si>
  <si>
    <t xml:space="preserve"> Космикалык тартуунун пландык-жогорку байланыш аткаруунун аянты </t>
  </si>
  <si>
    <t xml:space="preserve">Чек аранын жанындагы аймактарда топографиялык карталарды жаңылоо </t>
  </si>
  <si>
    <t xml:space="preserve">Зарыл масштабдагы делимитациялык ж-а демаркациялык карталар </t>
  </si>
  <si>
    <t xml:space="preserve"> Программанын максаты: өлкөнүн энерг ресурстарын натыйжалуу колдонууга багытталган илимий-технол потенциалдын жогорку деңгээлин колдоо. </t>
  </si>
  <si>
    <t xml:space="preserve">Отун энергетикалык комплексинде техникалык каражаттардын ишенимдүүлүгүн жана ишинин эффективдүүлүгүн  жогорулатуу </t>
  </si>
  <si>
    <t xml:space="preserve">  Злектротехн  жабдуулардын ишенимдүүлүгүн ж-а натыйжалуулугун жогорулатуу б-ча практикалык сунуштамаларды иштеп чыгуу</t>
  </si>
  <si>
    <t>отчеттор саны</t>
  </si>
  <si>
    <t>Бюджеттик уюмдарда электрэнергияны пайдалануунун эффективдүүлүгүнө энергетикалык изилдөө жүргүзүү</t>
  </si>
  <si>
    <t xml:space="preserve"> Бюджеттик изилденген уюмдар саны ж-а бюджеттик уюмдарда  изилденген буу казандарынын энргет паспорту ж-а техн паспортторуна   мониторинг </t>
  </si>
  <si>
    <t>объект даана</t>
  </si>
  <si>
    <t>Энергиянын жаңыланма булактарын пайдалануу боюнча инновациялык технологияларды өнүктүрүү боюнча изилдөөлөр комплексин жүргүзүү</t>
  </si>
  <si>
    <t xml:space="preserve"> ВИЭ иштөөчү техн каражаттарды эсептөө ж-а долбоорлоо методдорун иштеп чыгуу</t>
  </si>
  <si>
    <t>Отун энергетикалык комплексиндеги тармактарды өнүктүрүүнүн эффективдүүлүгүн камсыздоо боюнча техникалык-экономикалык изилдөөлөр</t>
  </si>
  <si>
    <t xml:space="preserve"> НТД ж-а НПА жылуулук-энергетикалык комплекстин маалыматтар базасын түзүү.</t>
  </si>
  <si>
    <t xml:space="preserve">каржылоодо 1отчет </t>
  </si>
  <si>
    <r>
      <rPr>
        <b/>
        <sz val="11"/>
        <rFont val="Times New Roman"/>
        <family val="1"/>
        <charset val="204"/>
      </rPr>
      <t xml:space="preserve">Энергетика секторун туруктуу өнүктүрүү </t>
    </r>
    <r>
      <rPr>
        <sz val="11"/>
        <rFont val="Times New Roman"/>
        <family val="1"/>
        <charset val="204"/>
      </rPr>
      <t xml:space="preserve">
</t>
    </r>
    <r>
      <rPr>
        <i/>
        <sz val="11"/>
        <rFont val="Times New Roman"/>
        <family val="1"/>
        <charset val="204"/>
      </rPr>
      <t>Программанын максаты: Экономиканын электр энергияга керектөөсүн канааттандыруу жана энергетикалык көз карансыздыгына жетүү</t>
    </r>
  </si>
  <si>
    <t xml:space="preserve"> Программанын максаты: Энергетка чөйрөсүндө мамлекеттик саясатты ишке ашыруу</t>
  </si>
  <si>
    <t>электроэнергетика чөйрөсүндө жөнгө салуу мыйзамдарын өркүндөтүү</t>
  </si>
  <si>
    <t xml:space="preserve"> Энергетика жаатында  иштелип чыккан  ченемдик укуктук актылардын саны (жаңы көрсөткүч) </t>
  </si>
  <si>
    <t>Энергетика секторун реабилитациялоо</t>
  </si>
  <si>
    <t xml:space="preserve">ГЭС реконструкциялоо </t>
  </si>
  <si>
    <t>Трансформатор 2 даана КЛ,500кВ- 2,4км</t>
  </si>
  <si>
    <t xml:space="preserve">Электр бөлүштүрүү түйүндөрүнүн натыйжалуулугун жогорулатуу </t>
  </si>
  <si>
    <t xml:space="preserve"> "Северэлектро"  ААК жоготууларын кыскартуу</t>
  </si>
  <si>
    <t>Ат-Башы ГЭСин реконструкциялоо</t>
  </si>
  <si>
    <t>ГЭСреконструкциялоо</t>
  </si>
  <si>
    <t>Генератор 4 даана</t>
  </si>
  <si>
    <t>Бишкек ЖЭБин модернизациалоо</t>
  </si>
  <si>
    <t xml:space="preserve"> ТЭЦ реконструкциялоо</t>
  </si>
  <si>
    <t>энергоблок 2 даана.</t>
  </si>
  <si>
    <t xml:space="preserve">   CASA -1000 </t>
  </si>
  <si>
    <t>ЛЭП 500 кВ   курулушунун башталышы</t>
  </si>
  <si>
    <t>ПИР-1даана</t>
  </si>
  <si>
    <t xml:space="preserve">Электр менен жабдуу системасынын отчеттуулугун жана ишенимдүүлүгүн жогорулатуу </t>
  </si>
  <si>
    <t xml:space="preserve"> подстанцияларды куруу жана эсептөө жабдыгын орнотуу  </t>
  </si>
  <si>
    <t xml:space="preserve">ПС-3даана </t>
  </si>
  <si>
    <t>эл. Счетчики-37000даана</t>
  </si>
  <si>
    <t>Лейлек районунун жана  Баткен областынын Арка массивин электр менен жабдуусун жакшыртуу</t>
  </si>
  <si>
    <t xml:space="preserve"> ЛЭП 110 кВ  курулушу ж-а ПС 110 кВ, реконструкциялоо  ПС 110 кВ</t>
  </si>
  <si>
    <t>ЛЭП- 51км, ПС-2 даана</t>
  </si>
  <si>
    <t>Камбар Ата ГЭС-2 экинчи гидроагрегатын пайдаланууга берүү</t>
  </si>
  <si>
    <t>120 МВт кубаттуулуктагы гидроагрегаттарды орнотуу</t>
  </si>
  <si>
    <t>агрегат-1даана</t>
  </si>
  <si>
    <t>Токтогул ГЭСинин экинчи жана учунчу фазасын реабилитациялоо</t>
  </si>
  <si>
    <t xml:space="preserve"> 2 генераторлорду алмаштыруу</t>
  </si>
  <si>
    <t>Генератор 1даана</t>
  </si>
  <si>
    <t xml:space="preserve"> Генератор1 даана</t>
  </si>
  <si>
    <t>Үч-Коргон ГЭСин реабилитациялоо АӨБ (план)</t>
  </si>
  <si>
    <t>1 генераторду алмаштыруу</t>
  </si>
  <si>
    <t xml:space="preserve">Бишкек жана Ош шаарларын  электр менен жабдууну жакшыртуу </t>
  </si>
  <si>
    <t xml:space="preserve"> ПС 220 кВ  реконструкциялоо ж-а  ВЛ 220 кВ курулушу</t>
  </si>
  <si>
    <t>ПС -4 даана жана ВЛ 19,8км</t>
  </si>
  <si>
    <t>Энергетика секторун өнүктүрүү</t>
  </si>
  <si>
    <t xml:space="preserve"> АСКУЭ ж-а SKADA  ПС системасын киргизүү,  выключателдерди алмаштыруу</t>
  </si>
  <si>
    <t>өчүргүч  50 даана</t>
  </si>
  <si>
    <t xml:space="preserve">Жылуулук менен камсыздоону жакшыртуу долбоору </t>
  </si>
  <si>
    <t>Жалпы үйдүн индивидуалдуу жылуулук пункттарын модернизациялоо, «Восток» жылуулук магистралдык тарамын алмаштыруу жана  реконструкциялоо.</t>
  </si>
  <si>
    <t>индивидуалдуу жылуулук пункттарын модернизациялоо (ИТП):</t>
  </si>
  <si>
    <t xml:space="preserve">231 жаңы  ИТП 1700 жарактуу. </t>
  </si>
  <si>
    <t xml:space="preserve">Жылуулук энергиясын эсептөө жабдууларын жана ысык сууну ченегичтерди  орнотуу </t>
  </si>
  <si>
    <t xml:space="preserve"> 2000 эсептегия  приборлор   жана  2000 суу ченегичтер</t>
  </si>
  <si>
    <t>"Насостук станцияларды конструкциялоо жана  куруу"</t>
  </si>
  <si>
    <t xml:space="preserve">Бишкек шаарынын жылуулук менен камсыздоо системасын модернизациялоо </t>
  </si>
  <si>
    <t>насостук станцияларды реконструкциялоо</t>
  </si>
  <si>
    <t xml:space="preserve">  13 насостук станцияда жүгүртүүнүн жөнгө салынуучу числосу менен  36 насос </t>
  </si>
  <si>
    <t xml:space="preserve"> учурдагы СКАДА системасын модернизациялоо жана   кеңейтүү </t>
  </si>
  <si>
    <t xml:space="preserve">  14 насостук станцияда жана көрсөткүчтөрдү алуунун  2 пункттунда жана кошумча 5   насостук станцияны жабдуу </t>
  </si>
  <si>
    <t>ААК  "Чыгышэлектро"  реабилитациялоо</t>
  </si>
  <si>
    <t>"Востокэлектро" ААК жоготууларын кыскартуу    АСКУЭ  системасын киргизүү</t>
  </si>
  <si>
    <t xml:space="preserve">АСКУЭ миң даана , СИП кабели </t>
  </si>
  <si>
    <t xml:space="preserve">32 миң даана,  , СИП кабель -258 км </t>
  </si>
  <si>
    <t>"Ошэлектро ААКсын  реабилитациялоо"</t>
  </si>
  <si>
    <t> "Ошэлектро" ААКнун  жоготууларын кыскартуу   АСКУЭ системасын киргизүү</t>
  </si>
  <si>
    <t>АСКУЭ миң даана , СИП кабуль</t>
  </si>
  <si>
    <t xml:space="preserve">22 миң даана., СИП кабель - 335 км </t>
  </si>
  <si>
    <t>Программанын максаты: Өнөр жай секторунун туруктуу өнүгүшү</t>
  </si>
  <si>
    <t xml:space="preserve">Өнөр жай чөйрөсүндөгү мыйзамдык жөнгө салууну өркүндөтүү </t>
  </si>
  <si>
    <t xml:space="preserve">Өнөр жай тармагында иштелип чыккан ченемдик укуктук актылардые саны (жаңы көрсөткүч)  </t>
  </si>
  <si>
    <t xml:space="preserve">даана </t>
  </si>
  <si>
    <t>Иштетүүчү ѳнѳр жай тармагынын кѳзѳмѳлдѳгѳн тармактарынын саясатынын мониторинг, талдоо жана ишке ашыруу</t>
  </si>
  <si>
    <t xml:space="preserve">Иштетүүчү өнөр жай өндүрүшүнүн өсүү темпи </t>
  </si>
  <si>
    <t xml:space="preserve">Негизги металлдардын өндүрүшүнүн өсүү темпи </t>
  </si>
  <si>
    <t>Курулуш  материалдарынын өсүү темпи</t>
  </si>
  <si>
    <t xml:space="preserve">Мунай затты кайра иштетүү тармагынын өндүрүшүнүн өсүү темпи </t>
  </si>
  <si>
    <t>Жеңил өнөр жайын жана башка тармактарды өнүктүрүү саясатынын мониторинги, анализи жана ишке ашыруу</t>
  </si>
  <si>
    <t>Жеңил өнөр жай өндүрүшүнүн өсүү темпи</t>
  </si>
  <si>
    <t>Жыйынтыгы:  Кыргыз Республикасынын Өнөр жай, энергетика жана жер казынасын пайдалануу мамлекеттик комитети боюнча бардыгы</t>
  </si>
  <si>
    <t xml:space="preserve">Эскертүү: Кыргыз Республикасынын Өнөр жай, энергетика жана жер казынасын пайдалануу мамлекеттик комитети боюнча программалык форматтагы бюджет "Кыргызжылуулукэнерго" Мамлекеттик ишканага 1 245 824,4 миң сом суммасындагы чыгашаларды камтыбайт.   </t>
  </si>
  <si>
    <t xml:space="preserve">Кыргыз Республикасынын Өнөр жай, энергетика жана жер казынасын пайдалануу мамлекеттик комитетинин алдындагы "Кыргызжылуулукэнерго" мамлекеттик </t>
  </si>
  <si>
    <t xml:space="preserve">Калкты жылуулук энергиясы менен камсыздоо  </t>
  </si>
  <si>
    <t xml:space="preserve">Калк үчүн социалдык маанидеги тариф </t>
  </si>
  <si>
    <t xml:space="preserve">Калкка жылуулук энергиясын иштеп чыгуу жана башка чыгашаларды жабуу  бөлүгүнө отунду борборлоштурулган даярдоо </t>
  </si>
  <si>
    <t xml:space="preserve">Даярдалган көмүрдүн саны </t>
  </si>
  <si>
    <t>мин тоннаа</t>
  </si>
  <si>
    <t xml:space="preserve">Даярдалган мазуттун саны </t>
  </si>
  <si>
    <t xml:space="preserve">Даярдалган газдын саны </t>
  </si>
  <si>
    <t>миң млн3</t>
  </si>
  <si>
    <t>Жылуу суу менен жабдуу жана суу агындыларын чыгаруу объекттерин күзгү-кышкы мезгилге даярдоо, мештерди, инженердик жабдууларды жана жылытуу тармактарын капиталдык оңдоону жүргүзүү</t>
  </si>
  <si>
    <t xml:space="preserve">Электр энергиясынын көлөмү </t>
  </si>
  <si>
    <t>миң.квт/саат</t>
  </si>
  <si>
    <t>Капиталдык оңдоо</t>
  </si>
  <si>
    <t xml:space="preserve">Авариялардын жана табигый кырсыктардын кесепетин жоюу үчүн  материалдык-техникалык ресурстардын авариялык запастарын (резерв) түзүү жана жылытуу сезондуу мезгилинде керектен чыккан жабдууларды алмаштыруу </t>
  </si>
  <si>
    <t xml:space="preserve">КПДны жогорулатуу </t>
  </si>
  <si>
    <t xml:space="preserve">Жылуулук энергиясын жоготууларды азайтуу </t>
  </si>
  <si>
    <t xml:space="preserve">Миң-Куш штп. инфраструктурасын колдоо </t>
  </si>
  <si>
    <t>Сууну сатуу боюнча калкка кызмат көрсөтүүлөрдү берүү</t>
  </si>
  <si>
    <t>миң.м.куб</t>
  </si>
  <si>
    <t xml:space="preserve">Бюджеттик чаралар. Миң-Куш штп. жашоочуларынын жылуу суу менен жабдуу жана суу агындыларын берүү боюнча сапаттуу кызматтарды  эң аз сарптоолор менен канааттандыруу    </t>
  </si>
  <si>
    <t>Санитардык тазалоо жана жакшыртуу</t>
  </si>
  <si>
    <t>Радиоактивдүү таштандыларды көмүү.  Максат: Экологиялык коопсуздукту камсыз кылуу</t>
  </si>
  <si>
    <t>Радиоактивдүү таштандыларды көмүү</t>
  </si>
  <si>
    <t>Радиоактивдүү  калдыктарды көмүү жана кийимди  дезактивациялоо</t>
  </si>
  <si>
    <t>Радиоактивдүү  заттар менен  булганган кийимди  дезактивациялоо</t>
  </si>
  <si>
    <t>Жыйынтыгы:  КР Өнөр жай, энергетика жана жер казынасын пайдалануу мамлекеттик комитетинин алдындагы "Кыргызжылуулукэнерго" мамлекеттик ишканасы боюнча бардыгы</t>
  </si>
  <si>
    <t>56. Кыргыз Республикасынын Өкмөтүнө караштуу Жаштар иштери, дене тарбия жана спорт мамлекеттик агенттиги</t>
  </si>
  <si>
    <t xml:space="preserve">Өкмөттүн программасын ишке ашыруунун пайызы  </t>
  </si>
  <si>
    <t xml:space="preserve">финансылык  менеджментти жана финансылык пландоону камсыздоо </t>
  </si>
  <si>
    <t>өз убагында бекитилген смета боюнча каржылоо</t>
  </si>
  <si>
    <t xml:space="preserve">Адам ресурстарын башкаруу, укуктук колдоо </t>
  </si>
  <si>
    <t>ишти баалоо, эмгек акыны  жогорулатууга сунушталган %</t>
  </si>
  <si>
    <t>Коомчулук менен байланышты камсыздоо</t>
  </si>
  <si>
    <t xml:space="preserve">спорттук теле жана радио, интернет, берүүлөрдүн жана конференциялардын саны </t>
  </si>
  <si>
    <t>Иш кагаздардын жана анын аткарылышын камсыздоо</t>
  </si>
  <si>
    <t>аткаруучулук тартиптин деңгээли</t>
  </si>
  <si>
    <t>Ички  мониторингди  жана  контролдоону камсыз кылуу (ички  аудит кызматы)</t>
  </si>
  <si>
    <t>Ички аудит боюнча өткөрүлгөн   иш-чаралардын саны</t>
  </si>
  <si>
    <t>Коррупциянын алдын алуу боюнча иштер</t>
  </si>
  <si>
    <t xml:space="preserve">коррупцияны ажыратуу боюнча иш-чараларды ишке ашыруунун пайызы </t>
  </si>
  <si>
    <t>Саясатты иштеп чыгуу жана эл аралык мамилерди жүргүзүү</t>
  </si>
  <si>
    <t xml:space="preserve">иштелип чыккан жана кабыл алынган ЧУАнын саны </t>
  </si>
  <si>
    <t>Инвестицияларды тартуу боюнча иштер</t>
  </si>
  <si>
    <t xml:space="preserve">Иштелип чыкканМЖӨ долбоорлорунун саны </t>
  </si>
  <si>
    <t>мамлекеттик кызмат көрсөтүүлөрдүн иштелип чыккан долбоорлорунун саны</t>
  </si>
  <si>
    <t xml:space="preserve">дене тарбия жана спорт менен алектенүүнүн массалуулугу </t>
  </si>
  <si>
    <t>Региондорго спортту өнүктүрүү</t>
  </si>
  <si>
    <t xml:space="preserve">Мониторинг жүргүзүүгө дуушар болгон региондук мекемелердин % </t>
  </si>
  <si>
    <t>Спорттук-массалык жана комплекстүү иш-чараларды өткөрүү</t>
  </si>
  <si>
    <t>өткөрүлгөн спорттук массалык иш-чаралар саны</t>
  </si>
  <si>
    <t>Спорт жана дене тарбия объекттерин спорттук инвентарлар жана жабдуулар менен камсыздоо</t>
  </si>
  <si>
    <t>спорттук инвентарлар менен жабдылган мекемелердин саны</t>
  </si>
  <si>
    <t>III  Дүйнөлүк көчмөндөр оюнун өткөрүү</t>
  </si>
  <si>
    <t xml:space="preserve">Спорттун улуттук түрлөрү менен алектенүүгө калкты тартуу </t>
  </si>
  <si>
    <t xml:space="preserve">спорттун улуттук түрлөрү менен машыккандардын саны </t>
  </si>
  <si>
    <t>Ата мекендик спорттун ПАК (медаль жеңип алган спортсмендерге карата каржыланган спортсмендердин катышы)</t>
  </si>
  <si>
    <t>Жогорку жетишкендиктердин спортун өнүктүрүү</t>
  </si>
  <si>
    <t>Жогорку спорттук жетишкендиктерди жөнгө салуучу ченемдик-укуктук жана укуктук актылардын саны</t>
  </si>
  <si>
    <t>Спорт багыты боюнча жалпы орто атайын билим берүү менен камсыз кылуу</t>
  </si>
  <si>
    <t>диплом, спорттук наам алгандардардын саны</t>
  </si>
  <si>
    <t xml:space="preserve">Балдарды жана жаштарды спорттун түрлөрүнө үйрөтүү, </t>
  </si>
  <si>
    <t>спорт менен машыккан окуучу балдардын жана жаштардын саны</t>
  </si>
  <si>
    <t>Эл аралык аренада сыйлуу орундарды ээлөө, олимпиадалык резервге даярдоо</t>
  </si>
  <si>
    <t>спорттук аренада утуп алган сыйлуу орундардын саны</t>
  </si>
  <si>
    <t>Допинге каршы камсыз кылуу</t>
  </si>
  <si>
    <t>Анти-допинг саясат чөйрөсүндөгү укуктук актылардын саны</t>
  </si>
  <si>
    <t>Кыргыз Республикасынын алдыңкы спортсмендерин социалдык жактан корголушун жогорулатуу</t>
  </si>
  <si>
    <t>стипендия алган спортчулардын саны</t>
  </si>
  <si>
    <t>Региондордо түзүлгөн жаштар борборлору</t>
  </si>
  <si>
    <t xml:space="preserve">Жаштар саясатын ишке ашырууга багытталган мамлекеттик социалдык заказдын алкагындагы иш- чаралар </t>
  </si>
  <si>
    <t xml:space="preserve">Мамлекеттик социалдык заказдар аркылуу ишке ашырылган 
иш-чаралардын саны </t>
  </si>
  <si>
    <t>Жаштар чөйрөсүндө  жаштарды тарбиялоо жана жаштар демилгелерин колдоо</t>
  </si>
  <si>
    <t xml:space="preserve">Жаштар  чөйрөсүндө адеп-ахлактык жана патриоттук баалуулуктарды калыптандырууга, жаштарды тарбиялоого, жаштардын демилгелерин колдоого  багытталган 
иш-чаралардын саны  </t>
  </si>
  <si>
    <t xml:space="preserve">Жаштар саясаты чөйрөсүндө   региондук иш-чараларды өткөрүү  </t>
  </si>
  <si>
    <t>Республиканын региондорунда  өткөрүлгөн иш-чаралардын саны</t>
  </si>
  <si>
    <t>Жаштару уюмдар менен иш жүргүзүү</t>
  </si>
  <si>
    <t xml:space="preserve">Өткөрүлгөн иш-чаралардын, тренингдердин саны </t>
  </si>
  <si>
    <t xml:space="preserve">Тренингке катышып сертификат алган адамдардын саны  </t>
  </si>
  <si>
    <t>Мамлекеттик жаштар саясатын жүзөгө ашырууну инститтук бекемдөө</t>
  </si>
  <si>
    <t xml:space="preserve">Жаштар жаатында иштелип чыккан жана кабыл алынган ЧУАнын саны </t>
  </si>
  <si>
    <t>Жыйынтыгы: Кыргыз Республикасынын Өкмөтүнө караштуу Жаштар иштери, дене тарбия жана спорт мамлекеттик агенттиги боюнча бардыгы</t>
  </si>
  <si>
    <t xml:space="preserve">57. Кыргыз Республикасынын инвестицияларды илгерилетүү жана коргоо боюнча агенттиги </t>
  </si>
  <si>
    <t xml:space="preserve">Программанын максаты: Агенттиктин системасынын ишин камсыздоо жана башка программаларды ишке ашырууну  координациялоо  </t>
  </si>
  <si>
    <t xml:space="preserve"> Кыргыз Республикасынын инвестицияларды илгерилетүү жана коргоо боюнча агенттигинин иши жөнүндө Кыргыз Республикасынын Өкмөтүнүн Аппаратынын баалоосу </t>
  </si>
  <si>
    <t>баалоо</t>
  </si>
  <si>
    <t>Бюджеттин эреже бузууларсыз аткаруу пайызы</t>
  </si>
  <si>
    <t xml:space="preserve">Агенттиктин мыйзам долбоорлоо иш планын аткаруу </t>
  </si>
  <si>
    <t xml:space="preserve">Товарларды, жумуштарды, кызмат көрсөтүүлөрдү белгиленген тартипте сатып алуу </t>
  </si>
  <si>
    <t xml:space="preserve">Инвестицияларды тартуу жана экспортту илгерилетүү </t>
  </si>
  <si>
    <t xml:space="preserve">Программанын максаты: Өлкөнүн инвестициялык климатын жакшыртуу, чет өлкөлүк инвестицияларды тартуу үчүн жагымдуу шарттарды түзүү жана экспортту көбөйтүү  </t>
  </si>
  <si>
    <t xml:space="preserve">Эл аралык рейтингдерде өлкөнүн позициясын жана инвестициялык климатты жакшыртуу </t>
  </si>
  <si>
    <t xml:space="preserve">Эл аралык форумдарды жана  B2B жолугушууларды өткөрүү. Инвестициялык долбоорлорду ишке ашыруу </t>
  </si>
  <si>
    <t xml:space="preserve">МЖӨ алкагында долбоорлорду илгерилетүү </t>
  </si>
  <si>
    <t xml:space="preserve">МЖӨ алкагында  инвестициялык долбоорлорду ишке ашыруу </t>
  </si>
  <si>
    <t xml:space="preserve">КР үчүн актуалдуу маселелер боюнча Катчылык жана делегация менен өткөрүлгөн жолугушуулардын саны </t>
  </si>
  <si>
    <t xml:space="preserve">Ата-мекендик товарлардын экспортун илгерилетүүгө көмөктөшүү </t>
  </si>
  <si>
    <t>Экспортко контракттарды түзүү</t>
  </si>
  <si>
    <t>Жыйынтыгы: Кыргыз Республикасынын инвестицияларды илгерилетүү жана коргоо боюнча агенттиги боюнча бардыгы</t>
  </si>
  <si>
    <t>58. Кыргыз Республикасынын Өкмөтүнө караштуу Финансы рыногун жөнгө салуу жана көзөмөлдөө мамлекеттик кызматы</t>
  </si>
  <si>
    <r>
      <t xml:space="preserve">Пландоо, башкаруу жана администрациялоо                                                                                                                                                                                                        </t>
    </r>
    <r>
      <rPr>
        <i/>
        <sz val="11"/>
        <rFont val="Times New Roman"/>
        <family val="1"/>
        <charset val="204"/>
      </rPr>
      <t xml:space="preserve">Программанын максаты: Башка программаларды ишке ашырууга координациялоочу жана уюштуруучу таасир этүү  </t>
    </r>
  </si>
  <si>
    <t>001-программа боюнча чыгашалардын жана эмгек акыларынын бардык программалар боюнча чыгашалардын жана эмгек акыларынын суммасына катышы</t>
  </si>
  <si>
    <t>бюджетти бузууларсыз аткаруупайызы</t>
  </si>
  <si>
    <t xml:space="preserve">Утуп алган соттук иштердин алардын жалпы санына катышы </t>
  </si>
  <si>
    <t>Борбордук аппараттын кызматкерлеринин жалпы санынан камсыз кылуу кызматынын кызматкерлеринин үлүшү</t>
  </si>
  <si>
    <t>Уюштуруу иштери (Адам ресурстары менен башкаруу, Тышкы байланыштарды колдоо, талдоо жана стратегиялык пландаштыруу)</t>
  </si>
  <si>
    <t>Эмгектик  талаш-тартыштар боюнча утуп алынган эмгек процесстеринин үлүшү</t>
  </si>
  <si>
    <t xml:space="preserve">ЖМКда оң эскерүүлөргө алынуулардын саны </t>
  </si>
  <si>
    <t>Баалуу кагаздар рыногун өнүктүрүү</t>
  </si>
  <si>
    <t>Биржага мамлекеттик баалуу кагаздарды которуу</t>
  </si>
  <si>
    <t>Торуктун көлөмү</t>
  </si>
  <si>
    <t>Калктын финансылык сабаттуулугун жогорулатуу</t>
  </si>
  <si>
    <t>Баалуу кагаздар менен бүтүмдөрдүн саны</t>
  </si>
  <si>
    <t>Фонддук рынок аркылуу инвестициянын көлөмүн жогорулатууну өбөлгөлөө</t>
  </si>
  <si>
    <t>Фонддук рынокту капиталдаштыруу</t>
  </si>
  <si>
    <t>Камсыздандыруу рыногунун жана топтолмо пенсиялык фондунун ишин өнүктүрүү</t>
  </si>
  <si>
    <t>Милдеттүү камсыздандыруунун жаңы түрлөрүн киргизүү</t>
  </si>
  <si>
    <t xml:space="preserve">Камсыздандыруунун милдеттүү түрлөрү боюнча  камсыздандыруу сый акыларынын көлөмү </t>
  </si>
  <si>
    <t>Кайрадан камсыздандыруунун улуттук тутумун түзүү</t>
  </si>
  <si>
    <t>Улуттук кайрадан камсыздандыруунун үлүшү</t>
  </si>
  <si>
    <t>Топтомо пенсиялык тутумун өнүктүрүү</t>
  </si>
  <si>
    <t xml:space="preserve">Топтолмо пенсиялык фондунда пенсиялык топтолгон каражаттарынын көлөмү </t>
  </si>
  <si>
    <t>Аудитти жана бухгалтердик эсепти өнүктүрүү</t>
  </si>
  <si>
    <t xml:space="preserve">Аудиттин сапатын, өз убагында болуусун жана ачык-айкындыгын жогорулатуу </t>
  </si>
  <si>
    <t>Сертификат алган аудиторлордун саны</t>
  </si>
  <si>
    <t>Кыргыз Республикасынын ишканаларында Эл аралык финансылык отчеттуулуктун стандартын жайылтуунун үлүштөрүн көбөйтүү</t>
  </si>
  <si>
    <t>Эл аралык финансылык отчеттуулуктун стандартын пайдаланган ишканалардын саны</t>
  </si>
  <si>
    <t>Жыйынтыгы:  Кыргыз Республикасынын Өкмөтүнө караштуу Финансы рыногун жөнгө салуу жана көзөмөлдөө мамлекеттик кызматы боюнча бардыгы</t>
  </si>
  <si>
    <t>59. Кыргыз Республикасынын Мамлекеттик кадр кызматы</t>
  </si>
  <si>
    <r>
      <t xml:space="preserve">Пландоо, башкаруу жана администрациялоо                                                                                                                            
</t>
    </r>
    <r>
      <rPr>
        <i/>
        <sz val="11"/>
        <rFont val="Times New Roman"/>
        <family val="1"/>
        <charset val="204"/>
      </rPr>
      <t xml:space="preserve">Программанын максаты:  Башка программаларды ишке ашырууга координациялык жана уюштуруучулук таасир этүү </t>
    </r>
  </si>
  <si>
    <t xml:space="preserve">Бардык программалар боюнча эмгек акы чыгашалардын суммасына карата 001 программасы боюнча эмгек акыга чыгашалардын катышы </t>
  </si>
  <si>
    <t>МККнын  план аткарылышынын пайызы</t>
  </si>
  <si>
    <t xml:space="preserve">Финансылык менеджметти жана эсепке алууну камсыз кылуу </t>
  </si>
  <si>
    <t>Бюджетти бузууларсыз аткаруу пайызы</t>
  </si>
  <si>
    <t>Квалификацисын жогорулаткан  кызматкерлердин баардык кызматкерлерге болгон үлушү</t>
  </si>
  <si>
    <t>Тышкы байланышты жана коомчулук менен байланышты камсыздоо</t>
  </si>
  <si>
    <t>МККны жалпыга маалымдоо каражаттарында оң мааниде чагылдуруулардын саны</t>
  </si>
  <si>
    <t>Ишти уюштуруу жана камсыз кылуу  кызматы</t>
  </si>
  <si>
    <t>Борбордук аппараттын кызматкерлеринин жалпы санынан камсыздоо кызматына болгон үлушү</t>
  </si>
  <si>
    <t xml:space="preserve">Тапшырманы аткаруунун натыйжалуулук индекси </t>
  </si>
  <si>
    <t xml:space="preserve">                                                                                                                                                Мамлекттик жана муниципалдык кызматта укук ченемдик базасын өнүктүрүү</t>
  </si>
  <si>
    <t xml:space="preserve"> Ченемдик укуктук актылардын таасирин талдоо жана аларды өркүндөтүү боюнча сунуштарды иштеп чыгуу</t>
  </si>
  <si>
    <t>долбоор/ПЗА</t>
  </si>
  <si>
    <t xml:space="preserve"> Ички жана тышкы ченемдик укуктук актылардын долбоорлорун мамлекеттик жарандык кызмат жана муниципалдык кызмат жөнүндө мыйзамдарга ылайык келүүсүн экспертизалоо</t>
  </si>
  <si>
    <t>Мамлекеттик кызматка кирүүдө жана кызмат өтөөдө бирдей шарт түзүү</t>
  </si>
  <si>
    <t xml:space="preserve"> Мыйзамдарга ылайык ээленген административдик мамлекеттик бош кызмат орундарынын үлүшү</t>
  </si>
  <si>
    <t xml:space="preserve"> Карьералык пландаштыруунун чегинде ээленген административдик бош кызмат орундарынын үлүшү</t>
  </si>
  <si>
    <t xml:space="preserve"> Административдик мамлекеттик кызмат орундарына квалификациялык талаптарды жана кызматтык нускамаларды бекиткен жана толуктоолорду жана өзгөртүүлөрдү өз учурунда киргизген мамлекеттик органдардын үлүшү</t>
  </si>
  <si>
    <t>Мамлекеттик кызматка кирүүдө жана өтөөдө коррупцияга каршы иш-чараларды киргизүү</t>
  </si>
  <si>
    <t xml:space="preserve"> Кызматчылардын ишин баалоо системасын киргизген  мамлекеттик органдардын үлүшү</t>
  </si>
  <si>
    <t xml:space="preserve"> Этика боюнча комиссия иштеп жаткан органдардын үлүшү</t>
  </si>
  <si>
    <t>Муниципалдык  кызматка кирүүдө жана кызмат өтөөдө бирдей шарттарды түзүү</t>
  </si>
  <si>
    <t xml:space="preserve"> Мыйзамдарга ылайык ээленген административдик муниципалдык бош кызмат орундарынын үлүшү</t>
  </si>
  <si>
    <t xml:space="preserve"> Административдик муниципалдык кызмат орундарына квалификациялык талаптарды жана кызматтык нускамаларды бекиткен жана толуктоолорду жана өзгөртүүлөрдү өз учурунда киргизген ЖӨБ органдарынын үлүшү</t>
  </si>
  <si>
    <t xml:space="preserve"> Кызматчылардын ишин баалоо системасын киргизген жергиликтүү өз алдынча башкаруу органдарынын үлүшү</t>
  </si>
  <si>
    <t>Мамлекттик жана муниципалдык кызматка кирүүдө жана кызмат өтөөдө мыйзамдар боюнча тестирлөө  өтүүдө  ачык жана акыйкаттыкты камсыздоо</t>
  </si>
  <si>
    <t>Тестирлөөгө катышкан адамдардын саны</t>
  </si>
  <si>
    <t>Мамлекеттик жарандык кызмат жана муниципалдык кызмат чөйрөсүндөгү адам ресурстарын башкаруунун маалыматтык системасын ишке киргизүү (талдоо, колдоо жана коштоо)</t>
  </si>
  <si>
    <t xml:space="preserve"> Адам ресурстарын башкаруунун маалыматтык системасы программанын техникалык тапшырмасы</t>
  </si>
  <si>
    <t>модуль (бирд.)</t>
  </si>
  <si>
    <t xml:space="preserve"> Автомаштташтырылган тапшырмалардын саны</t>
  </si>
  <si>
    <t xml:space="preserve"> Автомаштташтырылган системалар менен интеграциялоо</t>
  </si>
  <si>
    <t>Карьералык пландоо</t>
  </si>
  <si>
    <t xml:space="preserve"> Улуттук резервде турган адамдардын саны</t>
  </si>
  <si>
    <t xml:space="preserve"> Кызмат орундарына Улуттук резервдин курамынан дайындалган адамдардын саны</t>
  </si>
  <si>
    <t xml:space="preserve"> Массалык маалымат каражаттарында МКК жөнүндө жазылган оң билдирүүлөрдүн саны</t>
  </si>
  <si>
    <t xml:space="preserve"> Түшүндүрүүчү жана консультациялык басылмалардын саны</t>
  </si>
  <si>
    <t xml:space="preserve">Мамлекеттик жана муниципалдык кызматчыларды окутууга Мамлекеттик тапшырыкты ишке ашыруу </t>
  </si>
  <si>
    <t xml:space="preserve"> Мамлекеттик бюджеттин эсебинен окутулган мамлекеттик жана муниципалдык кызматчылардын үлүшү</t>
  </si>
  <si>
    <t>Мамлекеттик жарандык кызмат жана муниципалдык кызмат чөйрөсүндө мыйзамдарды сактоого мониторинг жүргүзүү</t>
  </si>
  <si>
    <t xml:space="preserve"> Өз учурунда каралган даттануулардын саны</t>
  </si>
  <si>
    <t>арыз</t>
  </si>
  <si>
    <t>Мамлекеттик жана муниципалдык кызмат чөйрөсүндо Улуттук (мамлекеттик) программанын аткарылышы</t>
  </si>
  <si>
    <t xml:space="preserve"> Мамлекеттик жана муниципалдык кызмат чөйрөсүндө ишке ашырылган улуттук (мамлекеттик) программалардын (ЧУК) чаралардын үлүшү</t>
  </si>
  <si>
    <t>Коррупцияны алдын алуу чөйрөсүндө мамлекеттик саясатты жүзөгө ашыруу боюнча МККнын ишин координациялоо</t>
  </si>
  <si>
    <t xml:space="preserve">                                                                                                          Коррупцияга каршы иш-чаралар планын аткаруу</t>
  </si>
  <si>
    <t>Мамлекеттик жана муниципалдык кызматчылардын кирешелеринин ачык-айкындык системасын түзүү, алардын отчеттуулугу жана  Кыргызстандын элинин астындагы жоопкерчилиги</t>
  </si>
  <si>
    <t xml:space="preserve">                                                                                                          Аныктыгы жана толуктугу текшерилген декларациялардын саны</t>
  </si>
  <si>
    <t>бардык администр.кызмат. санына болгон %</t>
  </si>
  <si>
    <t>Аймактык өкүлчүлүктөрдө  мамлекеттик кадр саясатын өнүктүрүү (БАО,ТүшАО,ТүнАО)</t>
  </si>
  <si>
    <t xml:space="preserve">Жыйынтыгы: Кыргыз Республикасынын Мамлекеттик кадр кызматы боюнча бардыгы </t>
  </si>
  <si>
    <t>60. Кыргыз Республикасынын Өкмөтүнө караштуу Архитектура, курулуш жана ТКЧ мамлекеттик агенттиги</t>
  </si>
  <si>
    <r>
      <t xml:space="preserve">Пландоо, башкаруу жана администрациялоо                                                                                                                         
</t>
    </r>
    <r>
      <rPr>
        <i/>
        <sz val="11"/>
        <rFont val="Times New Roman"/>
        <family val="1"/>
        <charset val="204"/>
      </rPr>
      <t xml:space="preserve">Программанын максаты: Башка программаларды ишке ашырууну координациялоочу жана уюштуруучу таасирлер </t>
    </r>
  </si>
  <si>
    <t>бардык программалар боюнча эмгек акыга чыгышалардын суммасына 001-программа боюнча  эмгек акыга   чыгашалардын катышы</t>
  </si>
  <si>
    <t>Жалпы жетекчиликти жана координациялоону камсыз кылуу</t>
  </si>
  <si>
    <t xml:space="preserve">Эмгектик  талаш-тартыштар боюнча утуп алынган соттук процесстердин үлүшү </t>
  </si>
  <si>
    <t>Утуп алынган соттук иштердин алардын жалпы санына катышы</t>
  </si>
  <si>
    <t>ЖМКда министрликтерди/ведомстволорду оң мааниде эскерүүлөрдүн  саны</t>
  </si>
  <si>
    <t xml:space="preserve"> Товарды, жумушту, кызмат көрсөтүүлөрдү жана  консультациялык кызмат көрсөтүүлөрдү сатып алууну белгиленген тартипте ишке ашыруу  </t>
  </si>
  <si>
    <t xml:space="preserve"> министрликтин кызматчыларын зарыл болгон мүлк менен камсыздоо  ( канц.  буюмдар, байланыш каражаттары, оргтехника,  өз убагындагы  тех.тейлөө, оңдоо ж.б.)</t>
  </si>
  <si>
    <t>Мониторингди, талдоону жана стратегиялык  пландоону камсыз кылуу</t>
  </si>
  <si>
    <t>Региондук деңгээлде жалпы координациялоо</t>
  </si>
  <si>
    <t xml:space="preserve">Суу менен камсыздоо жана саркынды сууларды чыгарууну туруктуу өнүктүрүү </t>
  </si>
  <si>
    <t xml:space="preserve">Калктуу пункттарда ичүүчү суу менен камсыздоо жана саркынды сууларды чыгарууну туруктуу өнүктүрүү үчүн шарттарды түзүү </t>
  </si>
  <si>
    <t>Жыйынтыгы: Кыргыз Республикасынын Өкмөтүнө караштуу Архитектура, курулуш жана ТКЧ мамлекеттик агенттиги боюнча бардыгы</t>
  </si>
  <si>
    <t>61. Кыргыз Республикасынын Өкмөтүнө караштуу Экономикалык кылмыштуулукка каршы күрөшүү боюнча мамлекеттик кызматы (Финансы полициясы)</t>
  </si>
  <si>
    <t>Бюджетти укук бузууларсыз  аткаруу пайызы</t>
  </si>
  <si>
    <t>Укуктук колдоо</t>
  </si>
  <si>
    <t xml:space="preserve">Тышкы байланыштарды жана коомчулук менен байланыштарды колдоо </t>
  </si>
  <si>
    <t xml:space="preserve">Иштерди уюштуруу жана камсыз кылуу кызматтары </t>
  </si>
  <si>
    <t xml:space="preserve">Борбордук аппараттын кызматкерлеринин жалпы санынан камсыз кылуу кызматынын кызматкерлеринин үлүшү </t>
  </si>
  <si>
    <t xml:space="preserve">Мониторинг,  талдоо жүргүзүүнү жана стратегиялык пландоону камсыз кылуу </t>
  </si>
  <si>
    <r>
      <t xml:space="preserve">Экономикалык жана коррупциялык укук бузууларды  алдын алуунун жана өз учурунда жоюунун натыйжалуулугун жогорулатуу 
</t>
    </r>
    <r>
      <rPr>
        <i/>
        <sz val="11"/>
        <rFont val="Times New Roman"/>
        <family val="1"/>
        <charset val="204"/>
      </rPr>
      <t>Программанын максаты: Кылмыштуулуктун алдын алуу, экономикалык жана коррупциялык укук бузуулардын болушунун себептерин жана шарттарын жоюу</t>
    </r>
    <r>
      <rPr>
        <b/>
        <i/>
        <sz val="11"/>
        <rFont val="Times New Roman"/>
        <family val="1"/>
        <charset val="204"/>
      </rPr>
      <t xml:space="preserve">
</t>
    </r>
  </si>
  <si>
    <t xml:space="preserve">Катталгандардын жалпы санына карата оперативдүү жол аркылуу табылган  экономикалык жана коррупциялык укук бузуулардын үлүшү </t>
  </si>
  <si>
    <t xml:space="preserve">Катталгандардын жалпы санына карата оперативдүү жол аркылуу табылган  козголгон кылмыш ишинин үлүшү   </t>
  </si>
  <si>
    <t xml:space="preserve">Экономикалык жана коррупциялык укук бузууларды  алдын алуунун жана өз учурунда жоюунун натыйжалуулугун жогорулатуу </t>
  </si>
  <si>
    <t>Ачылган кылмыштардын жалпы санынан коомчулукка маалымдоо үчүн ЖМКга берилген материалдардын үлүшү</t>
  </si>
  <si>
    <t xml:space="preserve">Коррупцияга каршы багытта социалдык видеороликтерди түзүү </t>
  </si>
  <si>
    <r>
      <t xml:space="preserve">Кылмыш иштерин иликтөөнүн сапатын жогорулатуу </t>
    </r>
    <r>
      <rPr>
        <sz val="11"/>
        <rFont val="Times New Roman"/>
        <family val="1"/>
        <charset val="204"/>
      </rPr>
      <t xml:space="preserve">
</t>
    </r>
    <r>
      <rPr>
        <i/>
        <sz val="11"/>
        <rFont val="Times New Roman"/>
        <family val="1"/>
        <charset val="204"/>
      </rPr>
      <t xml:space="preserve">Программанын максаты: Кылмыш иштерин сотко жөнөтүү менен логикалык аяктоого чейин жеткирүү
</t>
    </r>
  </si>
  <si>
    <t>Кылмыш иши козголгондордун санын сот органдарына жөнөтүлгөн кылмыш иштеринин катышын көбөйтүү жана пландалган деңгээлге жетүү</t>
  </si>
  <si>
    <t>Сот органдарына жөнөтүлгөндөрдүн санына тергөөнүн калып калгандарын толуктоо үчүн кайтарылган кылмыш иштеринин санын азайтуу жана пландалган деңгээлге жетүү</t>
  </si>
  <si>
    <t>Каралган материалда кылмыш иштери боюнча келтирилген материалдык зыяндын ордун толтуруунун натыйжалуулугун жогорулатуу</t>
  </si>
  <si>
    <t xml:space="preserve">Белгиленген суммага кылмыш иштеринин жана материалдарынын бүтүшү боюнча зыяндын ордун толтуруунун санын көбөйтүү жана пландалган деңгээлге жетүү </t>
  </si>
  <si>
    <t>Жыйынтыгы: Кыргыз Республикасынын Өкмөтүнө караштуу Экономикалык кылмыштуулукка каршы күрөш боюнча мамлекеттик кызматы боюнча бардыгы</t>
  </si>
  <si>
    <t>62. Кыргыз Республикасынын Өкмөтүнө караштуу Ветеринардык жана фитосанитардык коопсуздук боюнча мамлекеттик инспекция</t>
  </si>
  <si>
    <t xml:space="preserve">Бардык программалар боюнча  эмгек акы  жалпы чыгашасына карата 001 программа боюнча эмгек акыга чыгашалардын катышы </t>
  </si>
  <si>
    <t xml:space="preserve">Финансылык менеджметти жана эсепке алууну камсыздоо </t>
  </si>
  <si>
    <t xml:space="preserve">Бюджетти укук бузууларсыз аткаруу пайызы </t>
  </si>
  <si>
    <t>Мин.ведом. ЖМКдагы оң эскертүүлөрүнүн  саны</t>
  </si>
  <si>
    <t xml:space="preserve">Ишти уюштуруу жана камсыздоо кызматы </t>
  </si>
  <si>
    <t xml:space="preserve">Борбордук аппараттын кызматкерлеринин жалпы санынан камсыздоо кызматтарынын кызматкерлеринин үлүшү </t>
  </si>
  <si>
    <r>
      <t xml:space="preserve">Ветеринардык, фитосанитардык коопсуздукту камсыздоо                                                                                   </t>
    </r>
    <r>
      <rPr>
        <i/>
        <sz val="11"/>
        <rFont val="Times New Roman"/>
        <family val="1"/>
        <charset val="204"/>
      </rPr>
      <t>Программанын максаты: мыйзам ченемдерин сактоону камсыздоодо ветеринардык жана фитосанитардык коопсуздукту жогорку денгээли жана жалпы адамдар, жаныбарлар жана өсүмдүктөр үчүн жугуштуу оорулардын алдын алуу</t>
    </r>
  </si>
  <si>
    <t xml:space="preserve">Ветеринардык жана фитосанитардык көзөмөлдөө натыйжалуулугун жогорулатуу </t>
  </si>
  <si>
    <t xml:space="preserve">Жаныбарлар алынган продуктуларды ветеринардык-санитардык экспертизалоону уюштурууну көзөмөлдөө </t>
  </si>
  <si>
    <t xml:space="preserve">Текшерилген ишкердик субъекттеринин саны </t>
  </si>
  <si>
    <t xml:space="preserve">Эпизооияга каршы иш-чараларды контролдоо </t>
  </si>
  <si>
    <t xml:space="preserve">Жаныбарлардын катталган ооруларынын санын азайтуу  </t>
  </si>
  <si>
    <t>келип чыгуулардын саны</t>
  </si>
  <si>
    <t>Вакцинацияланган жаныбарлардын саны</t>
  </si>
  <si>
    <t xml:space="preserve">малдын саны, млн. </t>
  </si>
  <si>
    <t xml:space="preserve">Адам жана жаныбарлар үчүн жалпы оорулардын киришин, 
чыгышын, жайылуусун алдын алуу </t>
  </si>
  <si>
    <t xml:space="preserve">Текшерилген автоташуулардын жана авиаташуулардын саны </t>
  </si>
  <si>
    <t xml:space="preserve">Жаныбарларды ветеринардык диагностикалоону жүргүзүү </t>
  </si>
  <si>
    <t xml:space="preserve">Жүргүзүлгөн ветеринардык-диагностикалык изилдөөлөрдүн саны  </t>
  </si>
  <si>
    <t xml:space="preserve">малдын саны, миң. </t>
  </si>
  <si>
    <t xml:space="preserve">Ветеринардык диагностика жүргүзүлгөн жаныбарлардын саны </t>
  </si>
  <si>
    <r>
      <t xml:space="preserve">Өсүмдүктөрдү жана жаныбарларды жугуштуу оорулардан коргоо                                                                                         </t>
    </r>
    <r>
      <rPr>
        <i/>
        <sz val="11"/>
        <rFont val="Times New Roman"/>
        <family val="1"/>
        <charset val="204"/>
      </rPr>
      <t xml:space="preserve">Программанын максаты: ооруларды алдын алуу жана профилактикалоо боюнча чараларды камсыздоодо жаныбарларды жана өсүмдүктөрдү коргоонун жогорку деңгээли </t>
    </r>
  </si>
  <si>
    <t>Оору тобокелчиликтерин  жана оору жугузучуулардын кирүүсүн азайтуу</t>
  </si>
  <si>
    <t xml:space="preserve">Санитардык, ветеринардык жана фитосанитардык ченемдерди сактоону мамлекеттик көзөмөлдөө </t>
  </si>
  <si>
    <t xml:space="preserve">Кыргыз Республикасында жаныбарлардын жана куштардын кооптуу ооруларына жол бербөө </t>
  </si>
  <si>
    <r>
      <t>изилд</t>
    </r>
    <r>
      <rPr>
        <sz val="11"/>
        <rFont val="Calibri"/>
        <family val="2"/>
        <charset val="204"/>
      </rPr>
      <t>ɵɵнун саны</t>
    </r>
  </si>
  <si>
    <t>Азык түлүк коопсуздугун камсыздоо, тамак-аштан ууланууну алдын алуу</t>
  </si>
  <si>
    <t xml:space="preserve">Жыйынтыгы: Кыргыз Республикасынын Өкмөтүнө караштуу Ветеринардык жана фитосанитардык коопсуздук боюнча мамлекеттик инспекция боюнча бардыгы </t>
  </si>
  <si>
    <t>63. Кыргыз Республикасынын Мамлекеттик маалыматтык технологиялар жана байланыш комитети</t>
  </si>
  <si>
    <t>Пландоо, башкаруу, администрациялоо</t>
  </si>
  <si>
    <t xml:space="preserve">Башка программалар боюнча  учурдагы чыгымдардын суммасына карата 1-программа боюнча учурдагы чыгымдардын катышы </t>
  </si>
  <si>
    <t xml:space="preserve">Бюджеттик каражаттарды максаттуу пайдалануу </t>
  </si>
  <si>
    <t xml:space="preserve">Эмгек акысын жогорулатууга сунушталган мамкызматкерлердин ишин баалоо %  </t>
  </si>
  <si>
    <t>ЧУА экспертизаларынын саны</t>
  </si>
  <si>
    <t xml:space="preserve">Ишти уюштуруу жана камсыз кылуу  кызматы </t>
  </si>
  <si>
    <t>Мониторинг,  талдоо жүргүзүүнү жана стратегиялык пландоону камсыз кылуу</t>
  </si>
  <si>
    <t xml:space="preserve">Маморгандын жана анын жетекчисинин ишин баалоо </t>
  </si>
  <si>
    <t xml:space="preserve">Эл аралык байланышты өнүктүрүү жана которууну камсыздоо </t>
  </si>
  <si>
    <t>Лицензиялык контролдоо</t>
  </si>
  <si>
    <t xml:space="preserve">Байланыш операторунун дарегине чыгарылган актылардын саны </t>
  </si>
  <si>
    <t xml:space="preserve">Байланыш кызмат көрсөтүүлөрүнүн сапаты жана уюштуруу маселеси боюнча каралган даттануулардын жана кайрылуулардын саны </t>
  </si>
  <si>
    <t>Мамлекеттик сатып алуулар</t>
  </si>
  <si>
    <t xml:space="preserve">Жүргүзүлгөн сатып алуулардын саны </t>
  </si>
  <si>
    <t>Тармактык функциялар</t>
  </si>
  <si>
    <t xml:space="preserve">Иштелип чыккан ЧУА саны </t>
  </si>
  <si>
    <t xml:space="preserve">Коюлган милдеттерди ишке ашыруу деңгээли </t>
  </si>
  <si>
    <r>
      <t xml:space="preserve">Маалыматтык-коммуникациялык технологиялар жана байланыш инфраструктурасы 
</t>
    </r>
    <r>
      <rPr>
        <i/>
        <sz val="11"/>
        <rFont val="Times New Roman"/>
        <family val="1"/>
        <charset val="204"/>
      </rPr>
      <t xml:space="preserve">Программанын максаты: Электрондук башкарууну өнүктүрүү, электрондук мамлекеттик кызмат көрсөтүүлөрдү ишке киргизүү </t>
    </r>
  </si>
  <si>
    <t xml:space="preserve">Иштеп жаткан маалыматтык системалардын, порталдардын саны </t>
  </si>
  <si>
    <t xml:space="preserve">Тышкы миграцияны эсепке алуунун бирдиктүү системасынын байланыш каналын камсыздоо </t>
  </si>
  <si>
    <t xml:space="preserve">Кошулган объекттердин саны </t>
  </si>
  <si>
    <t>Номерлерди которуунун борборлоштурулган маалыматтар базасын түзүү</t>
  </si>
  <si>
    <t>Мобилдик байланыш абоненттерин номерлерди которуу кызмат көрсөтүүлөрү менен камсыздоо  (Мобилдик байланыш абоненттеринин жалпы санынан %)</t>
  </si>
  <si>
    <t>"Акылдуу шаар" долбоорунун "Коопсуз шаар" компоненти</t>
  </si>
  <si>
    <t>Калкту конуштарда жана трассаларда жол кыймылынын эрежесин бузууларды азайтуу</t>
  </si>
  <si>
    <t>Электрондук кызмат көрсөтүүлөрдүн мамлекеттик порталынын иштөөсүн камсыздоо</t>
  </si>
  <si>
    <t xml:space="preserve">Порталда берилген мамлекеттик кызмат көрсөтүүлөрдүн саны </t>
  </si>
  <si>
    <t xml:space="preserve">Төлөм шлюзун маалыматтык системасынын иштөөсүн камсыздоо </t>
  </si>
  <si>
    <t xml:space="preserve">Төлөм шлюзу системасына кошулган банктардын саны </t>
  </si>
  <si>
    <t xml:space="preserve">"Түндүк" электрондук ведомстволор аралык өз ара аракеттенүү системасынын иштөөсүн камсыздоо </t>
  </si>
  <si>
    <t xml:space="preserve">«Түндүк» СЭМВ пайдалануу менен электрондук форматта мамлекеттик кызмат көрсөтүүлөрдү берген мамлекеттик органдардын саны  </t>
  </si>
  <si>
    <t xml:space="preserve">Электрондук соода аянтынын иштөөсүн камсыздоо </t>
  </si>
  <si>
    <t xml:space="preserve">Электрондук соода аянтынын иштөөсүн камсыздоо боюнча аткарылган иштердин салыштырма салмагы </t>
  </si>
  <si>
    <t>Негизги тастыктоочу борборду ачуу</t>
  </si>
  <si>
    <t xml:space="preserve">Негизги тастыктоочу борборду ачуу боюнча аткарылган иштердин салыштырма салмагы </t>
  </si>
  <si>
    <t>"Таза коом" долбоорун ишке ашыруу</t>
  </si>
  <si>
    <t xml:space="preserve">"Таза коом" долбоору боюнча аткарылган иштердин салыштырма салмагы </t>
  </si>
  <si>
    <t>Радиомониторингди камтуу зонасын жабуу</t>
  </si>
  <si>
    <t>Радиомониторинг системасынын камтуу зонасын кеңейтүү</t>
  </si>
  <si>
    <t>Радиомониторинг системасында иштеген стационардык/мобилдик радиоконтролдук пункттарынын (ППУР) саны</t>
  </si>
  <si>
    <t>Радиомониторинг каражаттарын камсыздоо (керектөөдөн %)</t>
  </si>
  <si>
    <t>Улуттук радиожыштык спектрин эл аралык укуктук коргоо</t>
  </si>
  <si>
    <t xml:space="preserve">Берилген табыштамалардын санына карата таанылган жыштыктык берүүлөрдүн санынын катышы </t>
  </si>
  <si>
    <t xml:space="preserve">Радиожыштык спектринин кепилденген жыштыгы аркылуу телекоммуникациялык рыноктун инвестициялык жагымдуулугун жогорулатуу </t>
  </si>
  <si>
    <t xml:space="preserve">Радиожыштыктардын жеткиликтүүлүгү боюнча КМШ өлкөлөрүндө Кыргыз Республикасынын орду </t>
  </si>
  <si>
    <t xml:space="preserve">Бөлүп берүүгө жеткиликтүү радиожыштыктарды тандап алуу </t>
  </si>
  <si>
    <t xml:space="preserve">Эл аралык рейтинг  (100 кишиге белгиленген жана уюлдук кызматтын абоненттеринин саны) </t>
  </si>
  <si>
    <t xml:space="preserve">Телекоммуникациялык кызмат көрсөтүүлөрдүн кеңири спектрин берүүнү камсыздоо </t>
  </si>
  <si>
    <t>Кыргызстандын жалпы калкына карата уюлдук байланыштын калкты камтуу   %</t>
  </si>
  <si>
    <t xml:space="preserve">Милдеттүү санариптик телерадиканалдарды кабыл алуу мүмкүнчүлүгү болгон калктын салыштурмалуу салмагы  (ППУТ соцпакетинин алкагында) </t>
  </si>
  <si>
    <t>Жыштык ресурсун натыйжалуу  пайдалануу</t>
  </si>
  <si>
    <t xml:space="preserve">Жыштык ыйгарууларды берүү </t>
  </si>
  <si>
    <t xml:space="preserve">Жыштык ыйгарууларды берүү (керектөөдөн %) </t>
  </si>
  <si>
    <t xml:space="preserve">Берилген уруксаттардын жана сертификаттардын саны </t>
  </si>
  <si>
    <t xml:space="preserve">Берилген кызмат көрсөтүүлөрдүн жана байланыш каражаттарынын техникалык абалынын сапатын мамлекеттик контролдоо </t>
  </si>
  <si>
    <t xml:space="preserve">Сертификациялык изилдөөлөрдүн саны </t>
  </si>
  <si>
    <t xml:space="preserve">Берилген шайкештик сертификаттарынын саны </t>
  </si>
  <si>
    <t xml:space="preserve">Киргизүүгө берилген уруксаттардын саны </t>
  </si>
  <si>
    <t>Байланыш жаатындагы лицензиялоо</t>
  </si>
  <si>
    <t xml:space="preserve">Берилген (узартылган) лицензиялардын саны </t>
  </si>
  <si>
    <t xml:space="preserve">Каралган табыштамалардан  лицензияларды берүү (узартуу)  % </t>
  </si>
  <si>
    <t xml:space="preserve">6-программа Фельдъегердик байланыш </t>
  </si>
  <si>
    <t xml:space="preserve">Фельдъегердик байланышты камсыздоо </t>
  </si>
  <si>
    <t>Жеткирилген корреспонденциялардын саны</t>
  </si>
  <si>
    <t>миң даана</t>
  </si>
  <si>
    <t>Digital CASA долбоору - Кыргыз Республикасы</t>
  </si>
  <si>
    <t xml:space="preserve"> факт боюнча</t>
  </si>
  <si>
    <t>Жыйынтыгы: Кыргыз Республикасынын Мамлекеттик маалыматтык технологиялар жана байланыш комитети боюнча бардыгы</t>
  </si>
  <si>
    <t>64.  Кыргыз Республикасынын Дин иштери боюнча мамлекеттик комиссиясы</t>
  </si>
  <si>
    <t>Жалпы жетекчиликти жана финансылык менеджментти камсыздоо</t>
  </si>
  <si>
    <t xml:space="preserve">Борбордук аппараттын кызматкерлеринин жалпы санынан камсыз кылуу кызматынын кызматкерлеринин үлүшү  </t>
  </si>
  <si>
    <t xml:space="preserve">Иштерди уюштуруу жана камсыздоо кызматтары </t>
  </si>
  <si>
    <t>Дин чөйрөсүндөгү мамлекеттик саясат, ченемдик укуктук базанын сереби</t>
  </si>
  <si>
    <t xml:space="preserve">Утуп алынган сот иштеринин алардын жалпы санына карата катыштыгы </t>
  </si>
  <si>
    <t>Республикадагы жана дүйнөнүн башка өлкөлөрүндөгү диний кырдаалдарды талдоо жана мониторинг</t>
  </si>
  <si>
    <t>Диний уюмдардын саны</t>
  </si>
  <si>
    <t xml:space="preserve"> Республика жана дүйнөнүн башка өлкөллөрүндөгү диний кырдаалга мониторинг жана анализ жүргүзүү</t>
  </si>
  <si>
    <t>Дин маселеси боюнча иштелип чыккан жана кабыл алынган сунуштардын саны (сунуштар камтылган каттар)</t>
  </si>
  <si>
    <t xml:space="preserve">Диний экстремизмди алдын алуу жана ага каршы күрөшүү боюнча мамлекеттик программаларды  иштеп чыгуу  жана мамлекеттик органдар менен өз ара аракеттенүү </t>
  </si>
  <si>
    <t>Дин катмарындагы кагылыштарды кыскартуу</t>
  </si>
  <si>
    <t>Диний багыттагы объектилердин жана диний уюмдардын ишин  контролдоо жана координациялоо</t>
  </si>
  <si>
    <t>Дин ишинде Кыргыз Республикасынын мыйзамдарын бузган диний уюмдардын үлүшү (дин уюмдарынын жалпы санына)</t>
  </si>
  <si>
    <t xml:space="preserve">Диний кырдаалды изилдөө, мониторинг жүргүзүү жана талдоонун улуттук системасын түзүү жана өнүктүрүү; Дин чөйрөсүндөгү артыкчылыктуу багыттар боюнча изилдөөлөрдү жүргүзүү; Диний кырдаалды терең изилдөөнү талап кылган өлкөнүн региондорундагы изилдөө </t>
  </si>
  <si>
    <t xml:space="preserve">Диний негиздеги проблемалуу маселелер жана конфликттер боюнча алдын алуу, профилактикалоо жана көңүл буруу боюнча сунуштарды жана рекомендацияларды иштеп чыгуу </t>
  </si>
  <si>
    <t>Бардыгы: Кыргыз Республикасынын дин иштери боюнча Мамлекеттик комисмсиясы боюнча</t>
  </si>
  <si>
    <t>66. Кыргыз Республикасынын Өкмөтүнө караштуу Сот өкүлчүлүк борбору</t>
  </si>
  <si>
    <t xml:space="preserve">Бардык программалар боюнча  эмгек акыга чыгашалардын суммасына 001 Программасы боюнча   эмгек акыга  чыгашалардын катышы </t>
  </si>
  <si>
    <t>Жалпы жетекчиликти камсыздоо</t>
  </si>
  <si>
    <t>Финансылык менеджментти жана эсепке алууну камсыздоо</t>
  </si>
  <si>
    <t xml:space="preserve">Бузууларсыз бюджетти  аткаруу пайызы </t>
  </si>
  <si>
    <t>Ишти уюштуруу жана камсыздоо кызматтары</t>
  </si>
  <si>
    <t xml:space="preserve">Борбордук аппараттын жалпы  кызматкерлеринин  санынан  камсыздоо кызматынын кызматкерлеринин үлүшү </t>
  </si>
  <si>
    <t xml:space="preserve">Эл аралык жана жергиликтүү  сот органдарында  Кыргыз Республикасынын Өкмөтүнүн,  ошондой эле  Кыргыз Республикасынын  укуктарын жана кызыкчылыктарын  коргоо жана жактоо                                    </t>
  </si>
  <si>
    <t xml:space="preserve">Алардын жалпы санына жеңип чыккан сот иштеринин катышы </t>
  </si>
  <si>
    <t xml:space="preserve">Талаш тартыштардын кыйла жагымдуу чечилиши үчүн  эл аралык жана  жергиликтүү сотторго катышуу </t>
  </si>
  <si>
    <t xml:space="preserve">Жеңип чыккан сот иштеринин  саны </t>
  </si>
  <si>
    <t xml:space="preserve">Бардыгы: Кыргыз Республикасынын Өкмөтүнүн Сот өкүлчүлүк борбору боюнча бардыгы </t>
  </si>
  <si>
    <t>68. ЮНЕСКО иштери боюнча Кыргыз Республикасынын Улуттук комиссиясынын катчылыгы</t>
  </si>
  <si>
    <t xml:space="preserve">001 программасы боюнча эмгек акыга кеткен чыгашалардын бардык программалар боюнча эмгек акыга кеткен чыгашалардын суммасына карата катышы </t>
  </si>
  <si>
    <t xml:space="preserve">Бардыгы: ЮНЕСКО иштери боюнча Кыргыз Республикасынын Улуттук комиссиясынын катчылыгы  боюнча </t>
  </si>
  <si>
    <t>70. Кыргыз Республикасынын Улуттук стратегиялык изилдөөлөр институту</t>
  </si>
  <si>
    <t xml:space="preserve">Бардык программалар боюнча  эмгек акыга болгон чыгашаларга 001 программасы  боюнча  эмгек акыга болгон чыгашалардын катышы </t>
  </si>
  <si>
    <t xml:space="preserve">Кыргыз Республикасынын УСИИнин программаларынын натыйжалуулугунун индикаторлорунун аткарылышынын пайызы </t>
  </si>
  <si>
    <t xml:space="preserve">Изилдөө продуктуларынын (стратегиялар, концепциялар, программалар, отчёттор, аналитикалык каттар, макалалар, журналдардын чыгарылышы ж.б.) саны </t>
  </si>
  <si>
    <t>Экономика жаатында жана социалдык чөйрөдө изилдөөлөрдү жүргүзүү</t>
  </si>
  <si>
    <t xml:space="preserve">Изилдөө продуктуларынын (экономика жана социалдык чөйрөдөгү стратегиялар, концепциялар, программалар, аналитикалык каттар, маалым каттар ж.б.) саны </t>
  </si>
  <si>
    <t>Ички жана тышкы саясат жаатындагы изилдөөлөрдү жүргүзүү</t>
  </si>
  <si>
    <t>Бардыгы: Кыргыз Республикасынын Улуттук стратегиялык изилдөөлөр институту боюнча</t>
  </si>
  <si>
    <t>71. Кыргыз Республиксынын Өкмөтүнө караштуу Финансылык чалгындоо мамлекеттик кызматын</t>
  </si>
  <si>
    <t xml:space="preserve">Финансылык чалгындоо мамлекеттик кызматынын талаптагыдай ишинин камсыздалышы </t>
  </si>
  <si>
    <t>Бюджеттин сапаттуу аткарылышынын пайызы</t>
  </si>
  <si>
    <t>ЖМКга  жарыяланган материалдардын саны, Коомдук кенеш менен өткүлгөн жыйындар</t>
  </si>
  <si>
    <t>зарылчылыкка жараша</t>
  </si>
  <si>
    <t xml:space="preserve">зарылчылыкка жараша </t>
  </si>
  <si>
    <t>Борбордук аппараттын жалпы кызматкерлеринин санынын ичинен камсыздоо кызматынын кызматкерлеринин үлүшү</t>
  </si>
  <si>
    <t>Даярдалган документтердин саны (аналитикалык документтер жана ведомствонун иш-пландары)</t>
  </si>
  <si>
    <t xml:space="preserve">Укук коргоо органдарына  жиберилүүчү  материалдардын сапатын жакшыртуунун эсебинен кылмыштуу кирешелерди легализациялоого (адалдоого) жана террористтик же экстремисттик ишти каржылоого каршы аракеттенүү боюнча  чаралардын  натыйжалуулугун жогорулатуу </t>
  </si>
  <si>
    <t xml:space="preserve">Укук коргоо органдарына  даярдалган жана  жөнөтүлгөн жалпыланган материалдын саны </t>
  </si>
  <si>
    <t xml:space="preserve">Кылмыштуу кирешелерди легализациялоого (адалдоого) жана террористтик же экстремисттик ишти каржылоого каршы аракеттенүү чөйрөсүндө ченемдик укуктук базаны өркүндөтүү </t>
  </si>
  <si>
    <t xml:space="preserve">Тийиштүү өзгөртүүлөрдү жана толуктоолорду  киргизүү зарыл болгон  ченемдик  укуктук актылардын саны  </t>
  </si>
  <si>
    <t>БӨУ</t>
  </si>
  <si>
    <t xml:space="preserve">Кылмыштуу кирешелерди легализациялоого (адалдоого) жана террористтик же экстремисттик ишти каржылоого каршы аракеттенүү чөйрөсүндө эл аралык милдеттенмелерди  тийиштүү аткаруу боюнча  укуктук жана институционалдык негиздерди өркүндөтүү   </t>
  </si>
  <si>
    <t xml:space="preserve">Кылмыштуу кирешелерди легализациялоого (адалдоого) жана террористтик же экстремисттик ишти каржылоого каршы аракеттенүү чөйрөсүндө  мамлекеттер, БУУнун БжКБ, ЭВФ, ДБ жана  эл аралык уюмдар менен  өз ара аракеттенүүнү күчөтүү   </t>
  </si>
  <si>
    <t xml:space="preserve">Жаңы автоматташтырылган иш орундар системасын, электрондук документтерди жүгүртүү  жана аналитикалык  инструменттерди киргизүү </t>
  </si>
  <si>
    <t xml:space="preserve">Кылмыштуу кирешелерди легализациялоого (адалдоого) жана террористтик же экстремисттик ишти каржылоого каршы аракеттенүү чөйрөсүндө  белгиси менен  операциялар (келишим) тууралуу  иштелип чыккан маалыматтардын  саны </t>
  </si>
  <si>
    <t xml:space="preserve">Финансылык чалгындоо мамлекеттик кызматынын Бирдиктүү маалыматтык системасында маалыматты топтоо жана сактоо системасын өнүктүрүү </t>
  </si>
  <si>
    <t xml:space="preserve">Маалымат берген адамдардан кабыл алынган операциялар (торук) жөнүндө билдирүүлөрдүн саны </t>
  </si>
  <si>
    <t>Бардыгы: Кыргыз Республикасынын Өкмөтүнө караштуу Финансылык чалгындоо кызматы боюнча бардыгы</t>
  </si>
  <si>
    <t>72. Кыргыз Республикасынын Өкмөтүнө караштуу Монополияга каршы жөнгө салуу мамлекеттик агенттиги</t>
  </si>
  <si>
    <t>жарыяланган эмес</t>
  </si>
  <si>
    <t>Кызматкерлердин жалпы санынан квалификациясын жогорулатуу боюнча курстарга катышкан кызматкерлердин саны</t>
  </si>
  <si>
    <t xml:space="preserve"> Укуктук колдоо</t>
  </si>
  <si>
    <t xml:space="preserve">Коррупцияны алдын алуу </t>
  </si>
  <si>
    <t xml:space="preserve">Монополияга каршы жөнгө салуу чөйрөсүндө системалуу коррупцияны демонтаждоо боюнча деталдуу планды аткаруунун жыйынтыгы боюнча ишке ашырылган иш-чаралардын саны  </t>
  </si>
  <si>
    <t xml:space="preserve">Коррупцияга каршы аракеттенүү боюнча иш-чаралардын ведомстволук планды аткаруунун жыйынтыгы боюнча ишке ашырылган иш-чаралардын саны   </t>
  </si>
  <si>
    <t xml:space="preserve">Регионалдык деңгээлде жалпы координациялоо </t>
  </si>
  <si>
    <t>Кр облустарына регионалдык өкүлчүлүктөрдүн кызматкерлеринин орточо саны</t>
  </si>
  <si>
    <t xml:space="preserve">Республикалык деңгээлде жалпы координациялоо </t>
  </si>
  <si>
    <t>Коррупцияны алдын алуу</t>
  </si>
  <si>
    <t>Укуктук колдоо жана мамлекеттик сатып алууларды жүргүзүү</t>
  </si>
  <si>
    <t xml:space="preserve">Соттук иштердин саны. Иштелип чыккан ченемдик укуктук актылардын долбоорлорунун саны. Өткөрүлгөн конкурстук жол-жоболордун жана түзүлгөн келишимдердин саны. Түзүлгөн келишимдердин жыйынтыгы боюнча үнөмдөө. </t>
  </si>
  <si>
    <t xml:space="preserve">Атаандаштыкка жөндөмдүүлүктү арттыруу максатында тоскоолдуктарды жана монополиялык иш-аракеттерди азайтуу боюнча каралган иштердин саны </t>
  </si>
  <si>
    <t xml:space="preserve">Монополияга каршы жана баанын жөнгө салуу жаатындагы мыйзамдардын сакталышын камсыз кылуу </t>
  </si>
  <si>
    <t xml:space="preserve">Текшерилген субъектилердин салыштырма салмагынын пландалган субъектилерге карата көбөйүшү </t>
  </si>
  <si>
    <t>Текшерүүлөрдүн жыйынтыгы боюнча апелляциялардын санынын кыскарышы</t>
  </si>
  <si>
    <t xml:space="preserve">Атаандаштык чөйрөсүнүн абалын талдоо жана ЕЭК менен өз ара аракеттенүү </t>
  </si>
  <si>
    <t xml:space="preserve">Атаандаштыктын абалына жүргүзүлгөн анализдин саны </t>
  </si>
  <si>
    <t>планга ылайык</t>
  </si>
  <si>
    <t>Доминанттардын мамреестринен чыгарылган доминант субъекттеринин саны</t>
  </si>
  <si>
    <t xml:space="preserve">Келип түшкөн арыздардын жалпы санынан адилеттүү атаандаштык боюнча жакшы жагынан каралган арыздардын үлүшү </t>
  </si>
  <si>
    <t xml:space="preserve">Айкындалган бузуулардын жалпы санынан "Жарнама жөнүндө" Кыргыз Республикасынын мыйзамын жоюлган бузуулардын үлүшү </t>
  </si>
  <si>
    <t>түшүүлөргө жараша</t>
  </si>
  <si>
    <t xml:space="preserve">Ак ниеттүү эмес атаандаштыкка жана атаандаштыкты чектөөгө жол бербөө: 1. Чарба субъекттеринин жана жарандардын укуктарын башка субъекттерин ак ниеттүү эмес атаандаштыгынан коргоо; 2. Иш-аракеттерге бөгөт коюу 
</t>
  </si>
  <si>
    <t xml:space="preserve">Жарандык коомдон келип түшкөн арыздардын жалпы санынан жакшы жагынан каралган арыздардын үлүшү </t>
  </si>
  <si>
    <t xml:space="preserve">Чарба жүргүзүүчү субъекттердин ортосундагы атаандаштыкты чектей турган айкындалган бузуулардын үлүшү </t>
  </si>
  <si>
    <t xml:space="preserve">Керектөөчүлөрдүн жана жарнаманын укуктарын мамлекеттик коргоо: 1. Керектөөчүлөрдүн укуктарын коргоону камсыздоо; 
2. "Жарнама жөнүндө" Кыргыз Республикасынын Мыйзамын бузуулардын санын азайтуу; 3. Монополияга каршы саясат, керектөөчүлөрдүн жана жарнаманын укуктарын  коргоо чөйрөсүндө эл аралык кызматташтык 
</t>
  </si>
  <si>
    <t xml:space="preserve">Түшкөн арыздардын жалпы санынан ак ниеттүү эмес атаандаштык боюнча жакшы жагынан каралган арыздардын үлүшү  </t>
  </si>
  <si>
    <t xml:space="preserve">Айкындалган бузуулардын жалпы санынан "Керектөөчүнүн укугун коргоо жөнүндө" Кыргыз Республикасынын мыйзамын жоюлган бузуулардын үлүшү </t>
  </si>
  <si>
    <t xml:space="preserve">КМШ жана алыскы чет өлкөлөрдүн атаандаштык ведомтсволору менен өз ара аракеттенүү </t>
  </si>
  <si>
    <t xml:space="preserve">тиешелүү документтеррди түзүү зарылчылыгына жараша </t>
  </si>
  <si>
    <t xml:space="preserve">Табигый монополия субъекттеринин товарларына (жумуштар, кызмат көрсөтүүлөр) бааларды (тарифтерди) белгилөө </t>
  </si>
  <si>
    <t xml:space="preserve">белгиленген баалардын (тарифтердин) саны </t>
  </si>
  <si>
    <t xml:space="preserve">Табигый монополия субъекттеринин товарларын (жумуштар, кызмат көрсөтүүлөр) жеткирүүгө (сатып алууга) контракттардын формаларын  макулдашуу </t>
  </si>
  <si>
    <t xml:space="preserve">Контракттардын макулдашылган формаларынын саны </t>
  </si>
  <si>
    <t xml:space="preserve">Мамлекеттик органдар, жергиликтүү өз алдынча башкаруу органдары жана алардын түзүмдүк бөлүмдөрү, уюмдары, мекемелери тарабынан көрсөтүлгөн билим берүүдөн тышкары кызмат көрсөтүүлөргө (жумуштарга) тарифтерди макулдашуу </t>
  </si>
  <si>
    <t xml:space="preserve">Негизделген баалар (тарифтер) боюнча макулдашылган кызмат көрсөтүүлөрдүн саны  </t>
  </si>
  <si>
    <t>Бардыгы: Кыргыз Республикасынын Өкмөтүнө караштуу Монополияга каршы жөнгө салуу мамлекеттик агенттиги боюнча бардыгы</t>
  </si>
  <si>
    <t>73.Кыргыз Республикасынын Өкмөтүнө караштуу Мамлекеттик миграция кызматы</t>
  </si>
  <si>
    <t xml:space="preserve"> 001 программасы боюнча эмгек акыга кеткен чыгашалардын бардык программалар боюнча эмгек акыга кеткен чыгашалардын суммасына карата катышы</t>
  </si>
  <si>
    <t xml:space="preserve">Кызматкерлердин жалпы санынан иши жогорку балл менен бааланган кызматкерлердин үлүшү   </t>
  </si>
  <si>
    <t>Кызматкерлердин жалпы санынан  квалификациясын жогорулаткан кызматкерлердин үлүшү</t>
  </si>
  <si>
    <t>Ведомствонун ишин ЖМКда чагылдыруунун саны</t>
  </si>
  <si>
    <t>Ишти уюштуруу жана  камсыздоо кызматы</t>
  </si>
  <si>
    <t>Борбордук аппараттын кызматкерлеринин жалпы санынан камсыз кылуу кызматын көрсөтүүчү кызматкерлеринин үлүшү</t>
  </si>
  <si>
    <t>Мониторингди, талдоону жана стратегиялшык пландоону камсыздоо</t>
  </si>
  <si>
    <t xml:space="preserve">Системалуу саясий коррупцияны жоюу боюнча планды аткаруу </t>
  </si>
  <si>
    <t xml:space="preserve">Миграция чөйрөсүндө стратегиялык документтерди иштеп чыгуу </t>
  </si>
  <si>
    <t xml:space="preserve">Стратегиялык документтердин (стратегия, концепция, мам.программалар) </t>
  </si>
  <si>
    <t xml:space="preserve">Чет өлкөлүк жумушчу күчүн тартуу жана пайдалануу процесстерин жөнгө салуу, иммигрант статусун кароо  </t>
  </si>
  <si>
    <t xml:space="preserve">Чет өлкөлүк жарандарга жана жарандыгы болбогон жактарга берилген уруксат документтеринин саны, иммигрант статусу берилгендердин саны </t>
  </si>
  <si>
    <t>Иммигранттарды  (этникалык  кыргыздар, кайрылмандар) коргоону жана  укугун камсыздоо</t>
  </si>
  <si>
    <t>Берилген документтердин (кайрылмандардын күбөлүгү)  саны</t>
  </si>
  <si>
    <t xml:space="preserve">Качкындарды коргоону жана укугун камсыздоо </t>
  </si>
  <si>
    <t>Качкындар жана баш калкалоо издеп жаткан адамдарга  берилген документтердин саны (качкындын күбөлүгү, качкын статусун  берүү тууралуу өтүнүчүн  каттоо жөнүндө  күбөлүк)</t>
  </si>
  <si>
    <t xml:space="preserve">Уюштурулган ишке орноштуруу, адам сатууну табуу,  тыюу салуу жана чет өлкөдөгү мекендештер менен өз ара аракеттенүү системасын өнүктүрүү </t>
  </si>
  <si>
    <t>Эмгек миграциясы чөйрөсүндөгү иштелип чыккан ченемдик укуктук актылардын саны</t>
  </si>
  <si>
    <t xml:space="preserve">РФ аймагына кирүүнү чектөө (кара тизме) боюнча берилген консультациялардын саны  </t>
  </si>
  <si>
    <t xml:space="preserve">Мыйзамдык укуктарды, КР жарандарынын кызыкчылыктарын коргоо жана РФдагы миграция жана иштөө маселелери боюнча көмөк көрсөтүү </t>
  </si>
  <si>
    <t xml:space="preserve">Колдоо алуу үчүн кайрылган Кыргыз Республикасынын жарандарынын саны  </t>
  </si>
  <si>
    <t xml:space="preserve">Өкүлчүлүктүн көмөктөшүүсү менен төлөнгөн суммалардын саны </t>
  </si>
  <si>
    <t xml:space="preserve">млн.сом </t>
  </si>
  <si>
    <t xml:space="preserve">КР жарандарынын тышкы рынокто ишке орношуусуна көмөк көрсөтүү, КР жарандарынын сөөгүн мекенине жеткирүүгө байланышкан чыгымдарга  компенсация төлөө </t>
  </si>
  <si>
    <t xml:space="preserve">Тышкы эмгек миграциясы жана уюштурулган ишке орноштуруу маселелери боюнча консультация берилген жарандардын саны </t>
  </si>
  <si>
    <t xml:space="preserve">Төлөнгөн компенсациялардын үлүшү </t>
  </si>
  <si>
    <t>Кыргыз Республикасынын Өкмөтүнө караштуу Мамлекеттик миграция кызматы боюнча бардыгы</t>
  </si>
  <si>
    <t>74. Кыргыз Республикасынын Улуттук статисикалык комитети</t>
  </si>
  <si>
    <t>Бардык программалар боюнча эмгек акыга карата чыгашалардын суммасына 001 программасы боюнча эмгек акыга чыгашалардын катышы</t>
  </si>
  <si>
    <t>Жалпы жетектөөнү камсыздоо</t>
  </si>
  <si>
    <t>Элдин ишениминин индекси</t>
  </si>
  <si>
    <t>Бюджеттин бузууларсыз аткарылган пайызы</t>
  </si>
  <si>
    <t xml:space="preserve">Эмгектик талаштар боюнча соттук процесстердеги уткан үлүшү </t>
  </si>
  <si>
    <t>Алардын жалпы санына карата утуп алган соттук иштердин катышы</t>
  </si>
  <si>
    <t>Тышкы байланышты жана коомчулук менен болгон байланышты колдоо</t>
  </si>
  <si>
    <t xml:space="preserve">ЖМКдагы мин./ведом. оң сын-пикирлеринин саны </t>
  </si>
  <si>
    <t>Ишмердик уюму жана камсыздоо кызматтары</t>
  </si>
  <si>
    <t>БА кызматчыларынын жалпы санынан камсыздоо кызматтарынын кызматчыларынын үлүшү</t>
  </si>
  <si>
    <t>Расмий статистикалык маалыматка пайдалануучулардын болгон ишениминин индекси</t>
  </si>
  <si>
    <t>Регионалдык деңгээлде жалпы координациялоо</t>
  </si>
  <si>
    <t>КР облустарындагы аймактык өкүлчүлүктөрдүн кызматчыларынын орточо саны</t>
  </si>
  <si>
    <t>Баштапкы статистикалык маалыматты жыйноо</t>
  </si>
  <si>
    <t>Чогултула турган биринчи маалыматтын (чарбалык субъекттердин) саны</t>
  </si>
  <si>
    <t>миң бирд.</t>
  </si>
  <si>
    <t xml:space="preserve">Мамлекеттик статистикалык каттоо иштерин даярдоо жана өткөрүү </t>
  </si>
  <si>
    <t xml:space="preserve">Чогултула турган маалыматтын (каттоо субъекттеринин) саны </t>
  </si>
  <si>
    <t>Маалыматташтыруу жана аны иштеп чыгуу жана берүүнүн жогорку деңгээлин камсыздоонун эсебинен статистикалык маалыматтарды өз учурунда даярдалышын жана сапатын камсыздоо</t>
  </si>
  <si>
    <t>Электрондук түрдө бериле турган, чарбалык субъекттердин отчеттуулук үлүшү</t>
  </si>
  <si>
    <t>Жылдык отчетторду даярдоого карата убакыт мезгили</t>
  </si>
  <si>
    <t>күн</t>
  </si>
  <si>
    <t>Статистикалык маалыматты жайылтуу</t>
  </si>
  <si>
    <t>Басылмалардын саны</t>
  </si>
  <si>
    <t xml:space="preserve">басылма </t>
  </si>
  <si>
    <t>Керектөөдөн басылып чыккан статистикалык маалыматтын  үлүшү</t>
  </si>
  <si>
    <t>Статистикалык маалыматтын сапаты</t>
  </si>
  <si>
    <t xml:space="preserve">Базалык статистикалык көрсөткүчтөр,  керектөө рыногунун статистикасы, үй чарбалары, айыл чарбалары, эмгек жана жумуш менен камсыздоо, өнөр жай, курулуш жана инвестициялар, тышкы соода, экономикалык өнүгүү, социалдык өнүгүү статистикасы жана  айлана-чөйрө статистикасы боюнча маалыматтын  талдоосу                  </t>
  </si>
  <si>
    <t xml:space="preserve">Экономикалык ишмердиктин түрлөрү жана экономиканын институционалдык секторлору боюнча улуттук эсептер системасынын көрсөткүчтөрүн түзүү, керектөө рыногу,  керектөө рыногунун статистикасы, үй чарбалары, айыл чарбалары боюнча, токой чарбасы жана балык уулоо боюнча, эмгек жана жумуш менен камсыздоо боюнча, өнөр жай боюнча, курулуш жана инвестициялар боюнча, экономикалык өнүгүү боюнча, реалдуу жана финансы сектору боюнча,  социалдык өнүгүү боюнча,  айлана-чөйрө боюнча, туризм жана өзгөчө кырдаал статистикасы боюнча респонденттердин саны, жана иштетиле турган маалыматтын саны.  </t>
  </si>
  <si>
    <t>Эл аралык стандарттарды өздөштүрүү эл аралык уюмдар тарабынан түзүлгөн статистикалык сурамжылоо жыйнактарынын шайкештирилген көрсөткүчтөрү менен толтурулушу)</t>
  </si>
  <si>
    <t>Статистикалык көрсөткүчтөрдү чогултуу жана техникалык иштетүү</t>
  </si>
  <si>
    <t xml:space="preserve">Техникалык-экономикалык жана социалдык маалыматтын классификаторлорунун саны. СББМР (Статистикалык бирдиктердин Бирдиктүү мамлекеттик регистри) маалыматтар базасын жүргүзүү, коштоо жана контролдоо. </t>
  </si>
  <si>
    <t>Статистикалык маалыматты чогултуу үчүн статистикалык байкоолордун жаңы заманбап методдорун ишке киргизүү</t>
  </si>
  <si>
    <t>Статистикалык маалыматты чогултуу, иштетүү жана талдоо методикасын жакшыртуу</t>
  </si>
  <si>
    <t>Иштелип чыккан методикалардын жана сунуштардын жалпы санынан стат.органдардын күндөлүк ишине киргизилген жаңы методикалардын үлүшү</t>
  </si>
  <si>
    <t>Стат.органдардын кызматчыларынын  квалификациясын жогорулатуу</t>
  </si>
  <si>
    <t>Керектөөдөн квалификациясын жогорулаткан, стат.органдардын кызматчыларынын үлүшү</t>
  </si>
  <si>
    <t>Иш-чаралардын саны</t>
  </si>
  <si>
    <t xml:space="preserve">Бардыгы: Кыргыз Республикасынын Улуттук статистика комитети боюнча </t>
  </si>
  <si>
    <t>75. Кыргыз Республикасынын Өкмөтүнө караштуу Мамлекеттик мүлктү башкаруу боюнча фонд</t>
  </si>
  <si>
    <t>Бардык  программа боюнча эмгек акы чыгашаларынын суммасына 001 Програма боюнча эмгек акы чыгашаларынын катышы</t>
  </si>
  <si>
    <t xml:space="preserve">Эмгектик талаш-тартыштар боюнча утуп алынган сот процесстеринин үлүшү   </t>
  </si>
  <si>
    <t xml:space="preserve">Алардын жалпы санына карата утуп алынган сот иштерине катышы </t>
  </si>
  <si>
    <t>Борбордук аппараттын кызматкерлеринин  жалпы санынан камсыз кылуу кызматынын кызматкерлеринин үлүшү</t>
  </si>
  <si>
    <t>Мониторингди, анализди жана стратегиялык пландоону камсыздоо</t>
  </si>
  <si>
    <t xml:space="preserve">Ички контролдоо системасына сереп жана баалоо, өнүктүрүүнүн стратегиялык, узак мөөнөттүү жана жылдык пландарын иштеп чыгуу </t>
  </si>
  <si>
    <t>Мамлекеттик коомчулуктагы мамлекеттик үлүштү башкаруу</t>
  </si>
  <si>
    <t>Республикалык бюджетке мамлекеттик катышуу менен акционердик коомдордун мамлекеттик пакетине акциялардан  дивиденддердин түшүүсү</t>
  </si>
  <si>
    <t>Мамлекеттик ишканалар менен иштөө</t>
  </si>
  <si>
    <t>Республикалык бюджетке мамлекеттик ишканалардан таза пайданын түшүүсү</t>
  </si>
  <si>
    <t xml:space="preserve">Мамлекеттик мүлктү  эсепке алуунун  маалыматтык системасын  түзүү    </t>
  </si>
  <si>
    <t>Маалымат системасын иштеп чыгуу жана киргизүү</t>
  </si>
  <si>
    <t>Мамлекеттик мүлктү инвентаризациялоо</t>
  </si>
  <si>
    <t xml:space="preserve">Маалымат системасынын иштөөсү </t>
  </si>
  <si>
    <t xml:space="preserve">Мамлекеттик органдар тарабынан  инвентаризация жүргүзүү жана маалыматтарды автоматташтырылган системага киргизүү </t>
  </si>
  <si>
    <t xml:space="preserve">Административдик  имараттардын тизмесин жүргүзүү </t>
  </si>
  <si>
    <t xml:space="preserve">Мамлекеттик транспорт каражаттарынын тизмесин жүргүзүү </t>
  </si>
  <si>
    <t xml:space="preserve">Мамлекеттик мүлктү эсепке алуу жана инвентаризациялоо процессин автоматташтыруу </t>
  </si>
  <si>
    <t xml:space="preserve">Бирдиктүү эсепке алуу системасында мамлекеттик уюмдарды жана алардын мүлкүн  камтуу       </t>
  </si>
  <si>
    <t>Мамлекеттик мүлктү  пайдалануу  үчүн республикалык бюджетке ижара акысынан  түшүүлөр</t>
  </si>
  <si>
    <t xml:space="preserve">Мамлекеттик менчикти натыйжалуу башкаруу жана пайдалануу </t>
  </si>
  <si>
    <t xml:space="preserve">Мамлекеттик мүлктүн  макулдашылган ижара келишимдеринин саны </t>
  </si>
  <si>
    <t>Бардыгы: Кыргыз Республикасынын Мамлекеттик мүлктү башкаруу фонду  боюнча  бардыгы</t>
  </si>
  <si>
    <t>76.  Кыргыз Республикасынын Өкмөтүнө караштуу Мамлекеттик  материалдык резервдер фонду</t>
  </si>
  <si>
    <t>Бюджетти укук бузуусуз аткаруу пайызы</t>
  </si>
  <si>
    <t xml:space="preserve">Жеңип алган сот иштеринин алардын санына карата катышы </t>
  </si>
  <si>
    <t xml:space="preserve">Борбордук аппаратынын кызматкерлеринин жалпы санынан камсыз кылуу кызматын көрсөтүүчү кызматкерлеринин үлүшү </t>
  </si>
  <si>
    <t>Мониторинг менен камсыз кылуу, анализ жана стратегиялык пландоо</t>
  </si>
  <si>
    <t>Өкмөттүн ишчараларынын аткарылышынын деңгээли жана төраганын иш планы/милдеттенмеси</t>
  </si>
  <si>
    <t>Аймактык деңгээлдеги жалпы координациялоо</t>
  </si>
  <si>
    <t xml:space="preserve">Борбордук аппаратынын кызматкерлеринин жалпы санынан аймактык кызматкерлердин үлүшү </t>
  </si>
  <si>
    <t xml:space="preserve"> Мамлекеттик материалдык резервдерди башкаруу</t>
  </si>
  <si>
    <t>Кыргыз Республикасынын мобилизациялык муктаждыгын камсыз кылуу</t>
  </si>
  <si>
    <t>Мамлекеттик материалдык баалуулуктарды башкаруу</t>
  </si>
  <si>
    <t>Номенклатурлык товардык материалдык баалуулуктарды топтоо (мам.резервдер)</t>
  </si>
  <si>
    <t>Мобилизациялык материалдык баалуулуктарды башкаруу</t>
  </si>
  <si>
    <t>Номенклатурлык товардык материалдык баалуулуктарды топтоо (моб.резервдер)</t>
  </si>
  <si>
    <t>Мамматрезервдерди орнотуу, топтоо, сактоо жана колдонууну уюштуруу  (ММРФ- "Азык-түлүк  программасы")</t>
  </si>
  <si>
    <t xml:space="preserve">Товардык материалдык баалуулуктарды ченемге чейин жеткирүү </t>
  </si>
  <si>
    <t xml:space="preserve">Бардыгы:Кыргыз Республикасынын Өкмөтүнө караштуу Мамлекеттик материалдык  резервдер Фонду боюнча бардыгы </t>
  </si>
  <si>
    <t>77. Кыргыз Республикасынын Жогорку аттестациялык комиссиясы</t>
  </si>
  <si>
    <t>Бардык  программа боюнча эмгек акыга чыгашалардын суммасына 001 Программа боюнча эмгек акыга чыгашалардын катышы</t>
  </si>
  <si>
    <t>Эмгектик талаш-тартыштар боюнча утуп алган сот процессинин  үлүшү</t>
  </si>
  <si>
    <t xml:space="preserve"> Диссертациялык  жана  эксперттик кеңештердин ишин уюштуруу, илимий даража, наамдарды ыйгаруу</t>
  </si>
  <si>
    <t xml:space="preserve">Диссертация иштерин  жана  аттестация иштерин мөөнөтүндө кароо менен түшкөн иштердин жалпы санына карата катышы </t>
  </si>
  <si>
    <t xml:space="preserve"> Илимий жана илимий-педагогикалык кадрларды   аттестациялоо маселеси боюнча  эл аралык келишимдерди даярдоо жана түзүү</t>
  </si>
  <si>
    <t>Эл аралык түзүлгөн келишимдердин саны</t>
  </si>
  <si>
    <t xml:space="preserve">"Антиплагиат" программалар б-ча электр программаларды  жана  материалдык базасын киргизүү жана пайдалануу </t>
  </si>
  <si>
    <t>"Антиплагиат" программасы боюнча материалдык  базас жана текш диссер иштер санариптелген саны</t>
  </si>
  <si>
    <t>ӨБ</t>
  </si>
  <si>
    <t>Бардыгы:  Кыргыз Республикасынын Жогорку аттестациялык комиссиясы боюнча</t>
  </si>
  <si>
    <t>Коопсуздук Кеңешинин Катчылыгы</t>
  </si>
  <si>
    <t xml:space="preserve">Улуттук коопсуздукту камсыздоо чөйрөсүндө бирдиктүү мамлекеттик саясатты жүргүзүү боюнча КР Коопсуздук кеңешинин ишин камсыздоо </t>
  </si>
  <si>
    <t xml:space="preserve">КР Коопсуздук кеңешинин жыйынында каралган маселелердин саны </t>
  </si>
  <si>
    <t>Бардыгы:Кыргыз Республикасынын Коопсуздук кеңешинин катчылыгы боюнча</t>
  </si>
  <si>
    <t>80. Кыргыз Республикасынын Улуттук илимдер академиясы</t>
  </si>
  <si>
    <t xml:space="preserve">Пландоо, башкаруу жана администрлөө                                                                                                                              
</t>
  </si>
  <si>
    <t>КРУИА  бюджеттик программа боюнча натыйжалуулук индикаторлорунун аткарылыш %</t>
  </si>
  <si>
    <t>Жаш кадрларды тартуу</t>
  </si>
  <si>
    <t xml:space="preserve">Кыргыз Республикасынын Улуттук илимдер академиясынын илимий мекемелеринин илимий-уюштуруу иштерин координациялоо </t>
  </si>
  <si>
    <t>Чыгарылган токтомдордун саны</t>
  </si>
  <si>
    <t xml:space="preserve">Кыргыз Республикасынын Улуттук илимдер академиясынын илимпоздорунун эл аралык илимий кызматташуусун уюштуруу </t>
  </si>
  <si>
    <t>УИА чет элдик илимий уюдарда мүчолүгү</t>
  </si>
  <si>
    <t>Физика-техникалык, математикалык  жана кен-геолог. изилдөөлөрдү өнүктүрүү</t>
  </si>
  <si>
    <t>Технологиялык иштеп чыгууларды өндурушкө киргизүү</t>
  </si>
  <si>
    <t xml:space="preserve">Ири ГЭСтер жайгашкан райондордогу сейсмикалык коркунучту баалоо жана инженердик-сейсмикалык кызматты баалоо </t>
  </si>
  <si>
    <t>Жүргүзүлгон жер титирөөлөрдүн саны</t>
  </si>
  <si>
    <t xml:space="preserve">Суу ресурстарын талдоо жана суу ресурстарын башкарууну контролдоо методдорун жана каражаттарын түзүү. Сары-Жаз дарыясында гидроэнергетикалык ресурстарды сарамжалдуу өздөштүрүүнүн илимий негиздери </t>
  </si>
  <si>
    <t>жеке дарыялар  үчүн ар кандай жагдайды rлиматтын өзгөрүшүн эске алуу менен гидроэнергетикалык дарамети эсептөө жүзөгө ашырылган экспертизалардын саны</t>
  </si>
  <si>
    <t xml:space="preserve">Жогорку вольттук энергетикалык объектилердин  жабдууларына автоматташкан  мониторинг системасын иштеп чыгуу.   Аэрокосмостук видеомаалыматтардын иштетүү жана сактоонун  структурасын жана методдорун  изилдөө жана иштеп чыгуу    </t>
  </si>
  <si>
    <t>Патенттердин саны электр энергиясын алдын ала керектөөнүн автоматтык  ситемасын иштеп чыгуу боюнча берилген оң чечим патент саны  жана тоо сууларынын агымынын өндүрүшүн эсепке алган датчиктин макети. конкреттүү экономикалык маселелер учун аэрокосмостук маалыматтарды кайра иштетүү.</t>
  </si>
  <si>
    <t xml:space="preserve">Жаратылыш жана техногендик кыйроолорду болжолдоо методдорун жана каражаттарын иштеп чыгуу жана алдын алуу .  Шпуралар жана скважиналарды бургалоо үчүн  техникаларды иштеп чыгуу. Регионалдык геология жана Кыргызстандын пайдалуу кендери       </t>
  </si>
  <si>
    <t>Геологиялык картага жаны изилдоолор саны.</t>
  </si>
  <si>
    <t xml:space="preserve">Химиялык-техноллогиялык мед-биологиялык  жана айыл чарба изилдөөлөрүн өнүктүрүү </t>
  </si>
  <si>
    <t>Лабораториялык изилдөлөрдун саны</t>
  </si>
  <si>
    <t xml:space="preserve">Кыргызстандагы өсүмдүктөрдү интродукциялоо, селекциялоо жана сактоо. Аларды сактоо жана туруктуу пайдалануу максатында Кыргызстандын токой өсүмдүк ресурстарын  изилдөө.  Жаратылыш запастарын талдоо жана Кыргызстандын пайдалуу жана дарылык өсүмдүктөрүнөн турган биоактивдүү бирикмелерди алуу технологиясын иштеп чыгуу </t>
  </si>
  <si>
    <t xml:space="preserve">Өндүрүлгөн продукциянын саны (отургуза турган материал, эфир майлары) / Коллекциялык гербардык фондду толуктоо </t>
  </si>
  <si>
    <t>миң сом/түр</t>
  </si>
  <si>
    <t>Кыргызстандын генетикалык ресурстанынын банкына номинацияланган жаныбарлардын биотестирлөө. Кыргызстандын жаратылышынын биологиялык компоненттеринин абалына мониторинг өткөрүүнүн илимий негиздерин иштеп чыгуу</t>
  </si>
  <si>
    <t>Уйлардын биоаттестациясын өткөрүү. Өсүмдүктөрдүн коллекциялык фондун толтуруу.</t>
  </si>
  <si>
    <t xml:space="preserve">Минералдык жана органикалык чийки заттарды комплекстик кайра иштетүүнүн инновациялык технологияларын иштеп чыгуу; адаптациялык мүмкүнчүлүктөрдү  оптималдаштыруу каражаттарын иликтөө жана тоо калкынын жашоосунун сапатын жогорулатуу </t>
  </si>
  <si>
    <t>Активдештирилген көмүрдү алуу үчүн карбонизаттарды (таш көмүрдү) активдештирүүнүн жаңы жолун иштеп чыгуудагы өткөрүлгөн мамэкспертизалардын саны.Тоодо жашаган элдердин адаптациялык мүмкүнчүлүктөрүн жана жашоосунун сапатын оптимизациялоо үчүн каражаттарды издөө</t>
  </si>
  <si>
    <t>Гумманитардык изилдөөнү өнүктүрүү</t>
  </si>
  <si>
    <t>Жарыялоо (статья, монография, окуу материал)</t>
  </si>
  <si>
    <t xml:space="preserve">Кыргыздардын жана Кыргызстандын байыркы замандан  тартып азыркв күнгө чейинки тарыхын изилдөө; изилдөө проблемалары, Кыргызстандын маданий мурасын пайдалануу. Кыргыз Республикасынын рыноктук институттарынын өнүктүрүүнүн жана өркүндөтүү проблемаларынын өзгөчөлүгү </t>
  </si>
  <si>
    <t>Мыйзамдарды мамлекеттик экспертизадан откоруу</t>
  </si>
  <si>
    <t xml:space="preserve">Илимдин методология маселелерин изилдөө жана тоолуу райондордо социалдык изилдөөлөрдү жүргүзүү </t>
  </si>
  <si>
    <t>"КР де этникалар арасы конфликттер:социологиялык  анализ" "Кыргызстандын экономикасы:табыгый ресурстардын рационалдуу колдонуу проблемалары" темалары боюнча чыгарылган илимий иштер</t>
  </si>
  <si>
    <t xml:space="preserve">Регионалдык тарыхый-философиялык,  этно-лингвистикалык жана социалдык-экономикалык проблемаларды изилдөө  </t>
  </si>
  <si>
    <t xml:space="preserve">Өткөрүлгөн илимий конференциялардын саны </t>
  </si>
  <si>
    <t>Бардыгы: Кыргыз Республикасынын Улуттук илимдер академиясы боюнча</t>
  </si>
  <si>
    <t>81.81. Кыргыз Республикасынын Президентинин жана Өкмөтүнүн Иш башкармалыгынын Клиникалык ооруканасы</t>
  </si>
  <si>
    <t>Медициналык кызматтарды көрсөтүү  системасын оптималдаштыруу жана Клиникалык оорукана тарабынан көрсөтүлүүчү кызматтардын сапатын жогорулатуу.</t>
  </si>
  <si>
    <t xml:space="preserve">Дарыланган бейтаптардын саны </t>
  </si>
  <si>
    <t xml:space="preserve">Бардыгы: Кыргыз Республикасынын Президентинин жана Өкмөтүнүн Иш башкармалыгынын Клиникалык ооруканасы боюнча бардыгы </t>
  </si>
  <si>
    <t>82. Кыйноолорду жана башка катаал, адамкерчиликсиз же кадыр-баркты басмырлаган мамиленин жана жазанын түрлөрүнүн алдын алуу боюнча Кыргыз Республикасынын Улуттук борбору</t>
  </si>
  <si>
    <t>Бардык программалар боюнча эмгек акыга чыгымдардын суммасына карата 001 Программа боюнча эмгек акыга чыгымдардын катышы</t>
  </si>
  <si>
    <t>Калктын ишениминин индекси</t>
  </si>
  <si>
    <t xml:space="preserve">Финансылык менеджментти жана эсепке алууну камсыздоо </t>
  </si>
  <si>
    <t>Бюджетти эреже бузууларсыз аткаруу пайызы</t>
  </si>
  <si>
    <t>Эмгек талаш-тартыштары боюнча утуп алган сот процесстеринин үлүшү</t>
  </si>
  <si>
    <t>Утуп алган сот иштеринин алардын жалпы санына карата катышы</t>
  </si>
  <si>
    <t>Тышкы байланыштарды колдоо жана коомчулук менен байланышуу</t>
  </si>
  <si>
    <t>Министрликтердин/ведомств.-дун жалпыга маалымдоо каражаттарында жакшы мааниде чагылдыруулардын саны</t>
  </si>
  <si>
    <t>Иштерди уюштуруу жана камсыздоо кызматы</t>
  </si>
  <si>
    <t>Борбордук аппараттын кызматкерлеринин жалпы санынан камсыздоо кызматынын кызматкерлеринин үлүшү</t>
  </si>
  <si>
    <t>Мониторинг, талдоо жана стратегиялык пландоону камсыздоо</t>
  </si>
  <si>
    <t xml:space="preserve">Жалпы мониторингдин натыйжаларынын санынан расмий ички документтерде аткарууга кабыл алынган мониторингдин натыйжаларынын улушу </t>
  </si>
  <si>
    <t>Региондордо өткөрүлгөн алдын алуу баруулардын санынын борбордук аппаратта алдын алуу баруулардын санына болгон пайыздык катышы</t>
  </si>
  <si>
    <t>Эркиндигинен ажыратуу жана чектөө жайларында, балдар үйүндө жана психоневрологиялык диспансерлерде кыйноолордун жана катаал мамиленин фактыларынын азайуу динамикасы (көбөйүшү)</t>
  </si>
  <si>
    <t>Кыйноого жана катаал мамилеге коомчулукта сабырсыздыкты пайда кылуу</t>
  </si>
  <si>
    <t>Иш чаранын саны, (тегерек стол, уйротуу, тренинг).</t>
  </si>
  <si>
    <t>Эркиндигинен ажыратуу жана чектоо жайларында мыйзамдуу укуктарын камсыз кылуу</t>
  </si>
  <si>
    <t>Башка мамлекеттик мучолору аткарууга кабыл алган улуттук борбордун тарабынан иштелип чыккан сунуштарынын саны.</t>
  </si>
  <si>
    <t xml:space="preserve">Эркиндигинен ажыратуу жана чектоо жайларында, балдар уйундо жана психоневрологиялык диспансерлерде кармоо шарттарын жакшыртууга комок корсотуу    </t>
  </si>
  <si>
    <t>Эркиндигинен ажыратуу жана чектоо жайларында, балдар уйундо жана психоневрологиялык диспансерлеринде кармоо шарттары он жака өзгөрүшү менен канаттануу.</t>
  </si>
  <si>
    <t>Эркиндигинен ажыратуу жана чектоо жайларында, балдар уйундо жана психоневрологиялык диспансерде алдын алуу баруулардын узгултусуз откорулушун камсыз кылуу.</t>
  </si>
  <si>
    <t>Республика боюнча түшкөн кабарлар жана арыздар боюнча алдын алуу баруулардын жалпы саны</t>
  </si>
  <si>
    <t>Алардын ичинен Улуттук борбордун ар жылдык планы ылайык алдын алуу баруулардын саны.</t>
  </si>
  <si>
    <t xml:space="preserve">Кыргыз Республикасы тарабынан кыйнолорду жана катаал мамиленин туп тамыры менен жок кылуу боюнча Эл аралык ковенциянын талаптарынын аткарылышын мониторинг жана анализ кылуу. </t>
  </si>
  <si>
    <t>Кыйноолорду алдын алуу боюнча эл аралык макулдашуулардын аткарылышынын пайыздык көрсөткүчтөрү</t>
  </si>
  <si>
    <t xml:space="preserve">Бардыгы: Кыйноолорду жана башка катаал, адамкерчиликсиз же кадыр-баркты басмырлаган мамиленин жана жазанын түрлөрүнүн алдын алуу боюнча Кыргыз Республикасынын Улуттук борбору боюнча </t>
  </si>
  <si>
    <t>83. Кыргыз Республикасынын Өкмөтүнө караштуу ОЭК жөнгө салуу боюнча мамлекеттик агенттик</t>
  </si>
  <si>
    <t>Мамагенттиктин планын аткаруу</t>
  </si>
  <si>
    <t xml:space="preserve">Веб-порталдын жана түзүлгөн келишимдердин жардамы аркылуу өткөрүлгөн мамлекеттик сатып алуулардын  конкурстук жол-жоболорунун саны </t>
  </si>
  <si>
    <t xml:space="preserve">Квалификациясын жогорулатуу курстарынан өткөн кызматкерлердин саны </t>
  </si>
  <si>
    <t xml:space="preserve">Иштелип чыккан ченемдик укуктук актылардын саны </t>
  </si>
  <si>
    <t xml:space="preserve">Түшүндүрүү жана консультациялык публикациялардын саны </t>
  </si>
  <si>
    <t xml:space="preserve">Борбордук аппараттын кызматкерлеринин штаттык санынан камсыз кылуу кызматын көрсөтүүчү кызматкерлеринин үлүшү  </t>
  </si>
  <si>
    <t xml:space="preserve">Ири энергетикалык компаниялардын ТЭПти аткаруусуна мониторинг жана анализ </t>
  </si>
  <si>
    <t xml:space="preserve">Мамлекеттик органдардын ишин баалоо боюнча отчет </t>
  </si>
  <si>
    <t xml:space="preserve">Коррупцияга каршы күрөшүү боюнча иш-чаралардын ведомстволук планын аткаруунун жыйынтыгы боюнча ишке ашырылган иш-чаралардын саны  </t>
  </si>
  <si>
    <t xml:space="preserve">Энергетика секторун тарифтик жөнгө салуу </t>
  </si>
  <si>
    <t>1.Электр энергияга болгон тариф</t>
  </si>
  <si>
    <t>2.Жылуулук энергияга болгон тариф</t>
  </si>
  <si>
    <t xml:space="preserve">3.Газга болгон тариф </t>
  </si>
  <si>
    <t xml:space="preserve"> Энергетика секторун лицензиялоо</t>
  </si>
  <si>
    <t xml:space="preserve">Берилген лицензиялардын саны </t>
  </si>
  <si>
    <t xml:space="preserve">Энергетика секторунда  мыйзамдарды сактоо боюнча контролду жүргүзүү </t>
  </si>
  <si>
    <t xml:space="preserve">Лицензиаттарга карата өткөрүлгөн текшерүү иштеринин саны  </t>
  </si>
  <si>
    <t>Бардыгы: Кыргыз Республикасынын Өкмөтүнө караштуу ОЭК  жөнгө салуучу мамлекеттик агенттик боюнча бардыгы</t>
  </si>
  <si>
    <t>84.  "Эркин Тоо" гезитинин редакциясы</t>
  </si>
  <si>
    <t xml:space="preserve"> "Эркин - Тоо" гезитин басып чыгуу</t>
  </si>
  <si>
    <t xml:space="preserve">Кыргыз Республикасынын Өкмөтүнүн, Президентинин, Жогорку Кеңешинин ченемдик укуктук актыларын "Эркин-Тоо" гезитине жарыялоо </t>
  </si>
  <si>
    <t xml:space="preserve">Өз учурунда жарыяланган ченемдик укуктук актылардын үлүшү </t>
  </si>
  <si>
    <t>Бардыгы: "Эркин Тоо" гезинин редакциясы боюнча</t>
  </si>
  <si>
    <t>85. Кыргыз Республикасынын Телерадиоберүү компаниялары</t>
  </si>
  <si>
    <t xml:space="preserve">Кыргыз Республикасынын Коомдук телерадиоберүү корпорациясы </t>
  </si>
  <si>
    <t>Бардык программалар боюнча  эмгек акы  жалпы чыгашасына карата 001 программа боюнча эмгек акыга чыгымдардын катышы</t>
  </si>
  <si>
    <t xml:space="preserve">Бюджетти бузуусуз аткаруунун пайызы </t>
  </si>
  <si>
    <t xml:space="preserve">Адам ресустарын башкаруу </t>
  </si>
  <si>
    <t xml:space="preserve">Эмгектик талаш-тартыштар боюнча утуп алынган сот процесстеринин үлүшү </t>
  </si>
  <si>
    <t xml:space="preserve">Укукту колдоо </t>
  </si>
  <si>
    <t>Жалпы санга карата алардын утуп алынган сот иштерине катышы</t>
  </si>
  <si>
    <t>Жалпыга маалымат каражаттарында мин/к/вед-нун оң эскертүүлөр саны</t>
  </si>
  <si>
    <t>Борбордук аппараттын кызматкерлеринин жалпы санынан кызматтарды камсыздоо кызматкерлеринин үлүшү</t>
  </si>
  <si>
    <t xml:space="preserve">Техникалык контролду камсыздоо </t>
  </si>
  <si>
    <t>Берүү объектисинин сапатын контролдоо</t>
  </si>
  <si>
    <t xml:space="preserve"> ТВ боюнча техникалык бузуулардын саны</t>
  </si>
  <si>
    <t>Маалыматтык-аналитикалык, социалдык, экономикалык программалар</t>
  </si>
  <si>
    <t>Бардык көрсөткүчтөр боюнча  рейтинг</t>
  </si>
  <si>
    <t xml:space="preserve">Балдар, маданий-оюн-зоок программалары </t>
  </si>
  <si>
    <t>Бардык көрсөткүчтөр боюнча рейтинг</t>
  </si>
  <si>
    <t>ТВ программаларынын дирекциясы</t>
  </si>
  <si>
    <t>Берүү көлөмү</t>
  </si>
  <si>
    <t xml:space="preserve">Телепрограмаларды бүткүл республика боюнча жайылтуу </t>
  </si>
  <si>
    <t xml:space="preserve">                           Калкты камтуу </t>
  </si>
  <si>
    <t>Телепрограммаларды техникалык камсыздоо</t>
  </si>
  <si>
    <t>Көрсөтүлгөн техникалык кызмат көрсөтүүлөрүнүн сапаты</t>
  </si>
  <si>
    <t xml:space="preserve">Радиопрограммаларды программалаштыруу, түзүү жана жайылтуу 
Программанын максаты: ТБ боюнча сапаттуу жана жеткиликтүү маалыматтарды алуу </t>
  </si>
  <si>
    <t>Маалыматтык-аналитикалык программа</t>
  </si>
  <si>
    <t>Изилдөөлөрдүн бардык көрсөткүчтөрү боюнча рейтинг</t>
  </si>
  <si>
    <t>Радиопрограммаларды чыгаруун техникалык колдоону камсыздоо</t>
  </si>
  <si>
    <t>Радиопрограммаларды чыгаруу программалаштыруу</t>
  </si>
  <si>
    <t xml:space="preserve">Калкты камтуу </t>
  </si>
  <si>
    <t>Радиопрограммаларды техникалык жактан камсыздоо</t>
  </si>
  <si>
    <t>Көрсөтүлүүчү техникалык кызматтардын сапаты</t>
  </si>
  <si>
    <t>Кино-видео продукцияларын прокатка берүү</t>
  </si>
  <si>
    <t>Цифрага өтүү менен байланыштуу тех. камсыздоону жакшыртуу</t>
  </si>
  <si>
    <t xml:space="preserve">Көркөм, хроникалык-документалдык телетасмаларды тартуу </t>
  </si>
  <si>
    <t>Саны</t>
  </si>
  <si>
    <t xml:space="preserve">Бардыгы: Кыргыз Республикасынын Коомдук телеберүү корпорациясы  боюнча бардыгы </t>
  </si>
  <si>
    <t xml:space="preserve">Кыргыз Республикасында "МИР" мамлекеттер аралык телерадиоберүү компаниясынын улуттук филиалы </t>
  </si>
  <si>
    <t xml:space="preserve">Бардык программалар боюнча  эмгек акы  жалпы чыгашасына карата 001 программа боюнча эмгек акы чыгашалардын катышы </t>
  </si>
  <si>
    <t xml:space="preserve">Борбордук аппараттын кызматкерлеринин жалпы санына карата камсыз кылуу кызматынын кызматкерлеринин катышы </t>
  </si>
  <si>
    <t xml:space="preserve">"МИР" МАТК консолидацияланган өфирде ТБ жана РБ программаларында түзүлгөн тасмалардын жалпы саны </t>
  </si>
  <si>
    <t>ТВ программаларды түзүү жана жайылтуу</t>
  </si>
  <si>
    <t>МИР МАТК үчүн ТБ программаларда түзүлгөн  тасмалардын хронометражы</t>
  </si>
  <si>
    <t>РВ программаларды түзүү жана жайылтуу</t>
  </si>
  <si>
    <t>"МИР" МАТК үчүн РБ программаларда түзүлгөн  тасмалардын хронометражы</t>
  </si>
  <si>
    <t xml:space="preserve">Теле жана радиопрограммаларды техникалык камсыздоо жана жайылтуу </t>
  </si>
  <si>
    <t xml:space="preserve">Сапаттуу жана үзгүлтүксүз ТБ жана РБ камсыздоо </t>
  </si>
  <si>
    <t>Бардыгы: Кыргыз Республикасынын "Мир" телерадиоберүү компаниясынын Улуттук филиалы боюнча</t>
  </si>
  <si>
    <t xml:space="preserve">Алардын жалпы санына карта жеңип чыккан сот иштеринин катышы </t>
  </si>
  <si>
    <t>Мин.ведом. ЖМКдагы оң эскерүүлөрдүн саны</t>
  </si>
  <si>
    <t xml:space="preserve">Кызматкерлердин жалпы санына карата камсыз кылуу кызматынын кызматкерлеринин катышы </t>
  </si>
  <si>
    <t xml:space="preserve">Кыргыз Республикасынын калкынын жалпы санынан телеберүү менен камсыздалган калктын  % </t>
  </si>
  <si>
    <t xml:space="preserve">Телепрограммаларды өндүрүү жана эфирге чыгаруу </t>
  </si>
  <si>
    <t>Телепрограммалардын рейтинги</t>
  </si>
  <si>
    <t xml:space="preserve">Телеберүүлөрдү  техникалык камсыздоо </t>
  </si>
  <si>
    <t xml:space="preserve"> Кыргыз Республикасынын ТБ менен камтылган аймактарынын  салыштырма көлөмү</t>
  </si>
  <si>
    <t>Калктын жалпы санына карата радио уктуруу менен % камтуу</t>
  </si>
  <si>
    <t xml:space="preserve">Радиопрограммаларды өндүрүү жана эфирге чыгаруу </t>
  </si>
  <si>
    <t>Радиопрограммалардын рейтинги</t>
  </si>
  <si>
    <t xml:space="preserve">Радиоберүүлөрдү  техникалык камсыздоо </t>
  </si>
  <si>
    <t xml:space="preserve">ТБ менен камтылган Кыргыз Республикасынын аймагынын салыштырмалуу көлөмү </t>
  </si>
  <si>
    <t>Бардыгы: ЭлТР коомдук телекөрсөтүүсү боюнча</t>
  </si>
  <si>
    <t>86. Кыргыз Республикасынын Өкмөтүнө караштуу Мамлекеттик соттук-эксперттик кызматы</t>
  </si>
  <si>
    <t xml:space="preserve">Жүргүзүлгөн соттук экспертизалардын сапатын жогорулатуу </t>
  </si>
  <si>
    <t xml:space="preserve">Соттук экспертизалоону ишке ашыруу </t>
  </si>
  <si>
    <t>Жүргүзүлгөн соттук экспертизалардын саны</t>
  </si>
  <si>
    <t xml:space="preserve">саны </t>
  </si>
  <si>
    <t xml:space="preserve">Бардыгы: Кыргыз Республикасынын Өкмөтүнө караштуу Мамлекеттик соттук-эксперттик кызматы боюнча </t>
  </si>
  <si>
    <t>87. Кыргыз Республикасынын Өкмөтүнө караштуу "Кыргызтест" мамлекеттик ишканасы</t>
  </si>
  <si>
    <t xml:space="preserve">Жаплы жетекчиликти камсыз  кылуу </t>
  </si>
  <si>
    <t>Өз убагында камсыздоо пайызы</t>
  </si>
  <si>
    <t xml:space="preserve">Программанын аталышы - Мамлекеттик, расмий жана эл аралык тилдерди билүү деңгээлин аныктоо боюнча бирдиктүү өлчөө инструменти катары Кыргыз Республикасында Кыргызтест системасын түзүү жана ишке киргизүү </t>
  </si>
  <si>
    <t xml:space="preserve">Программанын максаты: Мамлекеттик, расмий жана эл аралык тилдерди билүү деңгээлин баалоонун бирдиктүү системасын түзүү  </t>
  </si>
  <si>
    <t>Республика боюнча тестирлөөнү өткөрүү</t>
  </si>
  <si>
    <t xml:space="preserve">Тесттен өткөрүлгөндөрдүн саны </t>
  </si>
  <si>
    <t>Расмий тилди билүү деңгээлин баалоо боюнча ченемдик-методикалык документтерди иштеп чыгуу жана басуу  (А1 - В2)</t>
  </si>
  <si>
    <t xml:space="preserve">Нусканын саны </t>
  </si>
  <si>
    <t>Мамлекеттик жана расмий тил боюнча тексстик тапшырмаларды жана экспертизаны иштеп чыгуу</t>
  </si>
  <si>
    <t xml:space="preserve">Тесттик тапшырмалардын саны </t>
  </si>
  <si>
    <t>Мамлекеттик тил боюнча электрондук окуу китебин иштеп чыгуу   (А1- В1)</t>
  </si>
  <si>
    <t>Окуу китептердин аталышынын саны</t>
  </si>
  <si>
    <t xml:space="preserve">Мамлекеттик, расмий тилдерди билүүнү баалонун жаңы методикасы боюнча "Кыргызтест" программалык камсыздоо системасын иштеп чыгуу </t>
  </si>
  <si>
    <t xml:space="preserve">Окуу китебинин биринчи бөлүгүн иштеп чыгуу (аяктоо пайызы) </t>
  </si>
  <si>
    <t xml:space="preserve">Мамлекеттик, расмий тилдерди билүүнү тестирлөө үчүн  интернет-ресурстарды колдонуу </t>
  </si>
  <si>
    <t xml:space="preserve">Тестирлөө үчүн  "Кыргызтест" системасынын мобилдик тиркемесин түзүү </t>
  </si>
  <si>
    <t xml:space="preserve">1 вебпортал (аяктоо пайызы) </t>
  </si>
  <si>
    <t xml:space="preserve">Бардыгы: Кыргыз Республикасынын Өкмөтүнө караштуу  Кыргызтест мамлекеттик мекемеси боюнча </t>
  </si>
  <si>
    <t>88. "Манас" жана Чыңгыз Айтматов Улуттук академиясы</t>
  </si>
  <si>
    <t>Мыйзам бюджеттин аткарылышын пайыздык</t>
  </si>
  <si>
    <t>Талаш-тартыштары боюнча утуп алган сот үлүшү</t>
  </si>
  <si>
    <t xml:space="preserve"> Мекеменин ишмердүүлүгүнүн иш-чараларын Уюштуру жана планоо программасынын аталышы</t>
  </si>
  <si>
    <t xml:space="preserve"> Маданий иш-чараларды уюштуру жана өткөрүү</t>
  </si>
  <si>
    <t>Тестен ѳткѳндѳрдүн саны</t>
  </si>
  <si>
    <t>Бардыгы: "Манас" жана Чыңгыз Айтматов Улуттук академиясы боюнча</t>
  </si>
  <si>
    <t xml:space="preserve"> Базалык   көрсөткүчкө карата ОПП тарабынан берилүүчү жайыттарды башкаруу боюнча   кызматтарга канааттанган жайыт пайдалануучулардын пайызы</t>
  </si>
  <si>
    <r>
      <t xml:space="preserve">Пландаштыруу, башкаруу жана  администрациялоо
</t>
    </r>
    <r>
      <rPr>
        <i/>
        <sz val="11"/>
        <rFont val="Times New Roman"/>
        <family val="1"/>
        <charset val="204"/>
      </rPr>
      <t xml:space="preserve">Программанын максаты: Конституциялык палата системасынын ишин камсыздоо,  ведомствонун башка программаларын ишке ашырууну координациялоо </t>
    </r>
  </si>
  <si>
    <r>
      <t xml:space="preserve">Пландаштыруу, башкаруу жана администрациялоо 
</t>
    </r>
    <r>
      <rPr>
        <i/>
        <sz val="11"/>
        <rFont val="Times New Roman"/>
        <family val="1"/>
        <charset val="204"/>
      </rPr>
      <t>Программанын максаты: сот департаментинин системасынын ишин камсыздоо, ведомствонун башка программаларын ишке ашырууну  координациялоо</t>
    </r>
  </si>
  <si>
    <r>
      <t xml:space="preserve">Пландоо, башкаруу жана  тескөө                                                                                                                                                </t>
    </r>
    <r>
      <rPr>
        <i/>
        <sz val="11"/>
        <rFont val="Times New Roman"/>
        <family val="1"/>
        <charset val="204"/>
      </rPr>
      <t xml:space="preserve">Программанын максаты: Бирдиктүү төлөөчү катары ММК фондун институционалдык жактан күчтөндүрүү. Башка программаларды жүзөгө ашырууга координациялык жана уюштуруучулук таасир этүү </t>
    </r>
  </si>
  <si>
    <r>
      <t>Эл аралык уюмдарга т</t>
    </r>
    <r>
      <rPr>
        <sz val="11"/>
        <rFont val="Calibri"/>
        <family val="2"/>
        <charset val="204"/>
      </rPr>
      <t>ɵ</t>
    </r>
    <r>
      <rPr>
        <sz val="11"/>
        <rFont val="Times New Roman"/>
        <family val="1"/>
        <charset val="204"/>
      </rPr>
      <t>л</t>
    </r>
    <r>
      <rPr>
        <sz val="11"/>
        <rFont val="Calibri"/>
        <family val="2"/>
        <charset val="204"/>
      </rPr>
      <t>ɵ</t>
    </r>
    <r>
      <rPr>
        <sz val="11"/>
        <rFont val="Times New Roman"/>
        <family val="1"/>
        <charset val="204"/>
      </rPr>
      <t>мд</t>
    </r>
    <r>
      <rPr>
        <sz val="11"/>
        <rFont val="Calibri"/>
        <family val="2"/>
        <charset val="204"/>
      </rPr>
      <t>ɵ</t>
    </r>
    <r>
      <rPr>
        <sz val="11"/>
        <rFont val="Times New Roman"/>
        <family val="1"/>
        <charset val="204"/>
      </rPr>
      <t>р</t>
    </r>
  </si>
  <si>
    <r>
      <t>Банктын кызматынын  төлөмдөр</t>
    </r>
    <r>
      <rPr>
        <sz val="11"/>
        <rFont val="Calibri"/>
        <family val="2"/>
        <charset val="204"/>
      </rPr>
      <t>у</t>
    </r>
  </si>
  <si>
    <r>
      <t>Социалдык т</t>
    </r>
    <r>
      <rPr>
        <sz val="11"/>
        <rFont val="Calibri"/>
        <family val="2"/>
        <charset val="204"/>
      </rPr>
      <t>ɵлɵмдɵрду жогорулату</t>
    </r>
  </si>
  <si>
    <r>
      <t xml:space="preserve">КР БИМдин LE 150001548 лицензиясына ылайык МКТ жаатында квалификациясын жогорулатуунун кыска мөөнөттүү курстарын уюштуруу                                                                                                                             
</t>
    </r>
    <r>
      <rPr>
        <sz val="11"/>
        <rFont val="Times New Roman"/>
        <family val="1"/>
        <charset val="204"/>
      </rPr>
      <t xml:space="preserve"> Программанын максаты:МКТ жана санариптик трансформация жаатында эмгек рыногунда талап кылынган квалификацияны жогорулатуу курстарын уюштуруу аркылуу мамлекеттик ведомстволордун, уюмдардын, компаниялардын калктын адам потенциалын күчөтүү  </t>
    </r>
  </si>
  <si>
    <r>
      <t xml:space="preserve">МКТ жаатында сертификациялоо боюнча кызмат көрсөтүү жана эл аралык тесттик борборлордо авторизацияланган экзамендерди уюштуруу 
</t>
    </r>
    <r>
      <rPr>
        <sz val="11"/>
        <rFont val="Times New Roman"/>
        <family val="1"/>
        <charset val="204"/>
      </rPr>
      <t xml:space="preserve"> Программанын максаты: өлкөнүн аймагынан чыгуу зарылдыгысыз кесиптик сертификациялоону уюштуруу аркылуу мамлекеттик ведомстволордун, уюмдардын, компаниялардын жана калктын адам потенциалын күчөтүү </t>
    </r>
  </si>
  <si>
    <r>
      <rPr>
        <b/>
        <sz val="11"/>
        <rFont val="Times New Roman"/>
        <family val="1"/>
        <charset val="204"/>
      </rPr>
      <t xml:space="preserve">Тарамдык жана компьютердик инфраструктураны тейлөө боюнча кызмат көрсөтүү </t>
    </r>
    <r>
      <rPr>
        <sz val="11"/>
        <rFont val="Times New Roman"/>
        <family val="1"/>
        <charset val="204"/>
      </rPr>
      <t xml:space="preserve"> Программанын максаты: МТ-кызмат көрсөтүүлөр  аутсорсингин өнүктүрүү  </t>
    </r>
  </si>
  <si>
    <r>
      <t xml:space="preserve">2017-жылдын 23-майындагы ГАС КР № 17-0157-КР лицензиясына ылайык,  Борбор Азия илимий билим берүү тарамы  (CAREN) - ЕБ долбоору жана интернет-кызмат көрсөтүүлөрү үчүн тарамдык операциялык борборго кызмат көрсөтүүлөрдү берүү
</t>
    </r>
    <r>
      <rPr>
        <sz val="11"/>
        <rFont val="Times New Roman"/>
        <family val="1"/>
        <charset val="204"/>
      </rPr>
      <t xml:space="preserve"> Программанын максаты: билим берүү жана илим-изилдөө коомчулугунун муктаждыктарын канаттандыруу үчүн багытталган маалыматтарды берүүнүн жогорку ылдамдыктагы тарамдарын өнүктүрүүгө көмөк көрсөтүү, бул  изилдөөчүлөр, окутуучулар жана студенттердин биргелешкен ишинин натыйжалуулугу үчүн  маалыматты ишенимдүү жана ылдам электрондук  алмашуу мүмкүнчүлүгүн камсыздайт.   </t>
    </r>
  </si>
  <si>
    <r>
      <t xml:space="preserve">КРда интеллектуалдык менчик тутумун өнүктүрүүнүн мамлекеттик программасын ишке ашыруу                                                                                                                                                                            </t>
    </r>
    <r>
      <rPr>
        <i/>
        <sz val="11"/>
        <rFont val="Times New Roman"/>
        <family val="1"/>
        <charset val="204"/>
      </rPr>
      <t xml:space="preserve">Программанын максаты: 2021-жылга интеллектуалдык менчик рыногун иштетүү үчүн шарттарды түзүү </t>
    </r>
  </si>
  <si>
    <r>
      <t xml:space="preserve">2022-жылга чейинки мезгилге КРны илимий-инновациялык өнүктүрүүнүн концепциясын ишке ашыруу                                                                                                                                                                                           </t>
    </r>
    <r>
      <rPr>
        <i/>
        <sz val="11"/>
        <rFont val="Times New Roman"/>
        <family val="1"/>
        <charset val="204"/>
      </rPr>
      <t xml:space="preserve">Программанын максаты: Мамлекеттик инновациялык саясаттын максаттарынын, артыкчылыктарынын жана инструменттеринин  тутумун түзүү </t>
    </r>
    <r>
      <rPr>
        <sz val="11"/>
        <rFont val="Times New Roman"/>
        <family val="1"/>
        <charset val="204"/>
      </rPr>
      <t xml:space="preserve">  </t>
    </r>
  </si>
  <si>
    <r>
      <t xml:space="preserve">Жарандардын айрым категорияларына акчалай компенсацияларды берүү жана социалдык кепилдиктер. </t>
    </r>
    <r>
      <rPr>
        <sz val="11"/>
        <rFont val="Times New Roman"/>
        <family val="1"/>
        <charset val="204"/>
      </rPr>
      <t>Максаты: Базалык жылдын деңгээлинде жарандардын 25 категориясына акчалай компенсациялардын өлчөмүн сактоо. 9-майга бир жолку жыл сайын берилүүчү акчалай жөлөкпулду жана УАМС ардагерлерине ай сайын өмүр бою берилүүчү стипендияны, ошондой эле расымдык жөлөкпулду төлөөну камсыз кылуу.</t>
    </r>
  </si>
  <si>
    <r>
      <t xml:space="preserve">Иш менен камсыз кылуу саясатынын пассивдүүчаралары </t>
    </r>
    <r>
      <rPr>
        <i/>
        <sz val="11"/>
        <rFont val="Times New Roman"/>
        <family val="1"/>
        <charset val="204"/>
      </rPr>
      <t>(жумушсуздук боюнча жөлөкпул төлөө)</t>
    </r>
  </si>
  <si>
    <r>
      <t xml:space="preserve">Пландоо, башкаруу жана администрациялоо
</t>
    </r>
    <r>
      <rPr>
        <sz val="11"/>
        <rFont val="Times New Roman"/>
        <family val="1"/>
        <charset val="204"/>
      </rPr>
      <t>Программанын максаты: Башка программаларды ишке ашырууга координациялоочу жана уюштуруучу таасирлер</t>
    </r>
    <r>
      <rPr>
        <b/>
        <sz val="11"/>
        <rFont val="Times New Roman"/>
        <family val="1"/>
        <charset val="204"/>
      </rPr>
      <t xml:space="preserve">
</t>
    </r>
  </si>
  <si>
    <r>
      <t xml:space="preserve">Профессионалдык искусство
</t>
    </r>
    <r>
      <rPr>
        <sz val="11"/>
        <rFont val="Times New Roman"/>
        <family val="1"/>
        <charset val="204"/>
      </rPr>
      <t xml:space="preserve">Программанын максаты: Ата-мекендик профессионалдык искусствону активдүү өнүктүрүү жана өлкөнүн калкынын чыгармаларга кызыгуусу үчүн ыңгайлуу шарттарды түзүү. </t>
    </r>
  </si>
  <si>
    <r>
      <t xml:space="preserve">Пландоо, 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таасирлер</t>
    </r>
  </si>
  <si>
    <r>
      <t xml:space="preserve">Кооптуу табигый процесстерди жана кубулуштарды болжолдоо.                                                                                                                              </t>
    </r>
    <r>
      <rPr>
        <i/>
        <sz val="11"/>
        <rFont val="Times New Roman"/>
        <family val="1"/>
        <charset val="204"/>
      </rPr>
      <t>Программанын максаты: Кыргыз Республикасында өзгөчө кырдаалдардын алдын-алуу жана тобокелдикти баалоону өркүндөтүү</t>
    </r>
  </si>
  <si>
    <r>
      <t xml:space="preserve">Илимий-техникалык дараметти өнүктүрүү 
</t>
    </r>
    <r>
      <rPr>
        <i/>
        <sz val="11"/>
        <rFont val="Times New Roman"/>
        <family val="1"/>
        <charset val="204"/>
      </rPr>
      <t>Программанын максаты: өлкөнүн энергетикалык ресурстарын эффективдүү пайдаланууга багытталган илимий-техникалык дараметтин жогорку деңгээлин колдоо</t>
    </r>
  </si>
  <si>
    <r>
      <rPr>
        <b/>
        <sz val="11"/>
        <rFont val="Times New Roman"/>
        <family val="1"/>
        <charset val="204"/>
      </rPr>
      <t xml:space="preserve">Иштетүүчү өнөр жайды өнүктүрүү  үчүн шарттарды түзүү </t>
    </r>
    <r>
      <rPr>
        <sz val="11"/>
        <rFont val="Times New Roman"/>
        <family val="1"/>
        <charset val="204"/>
      </rPr>
      <t xml:space="preserve">
</t>
    </r>
    <r>
      <rPr>
        <i/>
        <sz val="11"/>
        <rFont val="Times New Roman"/>
        <family val="1"/>
        <charset val="204"/>
      </rPr>
      <t>Программанын максаты: Иштетүүчү өнөр жайдын туруктуу өнүгүшү</t>
    </r>
  </si>
  <si>
    <r>
      <t xml:space="preserve">Пландоо, башкаруу жана администрлөө                                                                                                                              
</t>
    </r>
    <r>
      <rPr>
        <i/>
        <sz val="11"/>
        <rFont val="Times New Roman"/>
        <family val="1"/>
        <charset val="204"/>
      </rPr>
      <t>Программанын максаты: Башка программаларды ишке ашырууга координациялоочу жана уюштуруучу таасирлер</t>
    </r>
  </si>
  <si>
    <r>
      <t xml:space="preserve">Дене-тарбияны жана массалык спортту өнүктүрүү                                                                    </t>
    </r>
    <r>
      <rPr>
        <i/>
        <sz val="11"/>
        <rFont val="Times New Roman"/>
        <family val="1"/>
        <charset val="204"/>
      </rPr>
      <t>Программанын максаты:  дене тарбия жана спорт менен алектенүүнүн массалуулугун 20%га чейин жеткирүү</t>
    </r>
  </si>
  <si>
    <r>
      <t xml:space="preserve">Жогорку спортту өнүктүрүү                                </t>
    </r>
    <r>
      <rPr>
        <i/>
        <sz val="11"/>
        <rFont val="Times New Roman"/>
        <family val="1"/>
        <charset val="204"/>
      </rPr>
      <t>Программанын максаты: Эл аралык аренада Кыргыз Республикасынын кадыр-баркын жогорлатуу</t>
    </r>
  </si>
  <si>
    <r>
      <t xml:space="preserve">Жаштар саясатын ишке ашыруу                                                                                                                  </t>
    </r>
    <r>
      <rPr>
        <i/>
        <sz val="11"/>
        <rFont val="Times New Roman"/>
        <family val="1"/>
        <charset val="204"/>
      </rPr>
      <t xml:space="preserve">Программанын максаты:Кыргызстандын активдүү жаштарынын жаңы муунун калыптандыруу жана өркүндөтүү </t>
    </r>
  </si>
  <si>
    <r>
      <t xml:space="preserve">Мамлекттик кадр кызматынын өнүктүрүү
</t>
    </r>
    <r>
      <rPr>
        <i/>
        <sz val="11"/>
        <rFont val="Times New Roman"/>
        <family val="1"/>
        <charset val="204"/>
      </rPr>
      <t xml:space="preserve">Программанын максаты: Кыргыз Республикасынын мамлекеттик органдарда жана  жергиликтүү  өз алдынча башкаруу органдарында бирдиктүү мамлекттик кадр саясатын иштеп чыгуу, жүзөгө ашыруу жана камсыз кылуу </t>
    </r>
  </si>
  <si>
    <r>
      <t xml:space="preserve">Республиканын радиожыштык спектрди натыйжалуу башкаруу. 
</t>
    </r>
    <r>
      <rPr>
        <i/>
        <sz val="11"/>
        <rFont val="Times New Roman"/>
        <family val="1"/>
        <charset val="204"/>
      </rPr>
      <t xml:space="preserve">Программанын максаты: Иштеп жаткан байланыш операторлор жана потенциалдуу инвесторлор үчүн эфирдин тазалыгы жана таасирдин тоскоолдугун максималдуу жоюу </t>
    </r>
    <r>
      <rPr>
        <b/>
        <i/>
        <sz val="11"/>
        <rFont val="Times New Roman"/>
        <family val="1"/>
        <charset val="204"/>
      </rPr>
      <t xml:space="preserve"> </t>
    </r>
  </si>
  <si>
    <r>
      <t xml:space="preserve">Байланыш системасы тармактарын өнүктүрүүгө көмөктөшүү. 
</t>
    </r>
    <r>
      <rPr>
        <i/>
        <sz val="11"/>
        <rFont val="Times New Roman"/>
        <family val="1"/>
        <charset val="204"/>
      </rPr>
      <t xml:space="preserve">Программанын максаты: Дүйнөлүк глобалдык маалыматтык коммуникациялык коомчулукка интеграциялоо үчүн жогорку технологиялык жана атаандаштыкка туруктуу маалыматтарды берүүнүн улуттук тармагынын  куруу </t>
    </r>
  </si>
  <si>
    <r>
      <t xml:space="preserve">Жарандардын жана байланыш кызматтарын башка керектөөчүлөрүн коргоо. 
</t>
    </r>
    <r>
      <rPr>
        <i/>
        <sz val="11"/>
        <rFont val="Times New Roman"/>
        <family val="1"/>
        <charset val="204"/>
      </rPr>
      <t xml:space="preserve">Программанын максаты: КР байланыш рыногунда дискриминациялык негизде, корголгон жана конкуренттик мамилелерди өнүктүрүүгө арзан баалар боюнча байланыштын сапаттуу кызмат көрсөтүүлөрүн үзгүлтүксүз берүү  </t>
    </r>
  </si>
  <si>
    <r>
      <t xml:space="preserve">Пландаштыруу, башкаруу жана администрациялоо                                                                                                                              
</t>
    </r>
    <r>
      <rPr>
        <i/>
        <sz val="11"/>
        <rFont val="Times New Roman"/>
        <family val="1"/>
        <charset val="204"/>
      </rPr>
      <t xml:space="preserve">Программанын максаты: Жарандардын дин тутуу  эркиндигине  жана диний катмарда талаш-тартыштардын алдын алуу укугун камсыздоо </t>
    </r>
  </si>
  <si>
    <r>
      <t xml:space="preserve">Дин жаатындагы мамлекеттик саясатты иштеп чыгуу жана ишке ашыруу 
</t>
    </r>
    <r>
      <rPr>
        <i/>
        <sz val="11"/>
        <rFont val="Times New Roman"/>
        <family val="1"/>
        <charset val="204"/>
      </rPr>
      <t xml:space="preserve">Программанын максаты: Жарандардын дин тутуу  эркиндигине  жана диний катмарда талаш-тартыштардын алдын алуу укугун камсыздоо </t>
    </r>
  </si>
  <si>
    <r>
      <t xml:space="preserve">Пландаштыруу, башкаруу жана администрациялоо                                                                                                                         
</t>
    </r>
    <r>
      <rPr>
        <i/>
        <sz val="11"/>
        <rFont val="Times New Roman"/>
        <family val="1"/>
        <charset val="204"/>
      </rPr>
      <t xml:space="preserve">Программанын максаты: Башка программаларды ишке ашырууну координациялоочу жана уюштуруучу таасирлер </t>
    </r>
  </si>
  <si>
    <r>
      <t xml:space="preserve">Жогорку бийлик органдарынын ишин аналитикалык, илимий жана маалыматтык колдоо
</t>
    </r>
    <r>
      <rPr>
        <i/>
        <sz val="11"/>
        <rFont val="Times New Roman"/>
        <family val="1"/>
        <charset val="204"/>
      </rPr>
      <t>Программанын максаты: Иштеп чыгуу, анализ, оптималдаштыруу жаатында өлкөнүн жогорку органдарынын муктаждыктарын жана суроо-талаптарын канааттандыруу жана өнүктүрүүнүн атуалдуу проблемалары боюнча өнүктүрүү программаларын  ишке ашыруу</t>
    </r>
  </si>
  <si>
    <r>
      <t xml:space="preserve">Пландоо, башкаруу жана администрациялоо                                                                                                                              
</t>
    </r>
    <r>
      <rPr>
        <i/>
        <sz val="11"/>
        <rFont val="Times New Roman"/>
        <family val="1"/>
        <charset val="204"/>
      </rPr>
      <t>Программанын максаты: Башка программалардын жүзөгө ашырылышына координациялоочу жана уюштуруучулук таасир этүү</t>
    </r>
  </si>
  <si>
    <r>
      <rPr>
        <b/>
        <sz val="11"/>
        <rFont val="Times New Roman"/>
        <family val="1"/>
        <charset val="204"/>
      </rPr>
      <t xml:space="preserve">Финансылык чалгындоо мамлекеттик кызматынын ишин модернизациялоо          </t>
    </r>
    <r>
      <rPr>
        <sz val="11"/>
        <rFont val="Times New Roman"/>
        <family val="1"/>
        <charset val="204"/>
      </rPr>
      <t xml:space="preserve">  
Программанын максаты:  Кылмыштуу кирешелерди легализациялоого (адалдоого) жана террористтик же экстремисттик ишти каржылоого каршы аракеттенүү боюнча улуттук системасынын туруктуу иштешин жана өнүгүүсүн  камсыздоо </t>
    </r>
  </si>
  <si>
    <r>
      <t xml:space="preserve">Экономиканын негизги тармактарында атаандаштык рынокторуна жана атаандаштык чөйрөсүнө мамлекеттик колдоо көрсөтүү. 
</t>
    </r>
    <r>
      <rPr>
        <i/>
        <sz val="11"/>
        <rFont val="Times New Roman"/>
        <family val="1"/>
        <charset val="204"/>
      </rPr>
      <t xml:space="preserve">Программанын максаты:  адилеттүү атаандаштык шарттарында товарлардын, жумуштун жана кызмат көрсөтүүлөрдүн рыногунун натыйжалуу иштеши </t>
    </r>
  </si>
  <si>
    <r>
      <t xml:space="preserve">Миграция чөйрөсүндөгү саясатты ишке ашыруу                                                                                                                     </t>
    </r>
    <r>
      <rPr>
        <i/>
        <sz val="11"/>
        <rFont val="Times New Roman"/>
        <family val="1"/>
        <charset val="204"/>
      </rPr>
      <t xml:space="preserve">Программанын максаты: Миграция чөйрөсүндөгү мамлекеттик саясатты ишке ашыруу                           </t>
    </r>
  </si>
  <si>
    <r>
      <t xml:space="preserve">Пландоо, башкаруу жана администрациялоо                                                                                                                              
</t>
    </r>
    <r>
      <rPr>
        <i/>
        <sz val="11"/>
        <rFont val="Times New Roman"/>
        <family val="1"/>
        <charset val="204"/>
      </rPr>
      <t>Программанын максаттары: Башка программаларды иштетүүгө координациялоочу жана уюштруучу таасири</t>
    </r>
  </si>
  <si>
    <r>
      <t xml:space="preserve">Сапаттуу жана ишенимдүү статистикалык эсепти камсыз кылуу.
</t>
    </r>
    <r>
      <rPr>
        <i/>
        <sz val="11"/>
        <rFont val="Times New Roman"/>
        <family val="1"/>
        <charset val="204"/>
      </rPr>
      <t>Максаты: Бериле турган статистикалык жана аналитикалык маалыматтын жеткиликтүүлүгүнүн жана ишенимдүүлүгүнүн жогорку деңгээли</t>
    </r>
  </si>
  <si>
    <r>
      <t xml:space="preserve">Экономика тармактарынын өнүгүүсүн статистикалык эсепке алуу жана талдоо
</t>
    </r>
    <r>
      <rPr>
        <i/>
        <sz val="11"/>
        <rFont val="Times New Roman"/>
        <family val="1"/>
        <charset val="204"/>
      </rPr>
      <t>Максаты: негизделген башкаруучулук чечимдерди кабыл алуу  үчүн башкаруу субъекттеринин маалымдалышынын жогорку деңгээли</t>
    </r>
  </si>
  <si>
    <r>
      <rPr>
        <b/>
        <sz val="11"/>
        <rFont val="Times New Roman"/>
        <family val="1"/>
        <charset val="204"/>
      </rPr>
      <t>Статистика тармагынын илимий-негизденген методология-сын иштеп чыгуу, жакшыртуу жана ишке киргизүү</t>
    </r>
    <r>
      <rPr>
        <sz val="11"/>
        <rFont val="Times New Roman"/>
        <family val="1"/>
        <charset val="204"/>
      </rPr>
      <t xml:space="preserve">
</t>
    </r>
    <r>
      <rPr>
        <i/>
        <sz val="11"/>
        <rFont val="Times New Roman"/>
        <family val="1"/>
        <charset val="204"/>
      </rPr>
      <t>Максаты: статистикалык маалыматтын сапатынын жогорку деңгээли</t>
    </r>
  </si>
  <si>
    <r>
      <t xml:space="preserve">Мамлекеттик мүлктү башкаруу
</t>
    </r>
    <r>
      <rPr>
        <i/>
        <sz val="11"/>
        <rFont val="Times New Roman"/>
        <family val="1"/>
        <charset val="204"/>
      </rPr>
      <t>Программанын максаты: мамлекеттик менчикти башкаруунун натыйжалуулугун жогорулатуу</t>
    </r>
  </si>
  <si>
    <r>
      <t xml:space="preserve">Мамлекеттик мүлктү толук көлөмдө инвентаризациялоо жана борборлоштурулган эсепке алуу
</t>
    </r>
    <r>
      <rPr>
        <i/>
        <sz val="11"/>
        <rFont val="Times New Roman"/>
        <family val="1"/>
        <charset val="204"/>
      </rPr>
      <t xml:space="preserve">Программанын максаты: Мамлекеттик менчик укугун коргоо </t>
    </r>
  </si>
  <si>
    <r>
      <t xml:space="preserve">Мамлекеттик мүлктү  башкаруу жана пайдалануу
</t>
    </r>
    <r>
      <rPr>
        <i/>
        <sz val="11"/>
        <rFont val="Times New Roman"/>
        <family val="1"/>
        <charset val="204"/>
      </rPr>
      <t xml:space="preserve">Программанын максаты: Мамлекеттик менчикти башкаруунун жана пайдалануунун натыйжалуулугун жогорулатуу  </t>
    </r>
  </si>
  <si>
    <r>
      <t xml:space="preserve">Пландаштыруу, 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 этүүлөр</t>
    </r>
  </si>
  <si>
    <r>
      <t xml:space="preserve">Пландаштыруу, башкаруу жана администрациялоо                                                                                                                         
</t>
    </r>
    <r>
      <rPr>
        <i/>
        <sz val="11"/>
        <rFont val="Times New Roman"/>
        <family val="1"/>
        <charset val="204"/>
      </rPr>
      <t>Программанын максаты: Башка программаларды ишке ашырууну координациялоочу жана уюштуруучу таасирлер</t>
    </r>
    <r>
      <rPr>
        <sz val="11"/>
        <rFont val="Times New Roman"/>
        <family val="1"/>
        <charset val="204"/>
      </rPr>
      <t xml:space="preserve"> </t>
    </r>
  </si>
  <si>
    <r>
      <t xml:space="preserve">Илимий жана илимий-педагогикалык кадрлардын сапаттуу курамын жакшыртууга, аларды даярдоонун натыйжалуулугун жогорулатууга  көмөк көрсөтүү                          
</t>
    </r>
    <r>
      <rPr>
        <i/>
        <sz val="11"/>
        <rFont val="Times New Roman"/>
        <family val="1"/>
        <charset val="204"/>
      </rPr>
      <t>Программанын максаты: Диссертациянын илимий денгээлине, алардын илимий жана практикалык баалуулугуна, илимий жана илимий - педагогикалык кадрларды жогорку квалификацияга аттестациялоодо бирдиктүү  талаптарды контролдоону камсыздоо</t>
    </r>
  </si>
  <si>
    <r>
      <rPr>
        <b/>
        <sz val="11"/>
        <rFont val="Times New Roman"/>
        <family val="1"/>
        <charset val="204"/>
      </rPr>
      <t xml:space="preserve">Кыргыз Республикасынын Президентинин жана Өкмөтүнүн иш башкармалыктарынын Клиникалык ооруканасы тарабынан  медициналык кызматтарды көрсөтүү </t>
    </r>
    <r>
      <rPr>
        <sz val="11"/>
        <rFont val="Times New Roman"/>
        <family val="1"/>
        <charset val="204"/>
      </rPr>
      <t xml:space="preserve">
</t>
    </r>
    <r>
      <rPr>
        <i/>
        <sz val="11"/>
        <rFont val="Times New Roman"/>
        <family val="1"/>
        <charset val="204"/>
      </rPr>
      <t xml:space="preserve">Программанын максаты: Көрсөтүлүүчү медициналык кызматтардын сапатын жакшыртуу </t>
    </r>
  </si>
  <si>
    <r>
      <t xml:space="preserve">Пландоо, башкаруу жана администирлөө
</t>
    </r>
    <r>
      <rPr>
        <i/>
        <sz val="11"/>
        <rFont val="Times New Roman"/>
        <family val="1"/>
        <charset val="204"/>
      </rPr>
      <t>Программанын максаты: Башка программаларды ишке ашырууга координациялоочу жана уюштуруучу таасирлер</t>
    </r>
  </si>
  <si>
    <r>
      <t xml:space="preserve">Кыйноолорду жана катаал мамилени эркиндигинен ажыратуу жана чектоо жайларында алдын алуу.
</t>
    </r>
    <r>
      <rPr>
        <i/>
        <sz val="11"/>
        <rFont val="Times New Roman"/>
        <family val="1"/>
        <charset val="204"/>
      </rPr>
      <t>Максаты:Кыйноолорду жана катаал мамилени, алардын эркиндигинен ажыратуу жана чектоо жайларында, балдар уйундо  жана психо-неврологиялык диспансерлерде колдонулушунун коркунучун туп тамыры менен жок кылуу</t>
    </r>
  </si>
  <si>
    <r>
      <rPr>
        <b/>
        <sz val="11"/>
        <rFont val="Times New Roman"/>
        <family val="1"/>
        <charset val="204"/>
      </rPr>
      <t xml:space="preserve">Пландаштыруу,  башкаруу жана администрациялоо     </t>
    </r>
    <r>
      <rPr>
        <b/>
        <i/>
        <sz val="11"/>
        <rFont val="Times New Roman"/>
        <family val="1"/>
        <charset val="204"/>
      </rPr>
      <t xml:space="preserve">                                                                                                                      
</t>
    </r>
    <r>
      <rPr>
        <i/>
        <sz val="11"/>
        <rFont val="Times New Roman"/>
        <family val="1"/>
        <charset val="204"/>
      </rPr>
      <t>Программанын максаты:  Мамлекеттик агенттиктин ишин координациялоо, уюштуруу жана камсыздоо</t>
    </r>
  </si>
  <si>
    <r>
      <rPr>
        <b/>
        <sz val="11"/>
        <rFont val="Times New Roman"/>
        <family val="1"/>
        <charset val="204"/>
      </rPr>
      <t xml:space="preserve">Энергетика секторун өнүктүрүү үчүн  экономикалык дем берүүлөрдү түзүү </t>
    </r>
    <r>
      <rPr>
        <sz val="11"/>
        <rFont val="Times New Roman"/>
        <family val="1"/>
        <charset val="204"/>
      </rPr>
      <t xml:space="preserve">
Программанын максаты:  ОЭК жаатындагы иштеп жаткан чарба субъекттеринин  иштешине экономикалык  натыйжалуулугун жана  ишенимдүүлүгүн  жогорулатуу үчүн  шарттарды түзүү </t>
    </r>
  </si>
  <si>
    <r>
      <t xml:space="preserve">Пландаштыруу, башкаруу жана администрациялоо 
</t>
    </r>
    <r>
      <rPr>
        <i/>
        <sz val="11"/>
        <rFont val="Times New Roman"/>
        <family val="1"/>
        <charset val="204"/>
      </rPr>
      <t xml:space="preserve">Программанын максаты: Теле жана радиопрограммаларды көркөм жана кесиптик, чыгармачылык, ошондой эле техникалык  деңгээлде  түзүү үчүн ресурстар менен камсыз кылуу  </t>
    </r>
  </si>
  <si>
    <r>
      <t xml:space="preserve">Телепрограммаларды коордациялоо, түзүү жана жайылтуу 
</t>
    </r>
    <r>
      <rPr>
        <sz val="11"/>
        <rFont val="Times New Roman"/>
        <family val="1"/>
        <charset val="204"/>
      </rPr>
      <t xml:space="preserve">Программанын максаты: ТБ боюнча сапаттуу жана жеткиликтүү маалыматтарды алуу </t>
    </r>
  </si>
  <si>
    <r>
      <t xml:space="preserve">Телевизиондук тасмаларды чыгаруу                                         
</t>
    </r>
    <r>
      <rPr>
        <sz val="11"/>
        <rFont val="Times New Roman"/>
        <family val="1"/>
        <charset val="204"/>
      </rPr>
      <t>Программанын максаты: Көрүүчүлөрдүн маалымдуулугу, пропагандалоо</t>
    </r>
  </si>
  <si>
    <r>
      <t xml:space="preserve">Пландаштыруу, башкаруу жана администрациялоо 
</t>
    </r>
    <r>
      <rPr>
        <i/>
        <sz val="11"/>
        <rFont val="Times New Roman"/>
        <family val="1"/>
        <charset val="204"/>
      </rPr>
      <t>Программанын максаты: Чыгармачыл процессти координациялоо</t>
    </r>
  </si>
  <si>
    <r>
      <t xml:space="preserve">Телевизиондук, радиопрограммаларды өндүрүү, аларды жайылтуу                                                                        </t>
    </r>
    <r>
      <rPr>
        <i/>
        <sz val="11"/>
        <rFont val="Times New Roman"/>
        <family val="1"/>
        <charset val="204"/>
      </rPr>
      <t>Программанын максаты: СТВ жана РВ программаларды түзүү жана жайылтуу</t>
    </r>
    <r>
      <rPr>
        <b/>
        <i/>
        <sz val="11"/>
        <rFont val="Times New Roman"/>
        <family val="1"/>
        <charset val="204"/>
      </rPr>
      <t xml:space="preserve"> </t>
    </r>
  </si>
  <si>
    <r>
      <t xml:space="preserve">Пландоо, башкаруу жана администрациялоо                                                                                                                              
</t>
    </r>
    <r>
      <rPr>
        <sz val="11"/>
        <rFont val="Times New Roman"/>
        <family val="1"/>
        <charset val="204"/>
      </rPr>
      <t>Программанын максаты:Башка программаларды координациялоочу жана уюштуруучу таасирлер</t>
    </r>
  </si>
  <si>
    <r>
      <t xml:space="preserve">Кыргыз Республикасынын аймагында жана анын чегинен тышкары  телеберүү түзүү жана жайылтуу 
</t>
    </r>
    <r>
      <rPr>
        <i/>
        <sz val="11"/>
        <rFont val="Times New Roman"/>
        <family val="1"/>
        <charset val="204"/>
      </rPr>
      <t xml:space="preserve">Программанын максаты: Телеберүүлөрдү  чыгаруу жана аларды эфирге берүү жолу менен маалыматтык - агартуучу кызматтарды көрсөтүү </t>
    </r>
  </si>
  <si>
    <r>
      <t xml:space="preserve">Кыргыз Республикасынын аймагында жана анын чегинен тышкары радиоберүү түзүү жана жайылтуу 
</t>
    </r>
    <r>
      <rPr>
        <i/>
        <sz val="11"/>
        <rFont val="Times New Roman"/>
        <family val="1"/>
        <charset val="204"/>
      </rPr>
      <t xml:space="preserve">Программанын максаты: Радиоберүүлөрдү  чыгаруу жана аларды радио эфирге берүү жолу менен маалыматтык - агартуучу кызматтарды көрсөтүү </t>
    </r>
  </si>
  <si>
    <r>
      <t xml:space="preserve">Пландаштыруу, башкаруу жана администрациялоо 
</t>
    </r>
    <r>
      <rPr>
        <i/>
        <sz val="11"/>
        <rFont val="Times New Roman"/>
        <family val="1"/>
        <charset val="204"/>
      </rPr>
      <t xml:space="preserve">Программанын максаты: Соттук-эксперттик ишти координациялоо </t>
    </r>
  </si>
  <si>
    <r>
      <t xml:space="preserve">Соттук эксперттик иштерди ишке ашыруу 
</t>
    </r>
    <r>
      <rPr>
        <i/>
        <sz val="11"/>
        <rFont val="Times New Roman"/>
        <family val="1"/>
        <charset val="204"/>
      </rPr>
      <t xml:space="preserve">Программанын максаты: Соттук экспертизаларды жүргүзүү </t>
    </r>
  </si>
  <si>
    <r>
      <t xml:space="preserve">Пландаштыруу, башкаруу жана администрациялоо 
</t>
    </r>
    <r>
      <rPr>
        <sz val="11"/>
        <rFont val="Times New Roman"/>
        <family val="1"/>
        <charset val="204"/>
      </rPr>
      <t>Программанын максаты: Башка программаларды координациялоочу жана уюштуруучу таасирлер</t>
    </r>
  </si>
  <si>
    <r>
      <t xml:space="preserve">Пландаштыруу, башкаруу жана администрациялоо 
</t>
    </r>
    <r>
      <rPr>
        <i/>
        <sz val="11"/>
        <rFont val="Times New Roman"/>
        <family val="1"/>
        <charset val="204"/>
      </rPr>
      <t>Программанын максаты: Башка программаларды координациялоочу жана уюштуруучу таасирлер</t>
    </r>
  </si>
  <si>
    <r>
      <rPr>
        <b/>
        <sz val="11"/>
        <rFont val="Times New Roman"/>
        <family val="1"/>
        <charset val="204"/>
      </rPr>
      <t xml:space="preserve">Натыйжалуулук индикатору </t>
    </r>
    <r>
      <rPr>
        <sz val="11"/>
        <rFont val="Times New Roman"/>
        <family val="1"/>
        <charset val="204"/>
      </rPr>
      <t xml:space="preserve"> (Программа боюнча максаттуу индикатор) </t>
    </r>
  </si>
  <si>
    <r>
      <rPr>
        <b/>
        <sz val="11"/>
        <rFont val="Times New Roman"/>
        <family val="1"/>
        <charset val="204"/>
      </rPr>
      <t xml:space="preserve">Эксперттик кеңештердин корутундусуна ЖАК  президиумунун чечимдеринин жана оң чечимдерге берилген дипломдордун пайызы  </t>
    </r>
    <r>
      <rPr>
        <i/>
        <sz val="9"/>
        <color indexed="8"/>
        <rFont val="Arial"/>
        <family val="2"/>
        <charset val="204"/>
      </rPr>
      <t/>
    </r>
  </si>
  <si>
    <t>“Кыргыз Республикасынын 2019-жылга республикалык бюджети                                                                                                                                                                                                                                       жана 2020-2021-жылдарга болжолу жөнүндө”                                                                                                                                                                                                                                                                                              Кыргыз Республикасынын Мыйзамына өзгөртүүлөрдү киргизүү тууралуу”                                                                                                                                                                                                              Кыргыз Республикасынын Мыйзамына                                                                                                                                                                                                                                                                                          11--тиркеме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</si>
</sst>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44" formatCode="_-* #,##0.00&quot;р.&quot;_-;\-* #,##0.00&quot;р.&quot;_-;_-* &quot;-&quot;??&quot;р.&quot;_-;_-@_-"/>
    <numFmt numFmtId="43" formatCode="_-* #,##0.00_р_._-;\-* #,##0.00_р_._-;_-* &quot;-&quot;??_р_._-;_-@_-"/>
    <numFmt numFmtId="164" formatCode="_-* #,##0.00\ _₽_-;\-* #,##0.00\ _₽_-;_-* &quot;-&quot;??\ _₽_-;_-@_-"/>
    <numFmt numFmtId="165" formatCode="_(* #,##0.00_);_(* \(#,##0.00\);_(* &quot;-&quot;??_);_(@_)"/>
    <numFmt numFmtId="166" formatCode="0.0"/>
    <numFmt numFmtId="167" formatCode="#,##0.0"/>
    <numFmt numFmtId="168" formatCode="###,000__;\-###,000__"/>
    <numFmt numFmtId="169" formatCode="##,#00__;\-##,#00__"/>
    <numFmt numFmtId="170" formatCode="0.0%"/>
    <numFmt numFmtId="171" formatCode="_-* #,##0.0_р_._-;\-* #,##0.0_р_._-;_-* &quot;-&quot;??_р_._-;_-@_-"/>
    <numFmt numFmtId="172" formatCode="_-* #,##0.0_р_._-;\-* #,##0.0_р_._-;_-* &quot;-&quot;?_р_._-;_-@_-"/>
    <numFmt numFmtId="173" formatCode="_-* #,##0.00\ _р_._-;\-* #,##0.00\ _р_._-;_-* &quot;-&quot;??\ _р_._-;_-@_-"/>
    <numFmt numFmtId="174" formatCode="#,##0.0_ ;\-#,##0.0\ "/>
    <numFmt numFmtId="175" formatCode="000000"/>
    <numFmt numFmtId="176" formatCode="0.00;[Red]0.00"/>
    <numFmt numFmtId="177" formatCode="##,#00.0__;\-##,#00.0__"/>
    <numFmt numFmtId="178" formatCode="#,##0.0;[Red]#,##0.0"/>
    <numFmt numFmtId="179" formatCode="###,000.0__;\-###,000.0__"/>
    <numFmt numFmtId="180" formatCode="###,000;[Red]\-###,000"/>
    <numFmt numFmtId="181" formatCode="_-* #,##0.0\ _с_о_м_-;\-* #,##0.0\ _с_о_м_-;_-* &quot;-&quot;?\ _с_о_м_-;_-@_-"/>
    <numFmt numFmtId="182" formatCode="_-* #,##0.0\ _₽_-;\-* #,##0.0\ _₽_-;_-* &quot;-&quot;??\ _₽_-;_-@_-"/>
    <numFmt numFmtId="183" formatCode="###,000.0;[Red]\-###,000.0"/>
    <numFmt numFmtId="184" formatCode="#,##0_ ;[Red]\-#,##0\ "/>
  </numFmts>
  <fonts count="54" x14ac:knownFonts="1">
    <font>
      <sz val="11"/>
      <color theme="1"/>
      <name val="Calibri"/>
      <family val="2"/>
      <charset val="204"/>
      <scheme val="minor"/>
    </font>
    <font>
      <sz val="11"/>
      <color theme="1"/>
      <name val="Calibri"/>
      <family val="2"/>
      <charset val="204"/>
      <scheme val="minor"/>
    </font>
    <font>
      <sz val="10"/>
      <color theme="1"/>
      <name val="Arial"/>
      <family val="2"/>
      <charset val="204"/>
    </font>
    <font>
      <sz val="10"/>
      <color indexed="8"/>
      <name val="Arial"/>
      <family val="2"/>
      <charset val="204"/>
    </font>
    <font>
      <sz val="12"/>
      <color theme="1"/>
      <name val="Times New Roman"/>
      <family val="1"/>
      <charset val="204"/>
    </font>
    <font>
      <sz val="10"/>
      <name val="Arial Cyr"/>
      <charset val="204"/>
    </font>
    <font>
      <sz val="10"/>
      <name val="Arial"/>
      <family val="2"/>
      <charset val="204"/>
    </font>
    <font>
      <sz val="10"/>
      <name val="Times New Roman Cyr"/>
      <charset val="204"/>
    </font>
    <font>
      <sz val="10"/>
      <name val="Times New Roman"/>
      <family val="1"/>
    </font>
    <font>
      <sz val="11"/>
      <color theme="1"/>
      <name val="Calibri"/>
      <family val="2"/>
      <scheme val="minor"/>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1"/>
      <color indexed="8"/>
      <name val="Calibri"/>
      <family val="2"/>
      <charset val="204"/>
    </font>
    <font>
      <b/>
      <sz val="11"/>
      <color indexed="9"/>
      <name val="Calibri"/>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8"/>
      <color indexed="56"/>
      <name val="Cambria"/>
      <family val="2"/>
      <charset val="204"/>
    </font>
    <font>
      <sz val="11"/>
      <color indexed="8"/>
      <name val="Calibri"/>
      <family val="2"/>
    </font>
    <font>
      <sz val="8"/>
      <name val="Arial"/>
      <family val="2"/>
      <charset val="1"/>
    </font>
    <font>
      <sz val="11"/>
      <name val="Times New Roman"/>
      <family val="1"/>
      <charset val="204"/>
    </font>
    <font>
      <b/>
      <sz val="11"/>
      <name val="Times New Roman"/>
      <family val="1"/>
      <charset val="204"/>
    </font>
    <font>
      <sz val="8"/>
      <name val="Arial"/>
      <family val="2"/>
      <charset val="204"/>
    </font>
    <font>
      <b/>
      <i/>
      <sz val="11"/>
      <name val="Times New Roman"/>
      <family val="1"/>
      <charset val="204"/>
    </font>
    <font>
      <i/>
      <sz val="11"/>
      <name val="Times New Roman"/>
      <family val="1"/>
      <charset val="204"/>
    </font>
    <font>
      <sz val="11"/>
      <color theme="1"/>
      <name val="Times New Roman"/>
      <family val="1"/>
      <charset val="204"/>
    </font>
    <font>
      <sz val="11"/>
      <color rgb="FFFF0000"/>
      <name val="Times New Roman"/>
      <family val="1"/>
      <charset val="204"/>
    </font>
    <font>
      <b/>
      <sz val="11"/>
      <color theme="1"/>
      <name val="Times New Roman"/>
      <family val="1"/>
      <charset val="204"/>
    </font>
    <font>
      <sz val="11"/>
      <color indexed="8"/>
      <name val="Times New Roman"/>
      <family val="1"/>
      <charset val="204"/>
    </font>
    <font>
      <b/>
      <sz val="11"/>
      <color indexed="8"/>
      <name val="Times New Roman"/>
      <family val="1"/>
      <charset val="204"/>
    </font>
    <font>
      <sz val="12"/>
      <name val="Times New Roman"/>
      <family val="1"/>
      <charset val="204"/>
    </font>
    <font>
      <sz val="10"/>
      <name val="Times New Roman"/>
      <family val="1"/>
      <charset val="204"/>
    </font>
    <font>
      <b/>
      <sz val="11"/>
      <color theme="1"/>
      <name val="Calibri"/>
      <family val="2"/>
      <charset val="204"/>
      <scheme val="minor"/>
    </font>
    <font>
      <sz val="10"/>
      <color rgb="FF000000"/>
      <name val="Times New Roman"/>
      <family val="1"/>
      <charset val="204"/>
    </font>
    <font>
      <sz val="10"/>
      <color theme="1"/>
      <name val="Times New Roman"/>
      <family val="1"/>
      <charset val="204"/>
    </font>
    <font>
      <sz val="10"/>
      <color indexed="8"/>
      <name val="Times New Roman"/>
      <family val="1"/>
      <charset val="204"/>
    </font>
    <font>
      <i/>
      <sz val="9"/>
      <color indexed="8"/>
      <name val="Arial"/>
      <family val="2"/>
      <charset val="204"/>
    </font>
    <font>
      <b/>
      <sz val="11"/>
      <color rgb="FF000000"/>
      <name val="Times New Roman"/>
      <family val="1"/>
      <charset val="204"/>
    </font>
    <font>
      <sz val="11"/>
      <color rgb="FF000000"/>
      <name val="Times New Roman"/>
      <family val="1"/>
      <charset val="204"/>
    </font>
    <font>
      <b/>
      <sz val="8"/>
      <color indexed="81"/>
      <name val="Tahoma"/>
      <family val="2"/>
      <charset val="204"/>
    </font>
    <font>
      <sz val="8"/>
      <color indexed="81"/>
      <name val="Tahoma"/>
      <family val="2"/>
      <charset val="204"/>
    </font>
    <font>
      <sz val="11"/>
      <name val="Calibri"/>
      <family val="2"/>
      <charset val="204"/>
    </font>
    <font>
      <b/>
      <sz val="9"/>
      <color indexed="81"/>
      <name val="Tahoma"/>
      <family val="2"/>
      <charset val="204"/>
    </font>
    <font>
      <sz val="9"/>
      <color indexed="81"/>
      <name val="Tahoma"/>
      <family val="2"/>
      <charset val="204"/>
    </font>
    <font>
      <b/>
      <sz val="12"/>
      <name val="Times New Roman"/>
      <family val="1"/>
      <charset val="204"/>
    </font>
  </fonts>
  <fills count="3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0" tint="-0.14999847407452621"/>
        <bgColor indexed="64"/>
      </patternFill>
    </fill>
    <fill>
      <patternFill patternType="solid">
        <fgColor rgb="FF00B0F0"/>
        <bgColor indexed="64"/>
      </patternFill>
    </fill>
    <fill>
      <patternFill patternType="solid">
        <fgColor indexed="47"/>
      </patternFill>
    </fill>
    <fill>
      <patternFill patternType="solid">
        <fgColor indexed="26"/>
      </patternFill>
    </fill>
    <fill>
      <patternFill patternType="solid">
        <fgColor indexed="22"/>
      </patternFill>
    </fill>
    <fill>
      <patternFill patternType="solid">
        <fgColor indexed="43"/>
      </patternFill>
    </fill>
    <fill>
      <patternFill patternType="solid">
        <fgColor indexed="4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FF"/>
        <bgColor indexed="64"/>
      </patternFill>
    </fill>
    <fill>
      <patternFill patternType="solid">
        <fgColor theme="0" tint="-4.9989318521683403E-2"/>
        <bgColor indexed="64"/>
      </patternFill>
    </fill>
    <fill>
      <patternFill patternType="solid">
        <fgColor theme="0"/>
        <bgColor indexed="9"/>
      </patternFill>
    </fill>
  </fills>
  <borders count="1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00B050"/>
      </left>
      <right style="thin">
        <color rgb="FF00B050"/>
      </right>
      <top/>
      <bottom style="thin">
        <color rgb="FF00B050"/>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indexed="64"/>
      </right>
      <top style="thin">
        <color auto="1"/>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251">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3" fillId="0" borderId="0"/>
    <xf numFmtId="0" fontId="1" fillId="0" borderId="0"/>
    <xf numFmtId="0" fontId="5" fillId="0" borderId="0"/>
    <xf numFmtId="0" fontId="2" fillId="0" borderId="0"/>
    <xf numFmtId="43" fontId="2" fillId="0" borderId="0" applyFont="0" applyFill="0" applyBorder="0" applyAlignment="0" applyProtection="0"/>
    <xf numFmtId="0" fontId="7" fillId="0" borderId="0"/>
    <xf numFmtId="167" fontId="8" fillId="0" borderId="0"/>
    <xf numFmtId="9" fontId="5"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xf numFmtId="0" fontId="9" fillId="0" borderId="0"/>
    <xf numFmtId="0" fontId="7" fillId="0" borderId="0"/>
    <xf numFmtId="44" fontId="2" fillId="0" borderId="0" applyFont="0" applyFill="0" applyBorder="0" applyAlignment="0" applyProtection="0"/>
    <xf numFmtId="9" fontId="2" fillId="0" borderId="0" applyFont="0" applyFill="0" applyBorder="0" applyAlignment="0" applyProtection="0"/>
    <xf numFmtId="0" fontId="9" fillId="0" borderId="0"/>
    <xf numFmtId="0" fontId="5"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0" fillId="0" borderId="0" applyFont="0" applyFill="0" applyBorder="0" applyAlignment="0" applyProtection="0"/>
    <xf numFmtId="9" fontId="5" fillId="0" borderId="0" applyFont="0" applyFill="0" applyBorder="0" applyAlignment="0" applyProtection="0"/>
    <xf numFmtId="43" fontId="10"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4" fillId="0" borderId="11">
      <alignment vertical="center" wrapText="1"/>
    </xf>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7"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5" borderId="0" applyNumberFormat="0" applyBorder="0" applyAlignment="0" applyProtection="0"/>
    <xf numFmtId="0" fontId="10" fillId="17" borderId="0" applyNumberFormat="0" applyBorder="0" applyAlignment="0" applyProtection="0"/>
    <xf numFmtId="0" fontId="10" fillId="20"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11"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2" borderId="0" applyNumberFormat="0" applyBorder="0" applyAlignment="0" applyProtection="0"/>
    <xf numFmtId="0" fontId="11" fillId="11" borderId="0" applyNumberFormat="0" applyBorder="0" applyAlignment="0" applyProtection="0"/>
    <xf numFmtId="0" fontId="11" fillId="27" borderId="0" applyNumberFormat="0" applyBorder="0" applyAlignment="0" applyProtection="0"/>
    <xf numFmtId="0" fontId="18" fillId="13" borderId="0" applyNumberFormat="0" applyBorder="0" applyAlignment="0" applyProtection="0"/>
    <xf numFmtId="0" fontId="14" fillId="9" borderId="16" applyNumberFormat="0" applyAlignment="0" applyProtection="0"/>
    <xf numFmtId="0" fontId="16" fillId="28" borderId="17" applyNumberFormat="0" applyAlignment="0" applyProtection="0"/>
    <xf numFmtId="0" fontId="19" fillId="0" borderId="0" applyNumberFormat="0" applyFill="0" applyBorder="0" applyAlignment="0" applyProtection="0"/>
    <xf numFmtId="0" fontId="22" fillId="14" borderId="0" applyNumberFormat="0" applyBorder="0" applyAlignment="0" applyProtection="0"/>
    <xf numFmtId="0" fontId="23" fillId="0" borderId="18" applyNumberFormat="0" applyFill="0" applyAlignment="0" applyProtection="0"/>
    <xf numFmtId="0" fontId="24" fillId="0" borderId="19" applyNumberFormat="0" applyFill="0" applyAlignment="0" applyProtection="0"/>
    <xf numFmtId="0" fontId="25" fillId="0" borderId="20" applyNumberFormat="0" applyFill="0" applyAlignment="0" applyProtection="0"/>
    <xf numFmtId="0" fontId="25" fillId="0" borderId="0" applyNumberFormat="0" applyFill="0" applyBorder="0" applyAlignment="0" applyProtection="0"/>
    <xf numFmtId="0" fontId="12" fillId="7" borderId="16" applyNumberFormat="0" applyAlignment="0" applyProtection="0"/>
    <xf numFmtId="0" fontId="20" fillId="0" borderId="21" applyNumberFormat="0" applyFill="0" applyAlignment="0" applyProtection="0"/>
    <xf numFmtId="0" fontId="17" fillId="10" borderId="0" applyNumberFormat="0" applyBorder="0" applyAlignment="0" applyProtection="0"/>
    <xf numFmtId="0" fontId="3" fillId="8" borderId="22" applyNumberFormat="0" applyFont="0" applyAlignment="0" applyProtection="0"/>
    <xf numFmtId="0" fontId="13" fillId="9" borderId="23" applyNumberFormat="0" applyAlignment="0" applyProtection="0"/>
    <xf numFmtId="0" fontId="26" fillId="0" borderId="0" applyNumberFormat="0" applyFill="0" applyBorder="0" applyAlignment="0" applyProtection="0"/>
    <xf numFmtId="0" fontId="15" fillId="0" borderId="24" applyNumberFormat="0" applyFill="0" applyAlignment="0" applyProtection="0"/>
    <xf numFmtId="0" fontId="21" fillId="0" borderId="0" applyNumberFormat="0" applyFill="0" applyBorder="0" applyAlignment="0" applyProtection="0"/>
    <xf numFmtId="0" fontId="3" fillId="0" borderId="0"/>
    <xf numFmtId="0" fontId="2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28" fillId="0" borderId="0"/>
    <xf numFmtId="0" fontId="28" fillId="0" borderId="0"/>
    <xf numFmtId="9" fontId="1" fillId="0" borderId="0" applyFont="0" applyFill="0" applyBorder="0" applyAlignment="0" applyProtection="0"/>
    <xf numFmtId="43" fontId="1" fillId="0" borderId="0" applyFont="0" applyFill="0" applyBorder="0" applyAlignment="0" applyProtection="0"/>
    <xf numFmtId="0" fontId="28" fillId="0" borderId="0"/>
    <xf numFmtId="173" fontId="10" fillId="0" borderId="0" applyFont="0" applyFill="0" applyBorder="0" applyAlignment="0" applyProtection="0"/>
    <xf numFmtId="0" fontId="31" fillId="0" borderId="0"/>
    <xf numFmtId="43" fontId="31" fillId="0" borderId="0" applyFont="0" applyFill="0" applyBorder="0" applyAlignment="0" applyProtection="0"/>
    <xf numFmtId="0" fontId="7" fillId="0" borderId="0"/>
    <xf numFmtId="43" fontId="7" fillId="0" borderId="0" applyFont="0" applyFill="0" applyBorder="0" applyAlignment="0" applyProtection="0"/>
    <xf numFmtId="0" fontId="1" fillId="0" borderId="0"/>
    <xf numFmtId="164" fontId="1"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3" fillId="0" borderId="0"/>
    <xf numFmtId="0" fontId="3" fillId="0" borderId="0"/>
    <xf numFmtId="0" fontId="3" fillId="8" borderId="116" applyNumberFormat="0" applyFont="0" applyAlignment="0" applyProtection="0"/>
    <xf numFmtId="0" fontId="14" fillId="9" borderId="95" applyNumberFormat="0" applyAlignment="0" applyProtection="0"/>
    <xf numFmtId="0" fontId="14" fillId="9" borderId="69" applyNumberFormat="0" applyAlignment="0" applyProtection="0"/>
    <xf numFmtId="0" fontId="14" fillId="9" borderId="59" applyNumberFormat="0" applyAlignment="0" applyProtection="0"/>
    <xf numFmtId="0" fontId="14" fillId="9" borderId="54" applyNumberFormat="0" applyAlignment="0" applyProtection="0"/>
    <xf numFmtId="0" fontId="3" fillId="8" borderId="70" applyNumberFormat="0" applyFont="0" applyAlignment="0" applyProtection="0"/>
    <xf numFmtId="0" fontId="14" fillId="9" borderId="77" applyNumberFormat="0" applyAlignment="0" applyProtection="0"/>
    <xf numFmtId="0" fontId="12" fillId="7" borderId="95" applyNumberFormat="0" applyAlignment="0" applyProtection="0"/>
    <xf numFmtId="0" fontId="13" fillId="9" borderId="89" applyNumberFormat="0" applyAlignment="0" applyProtection="0"/>
    <xf numFmtId="0" fontId="15" fillId="0" borderId="62" applyNumberFormat="0" applyFill="0" applyAlignment="0" applyProtection="0"/>
    <xf numFmtId="0" fontId="15" fillId="0" borderId="94" applyNumberFormat="0" applyFill="0" applyAlignment="0" applyProtection="0"/>
    <xf numFmtId="0" fontId="12" fillId="7" borderId="73" applyNumberFormat="0" applyAlignment="0" applyProtection="0"/>
    <xf numFmtId="0" fontId="13" fillId="9" borderId="102" applyNumberFormat="0" applyAlignment="0" applyProtection="0"/>
    <xf numFmtId="0" fontId="13" fillId="9" borderId="56" applyNumberFormat="0" applyAlignment="0" applyProtection="0"/>
    <xf numFmtId="0" fontId="3" fillId="8" borderId="121" applyNumberFormat="0" applyFont="0" applyAlignment="0" applyProtection="0"/>
    <xf numFmtId="0" fontId="13" fillId="9" borderId="117" applyNumberFormat="0" applyAlignment="0" applyProtection="0"/>
    <xf numFmtId="0" fontId="3" fillId="8" borderId="92" applyNumberFormat="0" applyFont="0" applyAlignment="0" applyProtection="0"/>
    <xf numFmtId="0" fontId="4" fillId="0" borderId="58">
      <alignment vertical="center" wrapText="1"/>
    </xf>
    <xf numFmtId="0" fontId="13" fillId="9" borderId="93" applyNumberFormat="0" applyAlignment="0" applyProtection="0"/>
    <xf numFmtId="0" fontId="13" fillId="9" borderId="67" applyNumberFormat="0" applyAlignment="0" applyProtection="0"/>
    <xf numFmtId="0" fontId="12" fillId="7" borderId="65" applyNumberFormat="0" applyAlignment="0" applyProtection="0"/>
    <xf numFmtId="0" fontId="13" fillId="9" borderId="61" applyNumberFormat="0" applyAlignment="0" applyProtection="0"/>
    <xf numFmtId="0" fontId="3" fillId="8" borderId="88" applyNumberFormat="0" applyFont="0" applyAlignment="0" applyProtection="0"/>
    <xf numFmtId="0" fontId="3" fillId="8" borderId="50" applyNumberFormat="0" applyFont="0" applyAlignment="0" applyProtection="0"/>
    <xf numFmtId="0" fontId="4" fillId="0" borderId="32">
      <alignment vertical="center" wrapText="1"/>
    </xf>
    <xf numFmtId="0" fontId="14" fillId="9" borderId="82" applyNumberFormat="0" applyAlignment="0" applyProtection="0"/>
    <xf numFmtId="0" fontId="3" fillId="8" borderId="96" applyNumberFormat="0" applyFont="0" applyAlignment="0" applyProtection="0"/>
    <xf numFmtId="0" fontId="14" fillId="9" borderId="120" applyNumberFormat="0" applyAlignment="0" applyProtection="0"/>
    <xf numFmtId="0" fontId="12" fillId="7" borderId="91" applyNumberFormat="0" applyAlignment="0" applyProtection="0"/>
    <xf numFmtId="0" fontId="3" fillId="8" borderId="83" applyNumberFormat="0" applyFont="0" applyAlignment="0" applyProtection="0"/>
    <xf numFmtId="0" fontId="15" fillId="0" borderId="108" applyNumberFormat="0" applyFill="0" applyAlignment="0" applyProtection="0"/>
    <xf numFmtId="0" fontId="14" fillId="9" borderId="73" applyNumberFormat="0" applyAlignment="0" applyProtection="0"/>
    <xf numFmtId="0" fontId="14" fillId="9" borderId="45" applyNumberFormat="0" applyAlignment="0" applyProtection="0"/>
    <xf numFmtId="0" fontId="15" fillId="0" borderId="85" applyNumberFormat="0" applyFill="0" applyAlignment="0" applyProtection="0"/>
    <xf numFmtId="0" fontId="13" fillId="9" borderId="75" applyNumberFormat="0" applyAlignment="0" applyProtection="0"/>
    <xf numFmtId="0" fontId="4" fillId="0" borderId="119">
      <alignment vertical="center" wrapText="1"/>
    </xf>
    <xf numFmtId="0" fontId="12" fillId="7" borderId="45" applyNumberFormat="0" applyAlignment="0" applyProtection="0"/>
    <xf numFmtId="0" fontId="3" fillId="8" borderId="101" applyNumberFormat="0" applyFont="0" applyAlignment="0" applyProtection="0"/>
    <xf numFmtId="0" fontId="3" fillId="8" borderId="46" applyNumberFormat="0" applyFont="0" applyAlignment="0" applyProtection="0"/>
    <xf numFmtId="0" fontId="13" fillId="9" borderId="47" applyNumberFormat="0" applyAlignment="0" applyProtection="0"/>
    <xf numFmtId="0" fontId="13" fillId="9" borderId="97" applyNumberFormat="0" applyAlignment="0" applyProtection="0"/>
    <xf numFmtId="0" fontId="15" fillId="0" borderId="48" applyNumberFormat="0" applyFill="0" applyAlignment="0" applyProtection="0"/>
    <xf numFmtId="0" fontId="13" fillId="9" borderId="71" applyNumberFormat="0" applyAlignment="0" applyProtection="0"/>
    <xf numFmtId="0" fontId="3" fillId="8" borderId="78" applyNumberFormat="0" applyFont="0" applyAlignment="0" applyProtection="0"/>
    <xf numFmtId="0" fontId="14" fillId="9" borderId="65" applyNumberFormat="0" applyAlignment="0" applyProtection="0"/>
    <xf numFmtId="0" fontId="13" fillId="9" borderId="84" applyNumberFormat="0" applyAlignment="0" applyProtection="0"/>
    <xf numFmtId="0" fontId="14" fillId="9" borderId="115" applyNumberFormat="0" applyAlignment="0" applyProtection="0"/>
    <xf numFmtId="0" fontId="12" fillId="7" borderId="77" applyNumberFormat="0" applyAlignment="0" applyProtection="0"/>
    <xf numFmtId="0" fontId="12" fillId="7" borderId="87" applyNumberFormat="0" applyAlignment="0" applyProtection="0"/>
    <xf numFmtId="0" fontId="14" fillId="9" borderId="105" applyNumberFormat="0" applyAlignment="0" applyProtection="0"/>
    <xf numFmtId="0" fontId="12" fillId="7" borderId="109" applyNumberFormat="0" applyAlignment="0" applyProtection="0"/>
    <xf numFmtId="0" fontId="3" fillId="8" borderId="55" applyNumberFormat="0" applyFont="0" applyAlignment="0" applyProtection="0"/>
    <xf numFmtId="0" fontId="4" fillId="0" borderId="53">
      <alignment vertical="center" wrapText="1"/>
    </xf>
    <xf numFmtId="0" fontId="3" fillId="8" borderId="60" applyNumberFormat="0" applyFont="0" applyAlignment="0" applyProtection="0"/>
    <xf numFmtId="0" fontId="13" fillId="9" borderId="79" applyNumberFormat="0" applyAlignment="0" applyProtection="0"/>
    <xf numFmtId="0" fontId="4" fillId="0" borderId="113">
      <alignment vertical="center" wrapText="1"/>
    </xf>
    <xf numFmtId="0" fontId="14" fillId="9" borderId="87" applyNumberFormat="0" applyAlignment="0" applyProtection="0"/>
    <xf numFmtId="0" fontId="3" fillId="8" borderId="74" applyNumberFormat="0" applyFont="0" applyAlignment="0" applyProtection="0"/>
    <xf numFmtId="0" fontId="4" fillId="0" borderId="86">
      <alignment vertical="center" wrapText="1"/>
    </xf>
    <xf numFmtId="0" fontId="3" fillId="8" borderId="106" applyNumberFormat="0" applyFont="0" applyAlignment="0" applyProtection="0"/>
    <xf numFmtId="0" fontId="2" fillId="0" borderId="0"/>
    <xf numFmtId="0" fontId="12" fillId="7" borderId="54" applyNumberFormat="0" applyAlignment="0" applyProtection="0"/>
    <xf numFmtId="0" fontId="15" fillId="0" borderId="68" applyNumberFormat="0" applyFill="0" applyAlignment="0" applyProtection="0"/>
    <xf numFmtId="0" fontId="15" fillId="0" borderId="57" applyNumberFormat="0" applyFill="0" applyAlignment="0" applyProtection="0"/>
    <xf numFmtId="0" fontId="4" fillId="0" borderId="104">
      <alignment vertical="center" wrapText="1"/>
    </xf>
    <xf numFmtId="0" fontId="14" fillId="9" borderId="100" applyNumberFormat="0" applyAlignment="0" applyProtection="0"/>
    <xf numFmtId="0" fontId="12" fillId="7" borderId="82" applyNumberFormat="0" applyAlignment="0" applyProtection="0"/>
    <xf numFmtId="0" fontId="13" fillId="9" borderId="51" applyNumberFormat="0" applyAlignment="0" applyProtection="0"/>
    <xf numFmtId="0" fontId="15" fillId="0" borderId="52" applyNumberFormat="0" applyFill="0" applyAlignment="0" applyProtection="0"/>
    <xf numFmtId="0" fontId="13" fillId="9" borderId="111" applyNumberFormat="0" applyAlignment="0" applyProtection="0"/>
    <xf numFmtId="0" fontId="12" fillId="7" borderId="59" applyNumberFormat="0" applyAlignment="0" applyProtection="0"/>
    <xf numFmtId="0" fontId="12" fillId="7" borderId="69" applyNumberFormat="0" applyAlignment="0" applyProtection="0"/>
    <xf numFmtId="0" fontId="4" fillId="0" borderId="64">
      <alignment vertical="center" wrapText="1"/>
    </xf>
    <xf numFmtId="0" fontId="15" fillId="0" borderId="72" applyNumberFormat="0" applyFill="0" applyAlignment="0" applyProtection="0"/>
    <xf numFmtId="0" fontId="15" fillId="0" borderId="118" applyNumberFormat="0" applyFill="0" applyAlignment="0" applyProtection="0"/>
    <xf numFmtId="0" fontId="3" fillId="8" borderId="66" applyNumberFormat="0" applyFont="0" applyAlignment="0" applyProtection="0"/>
    <xf numFmtId="0" fontId="13" fillId="9" borderId="107" applyNumberFormat="0" applyAlignment="0" applyProtection="0"/>
    <xf numFmtId="0" fontId="12" fillId="7" borderId="105" applyNumberFormat="0" applyAlignment="0" applyProtection="0"/>
    <xf numFmtId="0" fontId="15" fillId="0" borderId="98" applyNumberFormat="0" applyFill="0" applyAlignment="0" applyProtection="0"/>
    <xf numFmtId="0" fontId="4" fillId="0" borderId="99">
      <alignment vertical="center" wrapText="1"/>
    </xf>
    <xf numFmtId="0" fontId="4" fillId="0" borderId="81">
      <alignment vertical="center" wrapText="1"/>
    </xf>
    <xf numFmtId="0" fontId="15" fillId="0" borderId="76" applyNumberFormat="0" applyFill="0" applyAlignment="0" applyProtection="0"/>
    <xf numFmtId="0" fontId="15" fillId="0" borderId="123" applyNumberFormat="0" applyFill="0" applyAlignment="0" applyProtection="0"/>
    <xf numFmtId="0" fontId="14" fillId="9" borderId="109" applyNumberFormat="0" applyAlignment="0" applyProtection="0"/>
    <xf numFmtId="0" fontId="14" fillId="9" borderId="91" applyNumberFormat="0" applyAlignment="0" applyProtection="0"/>
    <xf numFmtId="0" fontId="12" fillId="7" borderId="120" applyNumberFormat="0" applyAlignment="0" applyProtection="0"/>
    <xf numFmtId="0" fontId="15" fillId="0" borderId="80" applyNumberFormat="0" applyFill="0" applyAlignment="0" applyProtection="0"/>
    <xf numFmtId="0" fontId="13" fillId="9" borderId="122" applyNumberFormat="0" applyAlignment="0" applyProtection="0"/>
    <xf numFmtId="0" fontId="15" fillId="0" borderId="90" applyNumberFormat="0" applyFill="0" applyAlignment="0" applyProtection="0"/>
    <xf numFmtId="0" fontId="12" fillId="7" borderId="100" applyNumberFormat="0" applyAlignment="0" applyProtection="0"/>
    <xf numFmtId="0" fontId="3" fillId="8" borderId="110" applyNumberFormat="0" applyFont="0" applyAlignment="0" applyProtection="0"/>
    <xf numFmtId="0" fontId="12" fillId="7" borderId="115" applyNumberFormat="0" applyAlignment="0" applyProtection="0"/>
    <xf numFmtId="0" fontId="15" fillId="0" borderId="103" applyNumberFormat="0" applyFill="0" applyAlignment="0" applyProtection="0"/>
    <xf numFmtId="0" fontId="15" fillId="0" borderId="112" applyNumberFormat="0" applyFill="0" applyAlignment="0" applyProtection="0"/>
  </cellStyleXfs>
  <cellXfs count="2454">
    <xf numFmtId="0" fontId="0" fillId="0" borderId="0" xfId="0"/>
    <xf numFmtId="0" fontId="29" fillId="2" borderId="1" xfId="0" applyFont="1" applyFill="1" applyBorder="1"/>
    <xf numFmtId="0" fontId="29" fillId="4" borderId="1" xfId="0" applyFont="1" applyFill="1" applyBorder="1" applyAlignment="1">
      <alignment horizontal="right" vertical="center"/>
    </xf>
    <xf numFmtId="0" fontId="29" fillId="4" borderId="7" xfId="0" applyFont="1" applyFill="1" applyBorder="1" applyAlignment="1">
      <alignment horizontal="right" vertical="center"/>
    </xf>
    <xf numFmtId="49" fontId="30" fillId="0" borderId="1" xfId="0" applyNumberFormat="1" applyFont="1" applyFill="1" applyBorder="1" applyAlignment="1">
      <alignment vertical="center"/>
    </xf>
    <xf numFmtId="0" fontId="30" fillId="4" borderId="1" xfId="0" applyFont="1" applyFill="1" applyBorder="1" applyAlignment="1">
      <alignment horizontal="right" vertical="center"/>
    </xf>
    <xf numFmtId="168" fontId="30" fillId="0" borderId="0" xfId="0" applyNumberFormat="1" applyFont="1" applyAlignment="1">
      <alignment horizontal="center" vertical="center" wrapText="1"/>
    </xf>
    <xf numFmtId="168" fontId="30" fillId="2" borderId="1" xfId="0" applyNumberFormat="1" applyFont="1" applyFill="1" applyBorder="1" applyAlignment="1">
      <alignment vertical="center"/>
    </xf>
    <xf numFmtId="0" fontId="30" fillId="0" borderId="0" xfId="0" applyFont="1" applyAlignment="1">
      <alignment wrapText="1"/>
    </xf>
    <xf numFmtId="0" fontId="30" fillId="0" borderId="0" xfId="0" applyFont="1" applyAlignment="1">
      <alignment horizontal="left" vertical="center" wrapText="1"/>
    </xf>
    <xf numFmtId="0" fontId="29" fillId="0" borderId="1" xfId="0" applyFont="1" applyFill="1" applyBorder="1"/>
    <xf numFmtId="0" fontId="30" fillId="0" borderId="1" xfId="0" applyFont="1" applyFill="1" applyBorder="1" applyAlignment="1">
      <alignment horizontal="right" vertical="center"/>
    </xf>
    <xf numFmtId="0" fontId="29" fillId="0" borderId="1" xfId="0" applyFont="1" applyFill="1" applyBorder="1" applyAlignment="1">
      <alignment horizontal="right" vertical="center"/>
    </xf>
    <xf numFmtId="0" fontId="30" fillId="0" borderId="4" xfId="3" applyFont="1" applyFill="1" applyBorder="1" applyAlignment="1">
      <alignment horizontal="left" vertical="center" wrapText="1"/>
    </xf>
    <xf numFmtId="0" fontId="29" fillId="0" borderId="0" xfId="0" applyFont="1" applyAlignment="1">
      <alignment horizontal="center" vertical="center"/>
    </xf>
    <xf numFmtId="0" fontId="29" fillId="3" borderId="1" xfId="0" applyFont="1" applyFill="1" applyBorder="1" applyAlignment="1">
      <alignment horizontal="left" vertical="center"/>
    </xf>
    <xf numFmtId="167" fontId="30" fillId="3" borderId="1" xfId="0" applyNumberFormat="1" applyFont="1" applyFill="1" applyBorder="1" applyAlignment="1">
      <alignment horizontal="center" vertical="center"/>
    </xf>
    <xf numFmtId="167" fontId="29" fillId="3" borderId="1" xfId="0" applyNumberFormat="1" applyFont="1" applyFill="1" applyBorder="1" applyAlignment="1">
      <alignment horizontal="center" vertical="center"/>
    </xf>
    <xf numFmtId="0" fontId="30" fillId="0" borderId="1" xfId="0" applyFont="1" applyBorder="1" applyAlignment="1">
      <alignment horizontal="center" vertical="center"/>
    </xf>
    <xf numFmtId="0" fontId="30" fillId="4" borderId="1" xfId="0" applyFont="1" applyFill="1" applyBorder="1" applyAlignment="1">
      <alignment horizontal="center" vertical="center" wrapText="1"/>
    </xf>
    <xf numFmtId="0" fontId="30" fillId="2" borderId="1" xfId="3" applyFont="1" applyFill="1" applyBorder="1" applyAlignment="1">
      <alignment horizontal="left" vertical="center" wrapText="1"/>
    </xf>
    <xf numFmtId="0" fontId="29" fillId="3" borderId="1" xfId="0" applyFont="1" applyFill="1" applyBorder="1" applyAlignment="1">
      <alignment horizontal="center" vertical="center"/>
    </xf>
    <xf numFmtId="0" fontId="29" fillId="2" borderId="6" xfId="0" applyFont="1" applyFill="1" applyBorder="1" applyAlignment="1">
      <alignment horizontal="center" vertical="center" wrapText="1"/>
    </xf>
    <xf numFmtId="9" fontId="29" fillId="0" borderId="1" xfId="0" applyNumberFormat="1" applyFont="1" applyFill="1" applyBorder="1" applyAlignment="1">
      <alignment horizontal="center" vertical="center" wrapText="1"/>
    </xf>
    <xf numFmtId="49" fontId="30" fillId="0" borderId="1" xfId="0" applyNumberFormat="1" applyFont="1" applyFill="1" applyBorder="1" applyAlignment="1">
      <alignment horizontal="center" vertical="center" wrapText="1"/>
    </xf>
    <xf numFmtId="0" fontId="30" fillId="4" borderId="1" xfId="0" applyFont="1" applyFill="1" applyBorder="1" applyAlignment="1">
      <alignment horizontal="center" vertical="center"/>
    </xf>
    <xf numFmtId="0" fontId="29" fillId="0" borderId="0" xfId="0" applyFont="1" applyBorder="1" applyAlignment="1">
      <alignment horizontal="center" vertical="center"/>
    </xf>
    <xf numFmtId="49" fontId="29" fillId="0" borderId="1" xfId="0" applyNumberFormat="1" applyFont="1" applyFill="1" applyBorder="1" applyAlignment="1">
      <alignment horizontal="center" vertical="center" wrapText="1"/>
    </xf>
    <xf numFmtId="0" fontId="30" fillId="0" borderId="1" xfId="0" applyFont="1" applyFill="1" applyBorder="1" applyAlignment="1">
      <alignment horizontal="center" vertical="center"/>
    </xf>
    <xf numFmtId="9" fontId="29" fillId="0" borderId="1" xfId="17" applyFont="1" applyFill="1" applyBorder="1" applyAlignment="1">
      <alignment horizontal="center" vertical="center" wrapText="1"/>
    </xf>
    <xf numFmtId="1" fontId="29" fillId="0" borderId="1" xfId="0" applyNumberFormat="1" applyFont="1" applyFill="1" applyBorder="1" applyAlignment="1">
      <alignment horizontal="center" vertical="center" wrapText="1"/>
    </xf>
    <xf numFmtId="167" fontId="29" fillId="4" borderId="1" xfId="0" applyNumberFormat="1" applyFont="1" applyFill="1" applyBorder="1" applyAlignment="1">
      <alignment horizontal="center" vertical="center" wrapText="1"/>
    </xf>
    <xf numFmtId="0" fontId="29" fillId="2" borderId="0" xfId="0" applyFont="1" applyFill="1" applyBorder="1" applyAlignment="1">
      <alignment horizontal="left" vertical="center" wrapText="1"/>
    </xf>
    <xf numFmtId="3" fontId="29" fillId="2" borderId="1" xfId="0" applyNumberFormat="1" applyFont="1" applyFill="1" applyBorder="1" applyAlignment="1">
      <alignment vertical="center" wrapText="1"/>
    </xf>
    <xf numFmtId="167" fontId="29" fillId="2" borderId="1" xfId="0" applyNumberFormat="1" applyFont="1" applyFill="1" applyBorder="1" applyAlignment="1">
      <alignment vertical="center" wrapText="1"/>
    </xf>
    <xf numFmtId="168" fontId="29" fillId="2" borderId="1" xfId="0" applyNumberFormat="1" applyFont="1" applyFill="1" applyBorder="1" applyAlignment="1">
      <alignment horizontal="left" vertical="center"/>
    </xf>
    <xf numFmtId="168" fontId="30" fillId="2" borderId="1" xfId="0" applyNumberFormat="1" applyFont="1" applyFill="1" applyBorder="1" applyAlignment="1">
      <alignment horizontal="left" vertical="center"/>
    </xf>
    <xf numFmtId="168" fontId="29" fillId="0" borderId="10" xfId="0" applyNumberFormat="1" applyFont="1" applyBorder="1" applyAlignment="1">
      <alignment horizontal="center" vertical="center"/>
    </xf>
    <xf numFmtId="168" fontId="29" fillId="2" borderId="1" xfId="0" applyNumberFormat="1" applyFont="1" applyFill="1" applyBorder="1" applyAlignment="1">
      <alignment vertical="center" wrapText="1"/>
    </xf>
    <xf numFmtId="167" fontId="29" fillId="0" borderId="1" xfId="0" applyNumberFormat="1" applyFont="1" applyFill="1" applyBorder="1" applyAlignment="1">
      <alignment vertical="center" wrapText="1"/>
    </xf>
    <xf numFmtId="3" fontId="29" fillId="0" borderId="1" xfId="0" applyNumberFormat="1" applyFont="1" applyFill="1" applyBorder="1" applyAlignment="1">
      <alignment vertical="center" wrapText="1"/>
    </xf>
    <xf numFmtId="9" fontId="29" fillId="0" borderId="1" xfId="0" applyNumberFormat="1" applyFont="1" applyFill="1" applyBorder="1" applyAlignment="1">
      <alignment horizontal="center" vertical="center"/>
    </xf>
    <xf numFmtId="167" fontId="30" fillId="3" borderId="1" xfId="1" applyNumberFormat="1" applyFont="1" applyFill="1" applyBorder="1" applyAlignment="1">
      <alignment horizontal="center" vertical="center"/>
    </xf>
    <xf numFmtId="3" fontId="29" fillId="0" borderId="1" xfId="0" applyNumberFormat="1" applyFont="1" applyFill="1" applyBorder="1" applyAlignment="1">
      <alignment horizontal="center" vertical="center" wrapText="1"/>
    </xf>
    <xf numFmtId="168" fontId="30" fillId="2" borderId="1" xfId="0" applyNumberFormat="1" applyFont="1" applyFill="1" applyBorder="1" applyAlignment="1">
      <alignment horizontal="center" vertical="center" wrapText="1"/>
    </xf>
    <xf numFmtId="0" fontId="29" fillId="0" borderId="1" xfId="0" applyFont="1" applyBorder="1" applyAlignment="1"/>
    <xf numFmtId="167" fontId="29" fillId="0" borderId="7" xfId="1" applyNumberFormat="1" applyFont="1" applyFill="1" applyBorder="1" applyAlignment="1">
      <alignment horizontal="right" vertical="center" wrapText="1" indent="1"/>
    </xf>
    <xf numFmtId="0" fontId="30" fillId="4" borderId="4" xfId="0" applyFont="1" applyFill="1" applyBorder="1" applyAlignment="1">
      <alignment horizontal="left" vertical="center" wrapText="1"/>
    </xf>
    <xf numFmtId="0" fontId="30" fillId="0" borderId="7" xfId="0" applyFont="1" applyFill="1" applyBorder="1" applyAlignment="1">
      <alignment horizontal="right" vertical="center"/>
    </xf>
    <xf numFmtId="1" fontId="30" fillId="0" borderId="7" xfId="0" applyNumberFormat="1" applyFont="1" applyFill="1" applyBorder="1" applyAlignment="1">
      <alignment horizontal="center" vertical="center" wrapText="1"/>
    </xf>
    <xf numFmtId="0" fontId="29" fillId="0" borderId="0" xfId="0" applyFont="1" applyFill="1" applyBorder="1" applyAlignment="1">
      <alignment horizontal="left" vertical="center" wrapText="1"/>
    </xf>
    <xf numFmtId="0" fontId="29" fillId="0" borderId="1" xfId="6" applyFont="1" applyFill="1" applyBorder="1" applyAlignment="1">
      <alignment horizontal="center" vertical="center"/>
    </xf>
    <xf numFmtId="0" fontId="29" fillId="0" borderId="8" xfId="6" applyFont="1" applyFill="1" applyBorder="1" applyAlignment="1">
      <alignment horizontal="center" vertical="center"/>
    </xf>
    <xf numFmtId="166" fontId="30" fillId="0" borderId="1" xfId="0" applyNumberFormat="1" applyFont="1" applyFill="1" applyBorder="1" applyAlignment="1">
      <alignment horizontal="center" vertical="center" wrapText="1"/>
    </xf>
    <xf numFmtId="49" fontId="29" fillId="0" borderId="1" xfId="6" applyNumberFormat="1" applyFont="1" applyFill="1" applyBorder="1" applyAlignment="1">
      <alignment horizontal="center" vertical="center"/>
    </xf>
    <xf numFmtId="49" fontId="29" fillId="0" borderId="8" xfId="6" applyNumberFormat="1" applyFont="1" applyFill="1" applyBorder="1" applyAlignment="1">
      <alignment horizontal="center" vertical="center"/>
    </xf>
    <xf numFmtId="0" fontId="29" fillId="0" borderId="1" xfId="6" applyFont="1" applyFill="1" applyBorder="1" applyAlignment="1">
      <alignment vertical="center" wrapText="1"/>
    </xf>
    <xf numFmtId="0" fontId="30" fillId="0" borderId="1" xfId="6" applyFont="1" applyFill="1" applyBorder="1" applyAlignment="1">
      <alignment vertical="center" wrapText="1"/>
    </xf>
    <xf numFmtId="168" fontId="30" fillId="0" borderId="1" xfId="0" applyNumberFormat="1" applyFont="1" applyFill="1" applyBorder="1" applyAlignment="1">
      <alignment horizontal="center" vertical="center" wrapText="1"/>
    </xf>
    <xf numFmtId="49" fontId="30" fillId="0" borderId="1" xfId="0" applyNumberFormat="1" applyFont="1" applyFill="1" applyBorder="1" applyAlignment="1">
      <alignment horizontal="center" vertical="center"/>
    </xf>
    <xf numFmtId="49" fontId="30" fillId="0" borderId="1" xfId="0" applyNumberFormat="1" applyFont="1" applyFill="1" applyBorder="1" applyAlignment="1">
      <alignment horizontal="left" vertical="center" wrapText="1"/>
    </xf>
    <xf numFmtId="0" fontId="29" fillId="0" borderId="1" xfId="0" applyNumberFormat="1" applyFont="1" applyFill="1" applyBorder="1" applyAlignment="1">
      <alignment horizontal="center" vertical="center" wrapText="1"/>
    </xf>
    <xf numFmtId="1" fontId="29" fillId="0" borderId="1" xfId="17" applyNumberFormat="1" applyFont="1" applyFill="1" applyBorder="1" applyAlignment="1">
      <alignment horizontal="center" vertical="center" wrapText="1"/>
    </xf>
    <xf numFmtId="2" fontId="29" fillId="0" borderId="1" xfId="17" applyNumberFormat="1" applyFont="1" applyFill="1" applyBorder="1" applyAlignment="1">
      <alignment horizontal="center" vertical="center" wrapText="1"/>
    </xf>
    <xf numFmtId="167" fontId="30" fillId="0" borderId="6" xfId="1" applyNumberFormat="1" applyFont="1" applyFill="1" applyBorder="1" applyAlignment="1">
      <alignment horizontal="center" vertical="center"/>
    </xf>
    <xf numFmtId="0" fontId="29" fillId="0" borderId="1" xfId="0" applyFont="1" applyFill="1" applyBorder="1" applyAlignment="1">
      <alignment horizontal="left" vertical="center"/>
    </xf>
    <xf numFmtId="167" fontId="29" fillId="0" borderId="1" xfId="1" applyNumberFormat="1" applyFont="1" applyFill="1" applyBorder="1" applyAlignment="1">
      <alignment horizontal="center" vertical="center"/>
    </xf>
    <xf numFmtId="0" fontId="29" fillId="0" borderId="1" xfId="0" applyFont="1" applyBorder="1" applyAlignment="1">
      <alignment vertical="top" wrapText="1"/>
    </xf>
    <xf numFmtId="0" fontId="29" fillId="0" borderId="0" xfId="0" applyFont="1" applyFill="1" applyAlignment="1">
      <alignment horizontal="center" vertical="center"/>
    </xf>
    <xf numFmtId="0" fontId="30" fillId="0" borderId="1" xfId="0" applyFont="1" applyFill="1" applyBorder="1" applyAlignment="1">
      <alignment horizontal="center"/>
    </xf>
    <xf numFmtId="0" fontId="29" fillId="0" borderId="0" xfId="0" applyFont="1" applyFill="1" applyAlignment="1">
      <alignment vertical="center"/>
    </xf>
    <xf numFmtId="167" fontId="30" fillId="3" borderId="1" xfId="1" applyNumberFormat="1" applyFont="1" applyFill="1" applyBorder="1" applyAlignment="1">
      <alignment horizontal="center" vertical="center" wrapText="1"/>
    </xf>
    <xf numFmtId="0" fontId="30" fillId="2" borderId="1" xfId="3" applyFont="1" applyFill="1" applyBorder="1" applyAlignment="1">
      <alignment horizontal="center" vertical="center" wrapText="1"/>
    </xf>
    <xf numFmtId="0" fontId="29" fillId="2" borderId="1" xfId="3" applyFont="1" applyFill="1" applyBorder="1" applyAlignment="1">
      <alignment horizontal="center" vertical="center" wrapText="1"/>
    </xf>
    <xf numFmtId="0" fontId="29" fillId="0" borderId="1" xfId="17" applyNumberFormat="1" applyFont="1" applyFill="1" applyBorder="1" applyAlignment="1">
      <alignment horizontal="center" vertical="center" wrapText="1"/>
    </xf>
    <xf numFmtId="168" fontId="30" fillId="0" borderId="31" xfId="0" applyNumberFormat="1" applyFont="1" applyBorder="1" applyAlignment="1">
      <alignment horizontal="center" vertical="center"/>
    </xf>
    <xf numFmtId="49" fontId="29" fillId="2" borderId="31" xfId="0" applyNumberFormat="1" applyFont="1" applyFill="1" applyBorder="1" applyAlignment="1">
      <alignment vertical="center"/>
    </xf>
    <xf numFmtId="171" fontId="29" fillId="0" borderId="1" xfId="8" applyNumberFormat="1" applyFont="1" applyFill="1" applyBorder="1" applyAlignment="1">
      <alignment horizontal="center" vertical="center" wrapText="1"/>
    </xf>
    <xf numFmtId="167" fontId="29" fillId="0" borderId="8" xfId="0" applyNumberFormat="1" applyFont="1" applyFill="1" applyBorder="1" applyAlignment="1">
      <alignment vertical="center" wrapText="1"/>
    </xf>
    <xf numFmtId="172" fontId="29" fillId="0" borderId="1" xfId="0" applyNumberFormat="1" applyFont="1" applyFill="1" applyBorder="1" applyAlignment="1">
      <alignment horizontal="center" vertical="center" wrapText="1"/>
    </xf>
    <xf numFmtId="49" fontId="29" fillId="0" borderId="3" xfId="0" applyNumberFormat="1" applyFont="1" applyFill="1" applyBorder="1" applyAlignment="1">
      <alignment vertical="center"/>
    </xf>
    <xf numFmtId="49" fontId="29" fillId="0" borderId="1" xfId="0" applyNumberFormat="1" applyFont="1" applyFill="1" applyBorder="1" applyAlignment="1">
      <alignment horizontal="right" vertical="center"/>
    </xf>
    <xf numFmtId="0" fontId="29" fillId="0" borderId="12" xfId="0" applyFont="1" applyFill="1" applyBorder="1" applyAlignment="1">
      <alignment horizontal="center" vertical="center" wrapText="1"/>
    </xf>
    <xf numFmtId="0" fontId="29" fillId="0" borderId="6" xfId="0" applyFont="1" applyFill="1" applyBorder="1" applyAlignment="1">
      <alignment horizontal="center" vertical="center" wrapText="1"/>
    </xf>
    <xf numFmtId="0" fontId="29" fillId="0" borderId="4" xfId="0" applyFont="1" applyFill="1" applyBorder="1" applyAlignment="1">
      <alignment horizontal="center" vertical="top" wrapText="1"/>
    </xf>
    <xf numFmtId="166" fontId="29" fillId="0" borderId="1" xfId="0" applyNumberFormat="1" applyFont="1" applyFill="1" applyBorder="1" applyAlignment="1">
      <alignment horizontal="center" vertical="center"/>
    </xf>
    <xf numFmtId="0" fontId="29" fillId="0" borderId="1" xfId="0" applyFont="1" applyFill="1" applyBorder="1" applyAlignment="1">
      <alignment vertical="center"/>
    </xf>
    <xf numFmtId="167" fontId="29" fillId="0" borderId="1" xfId="0" applyNumberFormat="1" applyFont="1" applyFill="1" applyBorder="1" applyAlignment="1">
      <alignment vertical="top" wrapText="1"/>
    </xf>
    <xf numFmtId="0" fontId="29" fillId="0" borderId="30" xfId="0" applyFont="1" applyFill="1" applyBorder="1" applyAlignment="1">
      <alignment horizontal="center" vertical="center" wrapText="1"/>
    </xf>
    <xf numFmtId="3" fontId="29" fillId="0" borderId="30" xfId="0" applyNumberFormat="1" applyFont="1" applyFill="1" applyBorder="1" applyAlignment="1">
      <alignment horizontal="center" vertical="center" wrapText="1"/>
    </xf>
    <xf numFmtId="0" fontId="29" fillId="0" borderId="30" xfId="0" applyFont="1" applyFill="1" applyBorder="1" applyAlignment="1">
      <alignment horizontal="center" vertical="center"/>
    </xf>
    <xf numFmtId="0" fontId="29" fillId="0" borderId="1" xfId="0" applyFont="1" applyFill="1" applyBorder="1" applyAlignment="1">
      <alignment vertical="top"/>
    </xf>
    <xf numFmtId="0" fontId="29" fillId="0" borderId="1" xfId="4" applyFont="1" applyFill="1" applyBorder="1" applyAlignment="1">
      <alignment horizontal="center" vertical="center" wrapText="1"/>
    </xf>
    <xf numFmtId="0" fontId="29" fillId="0" borderId="1" xfId="4" applyFont="1" applyFill="1" applyBorder="1" applyAlignment="1">
      <alignment horizontal="center" vertical="center"/>
    </xf>
    <xf numFmtId="0" fontId="29" fillId="0" borderId="4" xfId="4" applyFont="1" applyFill="1" applyBorder="1" applyAlignment="1">
      <alignment horizontal="center" vertical="center"/>
    </xf>
    <xf numFmtId="0" fontId="29" fillId="0" borderId="1" xfId="4" applyFont="1" applyFill="1" applyBorder="1" applyAlignment="1">
      <alignment horizontal="center" vertical="top" wrapText="1"/>
    </xf>
    <xf numFmtId="0" fontId="29" fillId="0" borderId="1" xfId="4" applyFont="1" applyFill="1" applyBorder="1" applyAlignment="1">
      <alignment horizontal="left" vertical="center" wrapText="1"/>
    </xf>
    <xf numFmtId="0" fontId="30" fillId="0" borderId="1" xfId="4" applyFont="1" applyFill="1" applyBorder="1" applyAlignment="1">
      <alignment horizontal="center" vertical="center" wrapText="1"/>
    </xf>
    <xf numFmtId="167" fontId="29" fillId="0" borderId="1" xfId="4" applyNumberFormat="1" applyFont="1" applyFill="1" applyBorder="1" applyAlignment="1">
      <alignment horizontal="center" vertical="center" wrapText="1"/>
    </xf>
    <xf numFmtId="0" fontId="29" fillId="0" borderId="4" xfId="4" applyFont="1" applyFill="1" applyBorder="1" applyAlignment="1">
      <alignment horizontal="center" vertical="center" wrapText="1"/>
    </xf>
    <xf numFmtId="0" fontId="29" fillId="0" borderId="0" xfId="0" applyFont="1" applyFill="1" applyAlignment="1">
      <alignment horizontal="center"/>
    </xf>
    <xf numFmtId="169" fontId="29" fillId="0" borderId="1" xfId="0" applyNumberFormat="1" applyFont="1" applyFill="1" applyBorder="1" applyAlignment="1">
      <alignment vertical="center"/>
    </xf>
    <xf numFmtId="3" fontId="29" fillId="0" borderId="1" xfId="4" applyNumberFormat="1" applyFont="1" applyFill="1" applyBorder="1" applyAlignment="1">
      <alignment horizontal="center" vertical="center" wrapText="1"/>
    </xf>
    <xf numFmtId="3" fontId="29" fillId="0" borderId="4" xfId="4" applyNumberFormat="1" applyFont="1" applyFill="1" applyBorder="1" applyAlignment="1">
      <alignment horizontal="center" vertical="center" wrapText="1"/>
    </xf>
    <xf numFmtId="1" fontId="29" fillId="0" borderId="1" xfId="2" applyNumberFormat="1" applyFont="1" applyFill="1" applyBorder="1" applyAlignment="1">
      <alignment horizontal="center" vertical="center" wrapText="1"/>
    </xf>
    <xf numFmtId="1" fontId="29" fillId="0" borderId="4" xfId="2" applyNumberFormat="1" applyFont="1" applyFill="1" applyBorder="1" applyAlignment="1">
      <alignment horizontal="center" vertical="center" wrapText="1"/>
    </xf>
    <xf numFmtId="9" fontId="29" fillId="0" borderId="1" xfId="4" applyNumberFormat="1" applyFont="1" applyFill="1" applyBorder="1" applyAlignment="1">
      <alignment horizontal="center" vertical="center" wrapText="1"/>
    </xf>
    <xf numFmtId="9" fontId="29" fillId="0" borderId="4" xfId="4" applyNumberFormat="1" applyFont="1" applyFill="1" applyBorder="1" applyAlignment="1">
      <alignment horizontal="center" vertical="center" wrapText="1"/>
    </xf>
    <xf numFmtId="0" fontId="29" fillId="0" borderId="1" xfId="4" applyFont="1" applyFill="1" applyBorder="1" applyAlignment="1">
      <alignment horizontal="center"/>
    </xf>
    <xf numFmtId="0" fontId="29" fillId="0" borderId="0" xfId="0" applyFont="1"/>
    <xf numFmtId="0" fontId="29" fillId="0" borderId="0" xfId="0" applyFont="1" applyFill="1"/>
    <xf numFmtId="0" fontId="29" fillId="0" borderId="8" xfId="0" applyNumberFormat="1" applyFont="1" applyFill="1" applyBorder="1" applyAlignment="1">
      <alignment horizontal="right" vertical="center"/>
    </xf>
    <xf numFmtId="43" fontId="29" fillId="0" borderId="8" xfId="8" applyFont="1" applyFill="1" applyBorder="1" applyAlignment="1">
      <alignment horizontal="center" vertical="center" wrapText="1"/>
    </xf>
    <xf numFmtId="44" fontId="29" fillId="0" borderId="1" xfId="0" applyNumberFormat="1" applyFont="1" applyFill="1" applyBorder="1" applyAlignment="1">
      <alignment horizontal="center" vertical="center" wrapText="1"/>
    </xf>
    <xf numFmtId="1" fontId="29" fillId="0" borderId="1" xfId="0" applyNumberFormat="1" applyFont="1" applyFill="1" applyBorder="1" applyAlignment="1">
      <alignment vertical="center" wrapText="1"/>
    </xf>
    <xf numFmtId="0" fontId="29" fillId="0" borderId="6" xfId="0" applyFont="1" applyBorder="1" applyAlignment="1">
      <alignment horizontal="center" vertical="center"/>
    </xf>
    <xf numFmtId="0" fontId="29" fillId="0" borderId="1" xfId="0" applyFont="1" applyFill="1" applyBorder="1" applyAlignment="1">
      <alignment wrapText="1"/>
    </xf>
    <xf numFmtId="0" fontId="30" fillId="0" borderId="31" xfId="0" applyFont="1" applyFill="1" applyBorder="1" applyAlignment="1">
      <alignment horizontal="center" vertical="center"/>
    </xf>
    <xf numFmtId="0" fontId="30" fillId="0" borderId="4" xfId="0" applyFont="1" applyFill="1" applyBorder="1" applyAlignment="1">
      <alignment vertical="center" wrapText="1"/>
    </xf>
    <xf numFmtId="0" fontId="29" fillId="0" borderId="4" xfId="0" applyFont="1" applyFill="1" applyBorder="1" applyAlignment="1">
      <alignment vertical="center" wrapText="1"/>
    </xf>
    <xf numFmtId="0" fontId="29" fillId="2" borderId="0" xfId="0" applyFont="1" applyFill="1"/>
    <xf numFmtId="0" fontId="29" fillId="2" borderId="8" xfId="3" applyFont="1" applyFill="1" applyBorder="1" applyAlignment="1">
      <alignment vertical="center" wrapText="1"/>
    </xf>
    <xf numFmtId="167" fontId="30" fillId="0" borderId="1" xfId="0" applyNumberFormat="1" applyFont="1" applyFill="1" applyBorder="1" applyAlignment="1">
      <alignment horizontal="center" vertical="center"/>
    </xf>
    <xf numFmtId="0" fontId="29" fillId="0" borderId="6" xfId="0" applyFont="1" applyFill="1" applyBorder="1" applyAlignment="1">
      <alignment vertical="center" wrapText="1"/>
    </xf>
    <xf numFmtId="175" fontId="29" fillId="0" borderId="1" xfId="152" applyNumberFormat="1" applyFont="1" applyFill="1" applyBorder="1"/>
    <xf numFmtId="0" fontId="29" fillId="0" borderId="1" xfId="152" applyFont="1" applyFill="1" applyBorder="1" applyAlignment="1">
      <alignment horizontal="center" vertical="center" wrapText="1"/>
    </xf>
    <xf numFmtId="49" fontId="34" fillId="0" borderId="1" xfId="0" applyNumberFormat="1" applyFont="1" applyFill="1" applyBorder="1"/>
    <xf numFmtId="0" fontId="29" fillId="0" borderId="1" xfId="152" applyFont="1" applyFill="1" applyBorder="1" applyAlignment="1">
      <alignment horizontal="left" vertical="center" wrapText="1"/>
    </xf>
    <xf numFmtId="0" fontId="29" fillId="0" borderId="1" xfId="4" applyFont="1" applyFill="1" applyBorder="1" applyAlignment="1">
      <alignment horizontal="right" vertical="center" wrapText="1"/>
    </xf>
    <xf numFmtId="0" fontId="29" fillId="0" borderId="1" xfId="4" applyFont="1" applyFill="1" applyBorder="1" applyAlignment="1">
      <alignment horizontal="right" vertical="center"/>
    </xf>
    <xf numFmtId="0" fontId="34" fillId="0" borderId="1" xfId="0" applyFont="1" applyFill="1" applyBorder="1" applyAlignment="1">
      <alignment horizontal="center" vertical="center"/>
    </xf>
    <xf numFmtId="49" fontId="35" fillId="0" borderId="1" xfId="0" applyNumberFormat="1" applyFont="1" applyFill="1" applyBorder="1"/>
    <xf numFmtId="0" fontId="36" fillId="0" borderId="1" xfId="0" applyFont="1" applyFill="1" applyBorder="1" applyAlignment="1">
      <alignment vertical="center" wrapText="1"/>
    </xf>
    <xf numFmtId="0" fontId="34" fillId="0" borderId="1" xfId="0" applyFont="1" applyFill="1" applyBorder="1"/>
    <xf numFmtId="0" fontId="34" fillId="0" borderId="1" xfId="0" applyFont="1" applyFill="1" applyBorder="1" applyAlignment="1">
      <alignment wrapText="1"/>
    </xf>
    <xf numFmtId="0" fontId="34" fillId="0" borderId="1" xfId="0" applyFont="1" applyFill="1" applyBorder="1" applyAlignment="1">
      <alignment horizontal="center" vertical="top" wrapText="1"/>
    </xf>
    <xf numFmtId="49" fontId="34" fillId="0" borderId="1" xfId="0" applyNumberFormat="1" applyFont="1" applyFill="1" applyBorder="1" applyAlignment="1">
      <alignment horizontal="center" vertical="top" wrapText="1"/>
    </xf>
    <xf numFmtId="49" fontId="34" fillId="0" borderId="1" xfId="0" applyNumberFormat="1" applyFont="1" applyFill="1" applyBorder="1" applyAlignment="1">
      <alignment vertical="top"/>
    </xf>
    <xf numFmtId="176" fontId="34" fillId="0" borderId="1" xfId="0" applyNumberFormat="1" applyFont="1" applyFill="1" applyBorder="1" applyAlignment="1">
      <alignment horizontal="center" vertical="top"/>
    </xf>
    <xf numFmtId="176" fontId="34" fillId="0" borderId="1" xfId="0" applyNumberFormat="1" applyFont="1" applyFill="1" applyBorder="1" applyAlignment="1">
      <alignment horizontal="center" vertical="center"/>
    </xf>
    <xf numFmtId="0" fontId="36" fillId="0" borderId="1" xfId="0" applyFont="1" applyFill="1" applyBorder="1" applyAlignment="1">
      <alignment wrapText="1"/>
    </xf>
    <xf numFmtId="167" fontId="37" fillId="4" borderId="1" xfId="0" applyNumberFormat="1" applyFont="1" applyFill="1" applyBorder="1" applyAlignment="1">
      <alignment horizontal="center" vertical="center" wrapText="1"/>
    </xf>
    <xf numFmtId="0" fontId="37" fillId="4" borderId="7" xfId="0" applyFont="1" applyFill="1" applyBorder="1" applyAlignment="1">
      <alignment horizontal="center" vertical="center" wrapText="1"/>
    </xf>
    <xf numFmtId="0" fontId="37" fillId="4" borderId="1" xfId="0" applyFont="1" applyFill="1" applyBorder="1" applyAlignment="1">
      <alignment horizontal="center" vertical="center" wrapText="1"/>
    </xf>
    <xf numFmtId="0" fontId="30" fillId="0" borderId="1" xfId="0" applyFont="1" applyFill="1" applyBorder="1" applyAlignment="1">
      <alignment vertical="center" wrapText="1"/>
    </xf>
    <xf numFmtId="176" fontId="29" fillId="0" borderId="1" xfId="0" applyNumberFormat="1" applyFont="1" applyFill="1" applyBorder="1" applyAlignment="1">
      <alignment horizontal="center" vertical="center"/>
    </xf>
    <xf numFmtId="0" fontId="34" fillId="0" borderId="1" xfId="0" applyFont="1" applyFill="1" applyBorder="1" applyAlignment="1">
      <alignment vertical="top" wrapText="1"/>
    </xf>
    <xf numFmtId="176" fontId="29" fillId="0" borderId="1" xfId="0" applyNumberFormat="1" applyFont="1" applyFill="1" applyBorder="1" applyAlignment="1">
      <alignment horizontal="center" vertical="center" wrapText="1"/>
    </xf>
    <xf numFmtId="176" fontId="34" fillId="0" borderId="1" xfId="0" applyNumberFormat="1" applyFont="1" applyFill="1" applyBorder="1" applyAlignment="1">
      <alignment horizontal="center" vertical="center" wrapText="1"/>
    </xf>
    <xf numFmtId="0" fontId="29" fillId="0" borderId="1" xfId="0" applyFont="1" applyFill="1" applyBorder="1" applyAlignment="1">
      <alignment vertical="top" wrapText="1"/>
    </xf>
    <xf numFmtId="168" fontId="30" fillId="0" borderId="1" xfId="152" applyNumberFormat="1" applyFont="1" applyBorder="1" applyAlignment="1">
      <alignment horizontal="center" vertical="top"/>
    </xf>
    <xf numFmtId="0" fontId="29" fillId="0" borderId="1" xfId="0" applyFont="1" applyBorder="1" applyAlignment="1">
      <alignment horizontal="right" vertical="center"/>
    </xf>
    <xf numFmtId="0" fontId="34" fillId="0" borderId="1" xfId="0" applyFont="1" applyFill="1" applyBorder="1" applyAlignment="1">
      <alignment horizontal="right" vertical="center"/>
    </xf>
    <xf numFmtId="0" fontId="29" fillId="0" borderId="1" xfId="152" applyFont="1" applyFill="1" applyBorder="1" applyAlignment="1">
      <alignment horizontal="left" vertical="top" wrapText="1"/>
    </xf>
    <xf numFmtId="0" fontId="34" fillId="0" borderId="1" xfId="0" applyFont="1" applyFill="1" applyBorder="1" applyAlignment="1">
      <alignment horizontal="center"/>
    </xf>
    <xf numFmtId="0" fontId="34" fillId="0" borderId="7" xfId="0" applyFont="1" applyFill="1" applyBorder="1" applyAlignment="1">
      <alignment horizontal="center" vertical="top" wrapText="1"/>
    </xf>
    <xf numFmtId="0" fontId="30" fillId="2" borderId="1" xfId="0" applyFont="1" applyFill="1" applyBorder="1" applyAlignment="1">
      <alignment horizontal="center" vertical="center" wrapText="1"/>
    </xf>
    <xf numFmtId="166" fontId="30" fillId="0" borderId="8" xfId="0" applyNumberFormat="1" applyFont="1" applyFill="1" applyBorder="1" applyAlignment="1">
      <alignment horizontal="center" vertical="center" wrapText="1"/>
    </xf>
    <xf numFmtId="166" fontId="30" fillId="0" borderId="7" xfId="0" applyNumberFormat="1" applyFont="1" applyFill="1" applyBorder="1" applyAlignment="1">
      <alignment horizontal="center" vertical="center" wrapText="1"/>
    </xf>
    <xf numFmtId="167" fontId="30" fillId="2" borderId="7" xfId="0" applyNumberFormat="1" applyFont="1" applyFill="1" applyBorder="1" applyAlignment="1">
      <alignment horizontal="center" vertical="center" wrapText="1"/>
    </xf>
    <xf numFmtId="49" fontId="29" fillId="4" borderId="1" xfId="0" applyNumberFormat="1" applyFont="1" applyFill="1" applyBorder="1" applyAlignment="1">
      <alignment vertical="center"/>
    </xf>
    <xf numFmtId="167" fontId="29" fillId="0" borderId="0" xfId="1" applyNumberFormat="1" applyFont="1" applyAlignment="1">
      <alignment horizontal="center" vertical="center"/>
    </xf>
    <xf numFmtId="167" fontId="30" fillId="0" borderId="7" xfId="8" applyNumberFormat="1" applyFont="1" applyFill="1" applyBorder="1" applyAlignment="1">
      <alignment horizontal="center" vertical="center" wrapText="1"/>
    </xf>
    <xf numFmtId="167" fontId="30" fillId="0" borderId="1" xfId="8" applyNumberFormat="1" applyFont="1" applyFill="1" applyBorder="1" applyAlignment="1">
      <alignment horizontal="center" vertical="center" wrapText="1"/>
    </xf>
    <xf numFmtId="174" fontId="30" fillId="2" borderId="1" xfId="0" applyNumberFormat="1" applyFont="1" applyFill="1" applyBorder="1" applyAlignment="1">
      <alignment horizontal="center" vertical="center"/>
    </xf>
    <xf numFmtId="167" fontId="30" fillId="0" borderId="1" xfId="1" applyNumberFormat="1" applyFont="1" applyFill="1" applyBorder="1" applyAlignment="1">
      <alignment horizontal="center" vertical="center"/>
    </xf>
    <xf numFmtId="2" fontId="29" fillId="0" borderId="8" xfId="0" applyNumberFormat="1" applyFont="1" applyFill="1" applyBorder="1" applyAlignment="1">
      <alignment horizontal="center" vertical="center" wrapText="1"/>
    </xf>
    <xf numFmtId="2" fontId="29" fillId="0" borderId="1" xfId="0" applyNumberFormat="1" applyFont="1" applyFill="1" applyBorder="1" applyAlignment="1">
      <alignment horizontal="center" vertical="center" wrapText="1"/>
    </xf>
    <xf numFmtId="176" fontId="30" fillId="2" borderId="1" xfId="4" applyNumberFormat="1" applyFont="1" applyFill="1" applyBorder="1" applyAlignment="1">
      <alignment horizontal="center" vertical="center" wrapText="1"/>
    </xf>
    <xf numFmtId="176" fontId="36" fillId="0" borderId="1" xfId="0" applyNumberFormat="1" applyFont="1" applyFill="1" applyBorder="1" applyAlignment="1">
      <alignment horizontal="center" vertical="center" wrapText="1"/>
    </xf>
    <xf numFmtId="0" fontId="29" fillId="0" borderId="4" xfId="0" applyFont="1" applyFill="1" applyBorder="1" applyAlignment="1">
      <alignment horizontal="center" vertical="center" wrapText="1"/>
    </xf>
    <xf numFmtId="167" fontId="30" fillId="0" borderId="1" xfId="4" applyNumberFormat="1" applyFont="1" applyFill="1" applyBorder="1" applyAlignment="1">
      <alignment horizontal="center" vertical="center" wrapText="1"/>
    </xf>
    <xf numFmtId="167" fontId="30" fillId="2" borderId="1" xfId="4" applyNumberFormat="1" applyFont="1" applyFill="1" applyBorder="1" applyAlignment="1">
      <alignment horizontal="center" vertical="center" wrapText="1"/>
    </xf>
    <xf numFmtId="172" fontId="30" fillId="2" borderId="1" xfId="4" applyNumberFormat="1" applyFont="1" applyFill="1" applyBorder="1" applyAlignment="1">
      <alignment horizontal="center" vertical="center" wrapText="1"/>
    </xf>
    <xf numFmtId="171" fontId="37" fillId="2" borderId="1" xfId="8" applyNumberFormat="1" applyFont="1" applyFill="1" applyBorder="1" applyAlignment="1">
      <alignment horizontal="center" vertical="center" wrapText="1"/>
    </xf>
    <xf numFmtId="0" fontId="34" fillId="2" borderId="1" xfId="0" applyFont="1" applyFill="1" applyBorder="1" applyAlignment="1">
      <alignment vertical="center" wrapText="1"/>
    </xf>
    <xf numFmtId="167" fontId="34" fillId="2" borderId="1" xfId="0" applyNumberFormat="1" applyFont="1" applyFill="1" applyBorder="1" applyAlignment="1">
      <alignment vertical="center" wrapText="1"/>
    </xf>
    <xf numFmtId="166" fontId="34" fillId="2" borderId="1" xfId="0" applyNumberFormat="1" applyFont="1" applyFill="1" applyBorder="1" applyAlignment="1">
      <alignment vertical="center" wrapText="1"/>
    </xf>
    <xf numFmtId="0" fontId="30" fillId="2" borderId="1" xfId="0" applyFont="1" applyFill="1" applyBorder="1" applyAlignment="1">
      <alignment vertical="center" wrapText="1"/>
    </xf>
    <xf numFmtId="0" fontId="30" fillId="2" borderId="1" xfId="0" applyFont="1" applyFill="1" applyBorder="1" applyAlignment="1">
      <alignment horizontal="center" vertical="center"/>
    </xf>
    <xf numFmtId="0" fontId="37" fillId="4" borderId="7" xfId="0" applyFont="1" applyFill="1" applyBorder="1" applyAlignment="1">
      <alignment horizontal="right" vertical="center"/>
    </xf>
    <xf numFmtId="0" fontId="38" fillId="4" borderId="7" xfId="0" applyFont="1" applyFill="1" applyBorder="1" applyAlignment="1">
      <alignment horizontal="right" vertical="center"/>
    </xf>
    <xf numFmtId="0" fontId="38" fillId="4" borderId="7" xfId="0" applyFont="1" applyFill="1" applyBorder="1" applyAlignment="1">
      <alignment horizontal="center" vertical="center" wrapText="1"/>
    </xf>
    <xf numFmtId="0" fontId="37" fillId="0" borderId="0" xfId="0" applyFont="1"/>
    <xf numFmtId="0" fontId="37" fillId="4" borderId="1" xfId="0" applyFont="1" applyFill="1" applyBorder="1" applyAlignment="1">
      <alignment vertical="center" wrapText="1"/>
    </xf>
    <xf numFmtId="0" fontId="38" fillId="4" borderId="1" xfId="0" applyFont="1" applyFill="1" applyBorder="1" applyAlignment="1">
      <alignment horizontal="center" vertical="center" wrapText="1"/>
    </xf>
    <xf numFmtId="166" fontId="37" fillId="4" borderId="1" xfId="0" applyNumberFormat="1" applyFont="1" applyFill="1" applyBorder="1" applyAlignment="1">
      <alignment horizontal="center" vertical="center" wrapText="1"/>
    </xf>
    <xf numFmtId="49" fontId="37" fillId="4" borderId="31" xfId="0" applyNumberFormat="1" applyFont="1" applyFill="1" applyBorder="1" applyAlignment="1">
      <alignment vertical="center"/>
    </xf>
    <xf numFmtId="0" fontId="37" fillId="4" borderId="31" xfId="0" applyFont="1" applyFill="1" applyBorder="1" applyAlignment="1">
      <alignment horizontal="center" vertical="center" wrapText="1"/>
    </xf>
    <xf numFmtId="166" fontId="37" fillId="4" borderId="31" xfId="0" applyNumberFormat="1" applyFont="1" applyFill="1" applyBorder="1" applyAlignment="1">
      <alignment horizontal="center" vertical="center" wrapText="1"/>
    </xf>
    <xf numFmtId="167" fontId="38" fillId="4" borderId="1" xfId="0" applyNumberFormat="1" applyFont="1" applyFill="1" applyBorder="1" applyAlignment="1">
      <alignment horizontal="center" vertical="center" wrapText="1"/>
    </xf>
    <xf numFmtId="0" fontId="37" fillId="4" borderId="1" xfId="0" applyFont="1" applyFill="1" applyBorder="1" applyAlignment="1">
      <alignment horizontal="right" vertical="center"/>
    </xf>
    <xf numFmtId="0" fontId="38" fillId="4" borderId="31" xfId="0" applyFont="1" applyFill="1" applyBorder="1" applyAlignment="1">
      <alignment horizontal="center" vertical="center" wrapText="1"/>
    </xf>
    <xf numFmtId="167" fontId="37" fillId="4" borderId="1" xfId="0" applyNumberFormat="1" applyFont="1" applyFill="1" applyBorder="1" applyAlignment="1">
      <alignment vertical="center" wrapText="1"/>
    </xf>
    <xf numFmtId="166" fontId="38" fillId="4" borderId="31" xfId="0" applyNumberFormat="1" applyFont="1" applyFill="1" applyBorder="1" applyAlignment="1">
      <alignment horizontal="center" vertical="center" wrapText="1"/>
    </xf>
    <xf numFmtId="0" fontId="37" fillId="4" borderId="1" xfId="0" applyFont="1" applyFill="1" applyBorder="1"/>
    <xf numFmtId="167" fontId="38" fillId="4" borderId="7" xfId="0" applyNumberFormat="1" applyFont="1" applyFill="1" applyBorder="1" applyAlignment="1">
      <alignment horizontal="center" vertical="center" wrapText="1"/>
    </xf>
    <xf numFmtId="171" fontId="37" fillId="0" borderId="1" xfId="8" applyNumberFormat="1" applyFont="1" applyFill="1" applyBorder="1" applyAlignment="1">
      <alignment horizontal="center" vertical="center" wrapText="1"/>
    </xf>
    <xf numFmtId="171" fontId="37" fillId="2" borderId="1" xfId="13" applyNumberFormat="1" applyFont="1" applyFill="1" applyBorder="1" applyAlignment="1">
      <alignment horizontal="center" vertical="center"/>
    </xf>
    <xf numFmtId="171" fontId="37" fillId="2" borderId="4" xfId="13" applyNumberFormat="1" applyFont="1" applyFill="1" applyBorder="1" applyAlignment="1">
      <alignment horizontal="center" vertical="center"/>
    </xf>
    <xf numFmtId="171" fontId="37" fillId="0" borderId="1" xfId="8" applyNumberFormat="1" applyFont="1" applyFill="1" applyBorder="1" applyAlignment="1">
      <alignment horizontal="center" vertical="center"/>
    </xf>
    <xf numFmtId="0" fontId="30" fillId="0" borderId="0" xfId="0" applyFont="1" applyFill="1"/>
    <xf numFmtId="0" fontId="29" fillId="0" borderId="31" xfId="0" applyFont="1" applyFill="1" applyBorder="1" applyAlignment="1">
      <alignment horizontal="center" vertical="center"/>
    </xf>
    <xf numFmtId="0" fontId="29" fillId="0" borderId="7" xfId="0" applyFont="1" applyFill="1" applyBorder="1" applyAlignment="1">
      <alignment horizontal="center" vertical="center"/>
    </xf>
    <xf numFmtId="0" fontId="29" fillId="0" borderId="7" xfId="0" applyFont="1" applyFill="1" applyBorder="1" applyAlignment="1">
      <alignment horizontal="right" vertical="center"/>
    </xf>
    <xf numFmtId="49" fontId="29" fillId="0" borderId="2" xfId="0" applyNumberFormat="1" applyFont="1" applyFill="1" applyBorder="1" applyAlignment="1">
      <alignment horizontal="center" vertical="center"/>
    </xf>
    <xf numFmtId="0" fontId="29" fillId="0" borderId="31"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29" fillId="2" borderId="31" xfId="0" applyFont="1" applyFill="1" applyBorder="1" applyAlignment="1">
      <alignment horizontal="center" vertical="center" wrapText="1"/>
    </xf>
    <xf numFmtId="0" fontId="34" fillId="2" borderId="31" xfId="0" applyFont="1" applyFill="1" applyBorder="1" applyAlignment="1">
      <alignment horizontal="center" vertical="center" wrapText="1"/>
    </xf>
    <xf numFmtId="167" fontId="29" fillId="2" borderId="14" xfId="1" applyNumberFormat="1" applyFont="1" applyFill="1" applyBorder="1" applyAlignment="1">
      <alignment horizontal="center" vertical="center" wrapText="1"/>
    </xf>
    <xf numFmtId="167" fontId="29" fillId="2" borderId="9" xfId="1" applyNumberFormat="1" applyFont="1" applyFill="1" applyBorder="1" applyAlignment="1">
      <alignment horizontal="center" vertical="center" wrapText="1"/>
    </xf>
    <xf numFmtId="167" fontId="29" fillId="2" borderId="7" xfId="1" applyNumberFormat="1" applyFont="1" applyFill="1" applyBorder="1" applyAlignment="1">
      <alignment horizontal="center" vertical="center" wrapText="1"/>
    </xf>
    <xf numFmtId="167" fontId="29" fillId="0" borderId="31" xfId="1" applyNumberFormat="1" applyFont="1" applyFill="1" applyBorder="1" applyAlignment="1">
      <alignment horizontal="center" vertical="center" wrapText="1"/>
    </xf>
    <xf numFmtId="167" fontId="29" fillId="0" borderId="7" xfId="1" applyNumberFormat="1" applyFont="1" applyFill="1" applyBorder="1" applyAlignment="1">
      <alignment horizontal="center" vertical="center" wrapText="1"/>
    </xf>
    <xf numFmtId="49" fontId="29" fillId="0" borderId="31" xfId="0" applyNumberFormat="1" applyFont="1" applyFill="1" applyBorder="1" applyAlignment="1">
      <alignment vertical="center"/>
    </xf>
    <xf numFmtId="49" fontId="29" fillId="0" borderId="7" xfId="0" applyNumberFormat="1" applyFont="1" applyFill="1" applyBorder="1" applyAlignment="1">
      <alignment vertical="center"/>
    </xf>
    <xf numFmtId="0" fontId="29" fillId="0" borderId="1" xfId="0" applyFont="1" applyFill="1" applyBorder="1" applyAlignment="1">
      <alignment horizontal="center" vertical="center"/>
    </xf>
    <xf numFmtId="0" fontId="30" fillId="0" borderId="31"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29" fillId="0" borderId="31" xfId="3" applyFont="1" applyFill="1" applyBorder="1" applyAlignment="1">
      <alignment horizontal="center" vertical="center" wrapText="1"/>
    </xf>
    <xf numFmtId="0" fontId="29" fillId="0" borderId="1" xfId="0" applyFont="1" applyFill="1" applyBorder="1" applyAlignment="1">
      <alignment vertical="center" wrapText="1"/>
    </xf>
    <xf numFmtId="0" fontId="29" fillId="0" borderId="8" xfId="0" applyFont="1" applyBorder="1" applyAlignment="1">
      <alignment horizontal="center" vertical="center"/>
    </xf>
    <xf numFmtId="0" fontId="29" fillId="0" borderId="1" xfId="3" applyFont="1" applyFill="1" applyBorder="1" applyAlignment="1">
      <alignment horizontal="center" vertical="center" wrapText="1"/>
    </xf>
    <xf numFmtId="3" fontId="29" fillId="0" borderId="31" xfId="0" applyNumberFormat="1" applyFont="1" applyFill="1" applyBorder="1" applyAlignment="1">
      <alignment horizontal="center" vertical="center" wrapText="1"/>
    </xf>
    <xf numFmtId="0" fontId="29" fillId="2" borderId="7" xfId="0" applyFont="1" applyFill="1" applyBorder="1" applyAlignment="1">
      <alignment horizontal="center" vertical="center"/>
    </xf>
    <xf numFmtId="166" fontId="29" fillId="2" borderId="1" xfId="0" applyNumberFormat="1" applyFont="1" applyFill="1" applyBorder="1" applyAlignment="1">
      <alignment horizontal="center" vertical="center" wrapText="1"/>
    </xf>
    <xf numFmtId="167" fontId="30" fillId="0" borderId="1" xfId="0" applyNumberFormat="1" applyFont="1" applyFill="1" applyBorder="1" applyAlignment="1">
      <alignment horizontal="center" vertical="center" wrapText="1"/>
    </xf>
    <xf numFmtId="0" fontId="34" fillId="2"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29" fillId="2" borderId="1" xfId="0" applyFont="1" applyFill="1" applyBorder="1" applyAlignment="1">
      <alignment horizontal="center" vertical="center" wrapText="1"/>
    </xf>
    <xf numFmtId="168" fontId="29" fillId="2" borderId="1" xfId="0" applyNumberFormat="1" applyFont="1" applyFill="1" applyBorder="1" applyAlignment="1">
      <alignment horizontal="center" vertical="center" wrapText="1"/>
    </xf>
    <xf numFmtId="167" fontId="30" fillId="2" borderId="6" xfId="1" applyNumberFormat="1" applyFont="1" applyFill="1" applyBorder="1" applyAlignment="1">
      <alignment horizontal="center" vertical="center" wrapText="1"/>
    </xf>
    <xf numFmtId="167" fontId="30" fillId="2" borderId="1" xfId="1" applyNumberFormat="1" applyFont="1" applyFill="1" applyBorder="1" applyAlignment="1">
      <alignment horizontal="center" vertical="center" wrapText="1"/>
    </xf>
    <xf numFmtId="166" fontId="34" fillId="2" borderId="31" xfId="0" applyNumberFormat="1" applyFont="1" applyFill="1" applyBorder="1" applyAlignment="1">
      <alignment horizontal="center" vertical="center" wrapText="1"/>
    </xf>
    <xf numFmtId="166" fontId="34" fillId="2" borderId="7" xfId="0" applyNumberFormat="1" applyFont="1" applyFill="1" applyBorder="1" applyAlignment="1">
      <alignment horizontal="center" vertical="center" wrapText="1"/>
    </xf>
    <xf numFmtId="49" fontId="29" fillId="0" borderId="2" xfId="0" applyNumberFormat="1" applyFont="1" applyFill="1" applyBorder="1" applyAlignment="1">
      <alignment vertical="center"/>
    </xf>
    <xf numFmtId="0" fontId="30" fillId="0" borderId="31" xfId="0" applyFont="1" applyFill="1" applyBorder="1" applyAlignment="1">
      <alignment horizontal="left" vertical="center" wrapText="1"/>
    </xf>
    <xf numFmtId="1" fontId="29" fillId="0" borderId="31" xfId="0" applyNumberFormat="1" applyFont="1" applyFill="1" applyBorder="1" applyAlignment="1">
      <alignment horizontal="center" vertical="center" wrapText="1"/>
    </xf>
    <xf numFmtId="2" fontId="29" fillId="0" borderId="31" xfId="17" applyNumberFormat="1" applyFont="1" applyFill="1" applyBorder="1" applyAlignment="1">
      <alignment horizontal="center" vertical="center" wrapText="1"/>
    </xf>
    <xf numFmtId="167" fontId="30" fillId="0" borderId="8" xfId="1" applyNumberFormat="1" applyFont="1" applyFill="1" applyBorder="1" applyAlignment="1">
      <alignment horizontal="center" vertical="center" wrapText="1"/>
    </xf>
    <xf numFmtId="167" fontId="29" fillId="0" borderId="1" xfId="1" applyNumberFormat="1" applyFont="1" applyFill="1" applyBorder="1" applyAlignment="1">
      <alignment horizontal="center" vertical="center" wrapText="1"/>
    </xf>
    <xf numFmtId="167" fontId="30" fillId="0" borderId="31" xfId="1" applyNumberFormat="1" applyFont="1" applyFill="1" applyBorder="1" applyAlignment="1">
      <alignment horizontal="center" vertical="center" wrapText="1"/>
    </xf>
    <xf numFmtId="0" fontId="29" fillId="2" borderId="8" xfId="0" applyFont="1" applyFill="1" applyBorder="1" applyAlignment="1">
      <alignment horizontal="center" vertical="center" wrapText="1"/>
    </xf>
    <xf numFmtId="49" fontId="29" fillId="0" borderId="8" xfId="0" applyNumberFormat="1" applyFont="1" applyFill="1" applyBorder="1" applyAlignment="1">
      <alignment horizontal="center" vertical="center"/>
    </xf>
    <xf numFmtId="0" fontId="29" fillId="0" borderId="8" xfId="0" applyFont="1" applyFill="1" applyBorder="1" applyAlignment="1">
      <alignment horizontal="center" vertical="center" wrapText="1"/>
    </xf>
    <xf numFmtId="167" fontId="29" fillId="0" borderId="8" xfId="0" applyNumberFormat="1" applyFont="1" applyFill="1" applyBorder="1" applyAlignment="1">
      <alignment horizontal="center" vertical="center" wrapText="1"/>
    </xf>
    <xf numFmtId="0" fontId="29" fillId="0" borderId="1" xfId="0" applyFont="1" applyFill="1" applyBorder="1" applyAlignment="1">
      <alignment horizontal="center" vertical="center" wrapText="1"/>
    </xf>
    <xf numFmtId="167" fontId="30" fillId="0" borderId="1" xfId="1" applyNumberFormat="1" applyFont="1" applyFill="1" applyBorder="1" applyAlignment="1">
      <alignment horizontal="center" vertical="center" wrapText="1"/>
    </xf>
    <xf numFmtId="0" fontId="29" fillId="0" borderId="8" xfId="0" applyFont="1" applyFill="1" applyBorder="1" applyAlignment="1">
      <alignment horizontal="center" vertical="center"/>
    </xf>
    <xf numFmtId="167" fontId="29" fillId="0" borderId="6" xfId="1" applyNumberFormat="1" applyFont="1" applyFill="1" applyBorder="1" applyAlignment="1">
      <alignment horizontal="center" vertical="center" wrapText="1"/>
    </xf>
    <xf numFmtId="167" fontId="29" fillId="2" borderId="8" xfId="1" applyNumberFormat="1" applyFont="1" applyFill="1" applyBorder="1" applyAlignment="1">
      <alignment horizontal="center" vertical="center" wrapText="1"/>
    </xf>
    <xf numFmtId="168" fontId="29" fillId="2" borderId="1" xfId="0" applyNumberFormat="1" applyFont="1" applyFill="1" applyBorder="1" applyAlignment="1">
      <alignment horizontal="center" vertical="center"/>
    </xf>
    <xf numFmtId="49" fontId="29" fillId="2" borderId="1" xfId="0" applyNumberFormat="1" applyFont="1" applyFill="1" applyBorder="1" applyAlignment="1">
      <alignment vertical="center"/>
    </xf>
    <xf numFmtId="167" fontId="29" fillId="2" borderId="1" xfId="1" applyNumberFormat="1" applyFont="1" applyFill="1" applyBorder="1" applyAlignment="1">
      <alignment horizontal="center" vertical="center" wrapText="1"/>
    </xf>
    <xf numFmtId="167" fontId="29" fillId="2" borderId="6" xfId="1" applyNumberFormat="1" applyFont="1" applyFill="1" applyBorder="1" applyAlignment="1">
      <alignment horizontal="center" vertical="center" wrapText="1"/>
    </xf>
    <xf numFmtId="49" fontId="29" fillId="0" borderId="8" xfId="0" applyNumberFormat="1" applyFont="1" applyFill="1" applyBorder="1" applyAlignment="1">
      <alignment vertical="center"/>
    </xf>
    <xf numFmtId="49" fontId="29" fillId="0" borderId="1" xfId="0" applyNumberFormat="1" applyFont="1" applyFill="1" applyBorder="1" applyAlignment="1">
      <alignment vertical="center"/>
    </xf>
    <xf numFmtId="0" fontId="29" fillId="4" borderId="1" xfId="0" applyFont="1" applyFill="1" applyBorder="1" applyAlignment="1">
      <alignment horizontal="center" vertical="center" wrapText="1"/>
    </xf>
    <xf numFmtId="0" fontId="29" fillId="4" borderId="1" xfId="0" applyFont="1" applyFill="1" applyBorder="1" applyAlignment="1">
      <alignment horizontal="left" vertical="center" wrapText="1"/>
    </xf>
    <xf numFmtId="49" fontId="29" fillId="4" borderId="8" xfId="0" applyNumberFormat="1" applyFont="1" applyFill="1" applyBorder="1" applyAlignment="1">
      <alignment vertical="center"/>
    </xf>
    <xf numFmtId="49" fontId="29" fillId="4" borderId="7" xfId="0" applyNumberFormat="1" applyFont="1" applyFill="1" applyBorder="1" applyAlignment="1">
      <alignment vertical="center"/>
    </xf>
    <xf numFmtId="167" fontId="29" fillId="4" borderId="8" xfId="1" applyNumberFormat="1" applyFont="1" applyFill="1" applyBorder="1" applyAlignment="1">
      <alignment horizontal="center" vertical="center" wrapText="1"/>
    </xf>
    <xf numFmtId="0" fontId="29" fillId="0" borderId="1" xfId="0" applyFont="1" applyFill="1" applyBorder="1" applyAlignment="1"/>
    <xf numFmtId="168" fontId="30" fillId="2" borderId="1" xfId="0" applyNumberFormat="1" applyFont="1" applyFill="1" applyBorder="1" applyAlignment="1">
      <alignment horizontal="center" vertical="center"/>
    </xf>
    <xf numFmtId="167" fontId="29" fillId="2" borderId="1" xfId="0" applyNumberFormat="1" applyFont="1" applyFill="1" applyBorder="1" applyAlignment="1">
      <alignment horizontal="center" vertical="center" wrapText="1"/>
    </xf>
    <xf numFmtId="49" fontId="29" fillId="0" borderId="1" xfId="0" applyNumberFormat="1" applyFont="1" applyFill="1" applyBorder="1" applyAlignment="1">
      <alignment horizontal="center" vertical="center"/>
    </xf>
    <xf numFmtId="167" fontId="29" fillId="0" borderId="14" xfId="1" applyNumberFormat="1" applyFont="1" applyFill="1" applyBorder="1" applyAlignment="1">
      <alignment horizontal="center" vertical="center" wrapText="1"/>
    </xf>
    <xf numFmtId="0" fontId="29" fillId="0" borderId="7" xfId="0" applyFont="1" applyFill="1" applyBorder="1"/>
    <xf numFmtId="0" fontId="29" fillId="2" borderId="1" xfId="0" applyFont="1" applyFill="1" applyBorder="1" applyAlignment="1">
      <alignment horizontal="center" vertical="center"/>
    </xf>
    <xf numFmtId="0" fontId="29" fillId="0" borderId="1" xfId="0" applyFont="1" applyBorder="1" applyAlignment="1">
      <alignment horizontal="center" vertical="center"/>
    </xf>
    <xf numFmtId="168" fontId="29" fillId="4" borderId="7" xfId="0" applyNumberFormat="1" applyFont="1" applyFill="1" applyBorder="1" applyAlignment="1">
      <alignment horizontal="center" vertical="center"/>
    </xf>
    <xf numFmtId="166" fontId="29" fillId="0" borderId="1" xfId="0" applyNumberFormat="1" applyFont="1" applyFill="1" applyBorder="1" applyAlignment="1">
      <alignment horizontal="center" vertical="center" wrapText="1"/>
    </xf>
    <xf numFmtId="167" fontId="29" fillId="0" borderId="1" xfId="0" applyNumberFormat="1" applyFont="1" applyFill="1" applyBorder="1" applyAlignment="1">
      <alignment horizontal="center" vertical="center" wrapText="1"/>
    </xf>
    <xf numFmtId="166" fontId="29" fillId="0" borderId="31" xfId="0" applyNumberFormat="1" applyFont="1" applyFill="1" applyBorder="1" applyAlignment="1">
      <alignment horizontal="center" vertical="center" wrapText="1"/>
    </xf>
    <xf numFmtId="166" fontId="29" fillId="0" borderId="7" xfId="0" applyNumberFormat="1" applyFont="1" applyFill="1" applyBorder="1" applyAlignment="1">
      <alignment horizontal="center" vertical="center" wrapText="1"/>
    </xf>
    <xf numFmtId="0" fontId="29" fillId="2" borderId="1" xfId="0" applyFont="1" applyFill="1" applyBorder="1" applyAlignment="1">
      <alignment vertical="center" wrapText="1"/>
    </xf>
    <xf numFmtId="167" fontId="30" fillId="0" borderId="6" xfId="1" applyNumberFormat="1" applyFont="1" applyFill="1" applyBorder="1" applyAlignment="1">
      <alignment horizontal="center" vertical="center" wrapText="1"/>
    </xf>
    <xf numFmtId="3" fontId="29" fillId="4" borderId="1" xfId="0" applyNumberFormat="1" applyFont="1" applyFill="1" applyBorder="1" applyAlignment="1">
      <alignment horizontal="center" vertical="center" wrapText="1"/>
    </xf>
    <xf numFmtId="0" fontId="29" fillId="2" borderId="2" xfId="0" applyFont="1" applyFill="1" applyBorder="1" applyAlignment="1">
      <alignment horizontal="center" vertical="center"/>
    </xf>
    <xf numFmtId="167" fontId="30" fillId="0" borderId="14" xfId="1" applyNumberFormat="1" applyFont="1" applyFill="1" applyBorder="1" applyAlignment="1">
      <alignment horizontal="center" vertical="center" wrapText="1"/>
    </xf>
    <xf numFmtId="166" fontId="34" fillId="2" borderId="2" xfId="0" applyNumberFormat="1" applyFont="1" applyFill="1" applyBorder="1" applyAlignment="1">
      <alignment horizontal="center" vertical="center" wrapText="1"/>
    </xf>
    <xf numFmtId="166" fontId="29" fillId="0" borderId="8" xfId="0" applyNumberFormat="1" applyFont="1" applyFill="1" applyBorder="1" applyAlignment="1">
      <alignment horizontal="center" vertical="center" wrapText="1"/>
    </xf>
    <xf numFmtId="49" fontId="29" fillId="2" borderId="1" xfId="0" applyNumberFormat="1" applyFont="1" applyFill="1" applyBorder="1" applyAlignment="1">
      <alignment horizontal="center" vertical="center"/>
    </xf>
    <xf numFmtId="166" fontId="34" fillId="2" borderId="1" xfId="0" applyNumberFormat="1" applyFont="1" applyFill="1" applyBorder="1" applyAlignment="1">
      <alignment horizontal="center" vertical="center" wrapText="1"/>
    </xf>
    <xf numFmtId="167" fontId="29" fillId="2" borderId="6" xfId="0" applyNumberFormat="1" applyFont="1" applyFill="1" applyBorder="1" applyAlignment="1">
      <alignment horizontal="center" vertical="center" wrapText="1"/>
    </xf>
    <xf numFmtId="0" fontId="30" fillId="0" borderId="1" xfId="0" applyFont="1" applyFill="1" applyBorder="1" applyAlignment="1">
      <alignment horizontal="center" vertical="center" wrapText="1"/>
    </xf>
    <xf numFmtId="0" fontId="30" fillId="0" borderId="1" xfId="0" applyFont="1" applyFill="1" applyBorder="1" applyAlignment="1">
      <alignment horizontal="left" vertical="center" wrapText="1"/>
    </xf>
    <xf numFmtId="0" fontId="29" fillId="4" borderId="1" xfId="0" applyFont="1" applyFill="1" applyBorder="1" applyAlignment="1">
      <alignment horizontal="center" vertical="center"/>
    </xf>
    <xf numFmtId="0" fontId="29" fillId="0" borderId="8" xfId="0" applyFont="1" applyFill="1" applyBorder="1" applyAlignment="1">
      <alignment vertical="center" wrapText="1"/>
    </xf>
    <xf numFmtId="0" fontId="30" fillId="0" borderId="8" xfId="0" applyFont="1" applyFill="1" applyBorder="1" applyAlignment="1">
      <alignment horizontal="center" vertical="center" wrapText="1"/>
    </xf>
    <xf numFmtId="0" fontId="30" fillId="0" borderId="7" xfId="0" applyFont="1" applyFill="1" applyBorder="1" applyAlignment="1">
      <alignment vertical="center" wrapText="1"/>
    </xf>
    <xf numFmtId="0" fontId="29" fillId="0" borderId="1" xfId="0" applyFont="1" applyFill="1" applyBorder="1" applyAlignment="1">
      <alignment horizontal="center"/>
    </xf>
    <xf numFmtId="0" fontId="34" fillId="2" borderId="31" xfId="0" applyFont="1" applyFill="1" applyBorder="1" applyAlignment="1">
      <alignment vertical="center" wrapText="1"/>
    </xf>
    <xf numFmtId="167" fontId="34" fillId="2" borderId="1" xfId="0" applyNumberFormat="1" applyFont="1" applyFill="1" applyBorder="1" applyAlignment="1">
      <alignment horizontal="center" vertical="center" wrapText="1"/>
    </xf>
    <xf numFmtId="171" fontId="34" fillId="2" borderId="31" xfId="136" applyNumberFormat="1" applyFont="1" applyFill="1" applyBorder="1" applyAlignment="1">
      <alignment vertical="center" wrapText="1"/>
    </xf>
    <xf numFmtId="167" fontId="34" fillId="2" borderId="1" xfId="0" applyNumberFormat="1" applyFont="1" applyFill="1" applyBorder="1" applyAlignment="1">
      <alignment horizontal="right" vertical="center" wrapText="1"/>
    </xf>
    <xf numFmtId="166" fontId="34" fillId="0" borderId="1" xfId="0" applyNumberFormat="1" applyFont="1" applyBorder="1" applyAlignment="1">
      <alignment horizontal="center" vertical="center" wrapText="1"/>
    </xf>
    <xf numFmtId="166" fontId="37" fillId="4" borderId="1" xfId="0" applyNumberFormat="1" applyFont="1" applyFill="1" applyBorder="1" applyAlignment="1">
      <alignment vertical="center" wrapText="1"/>
    </xf>
    <xf numFmtId="0" fontId="37" fillId="2"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4" fillId="2" borderId="1" xfId="3" applyFont="1" applyFill="1" applyBorder="1" applyAlignment="1">
      <alignment horizontal="center" vertical="center" wrapText="1"/>
    </xf>
    <xf numFmtId="170" fontId="34" fillId="2" borderId="1" xfId="17" applyNumberFormat="1" applyFont="1" applyFill="1" applyBorder="1" applyAlignment="1">
      <alignment horizontal="center" vertical="center" wrapText="1"/>
    </xf>
    <xf numFmtId="167" fontId="30" fillId="0" borderId="6" xfId="1" applyNumberFormat="1" applyFont="1" applyFill="1" applyBorder="1" applyAlignment="1">
      <alignment horizontal="right" vertical="center" wrapText="1" indent="1"/>
    </xf>
    <xf numFmtId="0" fontId="29" fillId="0" borderId="32" xfId="3" applyFont="1" applyFill="1" applyBorder="1" applyAlignment="1">
      <alignment horizontal="left" vertical="center" wrapText="1"/>
    </xf>
    <xf numFmtId="0" fontId="29" fillId="0" borderId="32" xfId="0" applyFont="1" applyFill="1" applyBorder="1" applyAlignment="1">
      <alignment horizontal="left" vertical="center" wrapText="1"/>
    </xf>
    <xf numFmtId="166" fontId="29" fillId="2" borderId="31" xfId="0" applyNumberFormat="1" applyFont="1" applyFill="1" applyBorder="1" applyAlignment="1">
      <alignment horizontal="center" vertical="center" wrapText="1"/>
    </xf>
    <xf numFmtId="49" fontId="29" fillId="2" borderId="1" xfId="0" applyNumberFormat="1" applyFont="1" applyFill="1" applyBorder="1" applyAlignment="1">
      <alignment horizontal="center" vertical="center"/>
    </xf>
    <xf numFmtId="168" fontId="30" fillId="2" borderId="1" xfId="0" applyNumberFormat="1" applyFont="1" applyFill="1" applyBorder="1" applyAlignment="1">
      <alignment horizontal="center" vertical="center"/>
    </xf>
    <xf numFmtId="0" fontId="29" fillId="0" borderId="7" xfId="0" applyFont="1" applyFill="1" applyBorder="1" applyAlignment="1">
      <alignment horizontal="center" vertical="center"/>
    </xf>
    <xf numFmtId="169" fontId="29" fillId="0" borderId="31" xfId="0" applyNumberFormat="1" applyFont="1" applyFill="1" applyBorder="1" applyAlignment="1">
      <alignment horizontal="center" vertical="center"/>
    </xf>
    <xf numFmtId="49" fontId="37" fillId="4" borderId="31" xfId="0" applyNumberFormat="1" applyFont="1" applyFill="1" applyBorder="1" applyAlignment="1">
      <alignment horizontal="center" vertical="center"/>
    </xf>
    <xf numFmtId="49" fontId="29" fillId="0" borderId="31" xfId="0" applyNumberFormat="1" applyFont="1" applyFill="1" applyBorder="1" applyAlignment="1">
      <alignment horizontal="center" vertical="center"/>
    </xf>
    <xf numFmtId="49" fontId="29" fillId="0" borderId="2" xfId="0" applyNumberFormat="1" applyFont="1" applyFill="1" applyBorder="1" applyAlignment="1">
      <alignment horizontal="center" vertical="center"/>
    </xf>
    <xf numFmtId="49" fontId="29" fillId="0" borderId="7" xfId="0" applyNumberFormat="1" applyFont="1" applyFill="1" applyBorder="1" applyAlignment="1">
      <alignment horizontal="center" vertical="center"/>
    </xf>
    <xf numFmtId="167" fontId="29" fillId="0" borderId="7" xfId="1" applyNumberFormat="1" applyFont="1" applyFill="1" applyBorder="1" applyAlignment="1">
      <alignment horizontal="center" vertical="center" wrapText="1"/>
    </xf>
    <xf numFmtId="49" fontId="29" fillId="0" borderId="1" xfId="0" applyNumberFormat="1" applyFont="1" applyFill="1" applyBorder="1" applyAlignment="1">
      <alignment horizontal="center" vertical="center"/>
    </xf>
    <xf numFmtId="169" fontId="29" fillId="0" borderId="1" xfId="0" applyNumberFormat="1" applyFont="1" applyFill="1" applyBorder="1" applyAlignment="1">
      <alignment horizontal="center" vertical="center"/>
    </xf>
    <xf numFmtId="49" fontId="29" fillId="0" borderId="8" xfId="0" applyNumberFormat="1" applyFont="1" applyFill="1" applyBorder="1" applyAlignment="1">
      <alignment horizontal="center" vertical="center"/>
    </xf>
    <xf numFmtId="169" fontId="29" fillId="0" borderId="8" xfId="0" applyNumberFormat="1" applyFont="1" applyFill="1" applyBorder="1" applyAlignment="1">
      <alignment horizontal="center" vertical="center"/>
    </xf>
    <xf numFmtId="49" fontId="29" fillId="4" borderId="1" xfId="0" applyNumberFormat="1" applyFont="1" applyFill="1" applyBorder="1" applyAlignment="1">
      <alignment horizontal="center" vertical="center"/>
    </xf>
    <xf numFmtId="49" fontId="29" fillId="0" borderId="1" xfId="0" applyNumberFormat="1" applyFont="1" applyBorder="1" applyAlignment="1">
      <alignment horizontal="center" vertical="center"/>
    </xf>
    <xf numFmtId="169" fontId="29" fillId="0" borderId="1" xfId="0" applyNumberFormat="1" applyFont="1" applyFill="1" applyBorder="1" applyAlignment="1">
      <alignment horizontal="center" vertical="center"/>
    </xf>
    <xf numFmtId="49" fontId="29" fillId="0" borderId="1" xfId="149" applyNumberFormat="1" applyFont="1" applyFill="1" applyBorder="1" applyAlignment="1">
      <alignment horizontal="center" vertical="center"/>
    </xf>
    <xf numFmtId="49" fontId="34" fillId="0" borderId="1" xfId="0" applyNumberFormat="1" applyFont="1" applyFill="1" applyBorder="1" applyAlignment="1">
      <alignment horizontal="center" vertical="center"/>
    </xf>
    <xf numFmtId="49" fontId="30" fillId="0" borderId="0" xfId="0" applyNumberFormat="1" applyFont="1" applyAlignment="1">
      <alignment horizontal="center" vertical="center" wrapText="1"/>
    </xf>
    <xf numFmtId="169" fontId="29" fillId="0" borderId="4" xfId="0" applyNumberFormat="1" applyFont="1" applyFill="1" applyBorder="1" applyAlignment="1">
      <alignment horizontal="center" vertical="center"/>
    </xf>
    <xf numFmtId="0" fontId="29" fillId="0" borderId="8" xfId="0" applyNumberFormat="1" applyFont="1" applyFill="1" applyBorder="1" applyAlignment="1">
      <alignment horizontal="center" vertical="center"/>
    </xf>
    <xf numFmtId="49" fontId="29" fillId="4" borderId="8" xfId="0" applyNumberFormat="1" applyFont="1" applyFill="1" applyBorder="1" applyAlignment="1">
      <alignment horizontal="center" vertical="center"/>
    </xf>
    <xf numFmtId="49" fontId="29" fillId="4" borderId="7" xfId="0" applyNumberFormat="1" applyFont="1" applyFill="1" applyBorder="1" applyAlignment="1">
      <alignment horizontal="center" vertical="center"/>
    </xf>
    <xf numFmtId="49" fontId="29" fillId="0" borderId="4" xfId="0" applyNumberFormat="1" applyFont="1" applyFill="1" applyBorder="1" applyAlignment="1">
      <alignment horizontal="center" vertical="center"/>
    </xf>
    <xf numFmtId="169" fontId="29" fillId="0" borderId="4" xfId="0" applyNumberFormat="1" applyFont="1" applyBorder="1" applyAlignment="1">
      <alignment horizontal="center" vertical="center"/>
    </xf>
    <xf numFmtId="169" fontId="29" fillId="0" borderId="1" xfId="0" applyNumberFormat="1" applyFont="1" applyBorder="1" applyAlignment="1">
      <alignment horizontal="center" vertical="center"/>
    </xf>
    <xf numFmtId="49" fontId="29" fillId="2" borderId="4" xfId="0" applyNumberFormat="1" applyFont="1" applyFill="1" applyBorder="1" applyAlignment="1">
      <alignment horizontal="center" vertical="center"/>
    </xf>
    <xf numFmtId="0" fontId="37" fillId="4" borderId="7" xfId="0" applyFont="1" applyFill="1" applyBorder="1" applyAlignment="1">
      <alignment horizontal="center" vertical="center"/>
    </xf>
    <xf numFmtId="169" fontId="37" fillId="0" borderId="4" xfId="0" applyNumberFormat="1" applyFont="1" applyBorder="1" applyAlignment="1">
      <alignment horizontal="center" vertical="center"/>
    </xf>
    <xf numFmtId="169" fontId="29" fillId="0" borderId="8" xfId="0" applyNumberFormat="1" applyFont="1" applyBorder="1" applyAlignment="1">
      <alignment horizontal="center" vertical="center"/>
    </xf>
    <xf numFmtId="169" fontId="30" fillId="0" borderId="1" xfId="0" applyNumberFormat="1" applyFont="1" applyFill="1" applyBorder="1" applyAlignment="1">
      <alignment horizontal="center" vertical="center"/>
    </xf>
    <xf numFmtId="169" fontId="29" fillId="2" borderId="4" xfId="0" applyNumberFormat="1" applyFont="1" applyFill="1" applyBorder="1" applyAlignment="1">
      <alignment horizontal="center" vertical="center"/>
    </xf>
    <xf numFmtId="168" fontId="30" fillId="0" borderId="10" xfId="0" applyNumberFormat="1" applyFont="1" applyBorder="1" applyAlignment="1">
      <alignment horizontal="center" vertical="center"/>
    </xf>
    <xf numFmtId="49" fontId="29" fillId="0" borderId="1" xfId="0" applyNumberFormat="1" applyFont="1" applyFill="1" applyBorder="1" applyAlignment="1">
      <alignment horizontal="center" vertical="center"/>
    </xf>
    <xf numFmtId="167" fontId="37" fillId="2" borderId="1" xfId="0" applyNumberFormat="1" applyFont="1" applyFill="1" applyBorder="1" applyAlignment="1">
      <alignment horizontal="center" vertical="center" wrapText="1"/>
    </xf>
    <xf numFmtId="0" fontId="29" fillId="2" borderId="1" xfId="0" applyFont="1" applyFill="1" applyBorder="1" applyAlignment="1">
      <alignment horizontal="center" vertical="center" wrapText="1"/>
    </xf>
    <xf numFmtId="0" fontId="30" fillId="2" borderId="1" xfId="0" applyFont="1" applyFill="1" applyBorder="1" applyAlignment="1">
      <alignment horizontal="center" vertical="center" wrapText="1"/>
    </xf>
    <xf numFmtId="167" fontId="29" fillId="2" borderId="7" xfId="1" applyNumberFormat="1" applyFont="1" applyFill="1" applyBorder="1" applyAlignment="1">
      <alignment horizontal="center" vertical="center" wrapText="1"/>
    </xf>
    <xf numFmtId="167" fontId="30" fillId="2" borderId="1" xfId="1" applyNumberFormat="1" applyFont="1" applyFill="1" applyBorder="1" applyAlignment="1">
      <alignment horizontal="center" vertical="center" wrapText="1"/>
    </xf>
    <xf numFmtId="166" fontId="29" fillId="2" borderId="1" xfId="0" applyNumberFormat="1" applyFont="1" applyFill="1" applyBorder="1" applyAlignment="1">
      <alignment horizontal="center" vertical="center" wrapText="1"/>
    </xf>
    <xf numFmtId="0" fontId="29" fillId="2" borderId="13" xfId="0" applyFont="1" applyFill="1" applyBorder="1" applyAlignment="1">
      <alignment horizontal="left" vertical="center" wrapText="1"/>
    </xf>
    <xf numFmtId="0" fontId="29" fillId="2" borderId="1" xfId="0" applyFont="1" applyFill="1" applyBorder="1" applyAlignment="1">
      <alignment vertical="top" wrapText="1"/>
    </xf>
    <xf numFmtId="167" fontId="29" fillId="2" borderId="7" xfId="1" applyNumberFormat="1" applyFont="1" applyFill="1" applyBorder="1" applyAlignment="1">
      <alignment horizontal="right" vertical="center" wrapText="1" indent="1"/>
    </xf>
    <xf numFmtId="0" fontId="29" fillId="2" borderId="1" xfId="6" applyFont="1" applyFill="1" applyBorder="1" applyAlignment="1">
      <alignment vertical="center" wrapText="1"/>
    </xf>
    <xf numFmtId="0" fontId="37" fillId="2" borderId="1" xfId="0" applyFont="1" applyFill="1" applyBorder="1" applyAlignment="1">
      <alignment vertical="center" wrapText="1"/>
    </xf>
    <xf numFmtId="169" fontId="30" fillId="2" borderId="31" xfId="0" applyNumberFormat="1" applyFont="1" applyFill="1" applyBorder="1" applyAlignment="1">
      <alignment horizontal="center" vertical="center"/>
    </xf>
    <xf numFmtId="166" fontId="37" fillId="2" borderId="1" xfId="0" applyNumberFormat="1" applyFont="1" applyFill="1" applyBorder="1" applyAlignment="1">
      <alignment horizontal="center" vertical="center" wrapText="1"/>
    </xf>
    <xf numFmtId="167" fontId="34" fillId="2" borderId="1" xfId="0" applyNumberFormat="1" applyFont="1" applyFill="1" applyBorder="1" applyAlignment="1">
      <alignment horizontal="center" vertical="center" wrapText="1"/>
    </xf>
    <xf numFmtId="169" fontId="29" fillId="0" borderId="31" xfId="0" applyNumberFormat="1" applyFont="1" applyFill="1" applyBorder="1" applyAlignment="1">
      <alignment horizontal="center" vertical="center"/>
    </xf>
    <xf numFmtId="169" fontId="29" fillId="0" borderId="2" xfId="0" applyNumberFormat="1" applyFont="1" applyFill="1" applyBorder="1" applyAlignment="1">
      <alignment horizontal="center" vertical="center"/>
    </xf>
    <xf numFmtId="169" fontId="29" fillId="0" borderId="7" xfId="0" applyNumberFormat="1" applyFont="1" applyFill="1" applyBorder="1" applyAlignment="1">
      <alignment horizontal="center" vertical="center"/>
    </xf>
    <xf numFmtId="168" fontId="29" fillId="0" borderId="12" xfId="0" applyNumberFormat="1" applyFont="1" applyFill="1" applyBorder="1" applyAlignment="1">
      <alignment horizontal="center" vertical="center"/>
    </xf>
    <xf numFmtId="168" fontId="29" fillId="0" borderId="9" xfId="0" applyNumberFormat="1" applyFont="1" applyFill="1" applyBorder="1" applyAlignment="1">
      <alignment horizontal="center" vertical="center"/>
    </xf>
    <xf numFmtId="168" fontId="30" fillId="0" borderId="31" xfId="0" applyNumberFormat="1" applyFont="1" applyFill="1" applyBorder="1" applyAlignment="1">
      <alignment horizontal="center" vertical="center"/>
    </xf>
    <xf numFmtId="168" fontId="30" fillId="0" borderId="7" xfId="0" applyNumberFormat="1" applyFont="1" applyFill="1" applyBorder="1" applyAlignment="1">
      <alignment horizontal="center" vertical="center"/>
    </xf>
    <xf numFmtId="168" fontId="30" fillId="2" borderId="31" xfId="0" applyNumberFormat="1" applyFont="1" applyFill="1" applyBorder="1" applyAlignment="1">
      <alignment horizontal="center" vertical="center"/>
    </xf>
    <xf numFmtId="168" fontId="30" fillId="2" borderId="7" xfId="0" applyNumberFormat="1" applyFont="1" applyFill="1" applyBorder="1" applyAlignment="1">
      <alignment horizontal="center" vertical="center"/>
    </xf>
    <xf numFmtId="168" fontId="30" fillId="2" borderId="1" xfId="0" applyNumberFormat="1" applyFont="1" applyFill="1" applyBorder="1" applyAlignment="1">
      <alignment horizontal="center" vertical="center"/>
    </xf>
    <xf numFmtId="168" fontId="29" fillId="0" borderId="31" xfId="0" applyNumberFormat="1" applyFont="1" applyFill="1" applyBorder="1" applyAlignment="1">
      <alignment horizontal="center" vertical="center"/>
    </xf>
    <xf numFmtId="168" fontId="29" fillId="0" borderId="2" xfId="0" applyNumberFormat="1" applyFont="1" applyFill="1" applyBorder="1" applyAlignment="1">
      <alignment horizontal="center" vertical="center"/>
    </xf>
    <xf numFmtId="168" fontId="29" fillId="0" borderId="7" xfId="0" applyNumberFormat="1" applyFont="1" applyFill="1" applyBorder="1" applyAlignment="1">
      <alignment horizontal="center" vertical="center"/>
    </xf>
    <xf numFmtId="168" fontId="29" fillId="0" borderId="31" xfId="0" applyNumberFormat="1" applyFont="1" applyBorder="1" applyAlignment="1">
      <alignment horizontal="center" vertical="center"/>
    </xf>
    <xf numFmtId="168" fontId="29" fillId="0" borderId="2" xfId="0" applyNumberFormat="1" applyFont="1" applyBorder="1" applyAlignment="1">
      <alignment horizontal="center" vertical="center"/>
    </xf>
    <xf numFmtId="167" fontId="30" fillId="0" borderId="1" xfId="1" applyNumberFormat="1" applyFont="1" applyFill="1" applyBorder="1" applyAlignment="1">
      <alignment horizontal="center" vertical="center" wrapText="1"/>
    </xf>
    <xf numFmtId="168" fontId="30" fillId="0" borderId="2" xfId="0" applyNumberFormat="1" applyFont="1" applyFill="1" applyBorder="1" applyAlignment="1">
      <alignment horizontal="center" vertical="center"/>
    </xf>
    <xf numFmtId="168" fontId="29" fillId="2" borderId="1" xfId="0" applyNumberFormat="1" applyFont="1" applyFill="1" applyBorder="1" applyAlignment="1">
      <alignment horizontal="center" vertical="center" wrapText="1"/>
    </xf>
    <xf numFmtId="168" fontId="29" fillId="0" borderId="1" xfId="0" applyNumberFormat="1" applyFont="1" applyFill="1" applyBorder="1" applyAlignment="1">
      <alignment horizontal="center" vertical="center" wrapText="1"/>
    </xf>
    <xf numFmtId="168" fontId="29" fillId="2" borderId="7" xfId="0" applyNumberFormat="1" applyFont="1" applyFill="1" applyBorder="1" applyAlignment="1">
      <alignment horizontal="center" vertical="center"/>
    </xf>
    <xf numFmtId="168" fontId="30" fillId="0" borderId="1" xfId="0" applyNumberFormat="1" applyFont="1" applyFill="1" applyBorder="1" applyAlignment="1">
      <alignment horizontal="center" vertical="center"/>
    </xf>
    <xf numFmtId="168" fontId="29" fillId="0" borderId="7" xfId="0" applyNumberFormat="1" applyFont="1" applyFill="1" applyBorder="1" applyAlignment="1">
      <alignment horizontal="center" vertical="center" wrapText="1"/>
    </xf>
    <xf numFmtId="168" fontId="30" fillId="0" borderId="1" xfId="0" applyNumberFormat="1" applyFont="1" applyFill="1" applyBorder="1" applyAlignment="1">
      <alignment horizontal="center" vertical="top"/>
    </xf>
    <xf numFmtId="169" fontId="29" fillId="0" borderId="8" xfId="0" applyNumberFormat="1" applyFont="1" applyFill="1" applyBorder="1" applyAlignment="1">
      <alignment horizontal="center" vertical="center"/>
    </xf>
    <xf numFmtId="168" fontId="29" fillId="0" borderId="1" xfId="0" applyNumberFormat="1" applyFont="1" applyFill="1" applyBorder="1" applyAlignment="1">
      <alignment horizontal="center" vertical="center"/>
    </xf>
    <xf numFmtId="168" fontId="29" fillId="0" borderId="7" xfId="0" applyNumberFormat="1" applyFont="1" applyBorder="1" applyAlignment="1">
      <alignment horizontal="center" vertical="center"/>
    </xf>
    <xf numFmtId="168" fontId="29" fillId="4" borderId="1" xfId="0" applyNumberFormat="1" applyFont="1" applyFill="1" applyBorder="1" applyAlignment="1">
      <alignment horizontal="center" vertical="center"/>
    </xf>
    <xf numFmtId="168" fontId="29" fillId="0" borderId="1" xfId="0" applyNumberFormat="1" applyFont="1" applyBorder="1" applyAlignment="1">
      <alignment horizontal="center" vertical="center"/>
    </xf>
    <xf numFmtId="168" fontId="29" fillId="2" borderId="2" xfId="0" applyNumberFormat="1" applyFont="1" applyFill="1" applyBorder="1" applyAlignment="1">
      <alignment horizontal="center" vertical="center"/>
    </xf>
    <xf numFmtId="169" fontId="29" fillId="0" borderId="1" xfId="0" applyNumberFormat="1" applyFont="1" applyFill="1" applyBorder="1" applyAlignment="1">
      <alignment horizontal="center" vertical="center"/>
    </xf>
    <xf numFmtId="0" fontId="30" fillId="0" borderId="1" xfId="0" applyFont="1" applyFill="1" applyBorder="1" applyAlignment="1">
      <alignment horizontal="left" vertical="center" wrapText="1"/>
    </xf>
    <xf numFmtId="168" fontId="30" fillId="0" borderId="1" xfId="0" applyNumberFormat="1" applyFont="1" applyBorder="1" applyAlignment="1">
      <alignment horizontal="center" vertical="center"/>
    </xf>
    <xf numFmtId="0" fontId="29" fillId="0" borderId="1" xfId="0" applyFont="1" applyFill="1" applyBorder="1" applyAlignment="1">
      <alignment horizontal="center" vertical="center"/>
    </xf>
    <xf numFmtId="49" fontId="29" fillId="0" borderId="1" xfId="0" applyNumberFormat="1" applyFont="1" applyFill="1" applyBorder="1" applyAlignment="1">
      <alignment horizontal="center" vertical="center"/>
    </xf>
    <xf numFmtId="0" fontId="29" fillId="0" borderId="8" xfId="0" applyFont="1" applyBorder="1" applyAlignment="1">
      <alignment horizontal="center" vertical="center"/>
    </xf>
    <xf numFmtId="49" fontId="29" fillId="4" borderId="1" xfId="0" applyNumberFormat="1" applyFont="1" applyFill="1" applyBorder="1" applyAlignment="1">
      <alignment horizontal="center" vertical="center"/>
    </xf>
    <xf numFmtId="167" fontId="29" fillId="4" borderId="1" xfId="1" applyNumberFormat="1" applyFont="1" applyFill="1" applyBorder="1" applyAlignment="1">
      <alignment horizontal="center" vertical="center" wrapText="1"/>
    </xf>
    <xf numFmtId="167" fontId="29" fillId="4" borderId="6" xfId="1" applyNumberFormat="1" applyFont="1" applyFill="1" applyBorder="1" applyAlignment="1">
      <alignment horizontal="center" vertical="center" wrapText="1"/>
    </xf>
    <xf numFmtId="168" fontId="30" fillId="0" borderId="32" xfId="0" applyNumberFormat="1" applyFont="1" applyFill="1" applyBorder="1" applyAlignment="1">
      <alignment horizontal="center" vertical="center"/>
    </xf>
    <xf numFmtId="168" fontId="30" fillId="4" borderId="31" xfId="0" applyNumberFormat="1" applyFont="1" applyFill="1" applyBorder="1" applyAlignment="1">
      <alignment horizontal="center" vertical="center"/>
    </xf>
    <xf numFmtId="168" fontId="29" fillId="4" borderId="31" xfId="0" applyNumberFormat="1" applyFont="1" applyFill="1" applyBorder="1" applyAlignment="1">
      <alignment horizontal="center" vertical="center"/>
    </xf>
    <xf numFmtId="168" fontId="29" fillId="0" borderId="31" xfId="0" applyNumberFormat="1" applyFont="1" applyFill="1" applyBorder="1" applyAlignment="1">
      <alignment horizontal="center" vertical="center" wrapText="1"/>
    </xf>
    <xf numFmtId="168" fontId="29" fillId="0" borderId="32" xfId="0" applyNumberFormat="1" applyFont="1" applyFill="1" applyBorder="1" applyAlignment="1">
      <alignment horizontal="center" vertical="center"/>
    </xf>
    <xf numFmtId="168" fontId="29" fillId="2" borderId="31" xfId="0" applyNumberFormat="1" applyFont="1" applyFill="1" applyBorder="1" applyAlignment="1">
      <alignment horizontal="center" vertical="center"/>
    </xf>
    <xf numFmtId="168" fontId="38" fillId="0" borderId="7" xfId="0" applyNumberFormat="1" applyFont="1" applyBorder="1" applyAlignment="1">
      <alignment horizontal="center" vertical="center"/>
    </xf>
    <xf numFmtId="168" fontId="38" fillId="0" borderId="32" xfId="0" applyNumberFormat="1" applyFont="1" applyBorder="1" applyAlignment="1">
      <alignment horizontal="center" vertical="center"/>
    </xf>
    <xf numFmtId="168" fontId="30" fillId="2" borderId="32" xfId="0" applyNumberFormat="1" applyFont="1" applyFill="1" applyBorder="1" applyAlignment="1">
      <alignment horizontal="center" vertical="center"/>
    </xf>
    <xf numFmtId="169" fontId="30" fillId="0" borderId="29" xfId="0" applyNumberFormat="1" applyFont="1" applyFill="1" applyBorder="1" applyAlignment="1">
      <alignment horizontal="center" vertical="center"/>
    </xf>
    <xf numFmtId="169" fontId="30" fillId="0" borderId="8" xfId="0" applyNumberFormat="1" applyFont="1" applyFill="1" applyBorder="1" applyAlignment="1">
      <alignment horizontal="center" vertical="center"/>
    </xf>
    <xf numFmtId="169" fontId="30" fillId="2" borderId="1" xfId="0" applyNumberFormat="1" applyFont="1" applyFill="1" applyBorder="1" applyAlignment="1">
      <alignment horizontal="center" vertical="center"/>
    </xf>
    <xf numFmtId="169" fontId="29" fillId="0" borderId="0" xfId="0" applyNumberFormat="1" applyFont="1" applyAlignment="1">
      <alignment horizontal="center"/>
    </xf>
    <xf numFmtId="169" fontId="30" fillId="0" borderId="0" xfId="0" applyNumberFormat="1" applyFont="1" applyAlignment="1">
      <alignment horizontal="center" vertical="center" wrapText="1"/>
    </xf>
    <xf numFmtId="169" fontId="30" fillId="0" borderId="10" xfId="0" applyNumberFormat="1" applyFont="1" applyBorder="1" applyAlignment="1">
      <alignment horizontal="center" vertical="center"/>
    </xf>
    <xf numFmtId="169" fontId="29" fillId="0" borderId="10" xfId="0" applyNumberFormat="1" applyFont="1" applyBorder="1" applyAlignment="1">
      <alignment horizontal="center" vertical="center"/>
    </xf>
    <xf numFmtId="169" fontId="29" fillId="0" borderId="1" xfId="0" applyNumberFormat="1" applyFont="1" applyBorder="1" applyAlignment="1">
      <alignment horizontal="center"/>
    </xf>
    <xf numFmtId="169" fontId="30" fillId="4" borderId="8" xfId="0" applyNumberFormat="1" applyFont="1" applyFill="1" applyBorder="1" applyAlignment="1">
      <alignment horizontal="center" vertical="center"/>
    </xf>
    <xf numFmtId="169" fontId="29" fillId="4" borderId="7" xfId="0" applyNumberFormat="1" applyFont="1" applyFill="1" applyBorder="1" applyAlignment="1">
      <alignment horizontal="center" vertical="center"/>
    </xf>
    <xf numFmtId="169" fontId="29" fillId="4" borderId="8" xfId="0" applyNumberFormat="1" applyFont="1" applyFill="1" applyBorder="1" applyAlignment="1">
      <alignment horizontal="center" vertical="center"/>
    </xf>
    <xf numFmtId="169" fontId="29" fillId="4" borderId="1" xfId="0" applyNumberFormat="1" applyFont="1" applyFill="1" applyBorder="1" applyAlignment="1">
      <alignment horizontal="center" vertical="center"/>
    </xf>
    <xf numFmtId="169" fontId="30" fillId="0" borderId="31" xfId="0" applyNumberFormat="1" applyFont="1" applyFill="1" applyBorder="1" applyAlignment="1">
      <alignment horizontal="center" vertical="center"/>
    </xf>
    <xf numFmtId="169" fontId="30" fillId="0" borderId="7" xfId="0" applyNumberFormat="1" applyFont="1" applyFill="1" applyBorder="1" applyAlignment="1">
      <alignment horizontal="center" vertical="center"/>
    </xf>
    <xf numFmtId="169" fontId="30" fillId="0" borderId="1" xfId="0" applyNumberFormat="1" applyFont="1" applyFill="1" applyBorder="1" applyAlignment="1">
      <alignment horizontal="center" vertical="center" wrapText="1"/>
    </xf>
    <xf numFmtId="169" fontId="29" fillId="0" borderId="1" xfId="0" applyNumberFormat="1" applyFont="1" applyFill="1" applyBorder="1" applyAlignment="1">
      <alignment horizontal="center" vertical="center" wrapText="1"/>
    </xf>
    <xf numFmtId="169" fontId="30" fillId="2" borderId="7" xfId="1" applyNumberFormat="1" applyFont="1" applyFill="1" applyBorder="1" applyAlignment="1">
      <alignment horizontal="center" vertical="center" wrapText="1"/>
    </xf>
    <xf numFmtId="169" fontId="29" fillId="0" borderId="7" xfId="1" applyNumberFormat="1" applyFont="1" applyFill="1" applyBorder="1" applyAlignment="1">
      <alignment horizontal="center" vertical="center" wrapText="1"/>
    </xf>
    <xf numFmtId="169" fontId="30" fillId="0" borderId="1" xfId="0" applyNumberFormat="1" applyFont="1" applyBorder="1" applyAlignment="1">
      <alignment horizontal="center" vertical="center"/>
    </xf>
    <xf numFmtId="169" fontId="30" fillId="0" borderId="8" xfId="0" applyNumberFormat="1" applyFont="1" applyBorder="1" applyAlignment="1">
      <alignment horizontal="center" vertical="center"/>
    </xf>
    <xf numFmtId="169" fontId="29" fillId="2" borderId="1" xfId="0" applyNumberFormat="1" applyFont="1" applyFill="1" applyBorder="1" applyAlignment="1">
      <alignment horizontal="center" vertical="center"/>
    </xf>
    <xf numFmtId="169" fontId="30" fillId="0" borderId="1" xfId="6" applyNumberFormat="1" applyFont="1" applyFill="1" applyBorder="1" applyAlignment="1">
      <alignment horizontal="center" vertical="center"/>
    </xf>
    <xf numFmtId="169" fontId="29" fillId="0" borderId="1" xfId="6" applyNumberFormat="1" applyFont="1" applyFill="1" applyBorder="1" applyAlignment="1">
      <alignment horizontal="center" vertical="center"/>
    </xf>
    <xf numFmtId="169" fontId="30" fillId="0" borderId="8" xfId="6" applyNumberFormat="1" applyFont="1" applyFill="1" applyBorder="1" applyAlignment="1">
      <alignment horizontal="center" vertical="center"/>
    </xf>
    <xf numFmtId="169" fontId="29" fillId="4" borderId="1" xfId="0" applyNumberFormat="1" applyFont="1" applyFill="1" applyBorder="1" applyAlignment="1">
      <alignment horizontal="center" vertical="center"/>
    </xf>
    <xf numFmtId="169" fontId="29" fillId="0" borderId="1" xfId="0" applyNumberFormat="1" applyFont="1" applyFill="1" applyBorder="1" applyAlignment="1">
      <alignment horizontal="center"/>
    </xf>
    <xf numFmtId="169" fontId="38" fillId="0" borderId="31" xfId="0" applyNumberFormat="1" applyFont="1" applyBorder="1" applyAlignment="1">
      <alignment horizontal="center" vertical="center"/>
    </xf>
    <xf numFmtId="169" fontId="38" fillId="4" borderId="31" xfId="0" applyNumberFormat="1" applyFont="1" applyFill="1" applyBorder="1" applyAlignment="1">
      <alignment horizontal="center" vertical="center"/>
    </xf>
    <xf numFmtId="169" fontId="30" fillId="0" borderId="1" xfId="152" applyNumberFormat="1" applyFont="1" applyBorder="1" applyAlignment="1">
      <alignment horizontal="center" vertical="top"/>
    </xf>
    <xf numFmtId="169" fontId="34" fillId="0" borderId="2" xfId="0" applyNumberFormat="1" applyFont="1" applyFill="1" applyBorder="1" applyAlignment="1">
      <alignment horizontal="center" vertical="top"/>
    </xf>
    <xf numFmtId="169" fontId="34" fillId="0" borderId="7" xfId="0" applyNumberFormat="1" applyFont="1" applyFill="1" applyBorder="1" applyAlignment="1">
      <alignment horizontal="center"/>
    </xf>
    <xf numFmtId="169" fontId="34" fillId="0" borderId="2" xfId="0" applyNumberFormat="1" applyFont="1" applyFill="1" applyBorder="1" applyAlignment="1">
      <alignment horizontal="center"/>
    </xf>
    <xf numFmtId="169" fontId="34" fillId="0" borderId="10" xfId="0" applyNumberFormat="1" applyFont="1" applyFill="1" applyBorder="1" applyAlignment="1">
      <alignment horizontal="center"/>
    </xf>
    <xf numFmtId="169" fontId="38" fillId="2" borderId="1" xfId="0" applyNumberFormat="1" applyFont="1" applyFill="1" applyBorder="1" applyAlignment="1">
      <alignment horizontal="center" vertical="center"/>
    </xf>
    <xf numFmtId="168" fontId="29" fillId="0" borderId="0" xfId="0" applyNumberFormat="1" applyFont="1" applyAlignment="1">
      <alignment horizontal="center"/>
    </xf>
    <xf numFmtId="168" fontId="29" fillId="0" borderId="1" xfId="0" applyNumberFormat="1" applyFont="1" applyBorder="1" applyAlignment="1">
      <alignment horizontal="center"/>
    </xf>
    <xf numFmtId="168" fontId="30" fillId="2" borderId="7" xfId="1" applyNumberFormat="1" applyFont="1" applyFill="1" applyBorder="1" applyAlignment="1">
      <alignment horizontal="center" vertical="center" wrapText="1"/>
    </xf>
    <xf numFmtId="168" fontId="29" fillId="0" borderId="7" xfId="1" applyNumberFormat="1" applyFont="1" applyFill="1" applyBorder="1" applyAlignment="1">
      <alignment horizontal="center" vertical="center" wrapText="1"/>
    </xf>
    <xf numFmtId="168" fontId="30" fillId="0" borderId="31" xfId="6" applyNumberFormat="1" applyFont="1" applyFill="1" applyBorder="1" applyAlignment="1">
      <alignment horizontal="center" vertical="center"/>
    </xf>
    <xf numFmtId="168" fontId="29" fillId="0" borderId="1" xfId="6" applyNumberFormat="1" applyFont="1" applyFill="1" applyBorder="1" applyAlignment="1">
      <alignment horizontal="center" vertical="center"/>
    </xf>
    <xf numFmtId="168" fontId="30" fillId="0" borderId="1" xfId="6" applyNumberFormat="1" applyFont="1" applyFill="1" applyBorder="1" applyAlignment="1">
      <alignment horizontal="center" vertical="center"/>
    </xf>
    <xf numFmtId="168" fontId="29" fillId="0" borderId="1" xfId="0" applyNumberFormat="1" applyFont="1" applyFill="1" applyBorder="1" applyAlignment="1">
      <alignment horizontal="center"/>
    </xf>
    <xf numFmtId="168" fontId="38" fillId="4" borderId="31" xfId="0" applyNumberFormat="1" applyFont="1" applyFill="1" applyBorder="1" applyAlignment="1">
      <alignment horizontal="center" vertical="center"/>
    </xf>
    <xf numFmtId="168" fontId="30" fillId="0" borderId="4" xfId="0" applyNumberFormat="1" applyFont="1" applyFill="1" applyBorder="1" applyAlignment="1">
      <alignment horizontal="center" vertical="top"/>
    </xf>
    <xf numFmtId="168" fontId="30" fillId="0" borderId="10" xfId="0" applyNumberFormat="1" applyFont="1" applyFill="1" applyBorder="1" applyAlignment="1">
      <alignment horizontal="center" vertical="top"/>
    </xf>
    <xf numFmtId="168" fontId="38" fillId="2" borderId="1" xfId="0" applyNumberFormat="1" applyFont="1" applyFill="1" applyBorder="1" applyAlignment="1">
      <alignment horizontal="center" vertical="center"/>
    </xf>
    <xf numFmtId="168" fontId="29" fillId="4" borderId="31" xfId="0" applyNumberFormat="1" applyFont="1" applyFill="1" applyBorder="1" applyAlignment="1">
      <alignment horizontal="center" vertical="center"/>
    </xf>
    <xf numFmtId="169" fontId="38" fillId="0" borderId="7" xfId="0" applyNumberFormat="1" applyFont="1" applyBorder="1" applyAlignment="1">
      <alignment horizontal="center" vertical="center"/>
    </xf>
    <xf numFmtId="49" fontId="37" fillId="2" borderId="1" xfId="0" applyNumberFormat="1" applyFont="1" applyFill="1" applyBorder="1" applyAlignment="1">
      <alignment horizontal="center" vertical="center"/>
    </xf>
    <xf numFmtId="0" fontId="37" fillId="2" borderId="1" xfId="0" applyFont="1" applyFill="1" applyBorder="1" applyAlignment="1">
      <alignment horizontal="right" vertical="center"/>
    </xf>
    <xf numFmtId="169" fontId="30" fillId="0" borderId="1" xfId="152" applyNumberFormat="1" applyFont="1" applyBorder="1" applyAlignment="1">
      <alignment horizontal="center" vertical="center"/>
    </xf>
    <xf numFmtId="168" fontId="30" fillId="0" borderId="1" xfId="152" applyNumberFormat="1" applyFont="1" applyBorder="1" applyAlignment="1">
      <alignment horizontal="center" vertical="center"/>
    </xf>
    <xf numFmtId="0" fontId="30" fillId="0" borderId="31" xfId="0" applyFont="1" applyFill="1" applyBorder="1" applyAlignment="1">
      <alignment horizontal="left" vertical="top" wrapText="1"/>
    </xf>
    <xf numFmtId="169" fontId="30" fillId="0" borderId="2" xfId="0" applyNumberFormat="1" applyFont="1" applyFill="1" applyBorder="1" applyAlignment="1">
      <alignment vertical="top"/>
    </xf>
    <xf numFmtId="169" fontId="30" fillId="0" borderId="7" xfId="0" applyNumberFormat="1" applyFont="1" applyFill="1" applyBorder="1" applyAlignment="1">
      <alignment vertical="top"/>
    </xf>
    <xf numFmtId="169" fontId="30" fillId="0" borderId="7" xfId="0" applyNumberFormat="1" applyFont="1" applyFill="1" applyBorder="1" applyAlignment="1">
      <alignment vertical="center"/>
    </xf>
    <xf numFmtId="169" fontId="30" fillId="0" borderId="1" xfId="0" applyNumberFormat="1" applyFont="1" applyFill="1" applyBorder="1" applyAlignment="1">
      <alignment vertical="center"/>
    </xf>
    <xf numFmtId="0" fontId="30" fillId="0" borderId="1" xfId="0" applyFont="1" applyFill="1" applyBorder="1" applyAlignment="1">
      <alignment horizontal="center" vertical="center" wrapText="1"/>
    </xf>
    <xf numFmtId="0" fontId="30" fillId="0" borderId="1" xfId="0" applyFont="1" applyFill="1" applyBorder="1" applyAlignment="1">
      <alignment horizontal="left" vertical="center" wrapText="1"/>
    </xf>
    <xf numFmtId="0" fontId="29" fillId="0" borderId="1" xfId="0" applyFont="1" applyFill="1" applyBorder="1" applyAlignment="1">
      <alignment horizontal="center" vertical="top"/>
    </xf>
    <xf numFmtId="0" fontId="33" fillId="0" borderId="7" xfId="0" applyFont="1" applyFill="1" applyBorder="1" applyAlignment="1">
      <alignment horizontal="left" vertical="top" wrapText="1"/>
    </xf>
    <xf numFmtId="0" fontId="30" fillId="2" borderId="1" xfId="0" applyFont="1" applyFill="1" applyBorder="1" applyAlignment="1">
      <alignment horizontal="left" vertical="top" wrapText="1"/>
    </xf>
    <xf numFmtId="0" fontId="29" fillId="0" borderId="1" xfId="3" applyFont="1" applyFill="1" applyBorder="1" applyAlignment="1">
      <alignment horizontal="center" vertical="center" wrapText="1"/>
    </xf>
    <xf numFmtId="0" fontId="29" fillId="0" borderId="1" xfId="0" applyFont="1" applyFill="1" applyBorder="1" applyAlignment="1">
      <alignment horizontal="center" vertical="center" wrapText="1"/>
    </xf>
    <xf numFmtId="0" fontId="29" fillId="0" borderId="1" xfId="0" applyFont="1" applyFill="1" applyBorder="1" applyAlignment="1">
      <alignment vertical="center" wrapText="1"/>
    </xf>
    <xf numFmtId="0" fontId="29" fillId="0" borderId="1" xfId="0" applyFont="1" applyFill="1" applyBorder="1" applyAlignment="1">
      <alignment horizontal="center"/>
    </xf>
    <xf numFmtId="168" fontId="30" fillId="0" borderId="1" xfId="0" applyNumberFormat="1" applyFont="1" applyFill="1" applyBorder="1" applyAlignment="1">
      <alignment horizontal="center" vertical="center"/>
    </xf>
    <xf numFmtId="167" fontId="29" fillId="0" borderId="7" xfId="1" applyNumberFormat="1" applyFont="1" applyFill="1" applyBorder="1" applyAlignment="1">
      <alignment horizontal="center" vertical="center" wrapText="1"/>
    </xf>
    <xf numFmtId="0" fontId="29" fillId="0" borderId="1" xfId="0" applyFont="1" applyFill="1" applyBorder="1" applyAlignment="1">
      <alignment horizontal="center" vertical="center"/>
    </xf>
    <xf numFmtId="167" fontId="29" fillId="0" borderId="6" xfId="1" applyNumberFormat="1" applyFont="1" applyFill="1" applyBorder="1" applyAlignment="1">
      <alignment horizontal="center" vertical="center" wrapText="1"/>
    </xf>
    <xf numFmtId="0" fontId="30" fillId="0" borderId="1" xfId="0" applyFont="1" applyFill="1" applyBorder="1" applyAlignment="1">
      <alignment horizontal="left" vertical="center"/>
    </xf>
    <xf numFmtId="0" fontId="29" fillId="0" borderId="1" xfId="0" applyFont="1" applyFill="1" applyBorder="1" applyAlignment="1">
      <alignment horizontal="center" vertical="center" wrapText="1"/>
    </xf>
    <xf numFmtId="166" fontId="38" fillId="2" borderId="1" xfId="0" applyNumberFormat="1" applyFont="1" applyFill="1" applyBorder="1" applyAlignment="1">
      <alignment horizontal="center" vertical="center" wrapText="1"/>
    </xf>
    <xf numFmtId="167" fontId="29" fillId="0" borderId="6" xfId="1" applyNumberFormat="1" applyFont="1" applyFill="1" applyBorder="1" applyAlignment="1">
      <alignment horizontal="center" vertical="center" wrapText="1"/>
    </xf>
    <xf numFmtId="169" fontId="38" fillId="2" borderId="1" xfId="0" applyNumberFormat="1" applyFont="1" applyFill="1" applyBorder="1" applyAlignment="1">
      <alignment horizontal="center" vertical="center"/>
    </xf>
    <xf numFmtId="169" fontId="30" fillId="0" borderId="4" xfId="152" applyNumberFormat="1" applyFont="1" applyBorder="1" applyAlignment="1">
      <alignment horizontal="center" vertical="top"/>
    </xf>
    <xf numFmtId="176" fontId="34" fillId="0" borderId="4" xfId="0" applyNumberFormat="1" applyFont="1" applyFill="1" applyBorder="1" applyAlignment="1">
      <alignment horizontal="center" vertical="top"/>
    </xf>
    <xf numFmtId="176" fontId="30" fillId="0" borderId="1" xfId="0" applyNumberFormat="1" applyFont="1" applyFill="1" applyBorder="1" applyAlignment="1">
      <alignment horizontal="center" vertical="center"/>
    </xf>
    <xf numFmtId="167" fontId="36" fillId="0" borderId="1" xfId="0" applyNumberFormat="1" applyFont="1" applyFill="1" applyBorder="1" applyAlignment="1">
      <alignment horizontal="center" vertical="center"/>
    </xf>
    <xf numFmtId="167" fontId="34" fillId="0" borderId="1" xfId="0" applyNumberFormat="1" applyFont="1" applyFill="1" applyBorder="1" applyAlignment="1">
      <alignment horizontal="center" vertical="center"/>
    </xf>
    <xf numFmtId="178" fontId="30" fillId="0" borderId="1" xfId="0" applyNumberFormat="1" applyFont="1" applyFill="1" applyBorder="1" applyAlignment="1">
      <alignment horizontal="center" vertical="center"/>
    </xf>
    <xf numFmtId="178" fontId="29" fillId="0" borderId="1" xfId="0" applyNumberFormat="1" applyFont="1" applyFill="1" applyBorder="1" applyAlignment="1">
      <alignment horizontal="center" vertical="center"/>
    </xf>
    <xf numFmtId="168" fontId="30" fillId="0" borderId="5" xfId="152" applyNumberFormat="1" applyFont="1" applyFill="1" applyBorder="1" applyAlignment="1">
      <alignment horizontal="center" vertical="top"/>
    </xf>
    <xf numFmtId="167" fontId="30" fillId="0" borderId="1" xfId="1" applyNumberFormat="1" applyFont="1" applyBorder="1" applyAlignment="1">
      <alignment horizontal="center" vertical="center" wrapText="1"/>
    </xf>
    <xf numFmtId="167" fontId="29" fillId="0" borderId="31" xfId="0" applyNumberFormat="1" applyFont="1" applyFill="1" applyBorder="1" applyAlignment="1">
      <alignment horizontal="center" vertical="center" wrapText="1"/>
    </xf>
    <xf numFmtId="167" fontId="34" fillId="2" borderId="1" xfId="0" applyNumberFormat="1" applyFont="1" applyFill="1" applyBorder="1" applyAlignment="1">
      <alignment horizontal="center" vertical="center" wrapText="1"/>
    </xf>
    <xf numFmtId="0" fontId="34" fillId="2" borderId="31" xfId="0" applyFont="1" applyFill="1" applyBorder="1" applyAlignment="1">
      <alignment horizontal="center" vertical="center" wrapText="1"/>
    </xf>
    <xf numFmtId="167" fontId="30" fillId="0" borderId="6" xfId="1" applyNumberFormat="1" applyFont="1" applyFill="1" applyBorder="1" applyAlignment="1">
      <alignment horizontal="center" vertical="center" wrapText="1"/>
    </xf>
    <xf numFmtId="167" fontId="30" fillId="0" borderId="1" xfId="0" applyNumberFormat="1" applyFont="1" applyFill="1" applyBorder="1" applyAlignment="1">
      <alignment horizontal="center" vertical="center" wrapText="1"/>
    </xf>
    <xf numFmtId="167" fontId="29" fillId="2" borderId="31" xfId="0" applyNumberFormat="1" applyFont="1" applyFill="1" applyBorder="1" applyAlignment="1">
      <alignment horizontal="center" vertical="center" wrapText="1"/>
    </xf>
    <xf numFmtId="167" fontId="29" fillId="2" borderId="1" xfId="0" applyNumberFormat="1" applyFont="1" applyFill="1" applyBorder="1" applyAlignment="1">
      <alignment horizontal="center" vertical="center" wrapText="1"/>
    </xf>
    <xf numFmtId="167" fontId="29" fillId="0" borderId="1" xfId="0" applyNumberFormat="1" applyFont="1" applyFill="1" applyBorder="1" applyAlignment="1">
      <alignment horizontal="center" vertical="center" wrapText="1"/>
    </xf>
    <xf numFmtId="0" fontId="29" fillId="0" borderId="1" xfId="0" applyFont="1" applyFill="1" applyBorder="1" applyAlignment="1">
      <alignment horizontal="center"/>
    </xf>
    <xf numFmtId="167" fontId="29" fillId="0" borderId="6" xfId="1" applyNumberFormat="1" applyFont="1" applyFill="1" applyBorder="1" applyAlignment="1">
      <alignment horizontal="center" vertical="center" wrapText="1"/>
    </xf>
    <xf numFmtId="0" fontId="29" fillId="0" borderId="1" xfId="0" applyFont="1" applyFill="1" applyBorder="1" applyAlignment="1">
      <alignment horizontal="center" vertical="center" wrapText="1"/>
    </xf>
    <xf numFmtId="167" fontId="30" fillId="0" borderId="7" xfId="0" applyNumberFormat="1" applyFont="1" applyFill="1" applyBorder="1" applyAlignment="1">
      <alignment horizontal="center" vertical="center" wrapText="1"/>
    </xf>
    <xf numFmtId="167" fontId="30" fillId="0" borderId="8" xfId="0" applyNumberFormat="1" applyFont="1" applyFill="1" applyBorder="1" applyAlignment="1">
      <alignment horizontal="center" vertical="center" wrapText="1"/>
    </xf>
    <xf numFmtId="169" fontId="29" fillId="0" borderId="3" xfId="0" applyNumberFormat="1" applyFont="1" applyBorder="1" applyAlignment="1">
      <alignment horizontal="center" vertical="center"/>
    </xf>
    <xf numFmtId="0" fontId="29" fillId="2" borderId="10" xfId="0" applyFont="1" applyFill="1" applyBorder="1" applyAlignment="1">
      <alignment horizontal="center" vertical="top" wrapText="1"/>
    </xf>
    <xf numFmtId="171" fontId="38" fillId="2" borderId="7" xfId="8" applyNumberFormat="1" applyFont="1" applyFill="1" applyBorder="1" applyAlignment="1">
      <alignment horizontal="center" vertical="center"/>
    </xf>
    <xf numFmtId="179" fontId="30" fillId="2" borderId="1" xfId="0" applyNumberFormat="1" applyFont="1" applyFill="1" applyBorder="1" applyAlignment="1">
      <alignment horizontal="center" vertical="center"/>
    </xf>
    <xf numFmtId="0" fontId="30" fillId="2" borderId="4" xfId="0" applyFont="1" applyFill="1" applyBorder="1" applyAlignment="1">
      <alignment vertical="center" wrapText="1"/>
    </xf>
    <xf numFmtId="3" fontId="30" fillId="2" borderId="1" xfId="0" applyNumberFormat="1" applyFont="1" applyFill="1" applyBorder="1" applyAlignment="1">
      <alignment horizontal="center" vertical="center" wrapText="1"/>
    </xf>
    <xf numFmtId="0" fontId="29" fillId="0" borderId="5" xfId="0" applyFont="1" applyFill="1" applyBorder="1" applyAlignment="1">
      <alignment vertical="center" wrapText="1"/>
    </xf>
    <xf numFmtId="171" fontId="37" fillId="2" borderId="1" xfId="8" applyNumberFormat="1" applyFont="1" applyFill="1" applyBorder="1" applyAlignment="1">
      <alignment horizontal="center" vertical="center"/>
    </xf>
    <xf numFmtId="1" fontId="29" fillId="2" borderId="1" xfId="0" applyNumberFormat="1" applyFont="1" applyFill="1" applyBorder="1" applyAlignment="1">
      <alignment horizontal="center" vertical="center"/>
    </xf>
    <xf numFmtId="1" fontId="29" fillId="2" borderId="7" xfId="0" applyNumberFormat="1" applyFont="1" applyFill="1" applyBorder="1" applyAlignment="1">
      <alignment horizontal="center" vertical="center"/>
    </xf>
    <xf numFmtId="167" fontId="29" fillId="0" borderId="1" xfId="3" applyNumberFormat="1" applyFont="1" applyFill="1" applyBorder="1" applyAlignment="1">
      <alignment horizontal="center" vertical="center" wrapText="1"/>
    </xf>
    <xf numFmtId="49" fontId="29" fillId="0" borderId="31" xfId="0" applyNumberFormat="1" applyFont="1" applyFill="1" applyBorder="1" applyAlignment="1">
      <alignment horizontal="center" vertical="center"/>
    </xf>
    <xf numFmtId="169" fontId="29" fillId="0" borderId="31" xfId="0" applyNumberFormat="1" applyFont="1" applyFill="1" applyBorder="1" applyAlignment="1">
      <alignment horizontal="center" vertical="center"/>
    </xf>
    <xf numFmtId="168" fontId="29" fillId="0" borderId="31" xfId="0" applyNumberFormat="1" applyFont="1" applyFill="1" applyBorder="1" applyAlignment="1">
      <alignment horizontal="center" vertical="center"/>
    </xf>
    <xf numFmtId="168" fontId="29" fillId="0" borderId="2" xfId="0" applyNumberFormat="1" applyFont="1" applyFill="1" applyBorder="1" applyAlignment="1">
      <alignment horizontal="center" vertical="center"/>
    </xf>
    <xf numFmtId="168" fontId="29" fillId="0" borderId="7" xfId="0" applyNumberFormat="1" applyFont="1" applyFill="1" applyBorder="1" applyAlignment="1">
      <alignment horizontal="center" vertical="center"/>
    </xf>
    <xf numFmtId="167" fontId="29" fillId="2" borderId="1" xfId="1" applyNumberFormat="1" applyFont="1" applyFill="1" applyBorder="1" applyAlignment="1">
      <alignment horizontal="center" vertical="center" wrapText="1"/>
    </xf>
    <xf numFmtId="169" fontId="29" fillId="2" borderId="1" xfId="0" applyNumberFormat="1" applyFont="1" applyFill="1" applyBorder="1" applyAlignment="1">
      <alignment horizontal="center" vertical="center" wrapText="1"/>
    </xf>
    <xf numFmtId="168" fontId="30" fillId="2" borderId="31" xfId="0" applyNumberFormat="1" applyFont="1" applyFill="1" applyBorder="1" applyAlignment="1">
      <alignment horizontal="center" vertical="center"/>
    </xf>
    <xf numFmtId="168" fontId="30" fillId="2" borderId="7" xfId="0" applyNumberFormat="1" applyFont="1" applyFill="1" applyBorder="1" applyAlignment="1">
      <alignment horizontal="center" vertical="center"/>
    </xf>
    <xf numFmtId="0" fontId="29" fillId="2" borderId="7" xfId="0" applyFont="1" applyFill="1" applyBorder="1" applyAlignment="1">
      <alignment horizontal="center" vertical="center" wrapText="1"/>
    </xf>
    <xf numFmtId="49" fontId="29" fillId="0" borderId="1" xfId="0" applyNumberFormat="1" applyFont="1" applyFill="1" applyBorder="1" applyAlignment="1">
      <alignment horizontal="center" vertical="center"/>
    </xf>
    <xf numFmtId="169" fontId="29" fillId="0" borderId="1" xfId="0" applyNumberFormat="1" applyFont="1" applyFill="1" applyBorder="1" applyAlignment="1">
      <alignment horizontal="center" vertical="center"/>
    </xf>
    <xf numFmtId="168" fontId="29" fillId="0" borderId="1" xfId="0" applyNumberFormat="1" applyFont="1" applyFill="1" applyBorder="1" applyAlignment="1">
      <alignment horizontal="center" vertical="center"/>
    </xf>
    <xf numFmtId="0" fontId="29" fillId="0" borderId="7" xfId="0" applyFont="1" applyBorder="1" applyAlignment="1">
      <alignment horizontal="center" vertical="center"/>
    </xf>
    <xf numFmtId="0" fontId="29" fillId="2" borderId="31" xfId="0" applyFont="1" applyFill="1" applyBorder="1" applyAlignment="1">
      <alignment horizontal="center" vertical="center" wrapText="1"/>
    </xf>
    <xf numFmtId="0" fontId="29" fillId="0" borderId="2" xfId="0" applyFont="1" applyBorder="1" applyAlignment="1">
      <alignment horizontal="center" vertical="center"/>
    </xf>
    <xf numFmtId="169" fontId="30" fillId="2" borderId="31" xfId="0" applyNumberFormat="1" applyFont="1" applyFill="1" applyBorder="1" applyAlignment="1">
      <alignment horizontal="center" vertical="center"/>
    </xf>
    <xf numFmtId="49" fontId="29" fillId="2" borderId="31" xfId="0" applyNumberFormat="1" applyFont="1" applyFill="1" applyBorder="1" applyAlignment="1">
      <alignment horizontal="center" vertical="center"/>
    </xf>
    <xf numFmtId="49" fontId="29" fillId="2" borderId="7" xfId="0" applyNumberFormat="1" applyFont="1" applyFill="1" applyBorder="1" applyAlignment="1">
      <alignment horizontal="center" vertical="center"/>
    </xf>
    <xf numFmtId="167" fontId="29" fillId="0" borderId="7" xfId="3" applyNumberFormat="1" applyFont="1" applyFill="1" applyBorder="1" applyAlignment="1">
      <alignment horizontal="center" vertical="center" wrapText="1"/>
    </xf>
    <xf numFmtId="0" fontId="30" fillId="2" borderId="1" xfId="0" applyFont="1" applyFill="1" applyBorder="1" applyAlignment="1">
      <alignment horizontal="left" vertical="center" wrapText="1"/>
    </xf>
    <xf numFmtId="167" fontId="29" fillId="2" borderId="6" xfId="1" applyNumberFormat="1" applyFont="1" applyFill="1" applyBorder="1" applyAlignment="1">
      <alignment horizontal="center" vertical="center" wrapText="1"/>
    </xf>
    <xf numFmtId="0" fontId="29" fillId="2" borderId="1" xfId="0" applyFont="1" applyFill="1" applyBorder="1" applyAlignment="1">
      <alignment horizontal="center" vertical="center"/>
    </xf>
    <xf numFmtId="0" fontId="29" fillId="0" borderId="1" xfId="0" applyFont="1" applyBorder="1" applyAlignment="1">
      <alignment horizontal="center" vertical="center"/>
    </xf>
    <xf numFmtId="167" fontId="29" fillId="2" borderId="31" xfId="1" applyNumberFormat="1" applyFont="1" applyFill="1" applyBorder="1" applyAlignment="1">
      <alignment horizontal="center" vertical="center" wrapText="1"/>
    </xf>
    <xf numFmtId="167" fontId="29" fillId="2" borderId="7" xfId="0" applyNumberFormat="1" applyFont="1" applyFill="1" applyBorder="1" applyAlignment="1">
      <alignment horizontal="center" vertical="center" wrapText="1"/>
    </xf>
    <xf numFmtId="168" fontId="29" fillId="2" borderId="7" xfId="0" applyNumberFormat="1" applyFont="1" applyFill="1" applyBorder="1" applyAlignment="1">
      <alignment horizontal="center" vertical="center" wrapText="1"/>
    </xf>
    <xf numFmtId="169" fontId="29" fillId="2" borderId="7" xfId="0" applyNumberFormat="1" applyFont="1" applyFill="1" applyBorder="1" applyAlignment="1">
      <alignment horizontal="center" vertical="center" wrapText="1"/>
    </xf>
    <xf numFmtId="168" fontId="29" fillId="0" borderId="7" xfId="0" applyNumberFormat="1" applyFont="1" applyBorder="1" applyAlignment="1">
      <alignment horizontal="center" vertical="center"/>
    </xf>
    <xf numFmtId="169" fontId="29" fillId="2" borderId="7" xfId="0" applyNumberFormat="1" applyFont="1" applyFill="1" applyBorder="1" applyAlignment="1">
      <alignment horizontal="center" vertical="center"/>
    </xf>
    <xf numFmtId="168" fontId="30" fillId="2" borderId="31" xfId="0" applyNumberFormat="1" applyFont="1" applyFill="1" applyBorder="1" applyAlignment="1">
      <alignment horizontal="center" vertical="center" wrapText="1"/>
    </xf>
    <xf numFmtId="168" fontId="30" fillId="2" borderId="7" xfId="0" applyNumberFormat="1" applyFont="1" applyFill="1" applyBorder="1" applyAlignment="1">
      <alignment horizontal="center" vertical="center" wrapText="1"/>
    </xf>
    <xf numFmtId="0" fontId="30" fillId="2" borderId="31" xfId="0"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168" fontId="29" fillId="2" borderId="31" xfId="0" applyNumberFormat="1" applyFont="1" applyFill="1" applyBorder="1" applyAlignment="1">
      <alignment horizontal="center" vertical="center" wrapText="1"/>
    </xf>
    <xf numFmtId="168" fontId="29" fillId="2" borderId="2" xfId="0" applyNumberFormat="1" applyFont="1" applyFill="1" applyBorder="1" applyAlignment="1">
      <alignment horizontal="center" vertical="center" wrapText="1"/>
    </xf>
    <xf numFmtId="0" fontId="29" fillId="0" borderId="31" xfId="3" applyFont="1" applyFill="1" applyBorder="1" applyAlignment="1">
      <alignment horizontal="center" vertical="center" wrapText="1"/>
    </xf>
    <xf numFmtId="167" fontId="29" fillId="0" borderId="0" xfId="0" applyNumberFormat="1" applyFont="1" applyAlignment="1">
      <alignment horizontal="center" vertical="center"/>
    </xf>
    <xf numFmtId="0" fontId="30" fillId="3" borderId="1" xfId="0" applyFont="1" applyFill="1" applyBorder="1" applyAlignment="1">
      <alignment horizontal="left" vertical="center"/>
    </xf>
    <xf numFmtId="169" fontId="30" fillId="0" borderId="1" xfId="0" applyNumberFormat="1" applyFont="1" applyBorder="1" applyAlignment="1">
      <alignment horizontal="center" vertical="center"/>
    </xf>
    <xf numFmtId="167" fontId="29" fillId="0" borderId="1" xfId="0" applyNumberFormat="1" applyFont="1" applyFill="1" applyBorder="1" applyAlignment="1">
      <alignment horizontal="center" vertical="center" wrapText="1"/>
    </xf>
    <xf numFmtId="167" fontId="30" fillId="0" borderId="1" xfId="0" applyNumberFormat="1" applyFont="1" applyFill="1" applyBorder="1" applyAlignment="1">
      <alignment horizontal="center" vertical="center" wrapText="1"/>
    </xf>
    <xf numFmtId="167" fontId="30" fillId="3" borderId="1" xfId="0" applyNumberFormat="1" applyFont="1" applyFill="1" applyBorder="1" applyAlignment="1">
      <alignment horizontal="center" vertical="center" wrapText="1"/>
    </xf>
    <xf numFmtId="0" fontId="29" fillId="3" borderId="1" xfId="0" applyFont="1" applyFill="1" applyBorder="1" applyAlignment="1">
      <alignment horizontal="left" vertical="center" wrapText="1"/>
    </xf>
    <xf numFmtId="0" fontId="29" fillId="3" borderId="1" xfId="0" applyFont="1" applyFill="1" applyBorder="1" applyAlignment="1">
      <alignment horizontal="center" vertical="center" wrapText="1"/>
    </xf>
    <xf numFmtId="49" fontId="29" fillId="2" borderId="31" xfId="0" applyNumberFormat="1" applyFont="1" applyFill="1" applyBorder="1" applyAlignment="1">
      <alignment horizontal="center" vertical="center" wrapText="1"/>
    </xf>
    <xf numFmtId="49" fontId="29" fillId="2" borderId="7" xfId="0" applyNumberFormat="1" applyFont="1" applyFill="1" applyBorder="1" applyAlignment="1">
      <alignment horizontal="center" vertical="center" wrapText="1"/>
    </xf>
    <xf numFmtId="169" fontId="29" fillId="2" borderId="31" xfId="0" applyNumberFormat="1" applyFont="1" applyFill="1" applyBorder="1" applyAlignment="1">
      <alignment horizontal="center" vertical="center" wrapText="1"/>
    </xf>
    <xf numFmtId="0" fontId="29" fillId="2" borderId="31" xfId="0" applyFont="1" applyFill="1" applyBorder="1" applyAlignment="1">
      <alignment vertical="center" wrapText="1"/>
    </xf>
    <xf numFmtId="167" fontId="29" fillId="2" borderId="1" xfId="0" applyNumberFormat="1" applyFont="1" applyFill="1" applyBorder="1" applyAlignment="1">
      <alignment horizontal="center" vertical="center" wrapText="1"/>
    </xf>
    <xf numFmtId="167" fontId="30" fillId="2" borderId="1" xfId="0" applyNumberFormat="1" applyFont="1" applyFill="1" applyBorder="1" applyAlignment="1">
      <alignment horizontal="center" vertical="center" wrapText="1"/>
    </xf>
    <xf numFmtId="169" fontId="30" fillId="2" borderId="1" xfId="0" applyNumberFormat="1" applyFont="1" applyFill="1" applyBorder="1" applyAlignment="1">
      <alignment horizontal="center" vertical="center"/>
    </xf>
    <xf numFmtId="49" fontId="29" fillId="2" borderId="1" xfId="0" applyNumberFormat="1" applyFont="1" applyFill="1" applyBorder="1" applyAlignment="1">
      <alignment horizontal="center" vertical="center"/>
    </xf>
    <xf numFmtId="0" fontId="30" fillId="2" borderId="32" xfId="0" applyFont="1" applyFill="1" applyBorder="1" applyAlignment="1">
      <alignment horizontal="left" vertical="center" wrapText="1"/>
    </xf>
    <xf numFmtId="1" fontId="29" fillId="2" borderId="31" xfId="0" applyNumberFormat="1" applyFont="1" applyFill="1" applyBorder="1" applyAlignment="1">
      <alignment horizontal="center" vertical="center"/>
    </xf>
    <xf numFmtId="169" fontId="30" fillId="2" borderId="1" xfId="0" applyNumberFormat="1" applyFont="1" applyFill="1" applyBorder="1" applyAlignment="1">
      <alignment horizontal="center" vertical="center" wrapText="1"/>
    </xf>
    <xf numFmtId="0" fontId="29" fillId="2" borderId="1" xfId="0" applyFont="1" applyFill="1" applyBorder="1" applyAlignment="1">
      <alignment horizontal="center" vertical="center" wrapText="1"/>
    </xf>
    <xf numFmtId="0" fontId="30" fillId="2" borderId="1" xfId="0" applyFont="1" applyFill="1" applyBorder="1" applyAlignment="1">
      <alignment vertical="center"/>
    </xf>
    <xf numFmtId="167" fontId="29" fillId="3" borderId="1" xfId="0" applyNumberFormat="1" applyFont="1" applyFill="1" applyBorder="1" applyAlignment="1">
      <alignment horizontal="center" vertical="center" wrapText="1"/>
    </xf>
    <xf numFmtId="169" fontId="29" fillId="2" borderId="31" xfId="0" applyNumberFormat="1" applyFont="1" applyFill="1" applyBorder="1" applyAlignment="1">
      <alignment horizontal="center" vertical="center"/>
    </xf>
    <xf numFmtId="168" fontId="30" fillId="2" borderId="1" xfId="0" applyNumberFormat="1" applyFont="1" applyFill="1" applyBorder="1" applyAlignment="1">
      <alignment horizontal="center" vertical="center"/>
    </xf>
    <xf numFmtId="0" fontId="30" fillId="3" borderId="1" xfId="0" applyFont="1" applyFill="1" applyBorder="1" applyAlignment="1">
      <alignment vertical="center"/>
    </xf>
    <xf numFmtId="167" fontId="29" fillId="0" borderId="1" xfId="0" applyNumberFormat="1" applyFont="1" applyFill="1" applyBorder="1" applyAlignment="1">
      <alignment horizontal="center" vertical="center" wrapText="1"/>
    </xf>
    <xf numFmtId="0" fontId="30" fillId="0" borderId="4" xfId="0" applyFont="1" applyBorder="1" applyAlignment="1">
      <alignment horizontal="left" vertical="center" wrapText="1"/>
    </xf>
    <xf numFmtId="0" fontId="30" fillId="0" borderId="1" xfId="0" applyFont="1" applyBorder="1" applyAlignment="1">
      <alignment horizontal="left" vertical="center" wrapText="1"/>
    </xf>
    <xf numFmtId="181" fontId="29" fillId="2" borderId="31" xfId="0" applyNumberFormat="1" applyFont="1" applyFill="1" applyBorder="1" applyAlignment="1">
      <alignment horizontal="center" vertical="center" wrapText="1"/>
    </xf>
    <xf numFmtId="1" fontId="29" fillId="2" borderId="31" xfId="0" applyNumberFormat="1" applyFont="1" applyFill="1" applyBorder="1" applyAlignment="1">
      <alignment vertical="center" wrapText="1"/>
    </xf>
    <xf numFmtId="1" fontId="29" fillId="2" borderId="1" xfId="0" applyNumberFormat="1" applyFont="1" applyFill="1" applyBorder="1" applyAlignment="1">
      <alignment horizontal="right" vertical="center"/>
    </xf>
    <xf numFmtId="1" fontId="29" fillId="2" borderId="1" xfId="0" applyNumberFormat="1" applyFont="1" applyFill="1" applyBorder="1" applyAlignment="1">
      <alignment vertical="center"/>
    </xf>
    <xf numFmtId="1" fontId="29" fillId="2" borderId="7" xfId="0" applyNumberFormat="1" applyFont="1" applyFill="1" applyBorder="1" applyAlignment="1">
      <alignment horizontal="right" vertical="center"/>
    </xf>
    <xf numFmtId="167" fontId="29" fillId="2" borderId="1" xfId="1" applyNumberFormat="1" applyFont="1" applyFill="1" applyBorder="1" applyAlignment="1">
      <alignment vertical="center" wrapText="1"/>
    </xf>
    <xf numFmtId="167" fontId="29" fillId="2" borderId="2" xfId="1" applyNumberFormat="1" applyFont="1" applyFill="1" applyBorder="1" applyAlignment="1">
      <alignment vertical="center" wrapText="1"/>
    </xf>
    <xf numFmtId="0" fontId="29" fillId="2" borderId="1" xfId="0" applyFont="1" applyFill="1" applyBorder="1" applyAlignment="1">
      <alignment horizontal="right" vertical="center" wrapText="1"/>
    </xf>
    <xf numFmtId="1" fontId="29" fillId="2" borderId="1" xfId="0" applyNumberFormat="1" applyFont="1" applyFill="1" applyBorder="1" applyAlignment="1">
      <alignment vertical="center" wrapText="1"/>
    </xf>
    <xf numFmtId="1" fontId="29" fillId="2" borderId="7" xfId="0" applyNumberFormat="1" applyFont="1" applyFill="1" applyBorder="1" applyAlignment="1">
      <alignment vertical="center" wrapText="1"/>
    </xf>
    <xf numFmtId="181" fontId="29" fillId="2" borderId="1" xfId="0" applyNumberFormat="1" applyFont="1" applyFill="1" applyBorder="1" applyAlignment="1">
      <alignment horizontal="center" vertical="center" wrapText="1"/>
    </xf>
    <xf numFmtId="168" fontId="29" fillId="2" borderId="32" xfId="0" applyNumberFormat="1" applyFont="1" applyFill="1" applyBorder="1" applyAlignment="1">
      <alignment horizontal="center" vertical="center"/>
    </xf>
    <xf numFmtId="9" fontId="29" fillId="2" borderId="7" xfId="0" applyNumberFormat="1" applyFont="1" applyFill="1" applyBorder="1" applyAlignment="1">
      <alignment horizontal="center" vertical="center" wrapText="1"/>
    </xf>
    <xf numFmtId="0" fontId="29" fillId="2" borderId="1" xfId="0" applyFont="1" applyFill="1" applyBorder="1" applyAlignment="1">
      <alignment horizontal="justify" vertical="center" wrapText="1"/>
    </xf>
    <xf numFmtId="170" fontId="30" fillId="2" borderId="1" xfId="17" applyNumberFormat="1" applyFont="1" applyFill="1" applyBorder="1" applyAlignment="1">
      <alignment horizontal="center" vertical="center" wrapText="1"/>
    </xf>
    <xf numFmtId="0" fontId="30" fillId="2" borderId="1" xfId="3" applyNumberFormat="1" applyFont="1" applyFill="1" applyBorder="1" applyAlignment="1">
      <alignment horizontal="center" wrapText="1"/>
    </xf>
    <xf numFmtId="167" fontId="29" fillId="0" borderId="1" xfId="8" applyNumberFormat="1" applyFont="1" applyFill="1" applyBorder="1" applyAlignment="1">
      <alignment horizontal="center" vertical="center"/>
    </xf>
    <xf numFmtId="170" fontId="29" fillId="2" borderId="1" xfId="17" applyNumberFormat="1" applyFont="1" applyFill="1" applyBorder="1" applyAlignment="1">
      <alignment horizontal="center" vertical="center" wrapText="1"/>
    </xf>
    <xf numFmtId="9" fontId="29" fillId="0" borderId="1" xfId="3" applyNumberFormat="1" applyFont="1" applyFill="1" applyBorder="1" applyAlignment="1">
      <alignment horizontal="center" vertical="center" wrapText="1"/>
    </xf>
    <xf numFmtId="170" fontId="29" fillId="0" borderId="1" xfId="17" applyNumberFormat="1" applyFont="1" applyFill="1" applyBorder="1" applyAlignment="1">
      <alignment horizontal="center" vertical="center" wrapText="1"/>
    </xf>
    <xf numFmtId="0" fontId="29" fillId="0" borderId="1" xfId="3" applyNumberFormat="1" applyFont="1" applyFill="1" applyBorder="1" applyAlignment="1">
      <alignment horizontal="center" vertical="center" wrapText="1"/>
    </xf>
    <xf numFmtId="170" fontId="29" fillId="0" borderId="1" xfId="3" applyNumberFormat="1" applyFont="1" applyFill="1" applyBorder="1" applyAlignment="1">
      <alignment horizontal="center" vertical="center" wrapText="1"/>
    </xf>
    <xf numFmtId="0" fontId="29" fillId="0" borderId="1" xfId="3" applyFont="1" applyFill="1" applyBorder="1" applyAlignment="1">
      <alignment horizontal="center" wrapText="1"/>
    </xf>
    <xf numFmtId="170" fontId="29" fillId="0" borderId="1" xfId="0" applyNumberFormat="1" applyFont="1" applyFill="1" applyBorder="1" applyAlignment="1">
      <alignment horizontal="center" wrapText="1"/>
    </xf>
    <xf numFmtId="170" fontId="29" fillId="0" borderId="1" xfId="0" applyNumberFormat="1" applyFont="1" applyFill="1" applyBorder="1" applyAlignment="1">
      <alignment horizontal="center" vertical="center" wrapText="1"/>
    </xf>
    <xf numFmtId="1" fontId="29" fillId="0" borderId="1" xfId="3" applyNumberFormat="1" applyFont="1" applyFill="1" applyBorder="1" applyAlignment="1">
      <alignment horizontal="center" wrapText="1"/>
    </xf>
    <xf numFmtId="1" fontId="29" fillId="0" borderId="1" xfId="3" applyNumberFormat="1" applyFont="1" applyFill="1" applyBorder="1" applyAlignment="1">
      <alignment horizontal="center" vertical="center" wrapText="1"/>
    </xf>
    <xf numFmtId="9" fontId="29" fillId="2" borderId="1" xfId="17" applyFont="1" applyFill="1" applyBorder="1" applyAlignment="1">
      <alignment horizontal="center" vertical="center" wrapText="1"/>
    </xf>
    <xf numFmtId="170" fontId="29" fillId="0" borderId="31" xfId="17" applyNumberFormat="1" applyFont="1" applyFill="1" applyBorder="1" applyAlignment="1">
      <alignment horizontal="center" vertical="center" wrapText="1"/>
    </xf>
    <xf numFmtId="170" fontId="30" fillId="2" borderId="1" xfId="17" applyNumberFormat="1" applyFont="1" applyFill="1" applyBorder="1" applyAlignment="1">
      <alignment vertical="center" wrapText="1"/>
    </xf>
    <xf numFmtId="0" fontId="39" fillId="0" borderId="1" xfId="3" applyFont="1" applyFill="1" applyBorder="1" applyAlignment="1">
      <alignment horizontal="center" vertical="center" wrapText="1"/>
    </xf>
    <xf numFmtId="170" fontId="39" fillId="0" borderId="1" xfId="17" applyNumberFormat="1" applyFont="1" applyFill="1" applyBorder="1" applyAlignment="1">
      <alignment horizontal="center" vertical="center" wrapText="1"/>
    </xf>
    <xf numFmtId="0" fontId="40" fillId="0" borderId="1" xfId="3" applyFont="1" applyFill="1" applyBorder="1" applyAlignment="1">
      <alignment horizontal="center" vertical="center" wrapText="1"/>
    </xf>
    <xf numFmtId="0" fontId="40" fillId="2" borderId="7" xfId="3" applyFont="1" applyFill="1" applyBorder="1" applyAlignment="1">
      <alignment horizontal="center" vertical="center" wrapText="1"/>
    </xf>
    <xf numFmtId="170" fontId="39" fillId="2" borderId="7" xfId="17" applyNumberFormat="1" applyFont="1" applyFill="1" applyBorder="1" applyAlignment="1">
      <alignment horizontal="center" vertical="center" wrapText="1"/>
    </xf>
    <xf numFmtId="0" fontId="39" fillId="2" borderId="1" xfId="3" applyFont="1" applyFill="1" applyBorder="1" applyAlignment="1">
      <alignment horizontal="center" vertical="center" wrapText="1"/>
    </xf>
    <xf numFmtId="170" fontId="39" fillId="2" borderId="1" xfId="17" applyNumberFormat="1" applyFont="1" applyFill="1" applyBorder="1" applyAlignment="1">
      <alignment horizontal="center" vertical="center" wrapText="1"/>
    </xf>
    <xf numFmtId="168" fontId="29" fillId="2" borderId="4" xfId="0" applyNumberFormat="1" applyFont="1" applyFill="1" applyBorder="1" applyAlignment="1">
      <alignment horizontal="center" vertical="center"/>
    </xf>
    <xf numFmtId="169" fontId="30" fillId="2" borderId="4" xfId="0" applyNumberFormat="1" applyFont="1" applyFill="1" applyBorder="1" applyAlignment="1">
      <alignment vertical="center"/>
    </xf>
    <xf numFmtId="169" fontId="30" fillId="3" borderId="5" xfId="0" applyNumberFormat="1" applyFont="1" applyFill="1" applyBorder="1" applyAlignment="1">
      <alignment vertical="center"/>
    </xf>
    <xf numFmtId="169" fontId="30" fillId="3" borderId="6" xfId="0" applyNumberFormat="1" applyFont="1" applyFill="1" applyBorder="1" applyAlignment="1">
      <alignment vertical="center"/>
    </xf>
    <xf numFmtId="0" fontId="30" fillId="3" borderId="1" xfId="0" applyFont="1" applyFill="1" applyBorder="1" applyAlignment="1">
      <alignment horizontal="center" vertical="center"/>
    </xf>
    <xf numFmtId="167" fontId="29" fillId="3" borderId="25" xfId="0" applyNumberFormat="1" applyFont="1" applyFill="1" applyBorder="1" applyAlignment="1">
      <alignment horizontal="left" vertical="center"/>
    </xf>
    <xf numFmtId="167" fontId="30" fillId="3" borderId="1" xfId="0" applyNumberFormat="1" applyFont="1" applyFill="1" applyBorder="1" applyAlignment="1">
      <alignment horizontal="left" vertical="center" wrapText="1"/>
    </xf>
    <xf numFmtId="0" fontId="30" fillId="3" borderId="1" xfId="0" applyFont="1" applyFill="1" applyBorder="1" applyAlignment="1">
      <alignment horizontal="center" vertical="center" wrapText="1"/>
    </xf>
    <xf numFmtId="167" fontId="30" fillId="3" borderId="5" xfId="1" applyNumberFormat="1" applyFont="1" applyFill="1" applyBorder="1" applyAlignment="1">
      <alignment horizontal="center" vertical="center" wrapText="1"/>
    </xf>
    <xf numFmtId="0" fontId="30" fillId="3" borderId="5" xfId="0" applyFont="1" applyFill="1" applyBorder="1" applyAlignment="1">
      <alignment horizontal="left" vertical="top" wrapText="1"/>
    </xf>
    <xf numFmtId="167" fontId="30" fillId="3" borderId="5" xfId="0" applyNumberFormat="1" applyFont="1" applyFill="1" applyBorder="1" applyAlignment="1">
      <alignment horizontal="center" vertical="center" wrapText="1"/>
    </xf>
    <xf numFmtId="3" fontId="30" fillId="3" borderId="5" xfId="0" applyNumberFormat="1" applyFont="1" applyFill="1" applyBorder="1" applyAlignment="1">
      <alignment horizontal="center" vertical="center" wrapText="1"/>
    </xf>
    <xf numFmtId="3" fontId="30" fillId="3" borderId="6" xfId="0" applyNumberFormat="1" applyFont="1" applyFill="1" applyBorder="1" applyAlignment="1">
      <alignment horizontal="center" vertical="center" wrapText="1"/>
    </xf>
    <xf numFmtId="167" fontId="30" fillId="3" borderId="9" xfId="1" applyNumberFormat="1" applyFont="1" applyFill="1" applyBorder="1" applyAlignment="1">
      <alignment horizontal="center" vertical="center"/>
    </xf>
    <xf numFmtId="0" fontId="30" fillId="3" borderId="1" xfId="4" applyFont="1" applyFill="1" applyBorder="1" applyAlignment="1">
      <alignment horizontal="left" vertical="center" wrapText="1"/>
    </xf>
    <xf numFmtId="167" fontId="30" fillId="3" borderId="1" xfId="4" applyNumberFormat="1" applyFont="1" applyFill="1" applyBorder="1" applyAlignment="1">
      <alignment horizontal="center" vertical="center" wrapText="1"/>
    </xf>
    <xf numFmtId="0" fontId="30" fillId="3" borderId="1" xfId="4" applyFont="1" applyFill="1" applyBorder="1" applyAlignment="1">
      <alignment horizontal="center" vertical="center" wrapText="1"/>
    </xf>
    <xf numFmtId="0" fontId="29" fillId="3" borderId="1" xfId="4" applyFont="1" applyFill="1" applyBorder="1" applyAlignment="1">
      <alignment horizontal="center" vertical="center" wrapText="1"/>
    </xf>
    <xf numFmtId="0" fontId="29" fillId="3" borderId="1" xfId="4" applyFont="1" applyFill="1" applyBorder="1" applyAlignment="1">
      <alignment horizontal="center" vertical="center"/>
    </xf>
    <xf numFmtId="0" fontId="29" fillId="3" borderId="4" xfId="4" applyFont="1" applyFill="1" applyBorder="1" applyAlignment="1">
      <alignment horizontal="center" vertical="center"/>
    </xf>
    <xf numFmtId="167" fontId="30" fillId="3" borderId="7" xfId="1" applyNumberFormat="1" applyFont="1" applyFill="1" applyBorder="1" applyAlignment="1">
      <alignment horizontal="center" vertical="center" wrapText="1"/>
    </xf>
    <xf numFmtId="0" fontId="30" fillId="3" borderId="1" xfId="0" applyFont="1" applyFill="1" applyBorder="1" applyAlignment="1">
      <alignment horizontal="left" vertical="top" wrapText="1"/>
    </xf>
    <xf numFmtId="3" fontId="30" fillId="3" borderId="1" xfId="0" applyNumberFormat="1" applyFont="1" applyFill="1" applyBorder="1" applyAlignment="1">
      <alignment horizontal="center" vertical="center" wrapText="1"/>
    </xf>
    <xf numFmtId="168" fontId="30" fillId="2" borderId="31" xfId="0" applyNumberFormat="1" applyFont="1" applyFill="1" applyBorder="1" applyAlignment="1">
      <alignment horizontal="center" vertical="center"/>
    </xf>
    <xf numFmtId="168" fontId="30" fillId="2" borderId="2" xfId="0" applyNumberFormat="1" applyFont="1" applyFill="1" applyBorder="1" applyAlignment="1">
      <alignment horizontal="center" vertical="center"/>
    </xf>
    <xf numFmtId="168" fontId="30" fillId="2" borderId="7" xfId="0" applyNumberFormat="1" applyFont="1" applyFill="1" applyBorder="1" applyAlignment="1">
      <alignment horizontal="center" vertical="center"/>
    </xf>
    <xf numFmtId="49" fontId="29" fillId="2" borderId="8" xfId="0" applyNumberFormat="1" applyFont="1" applyFill="1" applyBorder="1" applyAlignment="1">
      <alignment horizontal="center" vertical="center"/>
    </xf>
    <xf numFmtId="167" fontId="30" fillId="2" borderId="1" xfId="8" applyNumberFormat="1" applyFont="1" applyFill="1" applyBorder="1" applyAlignment="1">
      <alignment horizontal="center" vertical="center" wrapText="1"/>
    </xf>
    <xf numFmtId="167" fontId="29" fillId="2" borderId="1" xfId="0" applyNumberFormat="1" applyFont="1" applyFill="1" applyBorder="1" applyAlignment="1">
      <alignment horizontal="center" vertical="center" wrapText="1"/>
    </xf>
    <xf numFmtId="49" fontId="29" fillId="2" borderId="1" xfId="0" applyNumberFormat="1" applyFont="1" applyFill="1" applyBorder="1" applyAlignment="1">
      <alignment horizontal="center" vertical="center"/>
    </xf>
    <xf numFmtId="0" fontId="29" fillId="2" borderId="1" xfId="0" applyFont="1" applyFill="1" applyBorder="1" applyAlignment="1">
      <alignment horizontal="center" vertical="center" wrapText="1"/>
    </xf>
    <xf numFmtId="167" fontId="29" fillId="0" borderId="1" xfId="1" applyNumberFormat="1" applyFont="1" applyFill="1" applyBorder="1" applyAlignment="1">
      <alignment horizontal="center" vertical="center" wrapText="1"/>
    </xf>
    <xf numFmtId="167" fontId="29" fillId="0" borderId="1" xfId="0" applyNumberFormat="1" applyFont="1" applyFill="1" applyBorder="1" applyAlignment="1">
      <alignment horizontal="center" vertical="center" wrapText="1"/>
    </xf>
    <xf numFmtId="0" fontId="29" fillId="0" borderId="4" xfId="0" applyFont="1" applyBorder="1" applyAlignment="1">
      <alignment horizontal="left" vertical="center" wrapText="1"/>
    </xf>
    <xf numFmtId="0" fontId="30" fillId="0" borderId="4" xfId="0" applyFont="1" applyFill="1" applyBorder="1" applyAlignment="1">
      <alignment horizontal="left" vertical="center" wrapText="1"/>
    </xf>
    <xf numFmtId="0" fontId="29" fillId="0" borderId="7" xfId="3" applyFont="1" applyFill="1" applyBorder="1" applyAlignment="1">
      <alignment horizontal="center" vertical="center" wrapText="1"/>
    </xf>
    <xf numFmtId="0" fontId="30" fillId="3" borderId="7" xfId="0" applyFont="1" applyFill="1" applyBorder="1" applyAlignment="1">
      <alignment horizontal="center" vertical="center" wrapText="1"/>
    </xf>
    <xf numFmtId="167" fontId="29" fillId="2" borderId="7" xfId="1" applyNumberFormat="1" applyFont="1" applyFill="1" applyBorder="1" applyAlignment="1">
      <alignment horizontal="center" vertical="center" wrapText="1"/>
    </xf>
    <xf numFmtId="49" fontId="29" fillId="0" borderId="1" xfId="0" applyNumberFormat="1" applyFont="1" applyFill="1" applyBorder="1" applyAlignment="1">
      <alignment horizontal="center" vertical="center"/>
    </xf>
    <xf numFmtId="167" fontId="29" fillId="2" borderId="31" xfId="0" applyNumberFormat="1" applyFont="1" applyFill="1" applyBorder="1" applyAlignment="1">
      <alignment horizontal="center" vertical="center" wrapText="1"/>
    </xf>
    <xf numFmtId="49" fontId="29" fillId="0" borderId="1" xfId="0" applyNumberFormat="1" applyFont="1" applyFill="1" applyBorder="1" applyAlignment="1">
      <alignment vertical="center"/>
    </xf>
    <xf numFmtId="167" fontId="29" fillId="2" borderId="9" xfId="1" applyNumberFormat="1" applyFont="1" applyFill="1" applyBorder="1" applyAlignment="1">
      <alignment horizontal="center" vertical="center" wrapText="1"/>
    </xf>
    <xf numFmtId="174" fontId="30" fillId="0" borderId="1" xfId="37" applyNumberFormat="1" applyFont="1" applyFill="1" applyBorder="1" applyAlignment="1">
      <alignment horizontal="center" vertical="center"/>
    </xf>
    <xf numFmtId="174" fontId="29" fillId="0" borderId="1" xfId="37" applyNumberFormat="1" applyFont="1" applyFill="1" applyBorder="1" applyAlignment="1">
      <alignment horizontal="center" vertical="center"/>
    </xf>
    <xf numFmtId="169" fontId="30" fillId="0" borderId="1" xfId="37" applyNumberFormat="1" applyFont="1" applyFill="1" applyBorder="1" applyAlignment="1">
      <alignment horizontal="center" vertical="center"/>
    </xf>
    <xf numFmtId="168" fontId="30" fillId="0" borderId="1" xfId="37" applyNumberFormat="1" applyFont="1" applyFill="1" applyBorder="1" applyAlignment="1">
      <alignment horizontal="center" vertical="center"/>
    </xf>
    <xf numFmtId="49" fontId="30" fillId="0" borderId="1" xfId="37" applyNumberFormat="1" applyFont="1" applyFill="1" applyBorder="1" applyAlignment="1">
      <alignment horizontal="center" vertical="center"/>
    </xf>
    <xf numFmtId="171" fontId="30" fillId="0" borderId="1" xfId="37" applyNumberFormat="1" applyFont="1" applyFill="1" applyBorder="1" applyAlignment="1">
      <alignment horizontal="center" vertical="center" wrapText="1"/>
    </xf>
    <xf numFmtId="174" fontId="30" fillId="0" borderId="1" xfId="37" applyNumberFormat="1" applyFont="1" applyFill="1" applyBorder="1" applyAlignment="1">
      <alignment horizontal="center" vertical="center" wrapText="1"/>
    </xf>
    <xf numFmtId="3" fontId="29" fillId="0" borderId="1" xfId="0" applyNumberFormat="1" applyFont="1" applyFill="1" applyBorder="1" applyAlignment="1">
      <alignment horizontal="right" vertical="center"/>
    </xf>
    <xf numFmtId="171" fontId="29" fillId="0" borderId="1" xfId="37" applyNumberFormat="1" applyFont="1" applyFill="1" applyBorder="1" applyAlignment="1">
      <alignment vertical="center"/>
    </xf>
    <xf numFmtId="166" fontId="29" fillId="0" borderId="1" xfId="0" applyNumberFormat="1" applyFont="1" applyFill="1" applyBorder="1" applyAlignment="1">
      <alignment horizontal="right" vertical="center"/>
    </xf>
    <xf numFmtId="0" fontId="29" fillId="0" borderId="1" xfId="0" applyFont="1" applyFill="1" applyBorder="1" applyAlignment="1">
      <alignment horizontal="right" vertical="center" wrapText="1"/>
    </xf>
    <xf numFmtId="166" fontId="29" fillId="0" borderId="1" xfId="0" applyNumberFormat="1" applyFont="1" applyFill="1" applyBorder="1" applyAlignment="1">
      <alignment horizontal="right" vertical="center" wrapText="1"/>
    </xf>
    <xf numFmtId="2" fontId="29" fillId="0" borderId="7" xfId="0" applyNumberFormat="1" applyFont="1" applyFill="1" applyBorder="1" applyAlignment="1">
      <alignment horizontal="right" vertical="center"/>
    </xf>
    <xf numFmtId="166" fontId="29" fillId="0" borderId="7" xfId="0" applyNumberFormat="1" applyFont="1" applyFill="1" applyBorder="1" applyAlignment="1">
      <alignment horizontal="right" vertical="center"/>
    </xf>
    <xf numFmtId="171" fontId="29" fillId="0" borderId="1" xfId="0" applyNumberFormat="1" applyFont="1" applyFill="1" applyBorder="1" applyAlignment="1">
      <alignment horizontal="center" vertical="center"/>
    </xf>
    <xf numFmtId="169" fontId="30" fillId="0" borderId="33" xfId="0" applyNumberFormat="1" applyFont="1" applyBorder="1" applyAlignment="1">
      <alignment horizontal="center" vertical="center"/>
    </xf>
    <xf numFmtId="168" fontId="30" fillId="0" borderId="12" xfId="0" applyNumberFormat="1" applyFont="1" applyBorder="1" applyAlignment="1">
      <alignment horizontal="center" vertical="center"/>
    </xf>
    <xf numFmtId="0" fontId="30" fillId="2" borderId="7" xfId="0" applyFont="1" applyFill="1" applyBorder="1" applyAlignment="1">
      <alignment horizontal="right" vertical="center"/>
    </xf>
    <xf numFmtId="0" fontId="30" fillId="2" borderId="7" xfId="0" applyFont="1" applyFill="1" applyBorder="1" applyAlignment="1">
      <alignment vertical="center" wrapText="1"/>
    </xf>
    <xf numFmtId="166" fontId="30" fillId="2" borderId="7" xfId="0" applyNumberFormat="1" applyFont="1" applyFill="1" applyBorder="1" applyAlignment="1">
      <alignment horizontal="center" vertical="center" wrapText="1"/>
    </xf>
    <xf numFmtId="10" fontId="30" fillId="2" borderId="10" xfId="0" applyNumberFormat="1" applyFont="1" applyFill="1" applyBorder="1" applyAlignment="1">
      <alignment horizontal="center" vertical="center" wrapText="1"/>
    </xf>
    <xf numFmtId="10" fontId="30" fillId="2" borderId="1" xfId="2" applyNumberFormat="1" applyFont="1" applyFill="1" applyBorder="1" applyAlignment="1">
      <alignment horizontal="center" vertical="center" wrapText="1"/>
    </xf>
    <xf numFmtId="169" fontId="29" fillId="0" borderId="34" xfId="0" applyNumberFormat="1" applyFont="1" applyBorder="1" applyAlignment="1">
      <alignment horizontal="center" vertical="center"/>
    </xf>
    <xf numFmtId="0" fontId="29" fillId="2" borderId="7" xfId="0" applyFont="1" applyFill="1" applyBorder="1" applyAlignment="1">
      <alignment horizontal="right" vertical="center"/>
    </xf>
    <xf numFmtId="9" fontId="29" fillId="2" borderId="4" xfId="0" applyNumberFormat="1" applyFont="1" applyFill="1" applyBorder="1" applyAlignment="1">
      <alignment horizontal="center" vertical="center" wrapText="1"/>
    </xf>
    <xf numFmtId="9" fontId="29" fillId="2" borderId="1" xfId="0" applyNumberFormat="1" applyFont="1" applyFill="1" applyBorder="1" applyAlignment="1">
      <alignment horizontal="center" vertical="center" wrapText="1"/>
    </xf>
    <xf numFmtId="10" fontId="29" fillId="2" borderId="4" xfId="0" applyNumberFormat="1" applyFont="1" applyFill="1" applyBorder="1" applyAlignment="1">
      <alignment horizontal="center" vertical="center" wrapText="1"/>
    </xf>
    <xf numFmtId="170" fontId="29" fillId="2" borderId="1" xfId="0" applyNumberFormat="1" applyFont="1" applyFill="1" applyBorder="1" applyAlignment="1">
      <alignment horizontal="center" vertical="center" wrapText="1"/>
    </xf>
    <xf numFmtId="10" fontId="29" fillId="2" borderId="1" xfId="0" applyNumberFormat="1" applyFont="1" applyFill="1" applyBorder="1" applyAlignment="1">
      <alignment horizontal="center" vertical="center" wrapText="1"/>
    </xf>
    <xf numFmtId="0" fontId="30" fillId="2" borderId="4" xfId="0" applyFont="1" applyFill="1" applyBorder="1" applyAlignment="1">
      <alignment horizontal="center" vertical="center" wrapText="1"/>
    </xf>
    <xf numFmtId="169" fontId="30" fillId="0" borderId="35" xfId="0" applyNumberFormat="1" applyFont="1" applyBorder="1" applyAlignment="1">
      <alignment horizontal="center" vertical="center"/>
    </xf>
    <xf numFmtId="168" fontId="30" fillId="0" borderId="6" xfId="0" applyNumberFormat="1" applyFont="1" applyBorder="1" applyAlignment="1">
      <alignment horizontal="center" vertical="center"/>
    </xf>
    <xf numFmtId="169" fontId="30" fillId="0" borderId="34" xfId="0" applyNumberFormat="1" applyFont="1" applyBorder="1" applyAlignment="1">
      <alignment horizontal="center" vertical="center"/>
    </xf>
    <xf numFmtId="3" fontId="29" fillId="2" borderId="4" xfId="0" applyNumberFormat="1" applyFont="1" applyFill="1" applyBorder="1" applyAlignment="1">
      <alignment horizontal="center" vertical="center" wrapText="1"/>
    </xf>
    <xf numFmtId="3" fontId="29" fillId="2" borderId="1" xfId="0" applyNumberFormat="1" applyFont="1" applyFill="1" applyBorder="1" applyAlignment="1">
      <alignment horizontal="center" vertical="center" wrapText="1"/>
    </xf>
    <xf numFmtId="167" fontId="29" fillId="2" borderId="4" xfId="0" applyNumberFormat="1" applyFont="1" applyFill="1" applyBorder="1" applyAlignment="1">
      <alignment vertical="center" wrapText="1"/>
    </xf>
    <xf numFmtId="10" fontId="30" fillId="2" borderId="4" xfId="0" applyNumberFormat="1" applyFont="1" applyFill="1" applyBorder="1" applyAlignment="1">
      <alignment vertical="center"/>
    </xf>
    <xf numFmtId="10" fontId="30" fillId="2" borderId="1" xfId="2" applyNumberFormat="1" applyFont="1" applyFill="1" applyBorder="1" applyAlignment="1">
      <alignment vertical="center"/>
    </xf>
    <xf numFmtId="0" fontId="29" fillId="2" borderId="4" xfId="0" applyFont="1" applyFill="1" applyBorder="1"/>
    <xf numFmtId="49" fontId="29" fillId="0" borderId="1" xfId="0" applyNumberFormat="1" applyFont="1" applyBorder="1" applyAlignment="1">
      <alignment vertical="center" wrapText="1"/>
    </xf>
    <xf numFmtId="171" fontId="30" fillId="0" borderId="1" xfId="0" applyNumberFormat="1" applyFont="1" applyFill="1" applyBorder="1" applyAlignment="1">
      <alignment horizontal="center" vertical="center"/>
    </xf>
    <xf numFmtId="0" fontId="29" fillId="2" borderId="2" xfId="0" applyFont="1" applyFill="1" applyBorder="1" applyAlignment="1">
      <alignment vertical="center" wrapText="1"/>
    </xf>
    <xf numFmtId="0" fontId="29" fillId="0" borderId="1" xfId="0" applyFont="1" applyBorder="1" applyAlignment="1">
      <alignment horizontal="center" vertical="center" wrapText="1"/>
    </xf>
    <xf numFmtId="167" fontId="30" fillId="3" borderId="6" xfId="1" applyNumberFormat="1" applyFont="1" applyFill="1" applyBorder="1" applyAlignment="1">
      <alignment horizontal="center" vertical="center"/>
    </xf>
    <xf numFmtId="0" fontId="29" fillId="3" borderId="6" xfId="0" applyFont="1" applyFill="1" applyBorder="1" applyAlignment="1">
      <alignment horizontal="center" vertical="center"/>
    </xf>
    <xf numFmtId="0" fontId="29" fillId="0" borderId="36" xfId="0" applyFont="1" applyFill="1" applyBorder="1" applyAlignment="1">
      <alignment horizontal="center" vertical="center" wrapText="1"/>
    </xf>
    <xf numFmtId="0" fontId="29" fillId="0" borderId="1" xfId="0" applyFont="1" applyFill="1" applyBorder="1" applyAlignment="1">
      <alignment horizontal="left" wrapText="1"/>
    </xf>
    <xf numFmtId="17" fontId="29" fillId="0" borderId="1" xfId="0" applyNumberFormat="1" applyFont="1" applyFill="1" applyBorder="1" applyAlignment="1">
      <alignment horizontal="center" vertical="center"/>
    </xf>
    <xf numFmtId="1" fontId="29" fillId="0" borderId="1" xfId="0" applyNumberFormat="1" applyFont="1" applyFill="1" applyBorder="1" applyAlignment="1">
      <alignment horizontal="center" vertical="center"/>
    </xf>
    <xf numFmtId="4" fontId="29" fillId="0" borderId="1" xfId="0" applyNumberFormat="1" applyFont="1" applyFill="1" applyBorder="1" applyAlignment="1">
      <alignment horizontal="center" vertical="center"/>
    </xf>
    <xf numFmtId="167" fontId="29" fillId="0" borderId="1" xfId="0" applyNumberFormat="1" applyFont="1" applyFill="1" applyBorder="1" applyAlignment="1">
      <alignment horizontal="center" vertical="center"/>
    </xf>
    <xf numFmtId="3" fontId="29" fillId="0" borderId="1" xfId="0" applyNumberFormat="1" applyFont="1" applyFill="1" applyBorder="1" applyAlignment="1">
      <alignment horizontal="center" vertical="center"/>
    </xf>
    <xf numFmtId="166" fontId="29" fillId="0" borderId="1" xfId="0" applyNumberFormat="1" applyFont="1" applyFill="1" applyBorder="1" applyAlignment="1">
      <alignment vertical="center" wrapText="1"/>
    </xf>
    <xf numFmtId="166" fontId="29" fillId="0" borderId="1" xfId="0" applyNumberFormat="1" applyFont="1" applyFill="1" applyBorder="1"/>
    <xf numFmtId="49" fontId="29" fillId="0" borderId="1" xfId="0" applyNumberFormat="1" applyFont="1" applyFill="1" applyBorder="1" applyAlignment="1">
      <alignment vertical="center" wrapText="1"/>
    </xf>
    <xf numFmtId="0" fontId="29" fillId="0" borderId="36" xfId="0" applyFont="1" applyFill="1" applyBorder="1" applyAlignment="1">
      <alignment horizontal="center" vertical="center" wrapText="1" readingOrder="1"/>
    </xf>
    <xf numFmtId="182" fontId="29" fillId="0" borderId="1" xfId="1" applyNumberFormat="1" applyFont="1" applyFill="1" applyBorder="1" applyAlignment="1">
      <alignment horizontal="center" vertical="center" wrapText="1"/>
    </xf>
    <xf numFmtId="169" fontId="29" fillId="0" borderId="2" xfId="0" applyNumberFormat="1" applyFont="1" applyFill="1" applyBorder="1" applyAlignment="1">
      <alignment vertical="center"/>
    </xf>
    <xf numFmtId="168" fontId="29" fillId="0" borderId="2" xfId="0" applyNumberFormat="1" applyFont="1" applyFill="1" applyBorder="1" applyAlignment="1">
      <alignment vertical="center"/>
    </xf>
    <xf numFmtId="172" fontId="29" fillId="0" borderId="37" xfId="0" applyNumberFormat="1" applyFont="1" applyFill="1" applyBorder="1" applyAlignment="1">
      <alignment vertical="center" wrapText="1"/>
    </xf>
    <xf numFmtId="168" fontId="29" fillId="0" borderId="1" xfId="0" applyNumberFormat="1" applyFont="1" applyFill="1" applyBorder="1" applyAlignment="1">
      <alignment horizontal="center" vertical="center"/>
    </xf>
    <xf numFmtId="169" fontId="29" fillId="0" borderId="7" xfId="0" applyNumberFormat="1" applyFont="1" applyFill="1" applyBorder="1" applyAlignment="1">
      <alignment vertical="center"/>
    </xf>
    <xf numFmtId="168" fontId="29" fillId="0" borderId="1" xfId="0" applyNumberFormat="1" applyFont="1" applyFill="1" applyBorder="1" applyAlignment="1">
      <alignment vertical="center"/>
    </xf>
    <xf numFmtId="0" fontId="34" fillId="2" borderId="1" xfId="0" applyFont="1" applyFill="1" applyBorder="1" applyAlignment="1">
      <alignment horizontal="center" vertical="center"/>
    </xf>
    <xf numFmtId="0" fontId="34" fillId="2" borderId="1" xfId="0" applyFont="1" applyFill="1" applyBorder="1" applyAlignment="1">
      <alignment horizontal="left" vertical="center" wrapText="1"/>
    </xf>
    <xf numFmtId="0" fontId="29" fillId="0" borderId="38" xfId="0" applyFont="1" applyFill="1" applyBorder="1" applyAlignment="1">
      <alignment horizontal="center" vertical="center" wrapText="1"/>
    </xf>
    <xf numFmtId="168" fontId="36" fillId="0" borderId="1" xfId="0" applyNumberFormat="1" applyFont="1" applyBorder="1" applyAlignment="1">
      <alignment horizontal="center" vertical="center"/>
    </xf>
    <xf numFmtId="49" fontId="34" fillId="2" borderId="1" xfId="17" applyNumberFormat="1" applyFont="1" applyFill="1" applyBorder="1" applyAlignment="1">
      <alignment horizontal="center" vertical="center"/>
    </xf>
    <xf numFmtId="0" fontId="36" fillId="2" borderId="1" xfId="0" applyFont="1" applyFill="1" applyBorder="1" applyAlignment="1">
      <alignment horizontal="right" vertical="center"/>
    </xf>
    <xf numFmtId="0" fontId="29" fillId="2" borderId="1" xfId="0" applyFont="1" applyFill="1" applyBorder="1" applyAlignment="1">
      <alignment horizontal="left" vertical="center"/>
    </xf>
    <xf numFmtId="167" fontId="29" fillId="2" borderId="1" xfId="0" applyNumberFormat="1" applyFont="1" applyFill="1" applyBorder="1" applyAlignment="1">
      <alignment horizontal="center"/>
    </xf>
    <xf numFmtId="167" fontId="29" fillId="2" borderId="1" xfId="1" applyNumberFormat="1" applyFont="1" applyFill="1" applyBorder="1" applyAlignment="1">
      <alignment horizontal="center" vertical="center"/>
    </xf>
    <xf numFmtId="167" fontId="30" fillId="3" borderId="5" xfId="1" applyNumberFormat="1" applyFont="1" applyFill="1" applyBorder="1" applyAlignment="1">
      <alignment horizontal="center" vertical="center"/>
    </xf>
    <xf numFmtId="0" fontId="29" fillId="3" borderId="5" xfId="0" applyFont="1" applyFill="1" applyBorder="1" applyAlignment="1">
      <alignment horizontal="left" vertical="center"/>
    </xf>
    <xf numFmtId="169" fontId="36" fillId="0" borderId="29" xfId="0" applyNumberFormat="1" applyFont="1" applyBorder="1" applyAlignment="1">
      <alignment horizontal="center" vertical="center"/>
    </xf>
    <xf numFmtId="49" fontId="34" fillId="2" borderId="7" xfId="17" applyNumberFormat="1" applyFont="1" applyFill="1" applyBorder="1" applyAlignment="1">
      <alignment horizontal="center" vertical="center"/>
    </xf>
    <xf numFmtId="0" fontId="36" fillId="2" borderId="7" xfId="0" applyFont="1" applyFill="1" applyBorder="1" applyAlignment="1">
      <alignment horizontal="right" vertical="center"/>
    </xf>
    <xf numFmtId="0" fontId="36" fillId="2" borderId="7" xfId="0" applyFont="1" applyFill="1" applyBorder="1" applyAlignment="1">
      <alignment vertical="center" wrapText="1"/>
    </xf>
    <xf numFmtId="167" fontId="36" fillId="2" borderId="7" xfId="0" applyNumberFormat="1" applyFont="1" applyFill="1" applyBorder="1" applyAlignment="1">
      <alignment horizontal="center" vertical="center" wrapText="1"/>
    </xf>
    <xf numFmtId="0" fontId="36" fillId="2" borderId="7" xfId="0" applyFont="1" applyFill="1" applyBorder="1" applyAlignment="1">
      <alignment horizontal="center" vertical="center" wrapText="1"/>
    </xf>
    <xf numFmtId="169" fontId="34" fillId="0" borderId="4" xfId="0" applyNumberFormat="1" applyFont="1" applyBorder="1" applyAlignment="1">
      <alignment horizontal="center" vertical="center"/>
    </xf>
    <xf numFmtId="169" fontId="34" fillId="0" borderId="4" xfId="0" applyNumberFormat="1" applyFont="1" applyBorder="1" applyAlignment="1">
      <alignment horizontal="right" vertical="center"/>
    </xf>
    <xf numFmtId="169" fontId="34" fillId="0" borderId="1" xfId="0" applyNumberFormat="1" applyFont="1" applyBorder="1" applyAlignment="1">
      <alignment horizontal="center" vertical="center"/>
    </xf>
    <xf numFmtId="169" fontId="34" fillId="0" borderId="1" xfId="0" applyNumberFormat="1" applyFont="1" applyBorder="1" applyAlignment="1">
      <alignment horizontal="right" vertical="center"/>
    </xf>
    <xf numFmtId="1" fontId="34" fillId="2" borderId="1" xfId="0" applyNumberFormat="1" applyFont="1" applyFill="1" applyBorder="1" applyAlignment="1">
      <alignment vertical="center" wrapText="1"/>
    </xf>
    <xf numFmtId="3" fontId="34" fillId="2" borderId="1" xfId="0" applyNumberFormat="1" applyFont="1" applyFill="1" applyBorder="1" applyAlignment="1">
      <alignment vertical="center" wrapText="1"/>
    </xf>
    <xf numFmtId="169" fontId="36" fillId="2" borderId="1" xfId="0" applyNumberFormat="1" applyFont="1" applyFill="1" applyBorder="1" applyAlignment="1">
      <alignment horizontal="center" vertical="center"/>
    </xf>
    <xf numFmtId="168" fontId="36" fillId="2" borderId="1" xfId="0" applyNumberFormat="1" applyFont="1" applyFill="1" applyBorder="1" applyAlignment="1">
      <alignment horizontal="center" vertical="center"/>
    </xf>
    <xf numFmtId="49" fontId="34" fillId="2" borderId="1" xfId="0" applyNumberFormat="1" applyFont="1" applyFill="1" applyBorder="1" applyAlignment="1">
      <alignment horizontal="center" vertical="center"/>
    </xf>
    <xf numFmtId="49" fontId="34" fillId="2" borderId="1" xfId="0" applyNumberFormat="1" applyFont="1" applyFill="1" applyBorder="1" applyAlignment="1">
      <alignment vertical="center"/>
    </xf>
    <xf numFmtId="167" fontId="34" fillId="0" borderId="1" xfId="0" applyNumberFormat="1" applyFont="1" applyFill="1" applyBorder="1" applyAlignment="1">
      <alignment horizontal="center" vertical="center" wrapText="1"/>
    </xf>
    <xf numFmtId="167" fontId="34" fillId="2" borderId="1" xfId="0" applyNumberFormat="1" applyFont="1" applyFill="1" applyBorder="1" applyAlignment="1">
      <alignment horizontal="center" vertical="center" wrapText="1"/>
    </xf>
    <xf numFmtId="169" fontId="36" fillId="2" borderId="12" xfId="0" applyNumberFormat="1" applyFont="1" applyFill="1" applyBorder="1" applyAlignment="1">
      <alignment horizontal="center" vertical="center"/>
    </xf>
    <xf numFmtId="168" fontId="36" fillId="2" borderId="12" xfId="0" applyNumberFormat="1" applyFont="1" applyFill="1" applyBorder="1" applyAlignment="1">
      <alignment horizontal="center" vertical="center"/>
    </xf>
    <xf numFmtId="167" fontId="36" fillId="0" borderId="2" xfId="0" applyNumberFormat="1" applyFont="1" applyFill="1" applyBorder="1" applyAlignment="1">
      <alignment horizontal="center" vertical="center" wrapText="1"/>
    </xf>
    <xf numFmtId="167" fontId="36" fillId="2" borderId="2" xfId="0" applyNumberFormat="1" applyFont="1" applyFill="1" applyBorder="1" applyAlignment="1">
      <alignment horizontal="center" vertical="center" wrapText="1"/>
    </xf>
    <xf numFmtId="166" fontId="30" fillId="3" borderId="1" xfId="0" applyNumberFormat="1" applyFont="1" applyFill="1" applyBorder="1" applyAlignment="1">
      <alignment horizontal="left" vertical="center" wrapText="1"/>
    </xf>
    <xf numFmtId="166" fontId="30" fillId="3" borderId="1" xfId="0" applyNumberFormat="1" applyFont="1" applyFill="1" applyBorder="1" applyAlignment="1">
      <alignment horizontal="center" vertical="center" wrapText="1"/>
    </xf>
    <xf numFmtId="166" fontId="30" fillId="3" borderId="4" xfId="0" applyNumberFormat="1" applyFont="1" applyFill="1" applyBorder="1" applyAlignment="1">
      <alignment horizontal="center" vertical="center" wrapText="1"/>
    </xf>
    <xf numFmtId="0" fontId="30" fillId="2" borderId="1" xfId="0" applyFont="1" applyFill="1" applyBorder="1" applyAlignment="1">
      <alignment horizontal="right" vertical="center"/>
    </xf>
    <xf numFmtId="167" fontId="30" fillId="4" borderId="1" xfId="1" applyNumberFormat="1" applyFont="1" applyFill="1" applyBorder="1" applyAlignment="1">
      <alignment horizontal="center" vertical="center" wrapText="1"/>
    </xf>
    <xf numFmtId="167" fontId="29" fillId="0" borderId="1" xfId="0" applyNumberFormat="1" applyFont="1" applyBorder="1" applyAlignment="1">
      <alignment horizontal="center" vertical="center"/>
    </xf>
    <xf numFmtId="0" fontId="29" fillId="2" borderId="1" xfId="0" applyFont="1" applyFill="1" applyBorder="1" applyAlignment="1">
      <alignment vertical="center"/>
    </xf>
    <xf numFmtId="169" fontId="30" fillId="4" borderId="1" xfId="0" applyNumberFormat="1" applyFont="1" applyFill="1" applyBorder="1" applyAlignment="1">
      <alignment horizontal="center" vertical="center"/>
    </xf>
    <xf numFmtId="168" fontId="30" fillId="4" borderId="1" xfId="0" applyNumberFormat="1" applyFont="1" applyFill="1" applyBorder="1" applyAlignment="1">
      <alignment horizontal="center" vertical="center"/>
    </xf>
    <xf numFmtId="0" fontId="29" fillId="4" borderId="1" xfId="0" applyFont="1" applyFill="1" applyBorder="1" applyAlignment="1">
      <alignment vertical="center" wrapText="1"/>
    </xf>
    <xf numFmtId="3" fontId="29" fillId="4" borderId="1" xfId="0" applyNumberFormat="1" applyFont="1" applyFill="1" applyBorder="1" applyAlignment="1">
      <alignment vertical="center" wrapText="1"/>
    </xf>
    <xf numFmtId="167" fontId="29" fillId="4" borderId="1" xfId="0" applyNumberFormat="1" applyFont="1" applyFill="1" applyBorder="1" applyAlignment="1">
      <alignment vertical="center" wrapText="1"/>
    </xf>
    <xf numFmtId="169" fontId="38" fillId="0" borderId="1" xfId="0" applyNumberFormat="1" applyFont="1" applyBorder="1" applyAlignment="1">
      <alignment horizontal="center" vertical="center"/>
    </xf>
    <xf numFmtId="168" fontId="38" fillId="0" borderId="1" xfId="0" applyNumberFormat="1" applyFont="1" applyBorder="1" applyAlignment="1">
      <alignment horizontal="center" vertical="center"/>
    </xf>
    <xf numFmtId="0" fontId="38" fillId="4" borderId="1" xfId="0" applyFont="1" applyFill="1" applyBorder="1" applyAlignment="1">
      <alignment horizontal="center" vertical="center"/>
    </xf>
    <xf numFmtId="169" fontId="37" fillId="0" borderId="1" xfId="0" applyNumberFormat="1" applyFont="1" applyBorder="1" applyAlignment="1">
      <alignment horizontal="center" vertical="center"/>
    </xf>
    <xf numFmtId="168" fontId="37" fillId="0" borderId="1" xfId="0" applyNumberFormat="1" applyFont="1" applyBorder="1" applyAlignment="1">
      <alignment horizontal="center" vertical="center"/>
    </xf>
    <xf numFmtId="0" fontId="37" fillId="4" borderId="1" xfId="0" applyFont="1" applyFill="1" applyBorder="1" applyAlignment="1">
      <alignment horizontal="center" vertical="center"/>
    </xf>
    <xf numFmtId="167" fontId="37" fillId="0" borderId="1" xfId="0" applyNumberFormat="1" applyFont="1" applyFill="1" applyBorder="1" applyAlignment="1">
      <alignment horizontal="center" vertical="center"/>
    </xf>
    <xf numFmtId="0" fontId="37" fillId="0" borderId="1" xfId="0" applyFont="1" applyFill="1" applyBorder="1" applyAlignment="1">
      <alignment horizontal="center" vertical="center" wrapText="1"/>
    </xf>
    <xf numFmtId="49" fontId="30" fillId="4" borderId="1" xfId="0" applyNumberFormat="1" applyFont="1" applyFill="1" applyBorder="1" applyAlignment="1">
      <alignment horizontal="center" vertical="center"/>
    </xf>
    <xf numFmtId="0" fontId="30" fillId="0" borderId="1" xfId="0" applyFont="1" applyBorder="1" applyAlignment="1">
      <alignment vertical="center" wrapText="1"/>
    </xf>
    <xf numFmtId="168" fontId="37" fillId="4" borderId="1" xfId="0" applyNumberFormat="1" applyFont="1" applyFill="1" applyBorder="1" applyAlignment="1">
      <alignment horizontal="center" vertical="center"/>
    </xf>
    <xf numFmtId="167" fontId="29" fillId="0" borderId="1" xfId="42" applyNumberFormat="1" applyFont="1" applyFill="1" applyBorder="1" applyAlignment="1">
      <alignment horizontal="center" vertical="center"/>
    </xf>
    <xf numFmtId="2" fontId="38" fillId="4" borderId="1" xfId="0" applyNumberFormat="1" applyFont="1" applyFill="1" applyBorder="1" applyAlignment="1">
      <alignment horizontal="center" vertical="center" wrapText="1"/>
    </xf>
    <xf numFmtId="2" fontId="37" fillId="4" borderId="1" xfId="0" applyNumberFormat="1" applyFont="1" applyFill="1" applyBorder="1" applyAlignment="1">
      <alignment horizontal="center" vertical="center" wrapText="1"/>
    </xf>
    <xf numFmtId="0" fontId="37" fillId="0" borderId="0" xfId="0" applyFont="1" applyAlignment="1">
      <alignment horizontal="center" vertical="center"/>
    </xf>
    <xf numFmtId="168" fontId="38" fillId="4" borderId="1" xfId="0" applyNumberFormat="1" applyFont="1" applyFill="1" applyBorder="1" applyAlignment="1">
      <alignment horizontal="center" vertical="center"/>
    </xf>
    <xf numFmtId="169" fontId="29" fillId="0" borderId="4" xfId="0" applyNumberFormat="1" applyFont="1" applyFill="1" applyBorder="1" applyAlignment="1">
      <alignment horizontal="right" vertical="center"/>
    </xf>
    <xf numFmtId="167" fontId="29" fillId="2" borderId="1" xfId="0" applyNumberFormat="1" applyFont="1" applyFill="1" applyBorder="1" applyAlignment="1">
      <alignment horizontal="center" vertical="center"/>
    </xf>
    <xf numFmtId="167" fontId="29" fillId="0" borderId="0" xfId="0" applyNumberFormat="1" applyFont="1"/>
    <xf numFmtId="1" fontId="30" fillId="0" borderId="1" xfId="0" applyNumberFormat="1" applyFont="1" applyFill="1" applyBorder="1" applyAlignment="1">
      <alignment horizontal="center" vertical="center" wrapText="1"/>
    </xf>
    <xf numFmtId="1" fontId="29" fillId="0" borderId="1" xfId="0" applyNumberFormat="1" applyFont="1" applyBorder="1" applyAlignment="1">
      <alignment horizontal="center" vertical="center" wrapText="1"/>
    </xf>
    <xf numFmtId="3" fontId="29" fillId="2" borderId="7" xfId="0" applyNumberFormat="1" applyFont="1" applyFill="1" applyBorder="1" applyAlignment="1">
      <alignment horizontal="center" vertical="center" wrapText="1"/>
    </xf>
    <xf numFmtId="171" fontId="29" fillId="2" borderId="1" xfId="1" applyNumberFormat="1" applyFont="1" applyFill="1" applyBorder="1" applyAlignment="1">
      <alignment horizontal="left" vertical="center" wrapText="1"/>
    </xf>
    <xf numFmtId="171" fontId="29" fillId="2" borderId="1" xfId="1" applyNumberFormat="1" applyFont="1" applyFill="1" applyBorder="1" applyAlignment="1">
      <alignment horizontal="center" vertical="center" wrapText="1"/>
    </xf>
    <xf numFmtId="171" fontId="29" fillId="2" borderId="7" xfId="1" applyNumberFormat="1" applyFont="1" applyFill="1" applyBorder="1" applyAlignment="1">
      <alignment horizontal="center" vertical="center" wrapText="1"/>
    </xf>
    <xf numFmtId="167" fontId="30" fillId="0" borderId="1" xfId="0" applyNumberFormat="1" applyFont="1" applyBorder="1" applyAlignment="1">
      <alignment horizontal="center" vertical="center"/>
    </xf>
    <xf numFmtId="9" fontId="30" fillId="2" borderId="7" xfId="0" applyNumberFormat="1" applyFont="1" applyFill="1" applyBorder="1" applyAlignment="1">
      <alignment horizontal="center" vertical="center" wrapText="1"/>
    </xf>
    <xf numFmtId="49" fontId="29" fillId="0" borderId="4" xfId="0" applyNumberFormat="1" applyFont="1" applyBorder="1" applyAlignment="1">
      <alignment horizontal="center" vertical="center"/>
    </xf>
    <xf numFmtId="9" fontId="30" fillId="2" borderId="1" xfId="0" applyNumberFormat="1" applyFont="1" applyFill="1" applyBorder="1" applyAlignment="1">
      <alignment horizontal="center" vertical="center" wrapText="1"/>
    </xf>
    <xf numFmtId="0" fontId="29" fillId="2" borderId="2" xfId="0" applyFont="1" applyFill="1" applyBorder="1" applyAlignment="1">
      <alignment horizontal="right" vertical="center"/>
    </xf>
    <xf numFmtId="9" fontId="29" fillId="2" borderId="1" xfId="0" applyNumberFormat="1" applyFont="1" applyFill="1" applyBorder="1" applyAlignment="1">
      <alignment horizontal="center"/>
    </xf>
    <xf numFmtId="169" fontId="30" fillId="2" borderId="12" xfId="0" applyNumberFormat="1" applyFont="1" applyFill="1" applyBorder="1" applyAlignment="1">
      <alignment horizontal="center" vertical="center"/>
    </xf>
    <xf numFmtId="167" fontId="29" fillId="2" borderId="3" xfId="1" applyNumberFormat="1" applyFont="1" applyFill="1" applyBorder="1" applyAlignment="1">
      <alignment horizontal="center" vertical="center" wrapText="1"/>
    </xf>
    <xf numFmtId="0" fontId="29" fillId="0" borderId="1" xfId="3" applyFont="1" applyFill="1" applyBorder="1" applyAlignment="1">
      <alignment vertical="center" wrapText="1"/>
    </xf>
    <xf numFmtId="0" fontId="30" fillId="0" borderId="7" xfId="3" applyFont="1" applyFill="1" applyBorder="1" applyAlignment="1">
      <alignment horizontal="left" vertical="center" wrapText="1"/>
    </xf>
    <xf numFmtId="167" fontId="30" fillId="3" borderId="7" xfId="1" applyNumberFormat="1" applyFont="1" applyFill="1" applyBorder="1" applyAlignment="1">
      <alignment horizontal="center" vertical="center"/>
    </xf>
    <xf numFmtId="0" fontId="29" fillId="3" borderId="7" xfId="0" applyFont="1" applyFill="1" applyBorder="1" applyAlignment="1">
      <alignment horizontal="left" vertical="center"/>
    </xf>
    <xf numFmtId="0" fontId="29" fillId="3" borderId="7" xfId="0" applyFont="1" applyFill="1" applyBorder="1" applyAlignment="1">
      <alignment horizontal="center" vertical="center"/>
    </xf>
    <xf numFmtId="49" fontId="30" fillId="2" borderId="1" xfId="0" applyNumberFormat="1" applyFont="1" applyFill="1" applyBorder="1" applyAlignment="1">
      <alignment horizontal="center" vertical="center" wrapText="1"/>
    </xf>
    <xf numFmtId="167" fontId="29" fillId="2" borderId="1" xfId="0" applyNumberFormat="1" applyFont="1" applyFill="1" applyBorder="1" applyAlignment="1">
      <alignment horizontal="center" vertical="center" wrapText="1"/>
    </xf>
    <xf numFmtId="180" fontId="29" fillId="2" borderId="1" xfId="0" applyNumberFormat="1" applyFont="1" applyFill="1" applyBorder="1" applyAlignment="1">
      <alignment horizontal="center" vertical="center" wrapText="1"/>
    </xf>
    <xf numFmtId="166" fontId="30" fillId="2" borderId="1" xfId="0" applyNumberFormat="1" applyFont="1" applyFill="1" applyBorder="1" applyAlignment="1">
      <alignment horizontal="center" vertical="center" wrapText="1"/>
    </xf>
    <xf numFmtId="167" fontId="30" fillId="2" borderId="1" xfId="0" applyNumberFormat="1" applyFont="1" applyFill="1" applyBorder="1" applyAlignment="1">
      <alignment horizontal="center" vertical="center" wrapText="1"/>
    </xf>
    <xf numFmtId="49" fontId="30" fillId="0" borderId="4" xfId="0" applyNumberFormat="1" applyFont="1" applyFill="1" applyBorder="1" applyAlignment="1">
      <alignment horizontal="center" vertical="center" wrapText="1"/>
    </xf>
    <xf numFmtId="49" fontId="30" fillId="0" borderId="6" xfId="0" applyNumberFormat="1" applyFont="1" applyFill="1" applyBorder="1" applyAlignment="1">
      <alignment horizontal="center" vertical="center" wrapText="1"/>
    </xf>
    <xf numFmtId="0" fontId="30" fillId="0" borderId="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30" fillId="0" borderId="6" xfId="0" applyFont="1" applyFill="1" applyBorder="1" applyAlignment="1">
      <alignment horizontal="center" vertical="center" wrapText="1"/>
    </xf>
    <xf numFmtId="167" fontId="29" fillId="0" borderId="6" xfId="0" applyNumberFormat="1" applyFont="1" applyFill="1" applyBorder="1" applyAlignment="1">
      <alignment horizontal="center" vertical="center" wrapText="1"/>
    </xf>
    <xf numFmtId="1" fontId="29" fillId="0" borderId="1" xfId="8" applyNumberFormat="1" applyFont="1" applyFill="1" applyBorder="1" applyAlignment="1">
      <alignment vertical="center" wrapText="1"/>
    </xf>
    <xf numFmtId="169" fontId="30" fillId="0" borderId="6" xfId="0" applyNumberFormat="1" applyFont="1" applyFill="1" applyBorder="1" applyAlignment="1">
      <alignment horizontal="center" vertical="center"/>
    </xf>
    <xf numFmtId="168" fontId="30" fillId="0" borderId="6" xfId="0" applyNumberFormat="1" applyFont="1" applyFill="1" applyBorder="1" applyAlignment="1">
      <alignment horizontal="center" vertical="center"/>
    </xf>
    <xf numFmtId="0" fontId="29" fillId="0" borderId="1" xfId="0" applyNumberFormat="1" applyFont="1" applyFill="1" applyBorder="1" applyAlignment="1">
      <alignment vertical="center" wrapText="1"/>
    </xf>
    <xf numFmtId="167" fontId="29" fillId="3" borderId="1" xfId="0" applyNumberFormat="1" applyFont="1" applyFill="1" applyBorder="1" applyAlignment="1">
      <alignment horizontal="left" vertical="center"/>
    </xf>
    <xf numFmtId="0" fontId="30" fillId="0" borderId="5" xfId="0" applyFont="1" applyFill="1" applyBorder="1" applyAlignment="1">
      <alignment vertical="center" wrapText="1"/>
    </xf>
    <xf numFmtId="170" fontId="30" fillId="0" borderId="1" xfId="0" applyNumberFormat="1" applyFont="1" applyFill="1" applyBorder="1" applyAlignment="1">
      <alignment horizontal="center" vertical="center" wrapText="1"/>
    </xf>
    <xf numFmtId="9" fontId="30" fillId="0" borderId="1" xfId="0" applyNumberFormat="1" applyFont="1" applyFill="1" applyBorder="1" applyAlignment="1">
      <alignment horizontal="center" vertical="center" wrapText="1"/>
    </xf>
    <xf numFmtId="0" fontId="29" fillId="0" borderId="1" xfId="0" applyFont="1" applyFill="1" applyBorder="1" applyAlignment="1">
      <alignment horizontal="center" wrapText="1"/>
    </xf>
    <xf numFmtId="166" fontId="29" fillId="0" borderId="1" xfId="0" applyNumberFormat="1" applyFont="1" applyFill="1" applyBorder="1" applyAlignment="1">
      <alignment horizontal="center" wrapText="1"/>
    </xf>
    <xf numFmtId="9" fontId="29" fillId="0" borderId="1" xfId="0" applyNumberFormat="1" applyFont="1" applyFill="1" applyBorder="1" applyAlignment="1">
      <alignment horizontal="center"/>
    </xf>
    <xf numFmtId="0" fontId="29" fillId="2" borderId="4" xfId="3" applyFont="1" applyFill="1" applyBorder="1" applyAlignment="1">
      <alignment vertical="center" wrapText="1"/>
    </xf>
    <xf numFmtId="0" fontId="29" fillId="2" borderId="1" xfId="0" applyFont="1" applyFill="1" applyBorder="1" applyAlignment="1">
      <alignment horizontal="center"/>
    </xf>
    <xf numFmtId="13" fontId="29" fillId="2" borderId="1" xfId="0" applyNumberFormat="1" applyFont="1" applyFill="1" applyBorder="1" applyAlignment="1">
      <alignment horizontal="center" vertical="center" wrapText="1"/>
    </xf>
    <xf numFmtId="0" fontId="29" fillId="2" borderId="0" xfId="0" applyFont="1" applyFill="1" applyBorder="1" applyAlignment="1">
      <alignment horizontal="center" vertical="center" wrapText="1"/>
    </xf>
    <xf numFmtId="166" fontId="29" fillId="2" borderId="1" xfId="0" applyNumberFormat="1" applyFont="1" applyFill="1" applyBorder="1" applyAlignment="1">
      <alignment horizontal="center" vertical="center"/>
    </xf>
    <xf numFmtId="4" fontId="29" fillId="2" borderId="1" xfId="0" applyNumberFormat="1" applyFont="1" applyFill="1" applyBorder="1" applyAlignment="1">
      <alignment horizontal="left" vertical="center" wrapText="1"/>
    </xf>
    <xf numFmtId="4" fontId="29" fillId="2" borderId="1" xfId="0" applyNumberFormat="1" applyFont="1" applyFill="1" applyBorder="1" applyAlignment="1">
      <alignment horizontal="center" vertical="center" wrapText="1"/>
    </xf>
    <xf numFmtId="167" fontId="29" fillId="2" borderId="1" xfId="0" applyNumberFormat="1" applyFont="1" applyFill="1" applyBorder="1" applyAlignment="1">
      <alignment horizontal="left" vertical="center" wrapText="1"/>
    </xf>
    <xf numFmtId="167" fontId="34" fillId="0" borderId="1" xfId="13" applyNumberFormat="1" applyFont="1" applyFill="1" applyBorder="1" applyAlignment="1">
      <alignment horizontal="center" vertical="center" wrapText="1"/>
    </xf>
    <xf numFmtId="0" fontId="29" fillId="2" borderId="1" xfId="0" applyFont="1" applyFill="1" applyBorder="1" applyAlignment="1">
      <alignment horizontal="left" vertical="top" wrapText="1"/>
    </xf>
    <xf numFmtId="3" fontId="29" fillId="2" borderId="7" xfId="0" applyNumberFormat="1" applyFont="1" applyFill="1" applyBorder="1" applyAlignment="1">
      <alignment horizontal="center" vertical="center"/>
    </xf>
    <xf numFmtId="1" fontId="29" fillId="2" borderId="1" xfId="0" applyNumberFormat="1" applyFont="1" applyFill="1" applyBorder="1" applyAlignment="1">
      <alignment horizontal="center" vertical="center" wrapText="1"/>
    </xf>
    <xf numFmtId="0" fontId="29" fillId="2" borderId="1" xfId="0" applyFont="1" applyFill="1" applyBorder="1" applyAlignment="1">
      <alignment wrapText="1"/>
    </xf>
    <xf numFmtId="167" fontId="30" fillId="2" borderId="6" xfId="1" applyNumberFormat="1" applyFont="1" applyFill="1" applyBorder="1" applyAlignment="1">
      <alignment horizontal="center" vertical="center"/>
    </xf>
    <xf numFmtId="169" fontId="36" fillId="2" borderId="1" xfId="0" applyNumberFormat="1" applyFont="1" applyFill="1" applyBorder="1" applyAlignment="1">
      <alignment horizontal="center" vertical="center" wrapText="1"/>
    </xf>
    <xf numFmtId="168" fontId="36" fillId="2" borderId="1" xfId="0" applyNumberFormat="1" applyFont="1" applyFill="1" applyBorder="1" applyAlignment="1">
      <alignment horizontal="center" vertical="center" wrapText="1"/>
    </xf>
    <xf numFmtId="0" fontId="34" fillId="2" borderId="1" xfId="0" applyNumberFormat="1" applyFont="1" applyFill="1" applyBorder="1" applyAlignment="1">
      <alignment horizontal="center" vertical="center"/>
    </xf>
    <xf numFmtId="0" fontId="34" fillId="2" borderId="1" xfId="13" applyNumberFormat="1" applyFont="1" applyFill="1" applyBorder="1" applyAlignment="1">
      <alignment horizontal="center" vertical="center"/>
    </xf>
    <xf numFmtId="167" fontId="34" fillId="2" borderId="0" xfId="0" applyNumberFormat="1" applyFont="1" applyFill="1" applyAlignment="1">
      <alignment horizontal="center" vertical="center"/>
    </xf>
    <xf numFmtId="168" fontId="36" fillId="2" borderId="7" xfId="0" applyNumberFormat="1" applyFont="1" applyFill="1" applyBorder="1" applyAlignment="1">
      <alignment horizontal="center" vertical="center" wrapText="1"/>
    </xf>
    <xf numFmtId="171" fontId="29" fillId="2" borderId="7" xfId="42" applyNumberFormat="1" applyFont="1" applyFill="1" applyBorder="1" applyAlignment="1">
      <alignment horizontal="center" vertical="center" wrapText="1"/>
    </xf>
    <xf numFmtId="171" fontId="29" fillId="2" borderId="7" xfId="42" applyNumberFormat="1" applyFont="1" applyFill="1" applyBorder="1" applyAlignment="1">
      <alignment horizontal="center" vertical="center"/>
    </xf>
    <xf numFmtId="171" fontId="34" fillId="2" borderId="1" xfId="42" applyNumberFormat="1" applyFont="1" applyFill="1" applyBorder="1" applyAlignment="1">
      <alignment horizontal="center" vertical="center" wrapText="1"/>
    </xf>
    <xf numFmtId="171" fontId="34" fillId="2" borderId="1" xfId="42" applyNumberFormat="1" applyFont="1" applyFill="1" applyBorder="1" applyAlignment="1">
      <alignment horizontal="center" vertical="center"/>
    </xf>
    <xf numFmtId="0" fontId="34" fillId="2" borderId="1" xfId="42" applyNumberFormat="1" applyFont="1" applyFill="1" applyBorder="1" applyAlignment="1">
      <alignment horizontal="center" vertical="center"/>
    </xf>
    <xf numFmtId="171" fontId="29" fillId="2" borderId="1" xfId="42" applyNumberFormat="1" applyFont="1" applyFill="1" applyBorder="1" applyAlignment="1">
      <alignment horizontal="center" vertical="center" wrapText="1"/>
    </xf>
    <xf numFmtId="49" fontId="29" fillId="2" borderId="1" xfId="0" applyNumberFormat="1" applyFont="1" applyFill="1" applyBorder="1"/>
    <xf numFmtId="167" fontId="30" fillId="2" borderId="1" xfId="0" applyNumberFormat="1" applyFont="1" applyFill="1" applyBorder="1" applyAlignment="1">
      <alignment horizontal="center" vertical="center"/>
    </xf>
    <xf numFmtId="166" fontId="30" fillId="0" borderId="1" xfId="0" applyNumberFormat="1" applyFont="1" applyFill="1" applyBorder="1" applyAlignment="1">
      <alignment vertical="center" wrapText="1"/>
    </xf>
    <xf numFmtId="167" fontId="30" fillId="0" borderId="1" xfId="0" applyNumberFormat="1" applyFont="1" applyFill="1" applyBorder="1" applyAlignment="1">
      <alignment vertical="center" wrapText="1"/>
    </xf>
    <xf numFmtId="169" fontId="36" fillId="2" borderId="29" xfId="0" applyNumberFormat="1" applyFont="1" applyFill="1" applyBorder="1" applyAlignment="1">
      <alignment horizontal="center" vertical="center"/>
    </xf>
    <xf numFmtId="0" fontId="36" fillId="2" borderId="7" xfId="0" applyFont="1" applyFill="1" applyBorder="1" applyAlignment="1">
      <alignment horizontal="center" vertical="center"/>
    </xf>
    <xf numFmtId="0" fontId="36" fillId="2" borderId="7" xfId="0" applyFont="1" applyFill="1" applyBorder="1" applyAlignment="1">
      <alignment vertical="center"/>
    </xf>
    <xf numFmtId="167" fontId="36" fillId="2" borderId="7" xfId="8" applyNumberFormat="1" applyFont="1" applyFill="1" applyBorder="1" applyAlignment="1">
      <alignment horizontal="center" vertical="center" wrapText="1"/>
    </xf>
    <xf numFmtId="166" fontId="36" fillId="2" borderId="7" xfId="0" applyNumberFormat="1" applyFont="1" applyFill="1" applyBorder="1" applyAlignment="1">
      <alignment vertical="center" wrapText="1"/>
    </xf>
    <xf numFmtId="167" fontId="34" fillId="2" borderId="1" xfId="8" applyNumberFormat="1" applyFont="1" applyFill="1" applyBorder="1" applyAlignment="1">
      <alignment horizontal="center" vertical="center" wrapText="1"/>
    </xf>
    <xf numFmtId="9" fontId="34" fillId="2" borderId="1" xfId="17" applyFont="1" applyFill="1" applyBorder="1" applyAlignment="1">
      <alignment vertical="center" wrapText="1"/>
    </xf>
    <xf numFmtId="169" fontId="34" fillId="2" borderId="4" xfId="0" applyNumberFormat="1" applyFont="1" applyFill="1" applyBorder="1" applyAlignment="1">
      <alignment horizontal="center" vertical="center"/>
    </xf>
    <xf numFmtId="170" fontId="34" fillId="2" borderId="1" xfId="17" applyNumberFormat="1" applyFont="1" applyFill="1" applyBorder="1" applyAlignment="1">
      <alignment vertical="center" wrapText="1"/>
    </xf>
    <xf numFmtId="168" fontId="34" fillId="2" borderId="7" xfId="0" applyNumberFormat="1" applyFont="1" applyFill="1" applyBorder="1" applyAlignment="1">
      <alignment horizontal="center" vertical="center"/>
    </xf>
    <xf numFmtId="169" fontId="34" fillId="2" borderId="2" xfId="0" applyNumberFormat="1" applyFont="1" applyFill="1" applyBorder="1" applyAlignment="1">
      <alignment horizontal="center" vertical="center"/>
    </xf>
    <xf numFmtId="168" fontId="34" fillId="2" borderId="2" xfId="0" applyNumberFormat="1" applyFont="1" applyFill="1" applyBorder="1" applyAlignment="1">
      <alignment horizontal="center" vertical="center"/>
    </xf>
    <xf numFmtId="167" fontId="36" fillId="2" borderId="1" xfId="8" applyNumberFormat="1" applyFont="1" applyFill="1" applyBorder="1" applyAlignment="1">
      <alignment horizontal="center" vertical="center" wrapText="1"/>
    </xf>
    <xf numFmtId="0" fontId="37" fillId="2" borderId="1" xfId="4" applyFont="1" applyFill="1" applyBorder="1" applyAlignment="1">
      <alignment vertical="center" wrapText="1"/>
    </xf>
    <xf numFmtId="9" fontId="34" fillId="2" borderId="1" xfId="0" applyNumberFormat="1" applyFont="1" applyFill="1" applyBorder="1" applyAlignment="1">
      <alignment vertical="center" wrapText="1"/>
    </xf>
    <xf numFmtId="0" fontId="34" fillId="0" borderId="1" xfId="0" applyFont="1" applyBorder="1" applyAlignment="1">
      <alignment vertical="center" wrapText="1"/>
    </xf>
    <xf numFmtId="170" fontId="34" fillId="2" borderId="1" xfId="0" applyNumberFormat="1" applyFont="1" applyFill="1" applyBorder="1" applyAlignment="1">
      <alignment vertical="center" wrapText="1"/>
    </xf>
    <xf numFmtId="167" fontId="29" fillId="2" borderId="1" xfId="8" applyNumberFormat="1" applyFont="1" applyFill="1" applyBorder="1" applyAlignment="1">
      <alignment horizontal="center" vertical="center" wrapText="1"/>
    </xf>
    <xf numFmtId="167" fontId="34" fillId="2" borderId="4" xfId="0" applyNumberFormat="1" applyFont="1" applyFill="1" applyBorder="1" applyAlignment="1">
      <alignment vertical="center" wrapText="1"/>
    </xf>
    <xf numFmtId="0" fontId="34" fillId="2" borderId="1" xfId="0" applyNumberFormat="1" applyFont="1" applyFill="1" applyBorder="1" applyAlignment="1">
      <alignment vertical="center" wrapText="1"/>
    </xf>
    <xf numFmtId="0" fontId="34" fillId="2" borderId="4" xfId="0" applyNumberFormat="1" applyFont="1" applyFill="1" applyBorder="1" applyAlignment="1">
      <alignment vertical="center" wrapText="1"/>
    </xf>
    <xf numFmtId="0" fontId="34" fillId="2" borderId="1" xfId="0" applyFont="1" applyFill="1" applyBorder="1" applyAlignment="1">
      <alignment vertical="center"/>
    </xf>
    <xf numFmtId="0" fontId="30" fillId="2" borderId="7" xfId="0" applyFont="1" applyFill="1" applyBorder="1" applyAlignment="1">
      <alignment vertical="center"/>
    </xf>
    <xf numFmtId="0" fontId="30" fillId="2" borderId="1" xfId="4" applyFont="1" applyFill="1" applyBorder="1" applyAlignment="1">
      <alignment vertical="center" wrapText="1"/>
    </xf>
    <xf numFmtId="169" fontId="34" fillId="2" borderId="1" xfId="0" applyNumberFormat="1" applyFont="1" applyFill="1" applyBorder="1" applyAlignment="1">
      <alignment horizontal="center" vertical="center"/>
    </xf>
    <xf numFmtId="168" fontId="34" fillId="2" borderId="1" xfId="0" applyNumberFormat="1" applyFont="1" applyFill="1" applyBorder="1" applyAlignment="1">
      <alignment horizontal="center" vertical="center"/>
    </xf>
    <xf numFmtId="0" fontId="36" fillId="2" borderId="1" xfId="0" applyFont="1" applyFill="1" applyBorder="1" applyAlignment="1">
      <alignment vertical="center"/>
    </xf>
    <xf numFmtId="1" fontId="38" fillId="2" borderId="1" xfId="4" applyNumberFormat="1" applyFont="1" applyFill="1" applyBorder="1" applyAlignment="1">
      <alignment vertical="center" wrapText="1"/>
    </xf>
    <xf numFmtId="1" fontId="37" fillId="2" borderId="1" xfId="4" applyNumberFormat="1" applyFont="1" applyFill="1" applyBorder="1" applyAlignment="1">
      <alignment vertical="center" wrapText="1"/>
    </xf>
    <xf numFmtId="0" fontId="29" fillId="3" borderId="7" xfId="0" applyFont="1" applyFill="1" applyBorder="1" applyAlignment="1">
      <alignment horizontal="center" vertical="center" wrapText="1"/>
    </xf>
    <xf numFmtId="167" fontId="29" fillId="3" borderId="4" xfId="0" applyNumberFormat="1" applyFont="1" applyFill="1" applyBorder="1" applyAlignment="1">
      <alignment horizontal="center" vertical="center" wrapText="1"/>
    </xf>
    <xf numFmtId="169" fontId="29" fillId="0" borderId="1" xfId="0" applyNumberFormat="1" applyFont="1" applyFill="1" applyBorder="1" applyAlignment="1">
      <alignment horizontal="center" vertical="top"/>
    </xf>
    <xf numFmtId="168" fontId="29" fillId="0" borderId="1" xfId="0" applyNumberFormat="1" applyFont="1" applyFill="1" applyBorder="1" applyAlignment="1">
      <alignment horizontal="center" vertical="top"/>
    </xf>
    <xf numFmtId="168" fontId="29" fillId="0" borderId="7" xfId="0" applyNumberFormat="1" applyFont="1" applyFill="1" applyBorder="1" applyAlignment="1">
      <alignment horizontal="center" vertical="top"/>
    </xf>
    <xf numFmtId="168" fontId="29" fillId="0" borderId="2" xfId="0" applyNumberFormat="1" applyFont="1" applyFill="1" applyBorder="1" applyAlignment="1">
      <alignment horizontal="center" vertical="top"/>
    </xf>
    <xf numFmtId="167" fontId="30" fillId="3" borderId="1" xfId="149" applyNumberFormat="1" applyFont="1" applyFill="1" applyBorder="1" applyAlignment="1">
      <alignment horizontal="center" vertical="center" wrapText="1"/>
    </xf>
    <xf numFmtId="0" fontId="30" fillId="3" borderId="7" xfId="0" applyFont="1" applyFill="1" applyBorder="1" applyAlignment="1">
      <alignment vertical="top" wrapText="1"/>
    </xf>
    <xf numFmtId="3" fontId="30" fillId="3" borderId="7" xfId="0" applyNumberFormat="1" applyFont="1" applyFill="1" applyBorder="1" applyAlignment="1">
      <alignment horizontal="center" vertical="center" wrapText="1"/>
    </xf>
    <xf numFmtId="169" fontId="30" fillId="0" borderId="29" xfId="0" applyNumberFormat="1" applyFont="1" applyBorder="1" applyAlignment="1">
      <alignment horizontal="center" vertical="center"/>
    </xf>
    <xf numFmtId="0" fontId="30" fillId="2" borderId="7" xfId="0" applyFont="1" applyFill="1" applyBorder="1" applyAlignment="1">
      <alignment horizontal="left" vertical="center"/>
    </xf>
    <xf numFmtId="167" fontId="30" fillId="2" borderId="9" xfId="0" applyNumberFormat="1" applyFont="1" applyFill="1" applyBorder="1" applyAlignment="1">
      <alignment horizontal="center" vertical="center" wrapText="1"/>
    </xf>
    <xf numFmtId="16" fontId="30" fillId="2" borderId="1" xfId="0" applyNumberFormat="1" applyFont="1" applyFill="1" applyBorder="1" applyAlignment="1">
      <alignment horizontal="left" vertical="center" wrapText="1"/>
    </xf>
    <xf numFmtId="167" fontId="30" fillId="2" borderId="6" xfId="0" applyNumberFormat="1" applyFont="1" applyFill="1" applyBorder="1" applyAlignment="1">
      <alignment horizontal="center" vertical="center" wrapText="1"/>
    </xf>
    <xf numFmtId="167" fontId="29" fillId="2" borderId="6" xfId="0" applyNumberFormat="1" applyFont="1" applyFill="1" applyBorder="1" applyAlignment="1">
      <alignment horizontal="center" vertical="center"/>
    </xf>
    <xf numFmtId="49" fontId="29" fillId="2" borderId="1" xfId="0" applyNumberFormat="1" applyFont="1" applyFill="1" applyBorder="1" applyAlignment="1">
      <alignment horizontal="left" vertical="center"/>
    </xf>
    <xf numFmtId="167" fontId="30" fillId="2" borderId="1" xfId="0" applyNumberFormat="1" applyFont="1" applyFill="1" applyBorder="1" applyAlignment="1">
      <alignment horizontal="left" vertical="center" wrapText="1"/>
    </xf>
    <xf numFmtId="167" fontId="29" fillId="0" borderId="1" xfId="0" applyNumberFormat="1" applyFont="1" applyFill="1" applyBorder="1" applyAlignment="1">
      <alignment horizontal="left" vertical="center" wrapText="1"/>
    </xf>
    <xf numFmtId="167" fontId="29" fillId="2" borderId="2" xfId="0" applyNumberFormat="1" applyFont="1" applyFill="1" applyBorder="1" applyAlignment="1">
      <alignment horizontal="left" vertical="center" wrapText="1"/>
    </xf>
    <xf numFmtId="166" fontId="29" fillId="0" borderId="1" xfId="3" applyNumberFormat="1" applyFont="1" applyFill="1" applyBorder="1" applyAlignment="1">
      <alignment horizontal="center" vertical="center" wrapText="1"/>
    </xf>
    <xf numFmtId="167" fontId="30" fillId="0" borderId="1" xfId="3" applyNumberFormat="1" applyFont="1" applyFill="1" applyBorder="1" applyAlignment="1">
      <alignment horizontal="center" vertical="center" wrapText="1"/>
    </xf>
    <xf numFmtId="0" fontId="29" fillId="0" borderId="1" xfId="3" applyFont="1" applyFill="1" applyBorder="1" applyAlignment="1">
      <alignment horizontal="center" vertical="center"/>
    </xf>
    <xf numFmtId="16" fontId="29" fillId="0" borderId="1" xfId="3" applyNumberFormat="1" applyFont="1" applyFill="1" applyBorder="1" applyAlignment="1">
      <alignment horizontal="center" vertical="center"/>
    </xf>
    <xf numFmtId="3" fontId="29" fillId="0" borderId="1" xfId="3" applyNumberFormat="1" applyFont="1" applyFill="1" applyBorder="1" applyAlignment="1">
      <alignment horizontal="center" vertical="center" wrapText="1"/>
    </xf>
    <xf numFmtId="3" fontId="29" fillId="0" borderId="7" xfId="3" applyNumberFormat="1" applyFont="1" applyFill="1" applyBorder="1" applyAlignment="1">
      <alignment horizontal="center" vertical="center" wrapText="1"/>
    </xf>
    <xf numFmtId="0" fontId="29" fillId="3" borderId="1" xfId="0" applyFont="1" applyFill="1" applyBorder="1"/>
    <xf numFmtId="169" fontId="30" fillId="0" borderId="1" xfId="153" applyNumberFormat="1" applyFont="1" applyBorder="1" applyAlignment="1">
      <alignment horizontal="center" vertical="center"/>
    </xf>
    <xf numFmtId="168" fontId="30" fillId="0" borderId="1" xfId="153" applyNumberFormat="1" applyFont="1" applyBorder="1" applyAlignment="1">
      <alignment horizontal="center" vertical="center"/>
    </xf>
    <xf numFmtId="49" fontId="29" fillId="2" borderId="1" xfId="153" applyNumberFormat="1" applyFont="1" applyFill="1" applyBorder="1" applyAlignment="1">
      <alignment horizontal="center" vertical="center"/>
    </xf>
    <xf numFmtId="0" fontId="30" fillId="2" borderId="1" xfId="153" applyFont="1" applyFill="1" applyBorder="1" applyAlignment="1">
      <alignment horizontal="right" vertical="center"/>
    </xf>
    <xf numFmtId="167" fontId="30" fillId="2" borderId="1" xfId="154" applyNumberFormat="1" applyFont="1" applyFill="1" applyBorder="1" applyAlignment="1">
      <alignment horizontal="center" vertical="center" wrapText="1"/>
    </xf>
    <xf numFmtId="0" fontId="30" fillId="2" borderId="7" xfId="153" applyFont="1" applyFill="1" applyBorder="1" applyAlignment="1">
      <alignment horizontal="left" vertical="center" wrapText="1"/>
    </xf>
    <xf numFmtId="0" fontId="30" fillId="2" borderId="7" xfId="153" applyFont="1" applyFill="1" applyBorder="1" applyAlignment="1">
      <alignment horizontal="center" vertical="center" wrapText="1"/>
    </xf>
    <xf numFmtId="172" fontId="30" fillId="2" borderId="7" xfId="153" applyNumberFormat="1" applyFont="1" applyFill="1" applyBorder="1" applyAlignment="1">
      <alignment horizontal="center" vertical="center" wrapText="1"/>
    </xf>
    <xf numFmtId="49" fontId="29" fillId="0" borderId="1" xfId="153" applyNumberFormat="1" applyFont="1" applyBorder="1" applyAlignment="1">
      <alignment horizontal="center" vertical="center"/>
    </xf>
    <xf numFmtId="0" fontId="29" fillId="2" borderId="1" xfId="153" applyFont="1" applyFill="1" applyBorder="1" applyAlignment="1">
      <alignment horizontal="right" vertical="center"/>
    </xf>
    <xf numFmtId="0" fontId="29" fillId="2" borderId="1" xfId="153" applyFont="1" applyFill="1" applyBorder="1" applyAlignment="1">
      <alignment horizontal="left" vertical="center" wrapText="1"/>
    </xf>
    <xf numFmtId="0" fontId="29" fillId="2" borderId="1" xfId="153" applyFont="1" applyFill="1" applyBorder="1" applyAlignment="1">
      <alignment horizontal="center" vertical="center" wrapText="1"/>
    </xf>
    <xf numFmtId="167" fontId="34" fillId="2" borderId="1" xfId="154" applyNumberFormat="1" applyFont="1" applyFill="1" applyBorder="1" applyAlignment="1">
      <alignment horizontal="center" vertical="center" wrapText="1"/>
    </xf>
    <xf numFmtId="0" fontId="29" fillId="2" borderId="7" xfId="153" applyFont="1" applyFill="1" applyBorder="1" applyAlignment="1">
      <alignment horizontal="center" vertical="center" wrapText="1"/>
    </xf>
    <xf numFmtId="0" fontId="30" fillId="2" borderId="1" xfId="153" applyFont="1" applyFill="1" applyBorder="1" applyAlignment="1">
      <alignment horizontal="center" vertical="center"/>
    </xf>
    <xf numFmtId="167" fontId="30" fillId="2" borderId="1" xfId="153" applyNumberFormat="1" applyFont="1" applyFill="1" applyBorder="1" applyAlignment="1">
      <alignment horizontal="left" vertical="center" wrapText="1"/>
    </xf>
    <xf numFmtId="0" fontId="30" fillId="2" borderId="2" xfId="153" applyFont="1" applyFill="1" applyBorder="1" applyAlignment="1">
      <alignment horizontal="left" vertical="center" wrapText="1"/>
    </xf>
    <xf numFmtId="0" fontId="30" fillId="2" borderId="2" xfId="153" applyFont="1" applyFill="1" applyBorder="1" applyAlignment="1">
      <alignment horizontal="center" vertical="center" wrapText="1"/>
    </xf>
    <xf numFmtId="172" fontId="30" fillId="2" borderId="2" xfId="153" applyNumberFormat="1" applyFont="1" applyFill="1" applyBorder="1" applyAlignment="1">
      <alignment horizontal="center" vertical="center" wrapText="1"/>
    </xf>
    <xf numFmtId="0" fontId="30" fillId="2" borderId="3" xfId="153" applyFont="1" applyFill="1" applyBorder="1" applyAlignment="1">
      <alignment horizontal="center" vertical="center" wrapText="1"/>
    </xf>
    <xf numFmtId="0" fontId="29" fillId="3" borderId="2" xfId="0" applyFont="1" applyFill="1" applyBorder="1" applyAlignment="1">
      <alignment horizontal="left" vertical="center"/>
    </xf>
    <xf numFmtId="167" fontId="30" fillId="3" borderId="2" xfId="0" applyNumberFormat="1" applyFont="1" applyFill="1" applyBorder="1" applyAlignment="1">
      <alignment horizontal="center"/>
    </xf>
    <xf numFmtId="167" fontId="30" fillId="3" borderId="39" xfId="0" applyNumberFormat="1" applyFont="1" applyFill="1" applyBorder="1" applyAlignment="1">
      <alignment horizontal="center"/>
    </xf>
    <xf numFmtId="168" fontId="29" fillId="0" borderId="4" xfId="0" applyNumberFormat="1" applyFont="1" applyBorder="1" applyAlignment="1">
      <alignment horizontal="center" vertical="center"/>
    </xf>
    <xf numFmtId="0" fontId="29" fillId="0" borderId="1" xfId="0" applyFont="1" applyBorder="1"/>
    <xf numFmtId="0" fontId="29" fillId="0" borderId="1" xfId="0" applyFont="1" applyBorder="1" applyAlignment="1">
      <alignment horizontal="left"/>
    </xf>
    <xf numFmtId="0" fontId="29" fillId="0" borderId="1" xfId="18" applyFont="1" applyFill="1" applyBorder="1" applyAlignment="1">
      <alignment vertical="center" wrapText="1"/>
    </xf>
    <xf numFmtId="167" fontId="30" fillId="0" borderId="1" xfId="150" applyNumberFormat="1" applyFont="1" applyFill="1" applyBorder="1" applyAlignment="1">
      <alignment horizontal="center" vertical="center" wrapText="1"/>
    </xf>
    <xf numFmtId="167" fontId="29" fillId="0" borderId="1" xfId="150" applyNumberFormat="1" applyFont="1" applyFill="1" applyBorder="1" applyAlignment="1">
      <alignment horizontal="center" vertical="center" wrapText="1"/>
    </xf>
    <xf numFmtId="167" fontId="29" fillId="0" borderId="1" xfId="150" applyNumberFormat="1" applyFont="1" applyFill="1" applyBorder="1" applyAlignment="1">
      <alignment vertical="center" wrapText="1"/>
    </xf>
    <xf numFmtId="0" fontId="29" fillId="0" borderId="1" xfId="18" applyFont="1" applyFill="1" applyBorder="1" applyAlignment="1">
      <alignment vertical="center"/>
    </xf>
    <xf numFmtId="167" fontId="34" fillId="0" borderId="1" xfId="18" applyNumberFormat="1" applyFont="1" applyBorder="1" applyAlignment="1">
      <alignment horizontal="center" vertical="center" wrapText="1"/>
    </xf>
    <xf numFmtId="0" fontId="29" fillId="0" borderId="1" xfId="18" applyFont="1" applyFill="1" applyBorder="1" applyAlignment="1">
      <alignment horizontal="center" vertical="center" wrapText="1"/>
    </xf>
    <xf numFmtId="0" fontId="29" fillId="0" borderId="1" xfId="18" applyFont="1" applyFill="1" applyBorder="1" applyAlignment="1">
      <alignment horizontal="center" vertical="center"/>
    </xf>
    <xf numFmtId="167" fontId="29" fillId="0" borderId="4" xfId="0" applyNumberFormat="1" applyFont="1" applyBorder="1" applyAlignment="1">
      <alignment horizontal="center" vertical="center" wrapText="1"/>
    </xf>
    <xf numFmtId="167" fontId="29" fillId="2" borderId="4" xfId="0" applyNumberFormat="1" applyFont="1" applyFill="1" applyBorder="1" applyAlignment="1">
      <alignment horizontal="center" vertical="center" wrapText="1"/>
    </xf>
    <xf numFmtId="167" fontId="30" fillId="2" borderId="1" xfId="150" applyNumberFormat="1" applyFont="1" applyFill="1" applyBorder="1" applyAlignment="1">
      <alignment horizontal="center" vertical="center" wrapText="1"/>
    </xf>
    <xf numFmtId="167" fontId="30" fillId="2" borderId="1" xfId="18" applyNumberFormat="1" applyFont="1" applyFill="1" applyBorder="1" applyAlignment="1">
      <alignment horizontal="center" vertical="center" wrapText="1"/>
    </xf>
    <xf numFmtId="0" fontId="29" fillId="0" borderId="7" xfId="18" applyFont="1" applyFill="1" applyBorder="1" applyAlignment="1">
      <alignment horizontal="center" vertical="center" wrapText="1"/>
    </xf>
    <xf numFmtId="167" fontId="34" fillId="0" borderId="1" xfId="150" applyNumberFormat="1" applyFont="1" applyBorder="1" applyAlignment="1">
      <alignment horizontal="center" vertical="center" wrapText="1"/>
    </xf>
    <xf numFmtId="167" fontId="30" fillId="0" borderId="1" xfId="18" applyNumberFormat="1" applyFont="1" applyFill="1" applyBorder="1" applyAlignment="1">
      <alignment horizontal="center" vertical="center" wrapText="1"/>
    </xf>
    <xf numFmtId="3" fontId="29" fillId="0" borderId="1" xfId="18" applyNumberFormat="1" applyFont="1" applyFill="1" applyBorder="1" applyAlignment="1">
      <alignment horizontal="center" vertical="center" wrapText="1"/>
    </xf>
    <xf numFmtId="0" fontId="29" fillId="3" borderId="7" xfId="0" applyFont="1" applyFill="1" applyBorder="1" applyAlignment="1">
      <alignment horizontal="left" vertical="center" wrapText="1"/>
    </xf>
    <xf numFmtId="168" fontId="30" fillId="0" borderId="1" xfId="0" applyNumberFormat="1" applyFont="1" applyFill="1" applyBorder="1" applyAlignment="1">
      <alignment vertical="center"/>
    </xf>
    <xf numFmtId="167" fontId="42" fillId="0" borderId="1" xfId="0" applyNumberFormat="1" applyFont="1" applyFill="1" applyBorder="1" applyAlignment="1">
      <alignment horizontal="center" vertical="center" wrapText="1"/>
    </xf>
    <xf numFmtId="9" fontId="30" fillId="0" borderId="1" xfId="17" applyFont="1" applyFill="1" applyBorder="1" applyAlignment="1">
      <alignment horizontal="center" vertical="center" wrapText="1"/>
    </xf>
    <xf numFmtId="9" fontId="30" fillId="0" borderId="1" xfId="17" applyNumberFormat="1" applyFont="1" applyFill="1" applyBorder="1" applyAlignment="1">
      <alignment horizontal="center" vertical="center" wrapText="1"/>
    </xf>
    <xf numFmtId="49" fontId="29" fillId="0" borderId="1" xfId="0" applyNumberFormat="1" applyFont="1" applyFill="1" applyBorder="1" applyAlignment="1"/>
    <xf numFmtId="0" fontId="29" fillId="0" borderId="1" xfId="0" applyFont="1" applyFill="1" applyBorder="1" applyAlignment="1"/>
    <xf numFmtId="0" fontId="29" fillId="0" borderId="7" xfId="0" applyFont="1" applyFill="1" applyBorder="1" applyAlignment="1"/>
    <xf numFmtId="9" fontId="29" fillId="0" borderId="1" xfId="17" applyNumberFormat="1" applyFont="1" applyFill="1" applyBorder="1" applyAlignment="1">
      <alignment horizontal="center" vertical="center" wrapText="1"/>
    </xf>
    <xf numFmtId="49" fontId="30" fillId="0" borderId="1" xfId="0" applyNumberFormat="1" applyFont="1" applyFill="1" applyBorder="1" applyAlignment="1"/>
    <xf numFmtId="0" fontId="29" fillId="0" borderId="7" xfId="0" applyFont="1" applyBorder="1" applyAlignment="1">
      <alignment horizontal="center" vertical="center" wrapText="1"/>
    </xf>
    <xf numFmtId="49" fontId="29" fillId="2" borderId="7" xfId="0" applyNumberFormat="1" applyFont="1" applyFill="1" applyBorder="1" applyAlignment="1">
      <alignment horizontal="right" vertical="center"/>
    </xf>
    <xf numFmtId="16" fontId="29" fillId="2" borderId="1" xfId="0" applyNumberFormat="1" applyFont="1" applyFill="1" applyBorder="1" applyAlignment="1">
      <alignment horizontal="center" vertical="center" wrapText="1"/>
    </xf>
    <xf numFmtId="9" fontId="29" fillId="0" borderId="0" xfId="0" applyNumberFormat="1" applyFont="1" applyAlignment="1">
      <alignment horizontal="center" vertical="center"/>
    </xf>
    <xf numFmtId="3" fontId="29" fillId="0" borderId="0" xfId="0" applyNumberFormat="1" applyFont="1" applyAlignment="1">
      <alignment horizontal="center" vertical="center"/>
    </xf>
    <xf numFmtId="0" fontId="29" fillId="2" borderId="40" xfId="0" applyFont="1" applyFill="1" applyBorder="1" applyAlignment="1">
      <alignment horizontal="center" vertical="center" wrapText="1"/>
    </xf>
    <xf numFmtId="1" fontId="29" fillId="2" borderId="40" xfId="0" applyNumberFormat="1" applyFont="1" applyFill="1" applyBorder="1" applyAlignment="1">
      <alignment horizontal="center" vertical="center" wrapText="1"/>
    </xf>
    <xf numFmtId="0" fontId="29" fillId="2" borderId="6" xfId="4" applyFont="1" applyFill="1" applyBorder="1" applyAlignment="1">
      <alignment vertical="center" wrapText="1"/>
    </xf>
    <xf numFmtId="0" fontId="29" fillId="2" borderId="1" xfId="4" applyFont="1" applyFill="1" applyBorder="1" applyAlignment="1">
      <alignment horizontal="left" vertical="center" wrapText="1"/>
    </xf>
    <xf numFmtId="0" fontId="30" fillId="2" borderId="1" xfId="4" applyFont="1" applyFill="1" applyBorder="1" applyAlignment="1">
      <alignment horizontal="center" vertical="center" wrapText="1"/>
    </xf>
    <xf numFmtId="0" fontId="29" fillId="2" borderId="1" xfId="4" applyFont="1" applyFill="1" applyBorder="1" applyAlignment="1">
      <alignment horizontal="center" vertical="center" wrapText="1"/>
    </xf>
    <xf numFmtId="4" fontId="29" fillId="2" borderId="1" xfId="155" applyNumberFormat="1" applyFont="1" applyFill="1" applyBorder="1" applyAlignment="1">
      <alignment horizontal="center" vertical="center"/>
    </xf>
    <xf numFmtId="0" fontId="29" fillId="2" borderId="1" xfId="4" applyFont="1" applyFill="1" applyBorder="1" applyAlignment="1">
      <alignment horizontal="center" vertical="center"/>
    </xf>
    <xf numFmtId="0" fontId="29" fillId="2" borderId="1" xfId="155" applyFont="1" applyFill="1" applyBorder="1"/>
    <xf numFmtId="0" fontId="29" fillId="2" borderId="4" xfId="4" applyFont="1" applyFill="1" applyBorder="1" applyAlignment="1">
      <alignment horizontal="left" vertical="center" wrapText="1"/>
    </xf>
    <xf numFmtId="0" fontId="29" fillId="2" borderId="1" xfId="4" applyFont="1" applyFill="1" applyBorder="1" applyAlignment="1">
      <alignment horizontal="left" vertical="top" wrapText="1"/>
    </xf>
    <xf numFmtId="169" fontId="38" fillId="2" borderId="29" xfId="0" applyNumberFormat="1" applyFont="1" applyFill="1" applyBorder="1" applyAlignment="1">
      <alignment horizontal="center" vertical="center"/>
    </xf>
    <xf numFmtId="169" fontId="37" fillId="2" borderId="1" xfId="0" applyNumberFormat="1" applyFont="1" applyFill="1" applyBorder="1" applyAlignment="1">
      <alignment horizontal="center" vertical="center"/>
    </xf>
    <xf numFmtId="0" fontId="38" fillId="2" borderId="1" xfId="0" applyFont="1" applyFill="1" applyBorder="1" applyAlignment="1">
      <alignment horizontal="center" vertical="center"/>
    </xf>
    <xf numFmtId="167" fontId="38" fillId="2" borderId="1" xfId="0" applyNumberFormat="1" applyFont="1" applyFill="1" applyBorder="1" applyAlignment="1">
      <alignment horizontal="center" vertical="center" wrapText="1"/>
    </xf>
    <xf numFmtId="0" fontId="37" fillId="2" borderId="7" xfId="0" applyFont="1" applyFill="1" applyBorder="1" applyAlignment="1">
      <alignment horizontal="center" vertical="center"/>
    </xf>
    <xf numFmtId="1" fontId="38" fillId="2" borderId="1" xfId="0" applyNumberFormat="1" applyFont="1" applyFill="1" applyBorder="1" applyAlignment="1">
      <alignment horizontal="center" vertical="center" wrapText="1"/>
    </xf>
    <xf numFmtId="169" fontId="37" fillId="2" borderId="4" xfId="0" applyNumberFormat="1" applyFont="1" applyFill="1" applyBorder="1" applyAlignment="1">
      <alignment horizontal="center" vertical="center"/>
    </xf>
    <xf numFmtId="180" fontId="38" fillId="2" borderId="1" xfId="0" applyNumberFormat="1" applyFont="1" applyFill="1" applyBorder="1" applyAlignment="1">
      <alignment horizontal="center" vertical="center"/>
    </xf>
    <xf numFmtId="180" fontId="38" fillId="2" borderId="1" xfId="0" applyNumberFormat="1" applyFont="1" applyFill="1" applyBorder="1" applyAlignment="1">
      <alignment horizontal="left" vertical="center"/>
    </xf>
    <xf numFmtId="0" fontId="37" fillId="2" borderId="1" xfId="0" applyFont="1" applyFill="1" applyBorder="1" applyAlignment="1">
      <alignment horizontal="center" vertical="center"/>
    </xf>
    <xf numFmtId="1" fontId="38" fillId="2" borderId="1" xfId="0" applyNumberFormat="1" applyFont="1" applyFill="1" applyBorder="1" applyAlignment="1">
      <alignment horizontal="left" vertical="center"/>
    </xf>
    <xf numFmtId="0" fontId="37" fillId="2" borderId="2" xfId="0" applyFont="1" applyFill="1" applyBorder="1" applyAlignment="1">
      <alignment horizontal="center" vertical="center"/>
    </xf>
    <xf numFmtId="167" fontId="37" fillId="2" borderId="1" xfId="0" applyNumberFormat="1" applyFont="1" applyFill="1" applyBorder="1" applyAlignment="1">
      <alignment horizontal="center" vertical="center"/>
    </xf>
    <xf numFmtId="166" fontId="38" fillId="2" borderId="1" xfId="0" applyNumberFormat="1" applyFont="1" applyFill="1" applyBorder="1" applyAlignment="1">
      <alignment horizontal="left" vertical="center"/>
    </xf>
    <xf numFmtId="168" fontId="38" fillId="2" borderId="7" xfId="0" applyNumberFormat="1" applyFont="1" applyFill="1" applyBorder="1" applyAlignment="1">
      <alignment horizontal="center" vertical="center"/>
    </xf>
    <xf numFmtId="0" fontId="37" fillId="2" borderId="1" xfId="0" applyFont="1" applyFill="1" applyBorder="1" applyAlignment="1">
      <alignment vertical="justify"/>
    </xf>
    <xf numFmtId="168" fontId="34" fillId="2" borderId="0" xfId="0" applyNumberFormat="1" applyFont="1" applyFill="1" applyAlignment="1">
      <alignment horizontal="center"/>
    </xf>
    <xf numFmtId="167" fontId="34" fillId="2" borderId="1" xfId="0" applyNumberFormat="1" applyFont="1" applyFill="1" applyBorder="1" applyAlignment="1">
      <alignment vertical="center"/>
    </xf>
    <xf numFmtId="168" fontId="38" fillId="2" borderId="9" xfId="0" applyNumberFormat="1" applyFont="1" applyFill="1" applyBorder="1" applyAlignment="1">
      <alignment horizontal="center" vertical="center"/>
    </xf>
    <xf numFmtId="0" fontId="37" fillId="2" borderId="1" xfId="0" applyFont="1" applyFill="1" applyBorder="1" applyAlignment="1">
      <alignment vertical="center"/>
    </xf>
    <xf numFmtId="0" fontId="37" fillId="2" borderId="1" xfId="156" applyFont="1" applyFill="1" applyBorder="1" applyAlignment="1">
      <alignment vertical="center" wrapText="1"/>
    </xf>
    <xf numFmtId="167" fontId="30" fillId="3" borderId="1" xfId="1" applyNumberFormat="1" applyFont="1" applyFill="1" applyBorder="1" applyAlignment="1">
      <alignment vertical="center"/>
    </xf>
    <xf numFmtId="0" fontId="29" fillId="0" borderId="43" xfId="0" applyFont="1" applyFill="1" applyBorder="1"/>
    <xf numFmtId="169" fontId="30" fillId="0" borderId="34" xfId="0" applyNumberFormat="1" applyFont="1" applyFill="1" applyBorder="1" applyAlignment="1">
      <alignment horizontal="center" vertical="center"/>
    </xf>
    <xf numFmtId="167" fontId="29" fillId="0" borderId="4" xfId="0" applyNumberFormat="1" applyFont="1" applyFill="1" applyBorder="1" applyAlignment="1">
      <alignment horizontal="center" vertical="center" wrapText="1"/>
    </xf>
    <xf numFmtId="0" fontId="29" fillId="0" borderId="6" xfId="0" applyFont="1" applyFill="1" applyBorder="1" applyAlignment="1">
      <alignment horizontal="left" vertical="center" wrapText="1"/>
    </xf>
    <xf numFmtId="2" fontId="29" fillId="0" borderId="4" xfId="0" applyNumberFormat="1" applyFont="1" applyFill="1" applyBorder="1" applyAlignment="1">
      <alignment horizontal="center" vertical="center"/>
    </xf>
    <xf numFmtId="0" fontId="29" fillId="0" borderId="4" xfId="0" applyFont="1" applyFill="1" applyBorder="1" applyAlignment="1">
      <alignment horizontal="center" vertical="center"/>
    </xf>
    <xf numFmtId="167" fontId="30" fillId="0" borderId="4" xfId="0" applyNumberFormat="1" applyFont="1" applyFill="1" applyBorder="1" applyAlignment="1">
      <alignment horizontal="center" vertical="center" wrapText="1"/>
    </xf>
    <xf numFmtId="0" fontId="29" fillId="0" borderId="4" xfId="0" applyFont="1" applyFill="1" applyBorder="1" applyAlignment="1">
      <alignment horizontal="center"/>
    </xf>
    <xf numFmtId="0" fontId="29" fillId="0" borderId="30" xfId="0" applyFont="1" applyFill="1" applyBorder="1" applyAlignment="1">
      <alignment vertical="center" wrapText="1"/>
    </xf>
    <xf numFmtId="174" fontId="29" fillId="0" borderId="30" xfId="0" applyNumberFormat="1" applyFont="1" applyFill="1" applyBorder="1" applyAlignment="1">
      <alignment horizontal="center" vertical="center" wrapText="1"/>
    </xf>
    <xf numFmtId="166" fontId="29" fillId="0" borderId="30" xfId="0" applyNumberFormat="1" applyFont="1" applyFill="1" applyBorder="1" applyAlignment="1">
      <alignment horizontal="center" vertical="center" wrapText="1"/>
    </xf>
    <xf numFmtId="0" fontId="30" fillId="0" borderId="1" xfId="0" applyFont="1" applyFill="1" applyBorder="1" applyAlignment="1">
      <alignment horizontal="center" vertical="top" wrapText="1"/>
    </xf>
    <xf numFmtId="166" fontId="29" fillId="0" borderId="4" xfId="0" applyNumberFormat="1" applyFont="1" applyFill="1" applyBorder="1" applyAlignment="1">
      <alignment horizontal="center" vertical="center" wrapText="1"/>
    </xf>
    <xf numFmtId="166" fontId="30" fillId="4" borderId="1" xfId="0" applyNumberFormat="1" applyFont="1" applyFill="1" applyBorder="1" applyAlignment="1">
      <alignment horizontal="center" vertical="center" wrapText="1"/>
    </xf>
    <xf numFmtId="180" fontId="29" fillId="4" borderId="1" xfId="0" applyNumberFormat="1" applyFont="1" applyFill="1" applyBorder="1" applyAlignment="1">
      <alignment horizontal="center" vertical="center"/>
    </xf>
    <xf numFmtId="167" fontId="30" fillId="4" borderId="1" xfId="0" applyNumberFormat="1" applyFont="1" applyFill="1" applyBorder="1" applyAlignment="1">
      <alignment horizontal="center" vertical="center"/>
    </xf>
    <xf numFmtId="180" fontId="30" fillId="4" borderId="1" xfId="0" applyNumberFormat="1" applyFont="1" applyFill="1" applyBorder="1" applyAlignment="1">
      <alignment horizontal="left" vertical="center"/>
    </xf>
    <xf numFmtId="183" fontId="29" fillId="4" borderId="1" xfId="0" applyNumberFormat="1" applyFont="1" applyFill="1" applyBorder="1" applyAlignment="1">
      <alignment horizontal="center" vertical="center"/>
    </xf>
    <xf numFmtId="0" fontId="30" fillId="4" borderId="7" xfId="0" applyFont="1" applyFill="1" applyBorder="1" applyAlignment="1">
      <alignment horizontal="right" vertical="center"/>
    </xf>
    <xf numFmtId="16" fontId="30" fillId="4" borderId="7" xfId="0" applyNumberFormat="1" applyFont="1" applyFill="1" applyBorder="1" applyAlignment="1">
      <alignment horizontal="center" vertical="center" wrapText="1"/>
    </xf>
    <xf numFmtId="1" fontId="30" fillId="4" borderId="1" xfId="0" applyNumberFormat="1" applyFont="1" applyFill="1" applyBorder="1" applyAlignment="1">
      <alignment horizontal="center"/>
    </xf>
    <xf numFmtId="1" fontId="30" fillId="4" borderId="7" xfId="0" applyNumberFormat="1" applyFont="1" applyFill="1" applyBorder="1" applyAlignment="1">
      <alignment horizontal="center"/>
    </xf>
    <xf numFmtId="1" fontId="29" fillId="4" borderId="7" xfId="0" applyNumberFormat="1" applyFont="1" applyFill="1" applyBorder="1" applyAlignment="1">
      <alignment horizontal="center" vertical="center"/>
    </xf>
    <xf numFmtId="0" fontId="30" fillId="4" borderId="7" xfId="0" applyFont="1" applyFill="1" applyBorder="1" applyAlignment="1">
      <alignment horizontal="center" vertical="center"/>
    </xf>
    <xf numFmtId="167" fontId="30" fillId="4" borderId="7" xfId="0" applyNumberFormat="1" applyFont="1" applyFill="1" applyBorder="1" applyAlignment="1">
      <alignment horizontal="center" vertical="center" wrapText="1"/>
    </xf>
    <xf numFmtId="169" fontId="30" fillId="0" borderId="2" xfId="0" applyNumberFormat="1" applyFont="1" applyBorder="1" applyAlignment="1">
      <alignment horizontal="center" vertical="center"/>
    </xf>
    <xf numFmtId="168" fontId="30" fillId="0" borderId="3" xfId="0" applyNumberFormat="1" applyFont="1" applyBorder="1" applyAlignment="1">
      <alignment horizontal="center" vertical="center"/>
    </xf>
    <xf numFmtId="167" fontId="30" fillId="4" borderId="1" xfId="0" applyNumberFormat="1" applyFont="1" applyFill="1" applyBorder="1" applyAlignment="1">
      <alignment horizontal="center" vertical="center" wrapText="1"/>
    </xf>
    <xf numFmtId="0" fontId="30" fillId="4" borderId="1" xfId="0" applyFont="1" applyFill="1" applyBorder="1" applyAlignment="1">
      <alignment vertical="center" wrapText="1"/>
    </xf>
    <xf numFmtId="0" fontId="30" fillId="4" borderId="1" xfId="0" applyFont="1" applyFill="1" applyBorder="1"/>
    <xf numFmtId="0" fontId="29" fillId="4" borderId="1" xfId="0" applyFont="1" applyFill="1" applyBorder="1" applyAlignment="1">
      <alignment vertical="center"/>
    </xf>
    <xf numFmtId="0" fontId="30" fillId="0" borderId="1" xfId="0" applyFont="1" applyBorder="1" applyAlignment="1">
      <alignment wrapText="1"/>
    </xf>
    <xf numFmtId="0" fontId="29" fillId="3" borderId="4" xfId="0" applyFont="1" applyFill="1" applyBorder="1" applyAlignment="1">
      <alignment horizontal="center" vertical="center" wrapText="1"/>
    </xf>
    <xf numFmtId="0" fontId="29" fillId="3" borderId="6" xfId="0" applyFont="1" applyFill="1" applyBorder="1" applyAlignment="1">
      <alignment horizontal="center" vertical="center" wrapText="1"/>
    </xf>
    <xf numFmtId="9" fontId="30" fillId="0" borderId="7" xfId="0" applyNumberFormat="1" applyFont="1" applyFill="1" applyBorder="1" applyAlignment="1">
      <alignment horizontal="center" vertical="center" wrapText="1"/>
    </xf>
    <xf numFmtId="180" fontId="30" fillId="0" borderId="1" xfId="0" applyNumberFormat="1" applyFont="1" applyFill="1" applyBorder="1" applyAlignment="1">
      <alignment horizontal="left" vertical="center" wrapText="1"/>
    </xf>
    <xf numFmtId="180" fontId="30" fillId="0" borderId="1" xfId="0" applyNumberFormat="1" applyFont="1" applyFill="1" applyBorder="1" applyAlignment="1">
      <alignment horizontal="center" vertical="center" wrapText="1"/>
    </xf>
    <xf numFmtId="180" fontId="30" fillId="2" borderId="1" xfId="0" applyNumberFormat="1" applyFont="1" applyFill="1" applyBorder="1" applyAlignment="1">
      <alignment horizontal="left" vertical="center" wrapText="1"/>
    </xf>
    <xf numFmtId="167" fontId="29" fillId="2" borderId="6" xfId="1" applyNumberFormat="1" applyFont="1" applyFill="1" applyBorder="1" applyAlignment="1">
      <alignment horizontal="center" vertical="center"/>
    </xf>
    <xf numFmtId="180" fontId="29" fillId="2" borderId="1" xfId="0" applyNumberFormat="1" applyFont="1" applyFill="1" applyBorder="1" applyAlignment="1">
      <alignment horizontal="left" vertical="center" wrapText="1"/>
    </xf>
    <xf numFmtId="184" fontId="30" fillId="2" borderId="1" xfId="0" applyNumberFormat="1" applyFont="1" applyFill="1" applyBorder="1" applyAlignment="1">
      <alignment horizontal="center" vertical="center" wrapText="1"/>
    </xf>
    <xf numFmtId="0" fontId="30" fillId="2" borderId="4" xfId="3" applyFont="1" applyFill="1" applyBorder="1" applyAlignment="1">
      <alignment horizontal="left" vertical="center" wrapText="1"/>
    </xf>
    <xf numFmtId="0" fontId="30" fillId="2" borderId="1" xfId="0" applyNumberFormat="1" applyFont="1" applyFill="1" applyBorder="1" applyAlignment="1">
      <alignment horizontal="center" vertical="center" wrapText="1"/>
    </xf>
    <xf numFmtId="49" fontId="30" fillId="0" borderId="1" xfId="0" applyNumberFormat="1" applyFont="1" applyFill="1" applyBorder="1" applyAlignment="1">
      <alignment horizontal="right" vertical="center"/>
    </xf>
    <xf numFmtId="0" fontId="32" fillId="0" borderId="1" xfId="0" applyFont="1" applyFill="1" applyBorder="1" applyAlignment="1">
      <alignment horizontal="left" vertical="center" wrapText="1"/>
    </xf>
    <xf numFmtId="0" fontId="30" fillId="0" borderId="10" xfId="0" applyFont="1" applyFill="1" applyBorder="1" applyAlignment="1">
      <alignment horizontal="center" vertical="center" wrapText="1"/>
    </xf>
    <xf numFmtId="167" fontId="29" fillId="0" borderId="10" xfId="0" applyNumberFormat="1" applyFont="1" applyFill="1" applyBorder="1" applyAlignment="1">
      <alignment horizontal="center" vertical="center" wrapText="1"/>
    </xf>
    <xf numFmtId="3" fontId="29" fillId="0" borderId="7" xfId="8" applyNumberFormat="1" applyFont="1" applyFill="1" applyBorder="1" applyAlignment="1">
      <alignment horizontal="center" vertical="center" wrapText="1"/>
    </xf>
    <xf numFmtId="167" fontId="29" fillId="0" borderId="2" xfId="0" applyNumberFormat="1" applyFont="1" applyFill="1" applyBorder="1" applyAlignment="1">
      <alignment horizontal="center" wrapText="1"/>
    </xf>
    <xf numFmtId="167" fontId="29" fillId="0" borderId="3" xfId="0" applyNumberFormat="1" applyFont="1" applyFill="1" applyBorder="1" applyAlignment="1">
      <alignment horizontal="center" wrapText="1"/>
    </xf>
    <xf numFmtId="3" fontId="29" fillId="0" borderId="7" xfId="0" applyNumberFormat="1" applyFont="1" applyFill="1" applyBorder="1" applyAlignment="1">
      <alignment horizontal="center" wrapText="1"/>
    </xf>
    <xf numFmtId="167" fontId="29" fillId="0" borderId="7" xfId="0" applyNumberFormat="1" applyFont="1" applyFill="1" applyBorder="1" applyAlignment="1">
      <alignment horizontal="center" wrapText="1"/>
    </xf>
    <xf numFmtId="167" fontId="29" fillId="0" borderId="10" xfId="0" applyNumberFormat="1" applyFont="1" applyFill="1" applyBorder="1" applyAlignment="1">
      <alignment horizontal="center" wrapText="1"/>
    </xf>
    <xf numFmtId="0" fontId="29" fillId="0" borderId="7" xfId="0" applyNumberFormat="1" applyFont="1" applyFill="1" applyBorder="1" applyAlignment="1">
      <alignment horizontal="center" vertical="center" wrapText="1"/>
    </xf>
    <xf numFmtId="0" fontId="29" fillId="0" borderId="10" xfId="0" applyNumberFormat="1" applyFont="1" applyFill="1" applyBorder="1" applyAlignment="1">
      <alignment horizontal="center" vertical="center" wrapText="1"/>
    </xf>
    <xf numFmtId="3" fontId="29" fillId="0" borderId="4" xfId="0" applyNumberFormat="1" applyFont="1" applyFill="1" applyBorder="1" applyAlignment="1">
      <alignment horizontal="center" vertical="center" wrapText="1"/>
    </xf>
    <xf numFmtId="167" fontId="29" fillId="0" borderId="6" xfId="1" applyNumberFormat="1" applyFont="1" applyFill="1" applyBorder="1" applyAlignment="1">
      <alignment horizontal="center" vertical="center"/>
    </xf>
    <xf numFmtId="167" fontId="29" fillId="0" borderId="3" xfId="0" applyNumberFormat="1" applyFont="1" applyFill="1" applyBorder="1" applyAlignment="1">
      <alignment horizontal="center" vertical="center" wrapText="1"/>
    </xf>
    <xf numFmtId="0" fontId="29" fillId="0" borderId="4" xfId="0" applyNumberFormat="1" applyFont="1" applyFill="1" applyBorder="1" applyAlignment="1">
      <alignment horizontal="center" vertical="center" wrapText="1"/>
    </xf>
    <xf numFmtId="167" fontId="29" fillId="0" borderId="12" xfId="1" applyNumberFormat="1" applyFont="1" applyFill="1" applyBorder="1" applyAlignment="1">
      <alignment horizontal="center" vertical="center" wrapText="1"/>
    </xf>
    <xf numFmtId="167" fontId="29" fillId="0" borderId="4" xfId="0" applyNumberFormat="1" applyFont="1" applyFill="1" applyBorder="1" applyAlignment="1">
      <alignment horizontal="center" vertical="center"/>
    </xf>
    <xf numFmtId="166" fontId="30" fillId="0" borderId="1" xfId="0" applyNumberFormat="1" applyFont="1" applyFill="1" applyBorder="1" applyAlignment="1">
      <alignment horizontal="center" vertical="center"/>
    </xf>
    <xf numFmtId="2" fontId="30" fillId="0" borderId="1" xfId="0" applyNumberFormat="1" applyFont="1" applyFill="1" applyBorder="1" applyAlignment="1">
      <alignment horizontal="center" vertical="center"/>
    </xf>
    <xf numFmtId="166" fontId="30" fillId="0" borderId="4" xfId="0" applyNumberFormat="1" applyFont="1" applyFill="1" applyBorder="1" applyAlignment="1">
      <alignment horizontal="center" vertical="center"/>
    </xf>
    <xf numFmtId="0" fontId="30" fillId="2" borderId="7" xfId="3" applyFont="1" applyFill="1" applyBorder="1" applyAlignment="1">
      <alignment horizontal="center" vertical="center" wrapText="1"/>
    </xf>
    <xf numFmtId="167" fontId="29" fillId="2" borderId="1" xfId="3" applyNumberFormat="1" applyFont="1" applyFill="1" applyBorder="1" applyAlignment="1">
      <alignment horizontal="center" vertical="center" wrapText="1"/>
    </xf>
    <xf numFmtId="49" fontId="29" fillId="2" borderId="1" xfId="3" applyNumberFormat="1" applyFont="1" applyFill="1" applyBorder="1" applyAlignment="1">
      <alignment horizontal="center" vertical="center" wrapText="1"/>
    </xf>
    <xf numFmtId="169" fontId="38" fillId="0" borderId="29" xfId="0" applyNumberFormat="1" applyFont="1" applyBorder="1" applyAlignment="1">
      <alignment horizontal="center" vertical="center"/>
    </xf>
    <xf numFmtId="168" fontId="38" fillId="0" borderId="2" xfId="0" applyNumberFormat="1" applyFont="1" applyBorder="1" applyAlignment="1">
      <alignment horizontal="center" vertical="center"/>
    </xf>
    <xf numFmtId="3" fontId="37" fillId="4" borderId="1" xfId="0" applyNumberFormat="1" applyFont="1" applyFill="1" applyBorder="1" applyAlignment="1">
      <alignment vertical="center" wrapText="1"/>
    </xf>
    <xf numFmtId="169" fontId="46" fillId="29" borderId="35" xfId="0" applyNumberFormat="1" applyFont="1" applyFill="1" applyBorder="1" applyAlignment="1">
      <alignment horizontal="center" vertical="center" wrapText="1"/>
    </xf>
    <xf numFmtId="168" fontId="46" fillId="29" borderId="6" xfId="0" applyNumberFormat="1" applyFont="1" applyFill="1" applyBorder="1" applyAlignment="1">
      <alignment horizontal="center" vertical="center" wrapText="1"/>
    </xf>
    <xf numFmtId="49" fontId="47" fillId="29" borderId="1" xfId="0" applyNumberFormat="1" applyFont="1" applyFill="1" applyBorder="1" applyAlignment="1">
      <alignment horizontal="center" vertical="center" wrapText="1"/>
    </xf>
    <xf numFmtId="0" fontId="47" fillId="29" borderId="1" xfId="0" applyFont="1" applyFill="1" applyBorder="1" applyAlignment="1">
      <alignment horizontal="right" wrapText="1"/>
    </xf>
    <xf numFmtId="167" fontId="47" fillId="29" borderId="1" xfId="0" applyNumberFormat="1" applyFont="1" applyFill="1" applyBorder="1" applyAlignment="1">
      <alignment horizontal="center" vertical="center" wrapText="1"/>
    </xf>
    <xf numFmtId="167" fontId="46" fillId="29" borderId="1" xfId="0" applyNumberFormat="1" applyFont="1" applyFill="1" applyBorder="1" applyAlignment="1">
      <alignment horizontal="center" vertical="center" wrapText="1"/>
    </xf>
    <xf numFmtId="0" fontId="47" fillId="29" borderId="1" xfId="0" applyFont="1" applyFill="1" applyBorder="1" applyAlignment="1">
      <alignment horizontal="left" vertical="center" wrapText="1"/>
    </xf>
    <xf numFmtId="0" fontId="47" fillId="29" borderId="1" xfId="0" applyFont="1" applyFill="1" applyBorder="1" applyAlignment="1">
      <alignment horizontal="center" wrapText="1"/>
    </xf>
    <xf numFmtId="0" fontId="47" fillId="29" borderId="1" xfId="0" applyFont="1" applyFill="1" applyBorder="1" applyAlignment="1">
      <alignment vertical="top" wrapText="1"/>
    </xf>
    <xf numFmtId="0" fontId="47" fillId="29" borderId="40" xfId="0" applyFont="1" applyFill="1" applyBorder="1" applyAlignment="1">
      <alignment vertical="top" wrapText="1"/>
    </xf>
    <xf numFmtId="169" fontId="47" fillId="29" borderId="35" xfId="0" applyNumberFormat="1" applyFont="1" applyFill="1" applyBorder="1" applyAlignment="1">
      <alignment horizontal="center" wrapText="1"/>
    </xf>
    <xf numFmtId="168" fontId="47" fillId="29" borderId="6" xfId="0" applyNumberFormat="1" applyFont="1" applyFill="1" applyBorder="1" applyAlignment="1">
      <alignment horizontal="center" wrapText="1"/>
    </xf>
    <xf numFmtId="0" fontId="47" fillId="29" borderId="40" xfId="0" applyFont="1" applyFill="1" applyBorder="1" applyAlignment="1">
      <alignment horizontal="center" wrapText="1"/>
    </xf>
    <xf numFmtId="169" fontId="47" fillId="29" borderId="35" xfId="0" applyNumberFormat="1" applyFont="1" applyFill="1" applyBorder="1" applyAlignment="1">
      <alignment horizontal="center" vertical="center" wrapText="1"/>
    </xf>
    <xf numFmtId="168" fontId="47" fillId="29" borderId="6" xfId="0" applyNumberFormat="1" applyFont="1" applyFill="1" applyBorder="1" applyAlignment="1">
      <alignment horizontal="center" vertical="center" wrapText="1"/>
    </xf>
    <xf numFmtId="0" fontId="34" fillId="2" borderId="40" xfId="0" applyFont="1" applyFill="1" applyBorder="1" applyAlignment="1">
      <alignment horizontal="left" vertical="center" wrapText="1"/>
    </xf>
    <xf numFmtId="0" fontId="34" fillId="2" borderId="40" xfId="0" applyFont="1" applyFill="1" applyBorder="1" applyAlignment="1">
      <alignment horizontal="center" vertical="center" wrapText="1"/>
    </xf>
    <xf numFmtId="169" fontId="47" fillId="29" borderId="35" xfId="0" applyNumberFormat="1" applyFont="1" applyFill="1" applyBorder="1" applyAlignment="1">
      <alignment horizontal="center" vertical="top" wrapText="1"/>
    </xf>
    <xf numFmtId="168" fontId="47" fillId="29" borderId="6" xfId="0" applyNumberFormat="1" applyFont="1" applyFill="1" applyBorder="1" applyAlignment="1">
      <alignment horizontal="center" vertical="top" wrapText="1"/>
    </xf>
    <xf numFmtId="9" fontId="47" fillId="29" borderId="1" xfId="0" applyNumberFormat="1" applyFont="1" applyFill="1" applyBorder="1" applyAlignment="1">
      <alignment vertical="top" wrapText="1"/>
    </xf>
    <xf numFmtId="0" fontId="34" fillId="2" borderId="1" xfId="0" applyFont="1" applyFill="1" applyBorder="1"/>
    <xf numFmtId="0" fontId="34" fillId="2" borderId="40" xfId="0" applyFont="1" applyFill="1" applyBorder="1"/>
    <xf numFmtId="167" fontId="34" fillId="2" borderId="40" xfId="0" applyNumberFormat="1" applyFont="1" applyFill="1" applyBorder="1" applyAlignment="1">
      <alignment vertical="center" wrapText="1"/>
    </xf>
    <xf numFmtId="0" fontId="34" fillId="2" borderId="40" xfId="0" applyNumberFormat="1" applyFont="1" applyFill="1" applyBorder="1" applyAlignment="1">
      <alignment vertical="center" wrapText="1"/>
    </xf>
    <xf numFmtId="167" fontId="34" fillId="2" borderId="1" xfId="0" applyNumberFormat="1" applyFont="1" applyFill="1" applyBorder="1" applyAlignment="1"/>
    <xf numFmtId="167" fontId="34" fillId="2" borderId="40" xfId="0" applyNumberFormat="1" applyFont="1" applyFill="1" applyBorder="1" applyAlignment="1"/>
    <xf numFmtId="0" fontId="34" fillId="0" borderId="1" xfId="0" applyFont="1" applyBorder="1"/>
    <xf numFmtId="0" fontId="34" fillId="0" borderId="40" xfId="0" applyFont="1" applyBorder="1"/>
    <xf numFmtId="0" fontId="29" fillId="3" borderId="1" xfId="0" applyFont="1" applyFill="1" applyBorder="1" applyAlignment="1">
      <alignment horizontal="center"/>
    </xf>
    <xf numFmtId="167" fontId="29" fillId="0" borderId="6" xfId="0" applyNumberFormat="1" applyFont="1" applyBorder="1" applyAlignment="1">
      <alignment horizontal="center" vertical="center"/>
    </xf>
    <xf numFmtId="0" fontId="29" fillId="0" borderId="4" xfId="0" applyFont="1" applyFill="1" applyBorder="1" applyAlignment="1">
      <alignment horizontal="left" vertical="center" wrapText="1"/>
    </xf>
    <xf numFmtId="0" fontId="29" fillId="2" borderId="1" xfId="0" applyFont="1" applyFill="1" applyBorder="1" applyAlignment="1">
      <alignment horizontal="center" vertical="center" wrapText="1"/>
    </xf>
    <xf numFmtId="0" fontId="29" fillId="4" borderId="4" xfId="0" applyFont="1" applyFill="1" applyBorder="1" applyAlignment="1">
      <alignment horizontal="left" vertical="center" wrapText="1"/>
    </xf>
    <xf numFmtId="0" fontId="29" fillId="2" borderId="1" xfId="3" applyFont="1" applyFill="1" applyBorder="1" applyAlignment="1">
      <alignment vertical="center" wrapText="1"/>
    </xf>
    <xf numFmtId="0" fontId="34" fillId="2" borderId="7" xfId="0" applyFont="1" applyFill="1" applyBorder="1" applyAlignment="1">
      <alignment horizontal="center" vertical="center" wrapText="1"/>
    </xf>
    <xf numFmtId="0" fontId="30" fillId="3" borderId="4" xfId="0" applyFont="1" applyFill="1" applyBorder="1" applyAlignment="1">
      <alignment horizontal="left" vertical="center" wrapText="1"/>
    </xf>
    <xf numFmtId="169" fontId="30" fillId="2" borderId="1" xfId="0" applyNumberFormat="1" applyFont="1" applyFill="1" applyBorder="1" applyAlignment="1">
      <alignment horizontal="center" vertical="center"/>
    </xf>
    <xf numFmtId="168" fontId="30" fillId="2" borderId="7" xfId="0" applyNumberFormat="1" applyFont="1" applyFill="1" applyBorder="1" applyAlignment="1">
      <alignment horizontal="center" vertical="center"/>
    </xf>
    <xf numFmtId="49" fontId="29" fillId="2" borderId="1" xfId="0" applyNumberFormat="1" applyFont="1" applyFill="1" applyBorder="1" applyAlignment="1">
      <alignment horizontal="center" vertical="center"/>
    </xf>
    <xf numFmtId="49" fontId="29" fillId="2" borderId="1" xfId="0" applyNumberFormat="1" applyFont="1" applyFill="1" applyBorder="1" applyAlignment="1">
      <alignment horizontal="right" vertical="center"/>
    </xf>
    <xf numFmtId="0" fontId="29" fillId="2" borderId="11" xfId="0" applyFont="1" applyFill="1" applyBorder="1" applyAlignment="1">
      <alignment horizontal="left" vertical="center" wrapText="1"/>
    </xf>
    <xf numFmtId="167" fontId="29" fillId="0" borderId="7" xfId="0" applyNumberFormat="1" applyFont="1" applyBorder="1" applyAlignment="1">
      <alignment horizontal="center" vertical="center"/>
    </xf>
    <xf numFmtId="0" fontId="29" fillId="2" borderId="7" xfId="0" applyFont="1" applyFill="1" applyBorder="1" applyAlignment="1">
      <alignment horizontal="left" vertical="center" wrapText="1"/>
    </xf>
    <xf numFmtId="0" fontId="30" fillId="3" borderId="1" xfId="0" applyFont="1" applyFill="1" applyBorder="1" applyAlignment="1">
      <alignment vertical="center"/>
    </xf>
    <xf numFmtId="169" fontId="30" fillId="0" borderId="7" xfId="0" applyNumberFormat="1" applyFont="1" applyFill="1" applyBorder="1" applyAlignment="1">
      <alignment horizontal="center" vertical="center"/>
    </xf>
    <xf numFmtId="49" fontId="29" fillId="0" borderId="7" xfId="0" applyNumberFormat="1" applyFont="1" applyFill="1" applyBorder="1" applyAlignment="1">
      <alignment horizontal="center" vertical="center"/>
    </xf>
    <xf numFmtId="0" fontId="29" fillId="0" borderId="11" xfId="0" applyFont="1" applyFill="1" applyBorder="1" applyAlignment="1">
      <alignment horizontal="left" vertical="center" wrapText="1"/>
    </xf>
    <xf numFmtId="0" fontId="29" fillId="0" borderId="7" xfId="0" applyFont="1" applyFill="1" applyBorder="1" applyAlignment="1">
      <alignment horizontal="center" vertical="center"/>
    </xf>
    <xf numFmtId="169" fontId="30" fillId="0" borderId="1" xfId="0" applyNumberFormat="1" applyFont="1" applyFill="1" applyBorder="1" applyAlignment="1">
      <alignment horizontal="center" vertical="center"/>
    </xf>
    <xf numFmtId="168" fontId="30" fillId="0" borderId="7" xfId="0" applyNumberFormat="1" applyFont="1" applyFill="1" applyBorder="1" applyAlignment="1">
      <alignment horizontal="center" vertical="center"/>
    </xf>
    <xf numFmtId="49" fontId="29" fillId="0" borderId="1" xfId="0" applyNumberFormat="1" applyFont="1" applyFill="1" applyBorder="1" applyAlignment="1">
      <alignment horizontal="center" vertical="center"/>
    </xf>
    <xf numFmtId="0" fontId="30" fillId="0" borderId="11" xfId="0" applyFont="1" applyFill="1" applyBorder="1" applyAlignment="1">
      <alignment horizontal="left" vertical="center" wrapText="1"/>
    </xf>
    <xf numFmtId="167" fontId="30" fillId="0" borderId="1" xfId="1" applyNumberFormat="1" applyFont="1" applyFill="1" applyBorder="1" applyAlignment="1">
      <alignment horizontal="center" vertical="center" wrapText="1"/>
    </xf>
    <xf numFmtId="167" fontId="29" fillId="0" borderId="6" xfId="1" applyNumberFormat="1" applyFont="1" applyFill="1" applyBorder="1" applyAlignment="1">
      <alignment horizontal="center" vertical="center" wrapText="1"/>
    </xf>
    <xf numFmtId="167" fontId="29" fillId="0" borderId="1" xfId="1" applyNumberFormat="1" applyFont="1" applyFill="1" applyBorder="1" applyAlignment="1">
      <alignment horizontal="center" vertical="center" wrapText="1"/>
    </xf>
    <xf numFmtId="169" fontId="29" fillId="0" borderId="1" xfId="0" applyNumberFormat="1" applyFont="1" applyBorder="1" applyAlignment="1">
      <alignment horizontal="center" vertical="center"/>
    </xf>
    <xf numFmtId="0" fontId="29" fillId="0" borderId="1" xfId="0" applyFont="1" applyBorder="1" applyAlignment="1">
      <alignment horizontal="left" vertical="center" wrapText="1"/>
    </xf>
    <xf numFmtId="167" fontId="29" fillId="2" borderId="7" xfId="0" applyNumberFormat="1" applyFont="1" applyFill="1" applyBorder="1" applyAlignment="1">
      <alignment horizontal="center" vertical="center" wrapText="1"/>
    </xf>
    <xf numFmtId="167" fontId="29" fillId="2" borderId="1" xfId="0" applyNumberFormat="1" applyFont="1" applyFill="1" applyBorder="1" applyAlignment="1">
      <alignment horizontal="center" vertical="center" wrapText="1"/>
    </xf>
    <xf numFmtId="0" fontId="29" fillId="0" borderId="1" xfId="0" applyFont="1" applyBorder="1" applyAlignment="1">
      <alignment vertical="center" wrapText="1"/>
    </xf>
    <xf numFmtId="0" fontId="29" fillId="0" borderId="7" xfId="0" applyFont="1" applyFill="1" applyBorder="1" applyAlignment="1">
      <alignment horizontal="center" vertical="center" wrapText="1"/>
    </xf>
    <xf numFmtId="0" fontId="29" fillId="0" borderId="8" xfId="0" applyFont="1" applyFill="1" applyBorder="1" applyAlignment="1">
      <alignment vertical="center" wrapText="1"/>
    </xf>
    <xf numFmtId="0" fontId="29" fillId="0" borderId="7" xfId="0" applyFont="1" applyFill="1" applyBorder="1" applyAlignment="1">
      <alignment vertical="center" wrapText="1"/>
    </xf>
    <xf numFmtId="167" fontId="29" fillId="0" borderId="7" xfId="0" applyNumberFormat="1" applyFont="1" applyFill="1" applyBorder="1" applyAlignment="1">
      <alignment horizontal="center" vertical="center" wrapText="1"/>
    </xf>
    <xf numFmtId="167" fontId="29" fillId="0" borderId="2" xfId="0" applyNumberFormat="1" applyFont="1" applyFill="1" applyBorder="1" applyAlignment="1">
      <alignment horizontal="center" vertical="center" wrapText="1"/>
    </xf>
    <xf numFmtId="169" fontId="29" fillId="2" borderId="1" xfId="0" applyNumberFormat="1" applyFont="1" applyFill="1" applyBorder="1" applyAlignment="1">
      <alignment horizontal="center" vertical="center" wrapText="1"/>
    </xf>
    <xf numFmtId="168" fontId="29" fillId="2" borderId="7" xfId="0" applyNumberFormat="1"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180" fontId="30" fillId="2" borderId="1" xfId="0" applyNumberFormat="1" applyFont="1" applyFill="1" applyBorder="1" applyAlignment="1">
      <alignment horizontal="center" vertical="center" wrapText="1"/>
    </xf>
    <xf numFmtId="169" fontId="38" fillId="2" borderId="1" xfId="0" applyNumberFormat="1" applyFont="1" applyFill="1" applyBorder="1" applyAlignment="1">
      <alignment horizontal="center" vertical="center"/>
    </xf>
    <xf numFmtId="167" fontId="34" fillId="2" borderId="7" xfId="0" applyNumberFormat="1" applyFont="1" applyFill="1" applyBorder="1" applyAlignment="1">
      <alignment horizontal="center" vertical="center" wrapText="1"/>
    </xf>
    <xf numFmtId="0" fontId="29" fillId="0" borderId="1" xfId="0" applyFont="1" applyFill="1" applyBorder="1" applyAlignment="1">
      <alignment vertical="center" wrapText="1"/>
    </xf>
    <xf numFmtId="167" fontId="29" fillId="0" borderId="1" xfId="0" applyNumberFormat="1" applyFont="1" applyFill="1" applyBorder="1" applyAlignment="1">
      <alignment horizontal="center" vertical="center" wrapText="1"/>
    </xf>
    <xf numFmtId="169" fontId="30" fillId="2" borderId="7" xfId="0" applyNumberFormat="1" applyFont="1" applyFill="1" applyBorder="1" applyAlignment="1">
      <alignment horizontal="center" vertical="center"/>
    </xf>
    <xf numFmtId="49" fontId="29" fillId="2" borderId="7" xfId="0" applyNumberFormat="1" applyFont="1" applyFill="1" applyBorder="1" applyAlignment="1">
      <alignment horizontal="center" vertical="center"/>
    </xf>
    <xf numFmtId="168" fontId="30" fillId="2" borderId="2" xfId="0" applyNumberFormat="1" applyFont="1" applyFill="1" applyBorder="1" applyAlignment="1">
      <alignment horizontal="center" vertical="center"/>
    </xf>
    <xf numFmtId="168" fontId="30" fillId="2" borderId="1" xfId="0" applyNumberFormat="1" applyFont="1" applyFill="1" applyBorder="1" applyAlignment="1">
      <alignment horizontal="center" vertical="center"/>
    </xf>
    <xf numFmtId="167" fontId="34" fillId="2" borderId="2" xfId="0" applyNumberFormat="1" applyFont="1" applyFill="1" applyBorder="1" applyAlignment="1">
      <alignment horizontal="center" vertical="center" wrapText="1"/>
    </xf>
    <xf numFmtId="0" fontId="29" fillId="2" borderId="4" xfId="0" applyFont="1" applyFill="1" applyBorder="1" applyAlignment="1">
      <alignment horizontal="center" vertical="center" wrapText="1"/>
    </xf>
    <xf numFmtId="49" fontId="29" fillId="0" borderId="1" xfId="0" applyNumberFormat="1" applyFont="1" applyBorder="1" applyAlignment="1">
      <alignment horizontal="center" vertical="center"/>
    </xf>
    <xf numFmtId="0" fontId="29" fillId="0" borderId="1" xfId="0" applyFont="1" applyBorder="1" applyAlignment="1">
      <alignment horizontal="center"/>
    </xf>
    <xf numFmtId="0" fontId="29" fillId="2" borderId="7" xfId="0" applyFont="1" applyFill="1" applyBorder="1" applyAlignment="1">
      <alignment horizontal="center" vertical="center"/>
    </xf>
    <xf numFmtId="0" fontId="29" fillId="0" borderId="4" xfId="3" applyFont="1" applyFill="1" applyBorder="1" applyAlignment="1">
      <alignment horizontal="left" vertical="center" wrapText="1"/>
    </xf>
    <xf numFmtId="0" fontId="29" fillId="2" borderId="4" xfId="0" applyFont="1" applyFill="1" applyBorder="1" applyAlignment="1">
      <alignment horizontal="left" vertical="center" wrapText="1"/>
    </xf>
    <xf numFmtId="167" fontId="29" fillId="2" borderId="6" xfId="1" applyNumberFormat="1" applyFont="1" applyFill="1" applyBorder="1" applyAlignment="1">
      <alignment horizontal="center" vertical="center" wrapText="1"/>
    </xf>
    <xf numFmtId="167" fontId="29" fillId="2" borderId="1" xfId="1" applyNumberFormat="1" applyFont="1" applyFill="1" applyBorder="1" applyAlignment="1">
      <alignment horizontal="center" vertical="center" wrapText="1"/>
    </xf>
    <xf numFmtId="169" fontId="30" fillId="0" borderId="2" xfId="0" applyNumberFormat="1" applyFont="1" applyFill="1" applyBorder="1" applyAlignment="1">
      <alignment horizontal="center" vertical="center"/>
    </xf>
    <xf numFmtId="168" fontId="30" fillId="0" borderId="2" xfId="0" applyNumberFormat="1" applyFont="1" applyFill="1" applyBorder="1" applyAlignment="1">
      <alignment horizontal="center" vertical="center"/>
    </xf>
    <xf numFmtId="49" fontId="29" fillId="0" borderId="2" xfId="0" applyNumberFormat="1" applyFont="1" applyFill="1" applyBorder="1" applyAlignment="1">
      <alignment horizontal="center" vertical="center"/>
    </xf>
    <xf numFmtId="0" fontId="29" fillId="0" borderId="8" xfId="0" applyFont="1" applyFill="1" applyBorder="1" applyAlignment="1">
      <alignment horizontal="left" vertical="center" wrapText="1"/>
    </xf>
    <xf numFmtId="0" fontId="29" fillId="0" borderId="7" xfId="0" applyFont="1" applyFill="1" applyBorder="1" applyAlignment="1">
      <alignment horizontal="left" vertical="center" wrapText="1"/>
    </xf>
    <xf numFmtId="169" fontId="29" fillId="0" borderId="7" xfId="0" applyNumberFormat="1" applyFont="1" applyFill="1" applyBorder="1" applyAlignment="1">
      <alignment horizontal="center" vertical="center"/>
    </xf>
    <xf numFmtId="168" fontId="29" fillId="0" borderId="7" xfId="0" applyNumberFormat="1" applyFont="1" applyFill="1" applyBorder="1" applyAlignment="1">
      <alignment horizontal="center" vertical="center"/>
    </xf>
    <xf numFmtId="0" fontId="29" fillId="0" borderId="1" xfId="0" applyFont="1" applyFill="1" applyBorder="1" applyAlignment="1">
      <alignment horizontal="center"/>
    </xf>
    <xf numFmtId="169" fontId="29" fillId="0" borderId="1" xfId="0" applyNumberFormat="1" applyFont="1" applyFill="1" applyBorder="1" applyAlignment="1">
      <alignment horizontal="center" vertical="center" wrapText="1"/>
    </xf>
    <xf numFmtId="168" fontId="29" fillId="0" borderId="7" xfId="0" applyNumberFormat="1" applyFont="1" applyFill="1" applyBorder="1" applyAlignment="1">
      <alignment horizontal="center" vertical="center" wrapText="1"/>
    </xf>
    <xf numFmtId="49" fontId="29" fillId="0" borderId="1" xfId="0" applyNumberFormat="1" applyFont="1" applyFill="1" applyBorder="1" applyAlignment="1">
      <alignment horizontal="center" vertical="center" wrapText="1"/>
    </xf>
    <xf numFmtId="167" fontId="29" fillId="0" borderId="1" xfId="0" applyNumberFormat="1" applyFont="1" applyBorder="1" applyAlignment="1">
      <alignment horizontal="center" vertical="center" wrapText="1"/>
    </xf>
    <xf numFmtId="167" fontId="34" fillId="2" borderId="1" xfId="18" applyNumberFormat="1" applyFont="1" applyFill="1" applyBorder="1" applyAlignment="1">
      <alignment horizontal="center" vertical="center" wrapText="1"/>
    </xf>
    <xf numFmtId="167" fontId="29" fillId="2" borderId="6" xfId="0" applyNumberFormat="1" applyFont="1" applyFill="1" applyBorder="1" applyAlignment="1">
      <alignment horizontal="center" vertical="center" wrapText="1"/>
    </xf>
    <xf numFmtId="0" fontId="30" fillId="2" borderId="4" xfId="0" applyFont="1" applyFill="1" applyBorder="1" applyAlignment="1">
      <alignment horizontal="left" vertical="center" wrapText="1"/>
    </xf>
    <xf numFmtId="167" fontId="30" fillId="2" borderId="9" xfId="1" applyNumberFormat="1" applyFont="1" applyFill="1" applyBorder="1" applyAlignment="1">
      <alignment horizontal="center" vertical="center" wrapText="1"/>
    </xf>
    <xf numFmtId="167" fontId="30" fillId="2" borderId="7" xfId="1" applyNumberFormat="1" applyFont="1" applyFill="1" applyBorder="1" applyAlignment="1">
      <alignment horizontal="center" vertical="center" wrapText="1"/>
    </xf>
    <xf numFmtId="169" fontId="29" fillId="0" borderId="1" xfId="0" applyNumberFormat="1" applyFont="1" applyFill="1" applyBorder="1" applyAlignment="1">
      <alignment horizontal="center" vertical="center"/>
    </xf>
    <xf numFmtId="0" fontId="29" fillId="0" borderId="1" xfId="0" applyFont="1" applyFill="1" applyBorder="1" applyAlignment="1">
      <alignment horizontal="center" vertical="center"/>
    </xf>
    <xf numFmtId="167" fontId="29" fillId="2" borderId="1" xfId="154" applyNumberFormat="1" applyFont="1" applyFill="1" applyBorder="1" applyAlignment="1">
      <alignment horizontal="center" vertical="center" wrapText="1"/>
    </xf>
    <xf numFmtId="0" fontId="30" fillId="2" borderId="10" xfId="0" applyFont="1" applyFill="1" applyBorder="1" applyAlignment="1">
      <alignment horizontal="left" vertical="center" wrapText="1"/>
    </xf>
    <xf numFmtId="0" fontId="30" fillId="0" borderId="7" xfId="0" applyFont="1" applyFill="1" applyBorder="1" applyAlignment="1">
      <alignment horizontal="center" vertical="center" wrapText="1"/>
    </xf>
    <xf numFmtId="167" fontId="29" fillId="0" borderId="7" xfId="3" applyNumberFormat="1" applyFont="1" applyFill="1" applyBorder="1" applyAlignment="1">
      <alignment horizontal="center" vertical="center" wrapText="1"/>
    </xf>
    <xf numFmtId="0" fontId="29" fillId="0" borderId="2" xfId="0" applyFont="1" applyFill="1" applyBorder="1" applyAlignment="1">
      <alignment horizontal="center" vertical="center" wrapText="1"/>
    </xf>
    <xf numFmtId="3" fontId="29" fillId="0" borderId="7" xfId="0" applyNumberFormat="1" applyFont="1" applyFill="1" applyBorder="1" applyAlignment="1">
      <alignment horizontal="center" vertical="center" wrapText="1"/>
    </xf>
    <xf numFmtId="0" fontId="30" fillId="3" borderId="1" xfId="0" applyFont="1" applyFill="1" applyBorder="1" applyAlignment="1">
      <alignment horizontal="left" vertical="center" wrapText="1"/>
    </xf>
    <xf numFmtId="168" fontId="30" fillId="0" borderId="7" xfId="0" applyNumberFormat="1" applyFont="1" applyBorder="1" applyAlignment="1">
      <alignment horizontal="center" vertical="center"/>
    </xf>
    <xf numFmtId="0" fontId="29" fillId="2" borderId="7" xfId="0" applyFont="1" applyFill="1" applyBorder="1" applyAlignment="1">
      <alignment horizontal="left" vertical="center"/>
    </xf>
    <xf numFmtId="167" fontId="29" fillId="0" borderId="1" xfId="149" applyNumberFormat="1" applyFont="1" applyFill="1" applyBorder="1" applyAlignment="1">
      <alignment horizontal="center" vertical="center" wrapText="1"/>
    </xf>
    <xf numFmtId="49" fontId="29" fillId="0" borderId="1" xfId="0" applyNumberFormat="1" applyFont="1" applyFill="1" applyBorder="1" applyAlignment="1">
      <alignment horizontal="center" vertical="top"/>
    </xf>
    <xf numFmtId="0" fontId="29" fillId="0" borderId="1" xfId="0" applyFont="1" applyFill="1" applyBorder="1" applyAlignment="1">
      <alignment horizontal="left" vertical="top" wrapText="1"/>
    </xf>
    <xf numFmtId="169" fontId="29" fillId="0" borderId="2" xfId="0" applyNumberFormat="1" applyFont="1" applyFill="1" applyBorder="1" applyAlignment="1">
      <alignment horizontal="center" vertical="center"/>
    </xf>
    <xf numFmtId="0" fontId="34" fillId="2" borderId="7" xfId="0" applyFont="1" applyFill="1" applyBorder="1" applyAlignment="1">
      <alignment vertical="center"/>
    </xf>
    <xf numFmtId="167" fontId="34" fillId="2" borderId="7" xfId="8" applyNumberFormat="1" applyFont="1" applyFill="1" applyBorder="1" applyAlignment="1">
      <alignment horizontal="center" vertical="center" wrapText="1"/>
    </xf>
    <xf numFmtId="168" fontId="29" fillId="2" borderId="2" xfId="0" applyNumberFormat="1" applyFont="1" applyFill="1" applyBorder="1" applyAlignment="1">
      <alignment horizontal="center" vertical="center"/>
    </xf>
    <xf numFmtId="168" fontId="29" fillId="2" borderId="7" xfId="0" applyNumberFormat="1" applyFont="1" applyFill="1" applyBorder="1" applyAlignment="1">
      <alignment horizontal="center" vertical="center"/>
    </xf>
    <xf numFmtId="167" fontId="29" fillId="0" borderId="2" xfId="0" applyNumberFormat="1" applyFont="1" applyBorder="1" applyAlignment="1">
      <alignment horizontal="center" vertical="center"/>
    </xf>
    <xf numFmtId="167" fontId="34" fillId="2" borderId="2" xfId="0" applyNumberFormat="1" applyFont="1" applyFill="1" applyBorder="1" applyAlignment="1">
      <alignment horizontal="center" vertical="center"/>
    </xf>
    <xf numFmtId="168" fontId="29" fillId="0" borderId="2" xfId="0" applyNumberFormat="1" applyFont="1" applyFill="1" applyBorder="1" applyAlignment="1">
      <alignment horizontal="center" vertical="center"/>
    </xf>
    <xf numFmtId="167" fontId="34" fillId="2" borderId="1" xfId="0" applyNumberFormat="1" applyFont="1" applyFill="1" applyBorder="1" applyAlignment="1">
      <alignment horizontal="center" vertical="center" wrapText="1"/>
    </xf>
    <xf numFmtId="169" fontId="30" fillId="2" borderId="1" xfId="0" applyNumberFormat="1" applyFont="1" applyFill="1" applyBorder="1" applyAlignment="1">
      <alignment horizontal="center" vertical="center" wrapText="1"/>
    </xf>
    <xf numFmtId="168" fontId="30" fillId="2" borderId="7" xfId="0" applyNumberFormat="1" applyFont="1" applyFill="1" applyBorder="1" applyAlignment="1">
      <alignment horizontal="center" vertical="center" wrapText="1"/>
    </xf>
    <xf numFmtId="0" fontId="30" fillId="2" borderId="1" xfId="0" applyFont="1" applyFill="1" applyBorder="1" applyAlignment="1">
      <alignment horizontal="left" vertical="center" wrapText="1"/>
    </xf>
    <xf numFmtId="0" fontId="29" fillId="2" borderId="1" xfId="0" applyFont="1" applyFill="1" applyBorder="1" applyAlignment="1">
      <alignment horizontal="center" vertical="center" wrapText="1"/>
    </xf>
    <xf numFmtId="167" fontId="34" fillId="0" borderId="1" xfId="0" applyNumberFormat="1" applyFont="1" applyBorder="1" applyAlignment="1">
      <alignment horizontal="center" vertical="center" wrapText="1"/>
    </xf>
    <xf numFmtId="167" fontId="34" fillId="2" borderId="1" xfId="0" applyNumberFormat="1" applyFont="1" applyFill="1" applyBorder="1" applyAlignment="1">
      <alignment horizontal="center" vertical="center"/>
    </xf>
    <xf numFmtId="0" fontId="29" fillId="2" borderId="1" xfId="0" applyFont="1" applyFill="1" applyBorder="1" applyAlignment="1">
      <alignment horizontal="right" vertical="center"/>
    </xf>
    <xf numFmtId="167" fontId="30" fillId="2" borderId="6" xfId="1" applyNumberFormat="1" applyFont="1" applyFill="1" applyBorder="1" applyAlignment="1">
      <alignment horizontal="center" vertical="center" wrapText="1"/>
    </xf>
    <xf numFmtId="167" fontId="30" fillId="2" borderId="1" xfId="1" applyNumberFormat="1" applyFont="1" applyFill="1" applyBorder="1" applyAlignment="1">
      <alignment horizontal="center" vertical="center"/>
    </xf>
    <xf numFmtId="167" fontId="30" fillId="2" borderId="1" xfId="1" applyNumberFormat="1" applyFont="1" applyFill="1" applyBorder="1" applyAlignment="1">
      <alignment horizontal="center" vertical="center" wrapText="1"/>
    </xf>
    <xf numFmtId="169" fontId="29" fillId="0" borderId="2" xfId="0" applyNumberFormat="1" applyFont="1" applyFill="1" applyBorder="1" applyAlignment="1">
      <alignment horizontal="center"/>
    </xf>
    <xf numFmtId="169" fontId="29" fillId="0" borderId="1" xfId="0" applyNumberFormat="1" applyFont="1" applyFill="1" applyBorder="1" applyAlignment="1">
      <alignment horizontal="center"/>
    </xf>
    <xf numFmtId="0" fontId="29" fillId="0" borderId="1" xfId="0" applyFont="1" applyFill="1" applyBorder="1" applyAlignment="1">
      <alignment horizontal="left" vertical="center" wrapText="1"/>
    </xf>
    <xf numFmtId="0" fontId="29" fillId="0" borderId="7" xfId="0" applyFont="1" applyFill="1" applyBorder="1" applyAlignment="1">
      <alignment horizontal="left" vertical="top" wrapText="1"/>
    </xf>
    <xf numFmtId="0" fontId="30" fillId="0" borderId="8" xfId="0" applyFont="1" applyFill="1" applyBorder="1" applyAlignment="1">
      <alignment horizontal="left" vertical="center" wrapText="1"/>
    </xf>
    <xf numFmtId="0" fontId="30" fillId="0" borderId="7" xfId="0" applyFont="1" applyFill="1" applyBorder="1" applyAlignment="1">
      <alignment horizontal="left" vertical="center" wrapText="1"/>
    </xf>
    <xf numFmtId="168" fontId="29" fillId="0" borderId="2" xfId="0" applyNumberFormat="1" applyFont="1" applyFill="1" applyBorder="1" applyAlignment="1">
      <alignment horizontal="center" vertical="center" wrapText="1"/>
    </xf>
    <xf numFmtId="0" fontId="29" fillId="0" borderId="2" xfId="0" applyFont="1" applyFill="1" applyBorder="1" applyAlignment="1">
      <alignment horizontal="center" vertical="center"/>
    </xf>
    <xf numFmtId="168" fontId="29" fillId="2" borderId="2" xfId="0" applyNumberFormat="1" applyFont="1" applyFill="1" applyBorder="1" applyAlignment="1">
      <alignment horizontal="center" vertical="center" wrapText="1"/>
    </xf>
    <xf numFmtId="0" fontId="29" fillId="2" borderId="1" xfId="0" applyFont="1" applyFill="1" applyBorder="1" applyAlignment="1">
      <alignment horizontal="left" vertical="center" wrapText="1"/>
    </xf>
    <xf numFmtId="167" fontId="30" fillId="2" borderId="1" xfId="0" applyNumberFormat="1" applyFont="1" applyFill="1" applyBorder="1" applyAlignment="1">
      <alignment horizontal="center" vertical="center" wrapText="1"/>
    </xf>
    <xf numFmtId="0" fontId="29" fillId="0" borderId="1" xfId="0" applyFont="1" applyFill="1" applyBorder="1" applyAlignment="1">
      <alignment horizontal="center" vertical="center" wrapText="1"/>
    </xf>
    <xf numFmtId="0" fontId="29" fillId="2" borderId="7" xfId="0" applyFont="1" applyFill="1" applyBorder="1" applyAlignment="1">
      <alignment vertical="center" wrapText="1"/>
    </xf>
    <xf numFmtId="167" fontId="29" fillId="2" borderId="7" xfId="1" applyNumberFormat="1" applyFont="1" applyFill="1" applyBorder="1" applyAlignment="1">
      <alignment horizontal="center" vertical="center" wrapText="1"/>
    </xf>
    <xf numFmtId="0" fontId="29" fillId="2" borderId="1" xfId="0" applyFont="1" applyFill="1" applyBorder="1" applyAlignment="1">
      <alignment vertical="center" wrapText="1"/>
    </xf>
    <xf numFmtId="0" fontId="30" fillId="2" borderId="7" xfId="0" applyFont="1" applyFill="1" applyBorder="1" applyAlignment="1">
      <alignment horizontal="left" vertical="center" wrapText="1"/>
    </xf>
    <xf numFmtId="167" fontId="29" fillId="2" borderId="9" xfId="1" applyNumberFormat="1" applyFont="1" applyFill="1" applyBorder="1" applyAlignment="1">
      <alignment horizontal="center" vertical="center" wrapText="1"/>
    </xf>
    <xf numFmtId="0" fontId="30" fillId="2" borderId="7" xfId="0" applyFont="1" applyFill="1" applyBorder="1" applyAlignment="1">
      <alignment horizontal="center" vertical="center" wrapText="1"/>
    </xf>
    <xf numFmtId="167" fontId="29" fillId="2" borderId="2" xfId="1" applyNumberFormat="1" applyFont="1" applyFill="1" applyBorder="1" applyAlignment="1">
      <alignment horizontal="center" vertical="center" wrapText="1"/>
    </xf>
    <xf numFmtId="169" fontId="37" fillId="4" borderId="1" xfId="0" applyNumberFormat="1" applyFont="1" applyFill="1" applyBorder="1" applyAlignment="1">
      <alignment horizontal="center" vertical="center"/>
    </xf>
    <xf numFmtId="168" fontId="37" fillId="4" borderId="7" xfId="0" applyNumberFormat="1" applyFont="1" applyFill="1" applyBorder="1" applyAlignment="1">
      <alignment horizontal="center" vertical="center"/>
    </xf>
    <xf numFmtId="49" fontId="37" fillId="4" borderId="1" xfId="0" applyNumberFormat="1" applyFont="1" applyFill="1" applyBorder="1" applyAlignment="1">
      <alignment horizontal="center" vertical="center"/>
    </xf>
    <xf numFmtId="168" fontId="37" fillId="4" borderId="2" xfId="0" applyNumberFormat="1" applyFont="1" applyFill="1" applyBorder="1" applyAlignment="1">
      <alignment horizontal="center" vertical="center"/>
    </xf>
    <xf numFmtId="167" fontId="37" fillId="0" borderId="1" xfId="0" applyNumberFormat="1" applyFont="1" applyFill="1" applyBorder="1" applyAlignment="1">
      <alignment horizontal="center" vertical="center" wrapText="1"/>
    </xf>
    <xf numFmtId="169" fontId="38" fillId="4" borderId="1" xfId="0" applyNumberFormat="1" applyFont="1" applyFill="1" applyBorder="1" applyAlignment="1">
      <alignment horizontal="center" vertical="center"/>
    </xf>
    <xf numFmtId="167" fontId="38" fillId="0" borderId="1" xfId="0" applyNumberFormat="1" applyFont="1" applyFill="1" applyBorder="1" applyAlignment="1">
      <alignment horizontal="center" vertical="center" wrapText="1"/>
    </xf>
    <xf numFmtId="167" fontId="30" fillId="0" borderId="1" xfId="0" applyNumberFormat="1" applyFont="1" applyFill="1" applyBorder="1" applyAlignment="1">
      <alignment horizontal="center" vertical="center" wrapText="1"/>
    </xf>
    <xf numFmtId="167" fontId="30" fillId="0" borderId="7" xfId="0" applyNumberFormat="1" applyFont="1" applyFill="1" applyBorder="1" applyAlignment="1">
      <alignment horizontal="center" vertical="center" wrapText="1"/>
    </xf>
    <xf numFmtId="167" fontId="30" fillId="3" borderId="1" xfId="0" applyNumberFormat="1" applyFont="1" applyFill="1" applyBorder="1" applyAlignment="1">
      <alignment horizontal="center"/>
    </xf>
    <xf numFmtId="169" fontId="30" fillId="0" borderId="1" xfId="0" applyNumberFormat="1" applyFont="1" applyBorder="1" applyAlignment="1">
      <alignment horizontal="center" vertical="center"/>
    </xf>
    <xf numFmtId="168" fontId="30" fillId="0" borderId="2" xfId="0" applyNumberFormat="1" applyFont="1" applyBorder="1" applyAlignment="1">
      <alignment horizontal="center" vertical="center"/>
    </xf>
    <xf numFmtId="0" fontId="29" fillId="2" borderId="1" xfId="0" applyFont="1" applyFill="1" applyBorder="1" applyAlignment="1">
      <alignment horizontal="center" vertical="center"/>
    </xf>
    <xf numFmtId="0" fontId="29" fillId="2" borderId="4" xfId="3" applyFont="1" applyFill="1" applyBorder="1" applyAlignment="1">
      <alignment horizontal="left" vertical="center" wrapText="1"/>
    </xf>
    <xf numFmtId="168" fontId="36" fillId="2" borderId="7" xfId="0" applyNumberFormat="1" applyFont="1" applyFill="1" applyBorder="1" applyAlignment="1">
      <alignment horizontal="center" vertical="center"/>
    </xf>
    <xf numFmtId="168" fontId="36" fillId="2" borderId="2" xfId="0" applyNumberFormat="1" applyFont="1" applyFill="1" applyBorder="1" applyAlignment="1">
      <alignment horizontal="center" vertical="center"/>
    </xf>
    <xf numFmtId="49" fontId="34" fillId="2" borderId="2" xfId="0" applyNumberFormat="1" applyFont="1" applyFill="1" applyBorder="1" applyAlignment="1">
      <alignment horizontal="center" vertical="center"/>
    </xf>
    <xf numFmtId="169" fontId="36" fillId="2" borderId="2" xfId="0" applyNumberFormat="1" applyFont="1" applyFill="1" applyBorder="1" applyAlignment="1">
      <alignment horizontal="center" vertical="center"/>
    </xf>
    <xf numFmtId="49" fontId="34" fillId="2" borderId="2" xfId="0" applyNumberFormat="1" applyFont="1" applyFill="1" applyBorder="1" applyAlignment="1">
      <alignment vertical="center"/>
    </xf>
    <xf numFmtId="167" fontId="36" fillId="2" borderId="1" xfId="0" applyNumberFormat="1" applyFont="1" applyFill="1" applyBorder="1" applyAlignment="1">
      <alignment horizontal="center" vertical="center" wrapText="1"/>
    </xf>
    <xf numFmtId="0" fontId="34" fillId="2" borderId="1" xfId="0" applyFont="1" applyFill="1" applyBorder="1" applyAlignment="1">
      <alignment vertical="center" wrapText="1"/>
    </xf>
    <xf numFmtId="167" fontId="29" fillId="3" borderId="5" xfId="0" applyNumberFormat="1" applyFont="1" applyFill="1" applyBorder="1" applyAlignment="1">
      <alignment horizontal="center"/>
    </xf>
    <xf numFmtId="167" fontId="29" fillId="3" borderId="6" xfId="0" applyNumberFormat="1" applyFont="1" applyFill="1" applyBorder="1" applyAlignment="1">
      <alignment horizontal="center"/>
    </xf>
    <xf numFmtId="49" fontId="29" fillId="0" borderId="2" xfId="0" applyNumberFormat="1" applyFont="1" applyFill="1" applyBorder="1" applyAlignment="1">
      <alignment vertical="center"/>
    </xf>
    <xf numFmtId="0" fontId="29" fillId="2" borderId="2" xfId="0" applyFont="1" applyFill="1" applyBorder="1" applyAlignment="1">
      <alignment horizontal="center" vertical="center" wrapText="1"/>
    </xf>
    <xf numFmtId="0" fontId="29" fillId="2" borderId="7" xfId="0" applyFont="1" applyFill="1" applyBorder="1" applyAlignment="1">
      <alignment horizontal="center" vertical="center" wrapText="1"/>
    </xf>
    <xf numFmtId="168" fontId="29" fillId="0" borderId="1" xfId="0" applyNumberFormat="1" applyFont="1" applyFill="1" applyBorder="1" applyAlignment="1">
      <alignment horizontal="center" vertical="center"/>
    </xf>
    <xf numFmtId="168" fontId="29" fillId="0" borderId="7" xfId="0" applyNumberFormat="1" applyFont="1" applyBorder="1" applyAlignment="1">
      <alignment horizontal="center" vertical="center" wrapText="1"/>
    </xf>
    <xf numFmtId="0" fontId="29" fillId="0" borderId="2" xfId="0" applyFont="1" applyFill="1" applyBorder="1" applyAlignment="1">
      <alignment horizontal="right" vertical="center"/>
    </xf>
    <xf numFmtId="0" fontId="29" fillId="0" borderId="7" xfId="0" applyFont="1" applyFill="1" applyBorder="1" applyAlignment="1">
      <alignment horizontal="right" vertical="center"/>
    </xf>
    <xf numFmtId="167" fontId="29" fillId="0" borderId="2" xfId="1" applyNumberFormat="1" applyFont="1" applyFill="1" applyBorder="1" applyAlignment="1">
      <alignment horizontal="center" vertical="center" wrapText="1"/>
    </xf>
    <xf numFmtId="174" fontId="29" fillId="0" borderId="7" xfId="37" applyNumberFormat="1" applyFont="1" applyFill="1" applyBorder="1" applyAlignment="1">
      <alignment horizontal="center" vertical="center"/>
    </xf>
    <xf numFmtId="0" fontId="29" fillId="0" borderId="31" xfId="0" applyFont="1" applyFill="1" applyBorder="1" applyAlignment="1">
      <alignment horizontal="left" vertical="center" wrapText="1"/>
    </xf>
    <xf numFmtId="174" fontId="29" fillId="0" borderId="7" xfId="0" applyNumberFormat="1" applyFont="1" applyFill="1" applyBorder="1" applyAlignment="1">
      <alignment horizontal="center" vertical="center"/>
    </xf>
    <xf numFmtId="174" fontId="29" fillId="0" borderId="1" xfId="37" applyNumberFormat="1" applyFont="1" applyFill="1" applyBorder="1" applyAlignment="1">
      <alignment horizontal="center" vertical="center" wrapText="1"/>
    </xf>
    <xf numFmtId="167" fontId="30" fillId="0" borderId="9" xfId="1" applyNumberFormat="1" applyFont="1" applyFill="1" applyBorder="1" applyAlignment="1">
      <alignment horizontal="center" vertical="center" wrapText="1"/>
    </xf>
    <xf numFmtId="0" fontId="34" fillId="0" borderId="1" xfId="0" applyFont="1" applyBorder="1" applyAlignment="1">
      <alignment horizontal="center" vertical="center"/>
    </xf>
    <xf numFmtId="168" fontId="30" fillId="0" borderId="2" xfId="0" applyNumberFormat="1" applyFont="1" applyFill="1" applyBorder="1" applyAlignment="1">
      <alignment horizontal="center" vertical="top"/>
    </xf>
    <xf numFmtId="168" fontId="30" fillId="0" borderId="7" xfId="0" applyNumberFormat="1" applyFont="1" applyFill="1" applyBorder="1" applyAlignment="1">
      <alignment horizontal="center" vertical="top"/>
    </xf>
    <xf numFmtId="169" fontId="30" fillId="0" borderId="7" xfId="0" applyNumberFormat="1" applyFont="1" applyFill="1" applyBorder="1" applyAlignment="1">
      <alignment horizontal="center" vertical="top"/>
    </xf>
    <xf numFmtId="169" fontId="30" fillId="0" borderId="1" xfId="0" applyNumberFormat="1" applyFont="1" applyFill="1" applyBorder="1" applyAlignment="1">
      <alignment horizontal="center" vertical="top"/>
    </xf>
    <xf numFmtId="0" fontId="29" fillId="0" borderId="7" xfId="0" applyFont="1" applyFill="1" applyBorder="1" applyAlignment="1">
      <alignment horizontal="center" vertical="top" wrapText="1"/>
    </xf>
    <xf numFmtId="167" fontId="30" fillId="0" borderId="6" xfId="1" applyNumberFormat="1" applyFont="1" applyFill="1" applyBorder="1" applyAlignment="1">
      <alignment horizontal="center" vertical="center" wrapText="1"/>
    </xf>
    <xf numFmtId="0" fontId="29" fillId="0" borderId="31" xfId="0" applyFont="1" applyFill="1" applyBorder="1" applyAlignment="1">
      <alignment horizontal="center" vertical="center" wrapText="1"/>
    </xf>
    <xf numFmtId="0" fontId="30" fillId="4" borderId="7" xfId="0" applyFont="1" applyFill="1" applyBorder="1" applyAlignment="1">
      <alignment horizontal="center" vertical="center" wrapText="1"/>
    </xf>
    <xf numFmtId="0" fontId="29" fillId="4" borderId="7" xfId="0" applyFont="1" applyFill="1" applyBorder="1" applyAlignment="1">
      <alignment horizontal="center" vertical="center"/>
    </xf>
    <xf numFmtId="0" fontId="29" fillId="4" borderId="1" xfId="0" applyFont="1" applyFill="1" applyBorder="1" applyAlignment="1">
      <alignment horizontal="center" vertical="center"/>
    </xf>
    <xf numFmtId="0" fontId="29" fillId="2" borderId="31" xfId="3" applyFont="1" applyFill="1" applyBorder="1" applyAlignment="1">
      <alignment horizontal="left" vertical="center" wrapText="1"/>
    </xf>
    <xf numFmtId="167" fontId="30" fillId="3" borderId="7" xfId="0" applyNumberFormat="1" applyFont="1" applyFill="1" applyBorder="1" applyAlignment="1">
      <alignment horizontal="center"/>
    </xf>
    <xf numFmtId="167" fontId="29" fillId="4" borderId="1" xfId="1" applyNumberFormat="1" applyFont="1" applyFill="1" applyBorder="1" applyAlignment="1">
      <alignment horizontal="center" vertical="center" wrapText="1"/>
    </xf>
    <xf numFmtId="0" fontId="29" fillId="3" borderId="4" xfId="0" applyFont="1" applyFill="1" applyBorder="1" applyAlignment="1">
      <alignment horizontal="center" wrapText="1"/>
    </xf>
    <xf numFmtId="0" fontId="29" fillId="3" borderId="5" xfId="0" applyFont="1" applyFill="1" applyBorder="1" applyAlignment="1">
      <alignment horizontal="center" wrapText="1"/>
    </xf>
    <xf numFmtId="0" fontId="29" fillId="3" borderId="6" xfId="0" applyFont="1" applyFill="1" applyBorder="1" applyAlignment="1">
      <alignment horizontal="center" wrapText="1"/>
    </xf>
    <xf numFmtId="49" fontId="29" fillId="0" borderId="1" xfId="0" applyNumberFormat="1" applyFont="1" applyFill="1" applyBorder="1" applyAlignment="1">
      <alignment vertical="center"/>
    </xf>
    <xf numFmtId="0" fontId="29" fillId="2" borderId="31" xfId="0" applyFont="1" applyFill="1" applyBorder="1" applyAlignment="1">
      <alignment horizontal="left" vertical="center" wrapText="1"/>
    </xf>
    <xf numFmtId="168" fontId="29" fillId="0" borderId="7" xfId="0" applyNumberFormat="1" applyFont="1" applyBorder="1" applyAlignment="1">
      <alignment horizontal="center" vertical="center"/>
    </xf>
    <xf numFmtId="167" fontId="30" fillId="4" borderId="7" xfId="1" applyNumberFormat="1" applyFont="1" applyFill="1" applyBorder="1" applyAlignment="1">
      <alignment horizontal="center" vertical="center" wrapText="1"/>
    </xf>
    <xf numFmtId="0" fontId="29" fillId="2" borderId="32" xfId="0" applyFont="1" applyFill="1" applyBorder="1" applyAlignment="1">
      <alignment horizontal="left" vertical="center" wrapText="1"/>
    </xf>
    <xf numFmtId="0" fontId="29" fillId="0" borderId="1" xfId="3" applyFont="1" applyFill="1" applyBorder="1" applyAlignment="1">
      <alignment horizontal="left" vertical="center" wrapText="1"/>
    </xf>
    <xf numFmtId="167" fontId="30" fillId="3" borderId="4" xfId="0" applyNumberFormat="1" applyFont="1" applyFill="1" applyBorder="1" applyAlignment="1">
      <alignment horizontal="center"/>
    </xf>
    <xf numFmtId="167" fontId="30" fillId="3" borderId="5" xfId="0" applyNumberFormat="1" applyFont="1" applyFill="1" applyBorder="1" applyAlignment="1">
      <alignment horizontal="center"/>
    </xf>
    <xf numFmtId="167" fontId="30" fillId="3" borderId="6" xfId="0" applyNumberFormat="1" applyFont="1" applyFill="1" applyBorder="1" applyAlignment="1">
      <alignment horizontal="center"/>
    </xf>
    <xf numFmtId="167" fontId="29" fillId="2" borderId="12" xfId="1" applyNumberFormat="1" applyFont="1" applyFill="1" applyBorder="1" applyAlignment="1">
      <alignment horizontal="center" vertical="center" wrapText="1"/>
    </xf>
    <xf numFmtId="1" fontId="29" fillId="2" borderId="7" xfId="0" applyNumberFormat="1" applyFont="1" applyFill="1" applyBorder="1" applyAlignment="1">
      <alignment horizontal="center" vertical="center"/>
    </xf>
    <xf numFmtId="0" fontId="29" fillId="0" borderId="1" xfId="0" applyFont="1" applyBorder="1" applyAlignment="1">
      <alignment horizontal="center" vertical="center"/>
    </xf>
    <xf numFmtId="49" fontId="29" fillId="4" borderId="7" xfId="0" applyNumberFormat="1" applyFont="1" applyFill="1" applyBorder="1" applyAlignment="1">
      <alignment horizontal="center" vertical="center"/>
    </xf>
    <xf numFmtId="171" fontId="37" fillId="2" borderId="7" xfId="8" applyNumberFormat="1" applyFont="1" applyFill="1" applyBorder="1" applyAlignment="1">
      <alignment horizontal="center" vertical="center"/>
    </xf>
    <xf numFmtId="0" fontId="29" fillId="4" borderId="1" xfId="0" applyFont="1" applyFill="1" applyBorder="1" applyAlignment="1">
      <alignment horizontal="center" vertical="center" wrapText="1"/>
    </xf>
    <xf numFmtId="168" fontId="30" fillId="4" borderId="7" xfId="0" applyNumberFormat="1" applyFont="1" applyFill="1" applyBorder="1" applyAlignment="1">
      <alignment horizontal="center" vertical="center"/>
    </xf>
    <xf numFmtId="0" fontId="30" fillId="4" borderId="1" xfId="0" applyFont="1" applyFill="1" applyBorder="1" applyAlignment="1">
      <alignment horizontal="left" vertical="center" wrapText="1"/>
    </xf>
    <xf numFmtId="167" fontId="30" fillId="4" borderId="9" xfId="1" applyNumberFormat="1" applyFont="1" applyFill="1" applyBorder="1" applyAlignment="1">
      <alignment horizontal="center" vertical="center" wrapText="1"/>
    </xf>
    <xf numFmtId="171" fontId="37" fillId="0" borderId="7" xfId="8" applyNumberFormat="1" applyFont="1" applyFill="1" applyBorder="1" applyAlignment="1">
      <alignment horizontal="center" vertical="center"/>
    </xf>
    <xf numFmtId="0" fontId="29" fillId="0" borderId="2" xfId="0" applyFont="1" applyFill="1" applyBorder="1" applyAlignment="1">
      <alignment horizontal="center" vertical="top" wrapText="1"/>
    </xf>
    <xf numFmtId="0" fontId="29" fillId="2" borderId="7" xfId="0" applyFont="1" applyFill="1" applyBorder="1" applyAlignment="1">
      <alignment horizontal="center" vertical="top" wrapText="1"/>
    </xf>
    <xf numFmtId="0" fontId="29" fillId="2" borderId="7" xfId="0" applyFont="1" applyFill="1" applyBorder="1" applyAlignment="1">
      <alignment horizontal="left" vertical="top" wrapText="1"/>
    </xf>
    <xf numFmtId="168" fontId="30" fillId="0" borderId="1" xfId="0" applyNumberFormat="1" applyFont="1" applyFill="1" applyBorder="1" applyAlignment="1">
      <alignment horizontal="center" vertical="center"/>
    </xf>
    <xf numFmtId="1" fontId="29" fillId="2" borderId="1" xfId="0" applyNumberFormat="1" applyFont="1" applyFill="1" applyBorder="1" applyAlignment="1">
      <alignment horizontal="center" vertical="center"/>
    </xf>
    <xf numFmtId="167" fontId="30" fillId="2" borderId="7" xfId="3" applyNumberFormat="1" applyFont="1" applyFill="1" applyBorder="1" applyAlignment="1">
      <alignment horizontal="center" vertical="center" wrapText="1"/>
    </xf>
    <xf numFmtId="0" fontId="29" fillId="2" borderId="32" xfId="3" applyFont="1" applyFill="1" applyBorder="1" applyAlignment="1">
      <alignment horizontal="left" vertical="center" wrapText="1"/>
    </xf>
    <xf numFmtId="166" fontId="29" fillId="0" borderId="7" xfId="0" applyNumberFormat="1" applyFont="1" applyFill="1" applyBorder="1" applyAlignment="1">
      <alignment horizontal="center" vertical="center" wrapText="1"/>
    </xf>
    <xf numFmtId="0" fontId="29" fillId="2" borderId="1" xfId="3" applyFont="1" applyFill="1" applyBorder="1" applyAlignment="1">
      <alignment horizontal="left" vertical="center" wrapText="1"/>
    </xf>
    <xf numFmtId="167" fontId="29" fillId="0" borderId="1" xfId="3" applyNumberFormat="1" applyFont="1" applyFill="1" applyBorder="1" applyAlignment="1">
      <alignment horizontal="center" vertical="center" wrapText="1"/>
    </xf>
    <xf numFmtId="167" fontId="29" fillId="2" borderId="1" xfId="1" applyNumberFormat="1" applyFont="1" applyFill="1" applyBorder="1" applyAlignment="1">
      <alignment horizontal="center" vertical="center" wrapText="1"/>
    </xf>
    <xf numFmtId="167" fontId="29" fillId="0" borderId="1" xfId="0" applyNumberFormat="1" applyFont="1" applyFill="1" applyBorder="1" applyAlignment="1">
      <alignment horizontal="center" vertical="center" wrapText="1"/>
    </xf>
    <xf numFmtId="167" fontId="34" fillId="2" borderId="2" xfId="0" applyNumberFormat="1" applyFont="1" applyFill="1" applyBorder="1" applyAlignment="1">
      <alignment horizontal="center" vertical="center" wrapText="1"/>
    </xf>
    <xf numFmtId="167" fontId="34" fillId="2" borderId="7" xfId="0" applyNumberFormat="1" applyFont="1" applyFill="1" applyBorder="1" applyAlignment="1">
      <alignment horizontal="center" vertical="center" wrapText="1"/>
    </xf>
    <xf numFmtId="0" fontId="30" fillId="6" borderId="1" xfId="0" applyFont="1" applyFill="1" applyBorder="1" applyAlignment="1">
      <alignment horizontal="left" vertical="center" wrapText="1"/>
    </xf>
    <xf numFmtId="167" fontId="34" fillId="2" borderId="1" xfId="0" applyNumberFormat="1" applyFont="1" applyFill="1" applyBorder="1" applyAlignment="1">
      <alignment horizontal="center" vertical="center" wrapText="1"/>
    </xf>
    <xf numFmtId="167" fontId="30" fillId="0" borderId="1" xfId="0" applyNumberFormat="1" applyFont="1" applyFill="1" applyBorder="1" applyAlignment="1">
      <alignment horizontal="center" vertical="center" wrapText="1"/>
    </xf>
    <xf numFmtId="167" fontId="29" fillId="2" borderId="1" xfId="0" applyNumberFormat="1" applyFont="1" applyFill="1" applyBorder="1" applyAlignment="1">
      <alignment horizontal="center" vertical="center" wrapText="1"/>
    </xf>
    <xf numFmtId="169" fontId="38" fillId="4" borderId="124" xfId="0" applyNumberFormat="1" applyFont="1" applyFill="1" applyBorder="1" applyAlignment="1">
      <alignment horizontal="center" vertical="center"/>
    </xf>
    <xf numFmtId="168" fontId="38" fillId="4" borderId="124" xfId="0" applyNumberFormat="1" applyFont="1" applyFill="1" applyBorder="1" applyAlignment="1">
      <alignment horizontal="center" vertical="center"/>
    </xf>
    <xf numFmtId="49" fontId="37" fillId="4" borderId="124" xfId="0" applyNumberFormat="1" applyFont="1" applyFill="1" applyBorder="1" applyAlignment="1">
      <alignment horizontal="center" vertical="center"/>
    </xf>
    <xf numFmtId="166" fontId="37" fillId="4" borderId="124" xfId="0" applyNumberFormat="1" applyFont="1" applyFill="1" applyBorder="1" applyAlignment="1">
      <alignment horizontal="center" vertical="center" wrapText="1"/>
    </xf>
    <xf numFmtId="0" fontId="37" fillId="4" borderId="124" xfId="0" applyFont="1" applyFill="1" applyBorder="1" applyAlignment="1">
      <alignment horizontal="center" vertical="center" wrapText="1"/>
    </xf>
    <xf numFmtId="49" fontId="29" fillId="0" borderId="124" xfId="0" applyNumberFormat="1" applyFont="1" applyFill="1" applyBorder="1" applyAlignment="1">
      <alignment horizontal="center" vertical="center"/>
    </xf>
    <xf numFmtId="0" fontId="29" fillId="0" borderId="124" xfId="0" applyFont="1" applyFill="1" applyBorder="1" applyAlignment="1">
      <alignment horizontal="center" vertical="top"/>
    </xf>
    <xf numFmtId="167" fontId="29" fillId="0" borderId="124" xfId="1" applyNumberFormat="1" applyFont="1" applyFill="1" applyBorder="1" applyAlignment="1">
      <alignment horizontal="center" vertical="center" wrapText="1"/>
    </xf>
    <xf numFmtId="168" fontId="30" fillId="0" borderId="124" xfId="0" applyNumberFormat="1" applyFont="1" applyFill="1" applyBorder="1" applyAlignment="1">
      <alignment horizontal="center" vertical="top"/>
    </xf>
    <xf numFmtId="0" fontId="29" fillId="0" borderId="125" xfId="0" applyFont="1" applyFill="1" applyBorder="1" applyAlignment="1">
      <alignment horizontal="center" vertical="center" wrapText="1"/>
    </xf>
    <xf numFmtId="0" fontId="29" fillId="0" borderId="124" xfId="0" applyFont="1" applyFill="1" applyBorder="1" applyAlignment="1">
      <alignment horizontal="center" vertical="center" wrapText="1"/>
    </xf>
    <xf numFmtId="0" fontId="29" fillId="0" borderId="124" xfId="0" applyFont="1" applyFill="1" applyBorder="1" applyAlignment="1">
      <alignment horizontal="center" vertical="center"/>
    </xf>
    <xf numFmtId="169" fontId="30" fillId="0" borderId="124" xfId="0" applyNumberFormat="1" applyFont="1" applyFill="1" applyBorder="1" applyAlignment="1">
      <alignment horizontal="center" vertical="center"/>
    </xf>
    <xf numFmtId="168" fontId="30" fillId="0" borderId="124" xfId="0" applyNumberFormat="1" applyFont="1" applyFill="1" applyBorder="1" applyAlignment="1">
      <alignment horizontal="center" vertical="center"/>
    </xf>
    <xf numFmtId="0" fontId="30" fillId="2" borderId="124" xfId="0" applyFont="1" applyFill="1" applyBorder="1" applyAlignment="1">
      <alignment horizontal="left" vertical="top" wrapText="1"/>
    </xf>
    <xf numFmtId="169" fontId="29" fillId="0" borderId="124" xfId="0" applyNumberFormat="1" applyFont="1" applyFill="1" applyBorder="1" applyAlignment="1">
      <alignment horizontal="center" vertical="top"/>
    </xf>
    <xf numFmtId="168" fontId="29" fillId="0" borderId="126" xfId="0" applyNumberFormat="1" applyFont="1" applyFill="1" applyBorder="1" applyAlignment="1">
      <alignment horizontal="center" vertical="top"/>
    </xf>
    <xf numFmtId="0" fontId="29" fillId="0" borderId="124" xfId="0" applyFont="1" applyFill="1" applyBorder="1" applyAlignment="1">
      <alignment horizontal="left" vertical="top" wrapText="1"/>
    </xf>
    <xf numFmtId="169" fontId="30" fillId="0" borderId="124" xfId="0" applyNumberFormat="1" applyFont="1" applyFill="1" applyBorder="1" applyAlignment="1">
      <alignment horizontal="center" vertical="top"/>
    </xf>
    <xf numFmtId="168" fontId="30" fillId="0" borderId="126" xfId="0" applyNumberFormat="1" applyFont="1" applyFill="1" applyBorder="1" applyAlignment="1">
      <alignment horizontal="center" vertical="top"/>
    </xf>
    <xf numFmtId="0" fontId="29" fillId="0" borderId="0" xfId="0" applyFont="1" applyFill="1" applyAlignment="1">
      <alignment wrapText="1"/>
    </xf>
    <xf numFmtId="3" fontId="29" fillId="0" borderId="124" xfId="0" applyNumberFormat="1" applyFont="1" applyFill="1" applyBorder="1" applyAlignment="1">
      <alignment horizontal="center" vertical="center" wrapText="1"/>
    </xf>
    <xf numFmtId="166" fontId="29" fillId="0" borderId="124" xfId="0" applyNumberFormat="1" applyFont="1" applyFill="1" applyBorder="1" applyAlignment="1">
      <alignment horizontal="center" vertical="center"/>
    </xf>
    <xf numFmtId="167" fontId="29" fillId="0" borderId="124" xfId="0" applyNumberFormat="1" applyFont="1" applyFill="1" applyBorder="1" applyAlignment="1">
      <alignment horizontal="center" vertical="center" wrapText="1"/>
    </xf>
    <xf numFmtId="167" fontId="29" fillId="0" borderId="124" xfId="0" applyNumberFormat="1" applyFont="1" applyFill="1" applyBorder="1" applyAlignment="1">
      <alignment horizontal="center" vertical="top" wrapText="1"/>
    </xf>
    <xf numFmtId="3" fontId="29" fillId="0" borderId="124" xfId="0" applyNumberFormat="1" applyFont="1" applyFill="1" applyBorder="1" applyAlignment="1">
      <alignment horizontal="center" vertical="top" wrapText="1"/>
    </xf>
    <xf numFmtId="0" fontId="30" fillId="0" borderId="124" xfId="0" applyFont="1" applyFill="1" applyBorder="1" applyAlignment="1">
      <alignment horizontal="left" vertical="top" wrapText="1"/>
    </xf>
    <xf numFmtId="0" fontId="33" fillId="2" borderId="7" xfId="0" applyFont="1" applyFill="1" applyBorder="1" applyAlignment="1">
      <alignment horizontal="left" vertical="top" wrapText="1"/>
    </xf>
    <xf numFmtId="0" fontId="29" fillId="0" borderId="124" xfId="0" applyFont="1" applyFill="1" applyBorder="1" applyAlignment="1">
      <alignment vertical="top"/>
    </xf>
    <xf numFmtId="168" fontId="29" fillId="2" borderId="1" xfId="152" applyNumberFormat="1" applyFont="1" applyFill="1" applyBorder="1" applyAlignment="1">
      <alignment horizontal="left" vertical="center" wrapText="1"/>
    </xf>
    <xf numFmtId="169" fontId="29" fillId="4" borderId="124" xfId="0" applyNumberFormat="1" applyFont="1" applyFill="1" applyBorder="1" applyAlignment="1">
      <alignment horizontal="center" vertical="center"/>
    </xf>
    <xf numFmtId="168" fontId="29" fillId="4" borderId="124" xfId="0" applyNumberFormat="1" applyFont="1" applyFill="1" applyBorder="1" applyAlignment="1">
      <alignment horizontal="center" vertical="center"/>
    </xf>
    <xf numFmtId="49" fontId="29" fillId="4" borderId="124" xfId="0" applyNumberFormat="1" applyFont="1" applyFill="1" applyBorder="1" applyAlignment="1">
      <alignment horizontal="center" vertical="center"/>
    </xf>
    <xf numFmtId="49" fontId="29" fillId="4" borderId="124" xfId="0" applyNumberFormat="1" applyFont="1" applyFill="1" applyBorder="1" applyAlignment="1">
      <alignment vertical="center"/>
    </xf>
    <xf numFmtId="0" fontId="29" fillId="4" borderId="124" xfId="0" applyFont="1" applyFill="1" applyBorder="1" applyAlignment="1">
      <alignment horizontal="center" vertical="center" wrapText="1"/>
    </xf>
    <xf numFmtId="3" fontId="29" fillId="4" borderId="124" xfId="0" applyNumberFormat="1" applyFont="1" applyFill="1" applyBorder="1" applyAlignment="1">
      <alignment horizontal="center" vertical="center" wrapText="1"/>
    </xf>
    <xf numFmtId="169" fontId="30" fillId="0" borderId="124" xfId="0" applyNumberFormat="1" applyFont="1" applyBorder="1" applyAlignment="1">
      <alignment horizontal="center" vertical="center" wrapText="1"/>
    </xf>
    <xf numFmtId="168" fontId="30" fillId="0" borderId="124" xfId="0" applyNumberFormat="1" applyFont="1" applyBorder="1" applyAlignment="1">
      <alignment horizontal="center" vertical="center" wrapText="1"/>
    </xf>
    <xf numFmtId="49" fontId="29" fillId="0" borderId="124" xfId="0" applyNumberFormat="1" applyFont="1" applyBorder="1" applyAlignment="1">
      <alignment horizontal="center" vertical="center" wrapText="1"/>
    </xf>
    <xf numFmtId="0" fontId="29" fillId="0" borderId="124" xfId="0" applyFont="1" applyBorder="1" applyAlignment="1">
      <alignment vertical="center" wrapText="1"/>
    </xf>
    <xf numFmtId="167" fontId="30" fillId="0" borderId="125" xfId="1" applyNumberFormat="1" applyFont="1" applyBorder="1" applyAlignment="1">
      <alignment horizontal="center" vertical="center" wrapText="1"/>
    </xf>
    <xf numFmtId="167" fontId="30" fillId="0" borderId="124" xfId="1" applyNumberFormat="1" applyFont="1" applyBorder="1" applyAlignment="1">
      <alignment horizontal="center" vertical="center" wrapText="1"/>
    </xf>
    <xf numFmtId="167" fontId="29" fillId="0" borderId="124" xfId="0" applyNumberFormat="1" applyFont="1" applyBorder="1" applyAlignment="1">
      <alignment horizontal="left" vertical="center" wrapText="1"/>
    </xf>
    <xf numFmtId="0" fontId="30" fillId="0" borderId="124" xfId="0" applyFont="1" applyBorder="1" applyAlignment="1">
      <alignment horizontal="center" vertical="center" wrapText="1"/>
    </xf>
    <xf numFmtId="167" fontId="30" fillId="0" borderId="124" xfId="0" applyNumberFormat="1" applyFont="1" applyBorder="1" applyAlignment="1">
      <alignment horizontal="center" vertical="center" wrapText="1"/>
    </xf>
    <xf numFmtId="0" fontId="29" fillId="0" borderId="124" xfId="0" applyFont="1" applyBorder="1" applyAlignment="1">
      <alignment horizontal="center" vertical="center" wrapText="1"/>
    </xf>
    <xf numFmtId="169" fontId="29" fillId="0" borderId="124" xfId="0" applyNumberFormat="1" applyFont="1" applyBorder="1" applyAlignment="1">
      <alignment horizontal="center" vertical="center" wrapText="1"/>
    </xf>
    <xf numFmtId="168" fontId="29" fillId="0" borderId="124" xfId="0" applyNumberFormat="1" applyFont="1" applyBorder="1" applyAlignment="1">
      <alignment horizontal="center" vertical="center" wrapText="1"/>
    </xf>
    <xf numFmtId="0" fontId="30" fillId="0" borderId="1" xfId="4" applyFont="1" applyFill="1" applyBorder="1" applyAlignment="1">
      <alignment vertical="center" wrapText="1"/>
    </xf>
    <xf numFmtId="168" fontId="29" fillId="0" borderId="124" xfId="0" applyNumberFormat="1" applyFont="1" applyFill="1" applyBorder="1" applyAlignment="1">
      <alignment horizontal="center" vertical="center"/>
    </xf>
    <xf numFmtId="169" fontId="29" fillId="0" borderId="124" xfId="0" applyNumberFormat="1" applyFont="1" applyFill="1" applyBorder="1" applyAlignment="1">
      <alignment horizontal="right" vertical="center"/>
    </xf>
    <xf numFmtId="171" fontId="37" fillId="2" borderId="124" xfId="8" applyNumberFormat="1" applyFont="1" applyFill="1" applyBorder="1" applyAlignment="1">
      <alignment horizontal="center" vertical="center"/>
    </xf>
    <xf numFmtId="168" fontId="30" fillId="0" borderId="124" xfId="0" applyNumberFormat="1" applyFont="1" applyFill="1" applyBorder="1" applyAlignment="1">
      <alignment horizontal="right" vertical="center"/>
    </xf>
    <xf numFmtId="0" fontId="30" fillId="2" borderId="1" xfId="4" applyFont="1" applyFill="1" applyBorder="1" applyAlignment="1">
      <alignment horizontal="left" vertical="top" wrapText="1"/>
    </xf>
    <xf numFmtId="168" fontId="29" fillId="0" borderId="125" xfId="0" applyNumberFormat="1" applyFont="1" applyFill="1" applyBorder="1" applyAlignment="1">
      <alignment horizontal="center" vertical="center"/>
    </xf>
    <xf numFmtId="171" fontId="37" fillId="2" borderId="124" xfId="8" applyNumberFormat="1" applyFont="1" applyFill="1" applyBorder="1" applyAlignment="1">
      <alignment horizontal="center" vertical="center"/>
    </xf>
    <xf numFmtId="169" fontId="30" fillId="0" borderId="127" xfId="0" applyNumberFormat="1" applyFont="1" applyFill="1" applyBorder="1" applyAlignment="1">
      <alignment horizontal="center" vertical="center"/>
    </xf>
    <xf numFmtId="169" fontId="29" fillId="0" borderId="125" xfId="0" applyNumberFormat="1" applyFont="1" applyFill="1" applyBorder="1" applyAlignment="1">
      <alignment horizontal="center" vertical="center"/>
    </xf>
    <xf numFmtId="169" fontId="29" fillId="0" borderId="124" xfId="0" applyNumberFormat="1" applyFont="1" applyFill="1" applyBorder="1" applyAlignment="1">
      <alignment horizontal="center" vertical="center"/>
    </xf>
    <xf numFmtId="0" fontId="29" fillId="0" borderId="126" xfId="4" applyFont="1" applyFill="1" applyBorder="1" applyAlignment="1">
      <alignment horizontal="left" vertical="center" wrapText="1"/>
    </xf>
    <xf numFmtId="171" fontId="37" fillId="0" borderId="124" xfId="8" applyNumberFormat="1" applyFont="1" applyFill="1" applyBorder="1" applyAlignment="1">
      <alignment horizontal="center" vertical="center"/>
    </xf>
    <xf numFmtId="0" fontId="29" fillId="0" borderId="124" xfId="4" applyFont="1" applyFill="1" applyBorder="1" applyAlignment="1">
      <alignment horizontal="left" vertical="center" wrapText="1"/>
    </xf>
    <xf numFmtId="0" fontId="29" fillId="0" borderId="124" xfId="4" applyFont="1" applyFill="1" applyBorder="1" applyAlignment="1">
      <alignment horizontal="center" vertical="center" wrapText="1"/>
    </xf>
    <xf numFmtId="168" fontId="29" fillId="0" borderId="127" xfId="0" applyNumberFormat="1" applyFont="1" applyFill="1" applyBorder="1" applyAlignment="1">
      <alignment horizontal="center" vertical="center"/>
    </xf>
    <xf numFmtId="169" fontId="29" fillId="0" borderId="127" xfId="0" applyNumberFormat="1" applyFont="1" applyFill="1" applyBorder="1" applyAlignment="1">
      <alignment horizontal="center" vertical="center"/>
    </xf>
    <xf numFmtId="0" fontId="30" fillId="2" borderId="1" xfId="4" applyFont="1" applyFill="1" applyBorder="1" applyAlignment="1">
      <alignment horizontal="left" vertical="center" wrapText="1"/>
    </xf>
    <xf numFmtId="0" fontId="30" fillId="0" borderId="124" xfId="0" applyFont="1" applyFill="1" applyBorder="1" applyAlignment="1">
      <alignment horizontal="center" vertical="center"/>
    </xf>
    <xf numFmtId="167" fontId="30" fillId="0" borderId="125" xfId="1" applyNumberFormat="1" applyFont="1" applyFill="1" applyBorder="1" applyAlignment="1">
      <alignment horizontal="center" vertical="center" wrapText="1"/>
    </xf>
    <xf numFmtId="167" fontId="30" fillId="0" borderId="124" xfId="1" applyNumberFormat="1" applyFont="1" applyFill="1" applyBorder="1" applyAlignment="1">
      <alignment horizontal="center" vertical="center" wrapText="1"/>
    </xf>
    <xf numFmtId="0" fontId="29" fillId="0" borderId="124" xfId="4" applyFont="1" applyFill="1" applyBorder="1" applyAlignment="1">
      <alignment horizontal="center" vertical="center"/>
    </xf>
    <xf numFmtId="168" fontId="30" fillId="0" borderId="127" xfId="0" applyNumberFormat="1" applyFont="1" applyFill="1" applyBorder="1" applyAlignment="1">
      <alignment horizontal="center" vertical="center"/>
    </xf>
    <xf numFmtId="169" fontId="30" fillId="0" borderId="124" xfId="152" applyNumberFormat="1" applyFont="1" applyBorder="1" applyAlignment="1">
      <alignment horizontal="center" vertical="top"/>
    </xf>
    <xf numFmtId="168" fontId="30" fillId="0" borderId="124" xfId="152" applyNumberFormat="1" applyFont="1" applyBorder="1" applyAlignment="1">
      <alignment horizontal="center" vertical="top"/>
    </xf>
    <xf numFmtId="49" fontId="34" fillId="0" borderId="124" xfId="0" applyNumberFormat="1" applyFont="1" applyFill="1" applyBorder="1" applyAlignment="1">
      <alignment horizontal="center" vertical="center"/>
    </xf>
    <xf numFmtId="49" fontId="34" fillId="0" borderId="124" xfId="0" applyNumberFormat="1" applyFont="1" applyFill="1" applyBorder="1" applyAlignment="1"/>
    <xf numFmtId="168" fontId="29" fillId="2" borderId="1" xfId="152" applyNumberFormat="1" applyFont="1" applyFill="1" applyBorder="1" applyAlignment="1">
      <alignment vertical="top" wrapText="1"/>
    </xf>
    <xf numFmtId="176" fontId="29" fillId="0" borderId="124" xfId="0" applyNumberFormat="1" applyFont="1" applyFill="1" applyBorder="1" applyAlignment="1">
      <alignment horizontal="center" vertical="center"/>
    </xf>
    <xf numFmtId="168" fontId="29" fillId="2" borderId="1" xfId="152" applyNumberFormat="1" applyFont="1" applyFill="1" applyBorder="1" applyAlignment="1">
      <alignment horizontal="left" vertical="top" wrapText="1"/>
    </xf>
    <xf numFmtId="49" fontId="35" fillId="0" borderId="124" xfId="0" applyNumberFormat="1" applyFont="1" applyFill="1" applyBorder="1"/>
    <xf numFmtId="169" fontId="30" fillId="0" borderId="124" xfId="152" applyNumberFormat="1" applyFont="1" applyBorder="1" applyAlignment="1">
      <alignment horizontal="center" vertical="center"/>
    </xf>
    <xf numFmtId="168" fontId="30" fillId="0" borderId="124" xfId="152" applyNumberFormat="1" applyFont="1" applyBorder="1" applyAlignment="1">
      <alignment horizontal="center" vertical="center"/>
    </xf>
    <xf numFmtId="0" fontId="29" fillId="2" borderId="1" xfId="0" applyFont="1" applyFill="1" applyBorder="1" applyAlignment="1">
      <alignment horizontal="center" wrapText="1"/>
    </xf>
    <xf numFmtId="0" fontId="33" fillId="2" borderId="1" xfId="0" applyFont="1" applyFill="1" applyBorder="1" applyAlignment="1">
      <alignment horizontal="left" vertical="center" wrapText="1"/>
    </xf>
    <xf numFmtId="171" fontId="29" fillId="0" borderId="124" xfId="0" applyNumberFormat="1" applyFont="1" applyFill="1" applyBorder="1" applyAlignment="1">
      <alignment horizontal="center" vertical="center"/>
    </xf>
    <xf numFmtId="168" fontId="29" fillId="0" borderId="125" xfId="0" applyNumberFormat="1" applyFont="1" applyBorder="1" applyAlignment="1">
      <alignment horizontal="center" vertical="center"/>
    </xf>
    <xf numFmtId="169" fontId="29" fillId="0" borderId="124" xfId="0" applyNumberFormat="1" applyFont="1" applyBorder="1" applyAlignment="1">
      <alignment horizontal="center" vertical="center"/>
    </xf>
    <xf numFmtId="168" fontId="30" fillId="0" borderId="125" xfId="0" applyNumberFormat="1" applyFont="1" applyBorder="1" applyAlignment="1">
      <alignment horizontal="center" vertical="center"/>
    </xf>
    <xf numFmtId="49" fontId="29" fillId="2" borderId="124" xfId="0" applyNumberFormat="1" applyFont="1" applyFill="1" applyBorder="1" applyAlignment="1">
      <alignment horizontal="center" vertical="center"/>
    </xf>
    <xf numFmtId="49" fontId="29" fillId="2" borderId="124" xfId="0" applyNumberFormat="1" applyFont="1" applyFill="1" applyBorder="1" applyAlignment="1">
      <alignment vertical="center"/>
    </xf>
    <xf numFmtId="0" fontId="29" fillId="2" borderId="124" xfId="0" applyFont="1" applyFill="1" applyBorder="1" applyAlignment="1">
      <alignment horizontal="center" vertical="center" wrapText="1"/>
    </xf>
    <xf numFmtId="0" fontId="29" fillId="2" borderId="124" xfId="0" applyFont="1" applyFill="1" applyBorder="1" applyAlignment="1">
      <alignment vertical="center" wrapText="1"/>
    </xf>
    <xf numFmtId="49" fontId="30" fillId="0" borderId="124" xfId="0" applyNumberFormat="1" applyFont="1" applyFill="1" applyBorder="1" applyAlignment="1">
      <alignment horizontal="center" vertical="center"/>
    </xf>
    <xf numFmtId="167" fontId="30" fillId="0" borderId="124" xfId="0" applyNumberFormat="1" applyFont="1" applyFill="1" applyBorder="1" applyAlignment="1">
      <alignment horizontal="center" vertical="center"/>
    </xf>
    <xf numFmtId="0" fontId="29" fillId="2" borderId="1" xfId="0" applyFont="1" applyFill="1" applyBorder="1" applyAlignment="1">
      <alignment horizontal="left" wrapText="1"/>
    </xf>
    <xf numFmtId="166" fontId="29" fillId="0" borderId="124" xfId="0" applyNumberFormat="1" applyFont="1" applyFill="1" applyBorder="1" applyAlignment="1">
      <alignment horizontal="center" vertical="center" wrapText="1"/>
    </xf>
    <xf numFmtId="49" fontId="29" fillId="0" borderId="124" xfId="0" applyNumberFormat="1" applyFont="1" applyFill="1" applyBorder="1" applyAlignment="1">
      <alignment horizontal="center" vertical="center" wrapText="1"/>
    </xf>
    <xf numFmtId="0" fontId="34" fillId="2" borderId="124" xfId="0" applyFont="1" applyFill="1" applyBorder="1" applyAlignment="1">
      <alignment horizontal="center" vertical="center" wrapText="1"/>
    </xf>
    <xf numFmtId="167" fontId="34" fillId="2" borderId="124" xfId="0" applyNumberFormat="1" applyFont="1" applyFill="1" applyBorder="1" applyAlignment="1">
      <alignment horizontal="center" vertical="center" wrapText="1"/>
    </xf>
    <xf numFmtId="169" fontId="29" fillId="0" borderId="124" xfId="0" applyNumberFormat="1" applyFont="1" applyFill="1" applyBorder="1" applyAlignment="1">
      <alignment vertical="center"/>
    </xf>
    <xf numFmtId="0" fontId="29" fillId="0" borderId="124" xfId="0" applyFont="1" applyFill="1" applyBorder="1" applyAlignment="1">
      <alignment vertical="center" wrapText="1"/>
    </xf>
    <xf numFmtId="0" fontId="30" fillId="3" borderId="126" xfId="0" applyFont="1" applyFill="1" applyBorder="1" applyAlignment="1">
      <alignment vertical="center" wrapText="1"/>
    </xf>
    <xf numFmtId="0" fontId="30" fillId="2" borderId="126" xfId="0" applyFont="1" applyFill="1" applyBorder="1" applyAlignment="1">
      <alignment vertical="center" wrapText="1"/>
    </xf>
    <xf numFmtId="169" fontId="36" fillId="0" borderId="124" xfId="0" applyNumberFormat="1" applyFont="1" applyBorder="1" applyAlignment="1">
      <alignment horizontal="center" vertical="center"/>
    </xf>
    <xf numFmtId="168" fontId="36" fillId="0" borderId="124" xfId="0" applyNumberFormat="1" applyFont="1" applyBorder="1" applyAlignment="1">
      <alignment horizontal="center" vertical="center"/>
    </xf>
    <xf numFmtId="169" fontId="34" fillId="0" borderId="124" xfId="0" applyNumberFormat="1" applyFont="1" applyBorder="1" applyAlignment="1">
      <alignment horizontal="center" vertical="center"/>
    </xf>
    <xf numFmtId="169" fontId="34" fillId="0" borderId="124" xfId="0" applyNumberFormat="1" applyFont="1" applyBorder="1" applyAlignment="1">
      <alignment horizontal="right" vertical="center"/>
    </xf>
    <xf numFmtId="0" fontId="29" fillId="2" borderId="124" xfId="3" applyFont="1" applyFill="1" applyBorder="1" applyAlignment="1">
      <alignment vertical="center" wrapText="1"/>
    </xf>
    <xf numFmtId="168" fontId="36" fillId="0" borderId="126" xfId="0" applyNumberFormat="1" applyFont="1" applyBorder="1" applyAlignment="1">
      <alignment horizontal="center" vertical="center"/>
    </xf>
    <xf numFmtId="168" fontId="36" fillId="2" borderId="124" xfId="0" applyNumberFormat="1" applyFont="1" applyFill="1" applyBorder="1" applyAlignment="1">
      <alignment horizontal="center" vertical="center"/>
    </xf>
    <xf numFmtId="0" fontId="30" fillId="2" borderId="2" xfId="0" applyFont="1" applyFill="1" applyBorder="1" applyAlignment="1">
      <alignment vertical="center" wrapText="1"/>
    </xf>
    <xf numFmtId="169" fontId="36" fillId="2" borderId="124" xfId="0" applyNumberFormat="1" applyFont="1" applyFill="1" applyBorder="1" applyAlignment="1">
      <alignment horizontal="center" vertical="center"/>
    </xf>
    <xf numFmtId="169" fontId="29" fillId="5" borderId="0" xfId="0" applyNumberFormat="1" applyFont="1" applyFill="1" applyAlignment="1">
      <alignment horizontal="center"/>
    </xf>
    <xf numFmtId="169" fontId="30" fillId="4" borderId="124" xfId="0" applyNumberFormat="1" applyFont="1" applyFill="1" applyBorder="1" applyAlignment="1">
      <alignment horizontal="center" vertical="center"/>
    </xf>
    <xf numFmtId="168" fontId="30" fillId="4" borderId="124" xfId="0" applyNumberFormat="1" applyFont="1" applyFill="1" applyBorder="1" applyAlignment="1">
      <alignment horizontal="center" vertical="center"/>
    </xf>
    <xf numFmtId="168" fontId="37" fillId="4" borderId="124" xfId="0" applyNumberFormat="1" applyFont="1" applyFill="1" applyBorder="1" applyAlignment="1">
      <alignment horizontal="center" vertical="center"/>
    </xf>
    <xf numFmtId="168" fontId="30" fillId="0" borderId="126" xfId="0" applyNumberFormat="1" applyFont="1" applyFill="1" applyBorder="1" applyAlignment="1">
      <alignment horizontal="center" vertical="center"/>
    </xf>
    <xf numFmtId="167" fontId="30" fillId="0" borderId="124" xfId="0" applyNumberFormat="1" applyFont="1" applyFill="1" applyBorder="1" applyAlignment="1">
      <alignment horizontal="center" vertical="center" wrapText="1"/>
    </xf>
    <xf numFmtId="49" fontId="29" fillId="0" borderId="126" xfId="0" applyNumberFormat="1" applyFont="1" applyFill="1" applyBorder="1" applyAlignment="1">
      <alignment horizontal="center" vertical="center"/>
    </xf>
    <xf numFmtId="169" fontId="30" fillId="2" borderId="124" xfId="0" applyNumberFormat="1" applyFont="1" applyFill="1" applyBorder="1" applyAlignment="1">
      <alignment horizontal="center" vertical="center"/>
    </xf>
    <xf numFmtId="168" fontId="30" fillId="2" borderId="126" xfId="0" applyNumberFormat="1" applyFont="1" applyFill="1" applyBorder="1" applyAlignment="1">
      <alignment horizontal="center" vertical="center"/>
    </xf>
    <xf numFmtId="167" fontId="29" fillId="0" borderId="124" xfId="0" applyNumberFormat="1" applyFont="1" applyFill="1" applyBorder="1" applyAlignment="1">
      <alignment horizontal="center" vertical="center"/>
    </xf>
    <xf numFmtId="167" fontId="29" fillId="0" borderId="125" xfId="1" applyNumberFormat="1" applyFont="1" applyFill="1" applyBorder="1" applyAlignment="1">
      <alignment horizontal="center" vertical="center" wrapText="1"/>
    </xf>
    <xf numFmtId="0" fontId="30" fillId="2" borderId="124" xfId="0" applyFont="1" applyFill="1" applyBorder="1" applyAlignment="1">
      <alignment vertical="center" wrapText="1"/>
    </xf>
    <xf numFmtId="0" fontId="30" fillId="2" borderId="124" xfId="0" applyFont="1" applyFill="1" applyBorder="1" applyAlignment="1">
      <alignment horizontal="left" vertical="center" wrapText="1"/>
    </xf>
    <xf numFmtId="0" fontId="30" fillId="0" borderId="124" xfId="0" applyFont="1" applyFill="1" applyBorder="1" applyAlignment="1">
      <alignment horizontal="center" vertical="center" wrapText="1"/>
    </xf>
    <xf numFmtId="0" fontId="29" fillId="0" borderId="124" xfId="0" applyFont="1" applyFill="1" applyBorder="1" applyAlignment="1">
      <alignment horizontal="center"/>
    </xf>
    <xf numFmtId="168" fontId="30" fillId="2" borderId="124" xfId="0" applyNumberFormat="1" applyFont="1" applyFill="1" applyBorder="1" applyAlignment="1">
      <alignment horizontal="center" vertical="center"/>
    </xf>
    <xf numFmtId="167" fontId="29" fillId="2" borderId="125" xfId="1" applyNumberFormat="1" applyFont="1" applyFill="1" applyBorder="1" applyAlignment="1">
      <alignment horizontal="center" vertical="center" wrapText="1"/>
    </xf>
    <xf numFmtId="167" fontId="29" fillId="2" borderId="124" xfId="1" applyNumberFormat="1" applyFont="1" applyFill="1" applyBorder="1" applyAlignment="1">
      <alignment horizontal="center" vertical="center" wrapText="1"/>
    </xf>
    <xf numFmtId="0" fontId="29" fillId="2" borderId="124" xfId="0" applyFont="1" applyFill="1" applyBorder="1" applyAlignment="1">
      <alignment horizontal="center" vertical="center"/>
    </xf>
    <xf numFmtId="169" fontId="30" fillId="2" borderId="126" xfId="0" applyNumberFormat="1" applyFont="1" applyFill="1" applyBorder="1" applyAlignment="1">
      <alignment horizontal="center" vertical="center"/>
    </xf>
    <xf numFmtId="49" fontId="30" fillId="0" borderId="124" xfId="0" applyNumberFormat="1" applyFont="1" applyFill="1" applyBorder="1" applyAlignment="1">
      <alignment vertical="center"/>
    </xf>
    <xf numFmtId="49" fontId="29" fillId="0" borderId="124" xfId="0" applyNumberFormat="1" applyFont="1" applyFill="1" applyBorder="1" applyAlignment="1">
      <alignment vertical="center"/>
    </xf>
    <xf numFmtId="167" fontId="29" fillId="2" borderId="124" xfId="0" applyNumberFormat="1" applyFont="1" applyFill="1" applyBorder="1" applyAlignment="1">
      <alignment horizontal="center" vertical="center" wrapText="1"/>
    </xf>
    <xf numFmtId="171" fontId="29" fillId="2" borderId="124" xfId="1" applyNumberFormat="1" applyFont="1" applyFill="1" applyBorder="1" applyAlignment="1">
      <alignment horizontal="center" vertical="center" wrapText="1"/>
    </xf>
    <xf numFmtId="169" fontId="30" fillId="0" borderId="124" xfId="0" applyNumberFormat="1" applyFont="1" applyBorder="1" applyAlignment="1">
      <alignment horizontal="center" vertical="center"/>
    </xf>
    <xf numFmtId="168" fontId="30" fillId="0" borderId="124" xfId="0" applyNumberFormat="1" applyFont="1" applyBorder="1" applyAlignment="1">
      <alignment horizontal="center" vertical="center"/>
    </xf>
    <xf numFmtId="168" fontId="30" fillId="0" borderId="126" xfId="0" applyNumberFormat="1" applyFont="1" applyBorder="1" applyAlignment="1">
      <alignment horizontal="center" vertical="center"/>
    </xf>
    <xf numFmtId="49" fontId="29" fillId="0" borderId="126" xfId="0" applyNumberFormat="1" applyFont="1" applyBorder="1" applyAlignment="1">
      <alignment horizontal="center" vertical="center"/>
    </xf>
    <xf numFmtId="167" fontId="29" fillId="0" borderId="124" xfId="0" applyNumberFormat="1" applyFont="1" applyBorder="1" applyAlignment="1">
      <alignment horizontal="center" vertical="center"/>
    </xf>
    <xf numFmtId="0" fontId="29" fillId="2" borderId="124" xfId="0" applyFont="1" applyFill="1" applyBorder="1" applyAlignment="1">
      <alignment horizontal="left" vertical="center" wrapText="1"/>
    </xf>
    <xf numFmtId="9" fontId="30" fillId="2" borderId="124" xfId="0" applyNumberFormat="1" applyFont="1" applyFill="1" applyBorder="1" applyAlignment="1">
      <alignment horizontal="center" vertical="center" wrapText="1"/>
    </xf>
    <xf numFmtId="0" fontId="30" fillId="2" borderId="124" xfId="0" applyFont="1" applyFill="1" applyBorder="1" applyAlignment="1">
      <alignment horizontal="center" vertical="center" wrapText="1"/>
    </xf>
    <xf numFmtId="168" fontId="30" fillId="2" borderId="124" xfId="0" applyNumberFormat="1" applyFont="1" applyFill="1" applyBorder="1" applyAlignment="1">
      <alignment horizontal="center" vertical="center" wrapText="1"/>
    </xf>
    <xf numFmtId="9" fontId="29" fillId="2" borderId="124" xfId="0" applyNumberFormat="1" applyFont="1" applyFill="1" applyBorder="1" applyAlignment="1">
      <alignment horizontal="center" vertical="center" wrapText="1"/>
    </xf>
    <xf numFmtId="168" fontId="29" fillId="2" borderId="124" xfId="0" applyNumberFormat="1" applyFont="1" applyFill="1" applyBorder="1" applyAlignment="1">
      <alignment horizontal="center" vertical="center" wrapText="1"/>
    </xf>
    <xf numFmtId="167" fontId="34" fillId="0" borderId="124" xfId="0" applyNumberFormat="1" applyFont="1" applyFill="1" applyBorder="1" applyAlignment="1">
      <alignment horizontal="center" vertical="center" wrapText="1"/>
    </xf>
    <xf numFmtId="168" fontId="29" fillId="0" borderId="124" xfId="0" applyNumberFormat="1" applyFont="1" applyFill="1" applyBorder="1" applyAlignment="1">
      <alignment horizontal="center" vertical="center" wrapText="1"/>
    </xf>
    <xf numFmtId="167" fontId="29" fillId="2" borderId="124" xfId="1" applyNumberFormat="1" applyFont="1" applyFill="1" applyBorder="1" applyAlignment="1">
      <alignment horizontal="center" vertical="center"/>
    </xf>
    <xf numFmtId="167" fontId="29" fillId="2" borderId="125" xfId="1" applyNumberFormat="1" applyFont="1" applyFill="1" applyBorder="1" applyAlignment="1">
      <alignment horizontal="center" vertical="center"/>
    </xf>
    <xf numFmtId="3" fontId="29" fillId="2" borderId="124" xfId="0" applyNumberFormat="1" applyFont="1" applyFill="1" applyBorder="1" applyAlignment="1">
      <alignment horizontal="center" vertical="center" wrapText="1"/>
    </xf>
    <xf numFmtId="1" fontId="29" fillId="2" borderId="124" xfId="0" applyNumberFormat="1" applyFont="1" applyFill="1" applyBorder="1" applyAlignment="1">
      <alignment horizontal="center" vertical="center" wrapText="1"/>
    </xf>
    <xf numFmtId="167" fontId="30" fillId="0" borderId="124" xfId="0" applyNumberFormat="1" applyFont="1" applyBorder="1" applyAlignment="1">
      <alignment horizontal="center" vertical="center"/>
    </xf>
    <xf numFmtId="167" fontId="30" fillId="2" borderId="125" xfId="1" applyNumberFormat="1" applyFont="1" applyFill="1" applyBorder="1" applyAlignment="1">
      <alignment horizontal="center" vertical="center"/>
    </xf>
    <xf numFmtId="167" fontId="30" fillId="2" borderId="124" xfId="1" applyNumberFormat="1" applyFont="1" applyFill="1" applyBorder="1" applyAlignment="1">
      <alignment horizontal="center" vertical="center"/>
    </xf>
    <xf numFmtId="167" fontId="30" fillId="2" borderId="126" xfId="1" applyNumberFormat="1" applyFont="1" applyFill="1" applyBorder="1" applyAlignment="1">
      <alignment horizontal="center" vertical="center"/>
    </xf>
    <xf numFmtId="0" fontId="29" fillId="2" borderId="125" xfId="0" applyFont="1" applyFill="1" applyBorder="1" applyAlignment="1">
      <alignment horizontal="center" vertical="center"/>
    </xf>
    <xf numFmtId="1" fontId="29" fillId="2" borderId="124" xfId="0" applyNumberFormat="1" applyFont="1" applyFill="1" applyBorder="1" applyAlignment="1">
      <alignment horizontal="center" vertical="center"/>
    </xf>
    <xf numFmtId="49" fontId="30" fillId="2" borderId="124" xfId="0" applyNumberFormat="1" applyFont="1" applyFill="1" applyBorder="1" applyAlignment="1">
      <alignment horizontal="center" vertical="center"/>
    </xf>
    <xf numFmtId="0" fontId="29" fillId="2" borderId="124" xfId="0" applyNumberFormat="1" applyFont="1" applyFill="1" applyBorder="1" applyAlignment="1">
      <alignment horizontal="center" vertical="center" wrapText="1"/>
    </xf>
    <xf numFmtId="168" fontId="36" fillId="2" borderId="124" xfId="0" applyNumberFormat="1" applyFont="1" applyFill="1" applyBorder="1" applyAlignment="1">
      <alignment horizontal="center" vertical="center" wrapText="1"/>
    </xf>
    <xf numFmtId="167" fontId="30" fillId="2" borderId="124" xfId="1" applyNumberFormat="1" applyFont="1" applyFill="1" applyBorder="1" applyAlignment="1">
      <alignment horizontal="center" vertical="center" wrapText="1"/>
    </xf>
    <xf numFmtId="171" fontId="29" fillId="2" borderId="124" xfId="42" applyNumberFormat="1" applyFont="1" applyFill="1" applyBorder="1" applyAlignment="1">
      <alignment horizontal="center" vertical="center" wrapText="1"/>
    </xf>
    <xf numFmtId="171" fontId="29" fillId="2" borderId="124" xfId="42" applyNumberFormat="1" applyFont="1" applyFill="1" applyBorder="1" applyAlignment="1">
      <alignment horizontal="center" vertical="center"/>
    </xf>
    <xf numFmtId="0" fontId="29" fillId="2" borderId="1" xfId="0" applyFont="1" applyFill="1" applyBorder="1" applyAlignment="1">
      <alignment horizontal="left" vertical="top"/>
    </xf>
    <xf numFmtId="49" fontId="29" fillId="2" borderId="1" xfId="0" applyNumberFormat="1" applyFont="1" applyFill="1" applyBorder="1" applyAlignment="1">
      <alignment horizontal="left" vertical="center" wrapText="1"/>
    </xf>
    <xf numFmtId="0" fontId="29" fillId="2" borderId="124" xfId="0" applyFont="1" applyFill="1" applyBorder="1" applyAlignment="1">
      <alignment horizontal="center"/>
    </xf>
    <xf numFmtId="169" fontId="34" fillId="2" borderId="124" xfId="0" applyNumberFormat="1" applyFont="1" applyFill="1" applyBorder="1" applyAlignment="1">
      <alignment horizontal="center" vertical="center"/>
    </xf>
    <xf numFmtId="168" fontId="34" fillId="2" borderId="124" xfId="0" applyNumberFormat="1" applyFont="1" applyFill="1" applyBorder="1" applyAlignment="1">
      <alignment horizontal="center" vertical="center"/>
    </xf>
    <xf numFmtId="168" fontId="34" fillId="2" borderId="126" xfId="0" applyNumberFormat="1" applyFont="1" applyFill="1" applyBorder="1" applyAlignment="1">
      <alignment horizontal="center" vertical="center"/>
    </xf>
    <xf numFmtId="49" fontId="36" fillId="2" borderId="124" xfId="0" applyNumberFormat="1" applyFont="1" applyFill="1" applyBorder="1" applyAlignment="1">
      <alignment horizontal="center" vertical="center"/>
    </xf>
    <xf numFmtId="169" fontId="34" fillId="2" borderId="126" xfId="0" applyNumberFormat="1" applyFont="1" applyFill="1" applyBorder="1" applyAlignment="1">
      <alignment horizontal="center" vertical="center"/>
    </xf>
    <xf numFmtId="167" fontId="34" fillId="2" borderId="124" xfId="8" applyNumberFormat="1" applyFont="1" applyFill="1" applyBorder="1" applyAlignment="1">
      <alignment horizontal="center" vertical="center" wrapText="1"/>
    </xf>
    <xf numFmtId="167" fontId="30" fillId="2" borderId="124" xfId="8" applyNumberFormat="1" applyFont="1" applyFill="1" applyBorder="1" applyAlignment="1">
      <alignment horizontal="center" vertical="center" wrapText="1"/>
    </xf>
    <xf numFmtId="0" fontId="34" fillId="2" borderId="124" xfId="0" applyNumberFormat="1" applyFont="1" applyFill="1" applyBorder="1" applyAlignment="1">
      <alignment vertical="center" wrapText="1"/>
    </xf>
    <xf numFmtId="167" fontId="29" fillId="2" borderId="124" xfId="8" applyNumberFormat="1" applyFont="1" applyFill="1" applyBorder="1" applyAlignment="1">
      <alignment horizontal="center" vertical="center" wrapText="1"/>
    </xf>
    <xf numFmtId="167" fontId="36" fillId="2" borderId="124" xfId="8" applyNumberFormat="1" applyFont="1" applyFill="1" applyBorder="1" applyAlignment="1">
      <alignment horizontal="center" vertical="center" wrapText="1"/>
    </xf>
    <xf numFmtId="0" fontId="39" fillId="2" borderId="1" xfId="4" applyFont="1" applyFill="1" applyBorder="1" applyAlignment="1">
      <alignment horizontal="left" vertical="center" wrapText="1"/>
    </xf>
    <xf numFmtId="1" fontId="29" fillId="2" borderId="124" xfId="4" applyNumberFormat="1" applyFont="1" applyFill="1" applyBorder="1" applyAlignment="1">
      <alignment vertical="center" wrapText="1"/>
    </xf>
    <xf numFmtId="0" fontId="30" fillId="0" borderId="124" xfId="0" applyFont="1" applyFill="1" applyBorder="1" applyAlignment="1">
      <alignment horizontal="left" wrapText="1"/>
    </xf>
    <xf numFmtId="167" fontId="29" fillId="0" borderId="124" xfId="149" applyNumberFormat="1" applyFont="1" applyFill="1" applyBorder="1" applyAlignment="1">
      <alignment horizontal="center" vertical="center" wrapText="1"/>
    </xf>
    <xf numFmtId="0" fontId="30" fillId="0" borderId="124" xfId="0" applyFont="1" applyFill="1" applyBorder="1" applyAlignment="1">
      <alignment horizontal="justify" vertical="top"/>
    </xf>
    <xf numFmtId="168" fontId="29" fillId="0" borderId="124" xfId="0" applyNumberFormat="1" applyFont="1" applyFill="1" applyBorder="1" applyAlignment="1">
      <alignment horizontal="center" vertical="top"/>
    </xf>
    <xf numFmtId="0" fontId="30" fillId="2" borderId="124" xfId="0" applyFont="1" applyFill="1" applyBorder="1" applyAlignment="1">
      <alignment horizontal="left" vertical="center"/>
    </xf>
    <xf numFmtId="167" fontId="30" fillId="2" borderId="124" xfId="0" applyNumberFormat="1" applyFont="1" applyFill="1" applyBorder="1" applyAlignment="1">
      <alignment horizontal="left" vertical="center"/>
    </xf>
    <xf numFmtId="169" fontId="29" fillId="2" borderId="124" xfId="0" applyNumberFormat="1" applyFont="1" applyFill="1" applyBorder="1" applyAlignment="1">
      <alignment horizontal="center" vertical="center"/>
    </xf>
    <xf numFmtId="168" fontId="29" fillId="2" borderId="124" xfId="0" applyNumberFormat="1" applyFont="1" applyFill="1" applyBorder="1" applyAlignment="1">
      <alignment horizontal="center" vertical="center"/>
    </xf>
    <xf numFmtId="49" fontId="29" fillId="2" borderId="124" xfId="0" applyNumberFormat="1" applyFont="1" applyFill="1" applyBorder="1" applyAlignment="1">
      <alignment horizontal="left" vertical="center"/>
    </xf>
    <xf numFmtId="0" fontId="29" fillId="2" borderId="124" xfId="0" applyFont="1" applyFill="1" applyBorder="1" applyAlignment="1">
      <alignment horizontal="left" vertical="center"/>
    </xf>
    <xf numFmtId="167" fontId="29" fillId="2" borderId="124" xfId="0" applyNumberFormat="1" applyFont="1" applyFill="1" applyBorder="1" applyAlignment="1">
      <alignment horizontal="left" vertical="center"/>
    </xf>
    <xf numFmtId="49" fontId="29" fillId="2" borderId="124" xfId="0" applyNumberFormat="1" applyFont="1" applyFill="1" applyBorder="1" applyAlignment="1">
      <alignment horizontal="left" vertical="center" wrapText="1"/>
    </xf>
    <xf numFmtId="167" fontId="29" fillId="2" borderId="125" xfId="0" applyNumberFormat="1" applyFont="1" applyFill="1" applyBorder="1" applyAlignment="1">
      <alignment horizontal="center" vertical="center" wrapText="1"/>
    </xf>
    <xf numFmtId="169" fontId="30" fillId="0" borderId="124" xfId="0" applyNumberFormat="1" applyFont="1" applyFill="1" applyBorder="1" applyAlignment="1">
      <alignment horizontal="center" vertical="center" wrapText="1"/>
    </xf>
    <xf numFmtId="168" fontId="30" fillId="0" borderId="124" xfId="0" applyNumberFormat="1" applyFont="1" applyFill="1" applyBorder="1" applyAlignment="1">
      <alignment horizontal="center" vertical="center" wrapText="1"/>
    </xf>
    <xf numFmtId="49" fontId="30" fillId="0" borderId="124" xfId="0" applyNumberFormat="1" applyFont="1" applyFill="1" applyBorder="1" applyAlignment="1">
      <alignment horizontal="center" vertical="center" wrapText="1"/>
    </xf>
    <xf numFmtId="167" fontId="30" fillId="0" borderId="124" xfId="3" applyNumberFormat="1" applyFont="1" applyFill="1" applyBorder="1" applyAlignment="1">
      <alignment horizontal="center" vertical="center" wrapText="1"/>
    </xf>
    <xf numFmtId="0" fontId="29" fillId="0" borderId="124" xfId="3" applyFont="1" applyFill="1" applyBorder="1" applyAlignment="1">
      <alignment horizontal="left" vertical="center" wrapText="1"/>
    </xf>
    <xf numFmtId="0" fontId="34" fillId="0" borderId="1" xfId="0" applyFont="1" applyFill="1" applyBorder="1" applyAlignment="1">
      <alignment horizontal="center" vertical="center" wrapText="1"/>
    </xf>
    <xf numFmtId="0" fontId="29" fillId="0" borderId="124" xfId="3" applyFont="1" applyFill="1" applyBorder="1" applyAlignment="1">
      <alignment vertical="center" wrapText="1"/>
    </xf>
    <xf numFmtId="0" fontId="30" fillId="0" borderId="124" xfId="0" applyFont="1" applyFill="1" applyBorder="1" applyAlignment="1">
      <alignment horizontal="left" vertical="center" wrapText="1"/>
    </xf>
    <xf numFmtId="167" fontId="29" fillId="0" borderId="124" xfId="3" applyNumberFormat="1" applyFont="1" applyFill="1" applyBorder="1" applyAlignment="1">
      <alignment horizontal="center" vertical="center" wrapText="1"/>
    </xf>
    <xf numFmtId="0" fontId="29" fillId="2" borderId="126" xfId="3" applyFont="1" applyFill="1" applyBorder="1" applyAlignment="1">
      <alignment vertical="center" wrapText="1"/>
    </xf>
    <xf numFmtId="168" fontId="29" fillId="0" borderId="124" xfId="0" applyNumberFormat="1" applyFont="1" applyBorder="1" applyAlignment="1">
      <alignment horizontal="center" vertical="center"/>
    </xf>
    <xf numFmtId="49" fontId="29" fillId="0" borderId="124" xfId="0" applyNumberFormat="1" applyFont="1" applyBorder="1" applyAlignment="1">
      <alignment horizontal="center" vertical="center"/>
    </xf>
    <xf numFmtId="0" fontId="29" fillId="0" borderId="124" xfId="0" applyFont="1" applyBorder="1"/>
    <xf numFmtId="0" fontId="29" fillId="2" borderId="126" xfId="3" applyFont="1" applyFill="1" applyBorder="1" applyAlignment="1">
      <alignment horizontal="left" vertical="center" wrapText="1"/>
    </xf>
    <xf numFmtId="49" fontId="29" fillId="0" borderId="124" xfId="0" applyNumberFormat="1" applyFont="1" applyFill="1" applyBorder="1" applyAlignment="1"/>
    <xf numFmtId="3" fontId="34" fillId="0" borderId="1" xfId="0" applyNumberFormat="1" applyFont="1" applyFill="1" applyBorder="1" applyAlignment="1">
      <alignment horizontal="center" vertical="center" wrapText="1"/>
    </xf>
    <xf numFmtId="9" fontId="34" fillId="2" borderId="1" xfId="17" applyFont="1" applyFill="1" applyBorder="1" applyAlignment="1">
      <alignment horizontal="center" vertical="center" wrapText="1"/>
    </xf>
    <xf numFmtId="1" fontId="29" fillId="0" borderId="124" xfId="0" applyNumberFormat="1" applyFont="1" applyFill="1" applyBorder="1" applyAlignment="1">
      <alignment horizontal="center" vertical="center" wrapText="1"/>
    </xf>
    <xf numFmtId="168" fontId="29" fillId="0" borderId="126" xfId="0" applyNumberFormat="1" applyFont="1" applyBorder="1" applyAlignment="1">
      <alignment horizontal="center" vertical="center"/>
    </xf>
    <xf numFmtId="49" fontId="29" fillId="2" borderId="124" xfId="0" applyNumberFormat="1" applyFont="1" applyFill="1" applyBorder="1" applyAlignment="1">
      <alignment horizontal="right" vertical="center"/>
    </xf>
    <xf numFmtId="0" fontId="29" fillId="2" borderId="124" xfId="155" applyFont="1" applyFill="1" applyBorder="1" applyAlignment="1">
      <alignment horizontal="center" vertical="center"/>
    </xf>
    <xf numFmtId="0" fontId="29" fillId="2" borderId="125" xfId="4" applyFont="1" applyFill="1" applyBorder="1" applyAlignment="1">
      <alignment vertical="center" wrapText="1"/>
    </xf>
    <xf numFmtId="167" fontId="30" fillId="3" borderId="124" xfId="1" applyNumberFormat="1" applyFont="1" applyFill="1" applyBorder="1" applyAlignment="1">
      <alignment horizontal="center" vertical="center" wrapText="1"/>
    </xf>
    <xf numFmtId="0" fontId="30" fillId="3" borderId="124" xfId="4" applyFont="1" applyFill="1" applyBorder="1" applyAlignment="1">
      <alignment horizontal="left" vertical="center" wrapText="1"/>
    </xf>
    <xf numFmtId="0" fontId="30" fillId="3" borderId="124" xfId="4" applyFont="1" applyFill="1" applyBorder="1" applyAlignment="1">
      <alignment horizontal="center" vertical="center" wrapText="1"/>
    </xf>
    <xf numFmtId="0" fontId="29" fillId="3" borderId="124" xfId="4" applyFont="1" applyFill="1" applyBorder="1" applyAlignment="1">
      <alignment horizontal="center" vertical="center" wrapText="1"/>
    </xf>
    <xf numFmtId="0" fontId="29" fillId="3" borderId="124" xfId="4" applyFont="1" applyFill="1" applyBorder="1" applyAlignment="1">
      <alignment horizontal="center" vertical="center"/>
    </xf>
    <xf numFmtId="0" fontId="29" fillId="3" borderId="126" xfId="4" applyFont="1" applyFill="1" applyBorder="1" applyAlignment="1">
      <alignment horizontal="center" vertical="center"/>
    </xf>
    <xf numFmtId="169" fontId="38" fillId="2" borderId="124" xfId="0" applyNumberFormat="1" applyFont="1" applyFill="1" applyBorder="1" applyAlignment="1">
      <alignment horizontal="center" vertical="center"/>
    </xf>
    <xf numFmtId="168" fontId="38" fillId="2" borderId="124" xfId="0" applyNumberFormat="1" applyFont="1" applyFill="1" applyBorder="1" applyAlignment="1">
      <alignment horizontal="center" vertical="center"/>
    </xf>
    <xf numFmtId="169" fontId="37" fillId="2" borderId="124" xfId="0" applyNumberFormat="1" applyFont="1" applyFill="1" applyBorder="1" applyAlignment="1">
      <alignment horizontal="center" vertical="center"/>
    </xf>
    <xf numFmtId="168" fontId="38" fillId="2" borderId="126" xfId="0" applyNumberFormat="1" applyFont="1" applyFill="1" applyBorder="1" applyAlignment="1">
      <alignment horizontal="center" vertical="center"/>
    </xf>
    <xf numFmtId="167" fontId="30" fillId="2" borderId="124" xfId="0" applyNumberFormat="1" applyFont="1" applyFill="1" applyBorder="1" applyAlignment="1">
      <alignment horizontal="center" vertical="center"/>
    </xf>
    <xf numFmtId="0" fontId="34" fillId="2" borderId="124" xfId="0" applyFont="1" applyFill="1" applyBorder="1" applyAlignment="1">
      <alignment horizontal="center"/>
    </xf>
    <xf numFmtId="167" fontId="34" fillId="2" borderId="124" xfId="0" applyNumberFormat="1" applyFont="1" applyFill="1" applyBorder="1" applyAlignment="1">
      <alignment horizontal="center" vertical="center"/>
    </xf>
    <xf numFmtId="0" fontId="34" fillId="2" borderId="124" xfId="0" applyFont="1" applyFill="1" applyBorder="1"/>
    <xf numFmtId="168" fontId="30" fillId="0" borderId="125" xfId="0" applyNumberFormat="1" applyFont="1" applyFill="1" applyBorder="1" applyAlignment="1">
      <alignment horizontal="center" vertical="center"/>
    </xf>
    <xf numFmtId="167" fontId="30" fillId="0" borderId="126" xfId="0" applyNumberFormat="1" applyFont="1" applyFill="1" applyBorder="1" applyAlignment="1">
      <alignment horizontal="center" vertical="center" wrapText="1"/>
    </xf>
    <xf numFmtId="167" fontId="29" fillId="0" borderId="126" xfId="0" applyNumberFormat="1" applyFont="1" applyFill="1" applyBorder="1" applyAlignment="1">
      <alignment horizontal="center" vertical="center" wrapText="1"/>
    </xf>
    <xf numFmtId="167" fontId="30" fillId="4" borderId="124" xfId="1" applyNumberFormat="1" applyFont="1" applyFill="1" applyBorder="1" applyAlignment="1">
      <alignment horizontal="center" vertical="center" wrapText="1"/>
    </xf>
    <xf numFmtId="0" fontId="30" fillId="4" borderId="124" xfId="0" applyFont="1" applyFill="1" applyBorder="1" applyAlignment="1">
      <alignment horizontal="center" vertical="center" wrapText="1"/>
    </xf>
    <xf numFmtId="0" fontId="30" fillId="4" borderId="124" xfId="0" applyFont="1" applyFill="1" applyBorder="1" applyAlignment="1">
      <alignment horizontal="center" vertical="center"/>
    </xf>
    <xf numFmtId="167" fontId="37" fillId="4" borderId="124" xfId="0" applyNumberFormat="1" applyFont="1" applyFill="1" applyBorder="1" applyAlignment="1">
      <alignment horizontal="center" vertical="center" wrapText="1"/>
    </xf>
    <xf numFmtId="167" fontId="34" fillId="4" borderId="124" xfId="0" applyNumberFormat="1" applyFont="1" applyFill="1" applyBorder="1" applyAlignment="1">
      <alignment horizontal="center" vertical="center" wrapText="1"/>
    </xf>
    <xf numFmtId="1" fontId="29" fillId="4" borderId="124" xfId="0" applyNumberFormat="1" applyFont="1" applyFill="1" applyBorder="1" applyAlignment="1">
      <alignment horizontal="center" vertical="center" wrapText="1"/>
    </xf>
    <xf numFmtId="49" fontId="30" fillId="4" borderId="124" xfId="0" applyNumberFormat="1" applyFont="1" applyFill="1" applyBorder="1" applyAlignment="1">
      <alignment horizontal="center" vertical="center"/>
    </xf>
    <xf numFmtId="49" fontId="30" fillId="4" borderId="124" xfId="0" applyNumberFormat="1" applyFont="1" applyFill="1" applyBorder="1" applyAlignment="1">
      <alignment vertical="center"/>
    </xf>
    <xf numFmtId="167" fontId="29" fillId="4" borderId="124" xfId="0" applyNumberFormat="1" applyFont="1" applyFill="1" applyBorder="1" applyAlignment="1">
      <alignment horizontal="center" vertical="center" wrapText="1"/>
    </xf>
    <xf numFmtId="167" fontId="30" fillId="4" borderId="124" xfId="0" applyNumberFormat="1" applyFont="1" applyFill="1" applyBorder="1" applyAlignment="1">
      <alignment horizontal="center" vertical="center" wrapText="1"/>
    </xf>
    <xf numFmtId="167" fontId="30" fillId="2" borderId="124" xfId="0" applyNumberFormat="1" applyFont="1" applyFill="1" applyBorder="1" applyAlignment="1">
      <alignment horizontal="center" vertical="center" wrapText="1"/>
    </xf>
    <xf numFmtId="49" fontId="30" fillId="0" borderId="124" xfId="0" applyNumberFormat="1" applyFont="1" applyFill="1" applyBorder="1" applyAlignment="1">
      <alignment horizontal="right" vertical="center"/>
    </xf>
    <xf numFmtId="0" fontId="30" fillId="0" borderId="126" xfId="0" applyFont="1" applyFill="1" applyBorder="1" applyAlignment="1">
      <alignment horizontal="center" vertical="center" wrapText="1"/>
    </xf>
    <xf numFmtId="0" fontId="29" fillId="0" borderId="126" xfId="0" applyFont="1" applyFill="1" applyBorder="1" applyAlignment="1">
      <alignment horizontal="center" vertical="center"/>
    </xf>
    <xf numFmtId="12" fontId="29" fillId="0" borderId="124" xfId="8" applyNumberFormat="1" applyFont="1" applyFill="1" applyBorder="1" applyAlignment="1">
      <alignment horizontal="center" vertical="center" wrapText="1"/>
    </xf>
    <xf numFmtId="3" fontId="29" fillId="0" borderId="124" xfId="8" applyNumberFormat="1" applyFont="1" applyFill="1" applyBorder="1" applyAlignment="1">
      <alignment horizontal="center" wrapText="1"/>
    </xf>
    <xf numFmtId="3" fontId="29" fillId="0" borderId="124" xfId="0" applyNumberFormat="1" applyFont="1" applyFill="1" applyBorder="1" applyAlignment="1">
      <alignment horizontal="center" wrapText="1"/>
    </xf>
    <xf numFmtId="3" fontId="29" fillId="0" borderId="126" xfId="0" applyNumberFormat="1" applyFont="1" applyFill="1" applyBorder="1" applyAlignment="1">
      <alignment horizontal="center" wrapText="1"/>
    </xf>
    <xf numFmtId="167" fontId="29" fillId="2" borderId="124" xfId="3" applyNumberFormat="1" applyFont="1" applyFill="1" applyBorder="1" applyAlignment="1">
      <alignment horizontal="center" vertical="center" wrapText="1"/>
    </xf>
    <xf numFmtId="169" fontId="37" fillId="0" borderId="124" xfId="0" applyNumberFormat="1" applyFont="1" applyBorder="1" applyAlignment="1">
      <alignment horizontal="center" vertical="center"/>
    </xf>
    <xf numFmtId="168" fontId="37" fillId="0" borderId="124" xfId="0" applyNumberFormat="1" applyFont="1" applyBorder="1" applyAlignment="1">
      <alignment horizontal="center" vertical="center"/>
    </xf>
    <xf numFmtId="168" fontId="37" fillId="0" borderId="126" xfId="0" applyNumberFormat="1" applyFont="1" applyBorder="1" applyAlignment="1">
      <alignment horizontal="center" vertical="center"/>
    </xf>
    <xf numFmtId="49" fontId="37" fillId="4" borderId="124" xfId="0" applyNumberFormat="1" applyFont="1" applyFill="1" applyBorder="1" applyAlignment="1">
      <alignment vertical="center"/>
    </xf>
    <xf numFmtId="169" fontId="37" fillId="4" borderId="124" xfId="0" applyNumberFormat="1" applyFont="1" applyFill="1" applyBorder="1" applyAlignment="1">
      <alignment horizontal="center" vertical="center"/>
    </xf>
    <xf numFmtId="167" fontId="30" fillId="3" borderId="124" xfId="1" applyNumberFormat="1" applyFont="1" applyFill="1" applyBorder="1" applyAlignment="1">
      <alignment horizontal="center" vertical="center"/>
    </xf>
    <xf numFmtId="168" fontId="38" fillId="0" borderId="31" xfId="0" applyNumberFormat="1" applyFont="1" applyFill="1" applyBorder="1" applyAlignment="1">
      <alignment horizontal="center" vertical="center"/>
    </xf>
    <xf numFmtId="49" fontId="37" fillId="0" borderId="31" xfId="0" applyNumberFormat="1" applyFont="1" applyFill="1" applyBorder="1" applyAlignment="1">
      <alignment horizontal="center" vertical="center"/>
    </xf>
    <xf numFmtId="0" fontId="37" fillId="0" borderId="7" xfId="0" applyFont="1" applyFill="1" applyBorder="1" applyAlignment="1">
      <alignment horizontal="right" vertical="center"/>
    </xf>
    <xf numFmtId="166" fontId="37" fillId="0" borderId="31" xfId="0" applyNumberFormat="1" applyFont="1" applyFill="1" applyBorder="1" applyAlignment="1">
      <alignment horizontal="center" vertical="center" wrapText="1"/>
    </xf>
    <xf numFmtId="0" fontId="29" fillId="0" borderId="1" xfId="18" applyFont="1" applyFill="1" applyBorder="1" applyAlignment="1">
      <alignment horizontal="left" vertical="center" wrapText="1"/>
    </xf>
    <xf numFmtId="0" fontId="29" fillId="0" borderId="1" xfId="3" applyFont="1" applyFill="1" applyBorder="1" applyAlignment="1">
      <alignment horizontal="left" vertical="top" wrapText="1"/>
    </xf>
    <xf numFmtId="0" fontId="29" fillId="0" borderId="64" xfId="3" applyFont="1" applyFill="1" applyBorder="1" applyAlignment="1">
      <alignment horizontal="left" vertical="center" wrapText="1"/>
    </xf>
    <xf numFmtId="0" fontId="29" fillId="0" borderId="7" xfId="3" applyFont="1" applyFill="1" applyBorder="1" applyAlignment="1">
      <alignment vertical="center" wrapText="1"/>
    </xf>
    <xf numFmtId="49" fontId="29" fillId="2" borderId="1" xfId="0" applyNumberFormat="1" applyFont="1" applyFill="1" applyBorder="1" applyAlignment="1">
      <alignment horizontal="left" vertical="top" wrapText="1"/>
    </xf>
    <xf numFmtId="0" fontId="29" fillId="2" borderId="1" xfId="0" applyNumberFormat="1" applyFont="1" applyFill="1" applyBorder="1" applyAlignment="1">
      <alignment horizontal="left" vertical="center" wrapText="1"/>
    </xf>
    <xf numFmtId="0" fontId="29" fillId="2" borderId="1" xfId="0" applyNumberFormat="1" applyFont="1" applyFill="1" applyBorder="1" applyAlignment="1">
      <alignment vertical="center" wrapText="1"/>
    </xf>
    <xf numFmtId="0" fontId="30" fillId="0" borderId="125" xfId="0" applyFont="1" applyFill="1" applyBorder="1" applyAlignment="1">
      <alignment horizontal="left" vertical="center" wrapText="1"/>
    </xf>
    <xf numFmtId="0" fontId="29" fillId="0" borderId="124" xfId="0" applyFont="1" applyFill="1" applyBorder="1" applyAlignment="1">
      <alignment horizontal="left" vertical="center" wrapText="1"/>
    </xf>
    <xf numFmtId="49" fontId="30" fillId="0" borderId="4" xfId="0" applyNumberFormat="1" applyFont="1" applyFill="1" applyBorder="1" applyAlignment="1">
      <alignment vertical="center" wrapText="1"/>
    </xf>
    <xf numFmtId="49" fontId="29" fillId="0" borderId="1" xfId="0" applyNumberFormat="1" applyFont="1" applyFill="1" applyBorder="1" applyAlignment="1">
      <alignment horizontal="left" vertical="center" wrapText="1"/>
    </xf>
    <xf numFmtId="0" fontId="29" fillId="0" borderId="0" xfId="0" applyFont="1" applyFill="1" applyAlignment="1">
      <alignment vertical="center" wrapText="1"/>
    </xf>
    <xf numFmtId="0" fontId="29" fillId="2" borderId="1" xfId="152" applyFont="1" applyFill="1" applyBorder="1" applyAlignment="1">
      <alignment vertical="center" wrapText="1"/>
    </xf>
    <xf numFmtId="0" fontId="30" fillId="2" borderId="1" xfId="6" applyFont="1" applyFill="1" applyBorder="1" applyAlignment="1">
      <alignment vertical="center" wrapText="1"/>
    </xf>
    <xf numFmtId="0" fontId="30" fillId="2" borderId="124" xfId="4" applyFont="1" applyFill="1" applyBorder="1" applyAlignment="1">
      <alignment horizontal="left" vertical="center" wrapText="1"/>
    </xf>
    <xf numFmtId="0" fontId="29" fillId="2" borderId="6" xfId="0" applyFont="1" applyFill="1" applyBorder="1" applyAlignment="1">
      <alignment horizontal="left" vertical="center" wrapText="1"/>
    </xf>
    <xf numFmtId="16" fontId="29" fillId="2" borderId="1" xfId="0" applyNumberFormat="1" applyFont="1" applyFill="1" applyBorder="1" applyAlignment="1">
      <alignment vertical="top" wrapText="1"/>
    </xf>
    <xf numFmtId="0" fontId="30" fillId="2" borderId="7" xfId="0" applyFont="1" applyFill="1" applyBorder="1" applyAlignment="1">
      <alignment vertical="top" wrapText="1"/>
    </xf>
    <xf numFmtId="0" fontId="29" fillId="2" borderId="124" xfId="156" applyFont="1" applyFill="1" applyBorder="1" applyAlignment="1">
      <alignment vertical="top" wrapText="1"/>
    </xf>
    <xf numFmtId="0" fontId="29" fillId="2" borderId="4" xfId="156" applyFont="1" applyFill="1" applyBorder="1" applyAlignment="1">
      <alignment horizontal="left" vertical="top" wrapText="1"/>
    </xf>
    <xf numFmtId="0" fontId="29" fillId="2" borderId="124" xfId="0" applyFont="1" applyFill="1" applyBorder="1" applyAlignment="1">
      <alignment horizontal="left" vertical="top" wrapText="1"/>
    </xf>
    <xf numFmtId="0" fontId="29" fillId="2" borderId="1" xfId="156" applyFont="1" applyFill="1" applyBorder="1" applyAlignment="1">
      <alignment horizontal="left" vertical="top" wrapText="1"/>
    </xf>
    <xf numFmtId="0" fontId="29" fillId="2" borderId="7" xfId="156" applyFont="1" applyFill="1" applyBorder="1" applyAlignment="1">
      <alignment vertical="top" wrapText="1"/>
    </xf>
    <xf numFmtId="0" fontId="29" fillId="2" borderId="1" xfId="217" applyFont="1" applyFill="1" applyBorder="1" applyAlignment="1">
      <alignment horizontal="left" vertical="center" wrapText="1"/>
    </xf>
    <xf numFmtId="0" fontId="29" fillId="4" borderId="1" xfId="3" applyFont="1" applyFill="1" applyBorder="1" applyAlignment="1">
      <alignment horizontal="left" vertical="center" wrapText="1"/>
    </xf>
    <xf numFmtId="0" fontId="30" fillId="0" borderId="126" xfId="0" applyFont="1" applyFill="1" applyBorder="1" applyAlignment="1">
      <alignment horizontal="left" vertical="center" wrapText="1"/>
    </xf>
    <xf numFmtId="0" fontId="29" fillId="2" borderId="126" xfId="0" applyFont="1" applyFill="1" applyBorder="1" applyAlignment="1">
      <alignment horizontal="left" vertical="center" wrapText="1"/>
    </xf>
    <xf numFmtId="0" fontId="29" fillId="29" borderId="1" xfId="0" applyFont="1" applyFill="1" applyBorder="1" applyAlignment="1">
      <alignment horizontal="left" wrapText="1"/>
    </xf>
    <xf numFmtId="0" fontId="30" fillId="29" borderId="124" xfId="0" applyFont="1" applyFill="1" applyBorder="1" applyAlignment="1">
      <alignment horizontal="left" vertical="center" wrapText="1"/>
    </xf>
    <xf numFmtId="0" fontId="33" fillId="29" borderId="7" xfId="0" applyFont="1" applyFill="1" applyBorder="1" applyAlignment="1">
      <alignment horizontal="left" wrapText="1"/>
    </xf>
    <xf numFmtId="0" fontId="29" fillId="29" borderId="7" xfId="0" applyFont="1" applyFill="1" applyBorder="1" applyAlignment="1">
      <alignment horizontal="left" wrapText="1"/>
    </xf>
    <xf numFmtId="0" fontId="29" fillId="29" borderId="124" xfId="0" applyFont="1" applyFill="1" applyBorder="1" applyAlignment="1">
      <alignment horizontal="left" vertical="center" wrapText="1"/>
    </xf>
    <xf numFmtId="0" fontId="33" fillId="29" borderId="7" xfId="0" applyFont="1" applyFill="1" applyBorder="1" applyAlignment="1">
      <alignment horizontal="left" vertical="center" wrapText="1"/>
    </xf>
    <xf numFmtId="0" fontId="30" fillId="0" borderId="1" xfId="0" applyFont="1" applyFill="1" applyBorder="1" applyAlignment="1">
      <alignment wrapText="1"/>
    </xf>
    <xf numFmtId="0" fontId="30" fillId="0" borderId="1" xfId="0" applyFont="1" applyFill="1" applyBorder="1" applyAlignment="1">
      <alignment vertical="top" wrapText="1"/>
    </xf>
    <xf numFmtId="49" fontId="29" fillId="0" borderId="1" xfId="0" applyNumberFormat="1" applyFont="1" applyFill="1" applyBorder="1" applyAlignment="1">
      <alignment horizontal="left" vertical="top" wrapText="1"/>
    </xf>
    <xf numFmtId="0" fontId="53" fillId="2" borderId="1" xfId="152" applyFont="1" applyFill="1" applyBorder="1" applyAlignment="1">
      <alignment vertical="center" wrapText="1"/>
    </xf>
    <xf numFmtId="0" fontId="39" fillId="2" borderId="1" xfId="152" applyFont="1" applyFill="1" applyBorder="1" applyAlignment="1">
      <alignment vertical="center" wrapText="1"/>
    </xf>
    <xf numFmtId="0" fontId="39" fillId="2" borderId="124" xfId="152" applyFont="1" applyFill="1" applyBorder="1" applyAlignment="1">
      <alignment horizontal="left" vertical="center" wrapText="1"/>
    </xf>
    <xf numFmtId="0" fontId="53" fillId="2" borderId="1" xfId="4" applyFont="1" applyFill="1" applyBorder="1" applyAlignment="1">
      <alignment horizontal="left" vertical="center" wrapText="1"/>
    </xf>
    <xf numFmtId="0" fontId="39" fillId="2" borderId="6" xfId="4" applyFont="1" applyFill="1" applyBorder="1" applyAlignment="1">
      <alignment horizontal="left" vertical="center" wrapText="1"/>
    </xf>
    <xf numFmtId="0" fontId="39" fillId="2" borderId="6" xfId="152" applyFont="1" applyFill="1" applyBorder="1" applyAlignment="1">
      <alignment vertical="center" wrapText="1"/>
    </xf>
    <xf numFmtId="0" fontId="39" fillId="2" borderId="7" xfId="4" applyFont="1" applyFill="1" applyBorder="1" applyAlignment="1">
      <alignment horizontal="left" vertical="center" wrapText="1"/>
    </xf>
    <xf numFmtId="0" fontId="30" fillId="2" borderId="1" xfId="156" applyFont="1" applyFill="1" applyBorder="1" applyAlignment="1">
      <alignment vertical="top" wrapText="1"/>
    </xf>
    <xf numFmtId="0" fontId="29" fillId="2" borderId="7" xfId="156" applyFont="1" applyFill="1" applyBorder="1" applyAlignment="1">
      <alignment vertical="center" wrapText="1"/>
    </xf>
    <xf numFmtId="0" fontId="29" fillId="2" borderId="1" xfId="156" applyFont="1" applyFill="1" applyBorder="1" applyAlignment="1">
      <alignment horizontal="left" vertical="center" wrapText="1"/>
    </xf>
    <xf numFmtId="0" fontId="29" fillId="2" borderId="10" xfId="156" applyFont="1" applyFill="1" applyBorder="1" applyAlignment="1">
      <alignment vertical="center" wrapText="1"/>
    </xf>
    <xf numFmtId="0" fontId="29" fillId="30" borderId="1" xfId="0" applyFont="1" applyFill="1" applyBorder="1" applyAlignment="1">
      <alignment horizontal="left" vertical="center" wrapText="1"/>
    </xf>
    <xf numFmtId="180" fontId="29" fillId="4" borderId="1" xfId="0" applyNumberFormat="1" applyFont="1" applyFill="1" applyBorder="1" applyAlignment="1">
      <alignment horizontal="left" vertical="center" wrapText="1"/>
    </xf>
    <xf numFmtId="0" fontId="29" fillId="29" borderId="1" xfId="0" applyFont="1" applyFill="1" applyBorder="1" applyAlignment="1">
      <alignment wrapText="1"/>
    </xf>
    <xf numFmtId="0" fontId="29" fillId="0" borderId="0" xfId="0" applyFont="1" applyBorder="1" applyAlignment="1">
      <alignment vertical="center"/>
    </xf>
    <xf numFmtId="0" fontId="40" fillId="31" borderId="0" xfId="0" applyFont="1" applyFill="1" applyAlignment="1">
      <alignment vertical="center" wrapText="1"/>
    </xf>
    <xf numFmtId="167" fontId="35" fillId="0" borderId="1" xfId="0" applyNumberFormat="1" applyFont="1" applyFill="1" applyBorder="1" applyAlignment="1">
      <alignment horizontal="center" vertical="center" wrapText="1"/>
    </xf>
    <xf numFmtId="0" fontId="30" fillId="6" borderId="1" xfId="0" applyFont="1" applyFill="1" applyBorder="1" applyAlignment="1">
      <alignment horizontal="left" vertical="center" wrapText="1"/>
    </xf>
    <xf numFmtId="0" fontId="29" fillId="2" borderId="124" xfId="0" applyFont="1" applyFill="1" applyBorder="1" applyAlignment="1">
      <alignment vertical="center" wrapText="1"/>
    </xf>
    <xf numFmtId="0" fontId="29" fillId="2" borderId="7" xfId="0" applyFont="1" applyFill="1" applyBorder="1" applyAlignment="1">
      <alignment vertical="center" wrapText="1"/>
    </xf>
    <xf numFmtId="0" fontId="29" fillId="5" borderId="7" xfId="0" applyFont="1" applyFill="1" applyBorder="1" applyAlignment="1">
      <alignment horizontal="left" vertical="center" wrapText="1"/>
    </xf>
    <xf numFmtId="0" fontId="29" fillId="5" borderId="1" xfId="0" applyFont="1" applyFill="1" applyBorder="1" applyAlignment="1">
      <alignment horizontal="left" vertical="center" wrapText="1"/>
    </xf>
    <xf numFmtId="0" fontId="30" fillId="2"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29" fillId="2" borderId="1" xfId="0" applyFont="1" applyFill="1" applyBorder="1" applyAlignment="1">
      <alignment vertical="center" wrapText="1"/>
    </xf>
    <xf numFmtId="0" fontId="30" fillId="0" borderId="124" xfId="0" applyFont="1" applyBorder="1" applyAlignment="1">
      <alignment horizontal="center" vertical="center"/>
    </xf>
    <xf numFmtId="0" fontId="30" fillId="0" borderId="7" xfId="0" applyFont="1" applyBorder="1" applyAlignment="1">
      <alignment horizontal="center" vertical="center"/>
    </xf>
    <xf numFmtId="0" fontId="29" fillId="4" borderId="1" xfId="0" applyFont="1" applyFill="1" applyBorder="1" applyAlignment="1">
      <alignment horizontal="center" vertical="center"/>
    </xf>
    <xf numFmtId="167" fontId="30" fillId="3" borderId="1" xfId="0" applyNumberFormat="1" applyFont="1" applyFill="1" applyBorder="1" applyAlignment="1">
      <alignment horizontal="center"/>
    </xf>
    <xf numFmtId="168" fontId="29" fillId="0" borderId="124" xfId="0" applyNumberFormat="1" applyFont="1" applyFill="1" applyBorder="1" applyAlignment="1">
      <alignment horizontal="center" vertical="center"/>
    </xf>
    <xf numFmtId="168" fontId="29" fillId="0" borderId="7" xfId="0" applyNumberFormat="1" applyFont="1" applyFill="1" applyBorder="1" applyAlignment="1">
      <alignment horizontal="center" vertical="center"/>
    </xf>
    <xf numFmtId="0" fontId="29" fillId="0" borderId="124" xfId="0" applyFont="1" applyFill="1" applyBorder="1" applyAlignment="1">
      <alignment horizontal="center" vertical="center"/>
    </xf>
    <xf numFmtId="0" fontId="29" fillId="0" borderId="7" xfId="0" applyFont="1" applyFill="1" applyBorder="1" applyAlignment="1">
      <alignment horizontal="center" vertical="center"/>
    </xf>
    <xf numFmtId="168" fontId="29" fillId="0" borderId="2" xfId="0" applyNumberFormat="1" applyFont="1" applyFill="1" applyBorder="1" applyAlignment="1">
      <alignment horizontal="center" vertical="center"/>
    </xf>
    <xf numFmtId="169" fontId="29" fillId="0" borderId="124" xfId="0" applyNumberFormat="1" applyFont="1" applyFill="1" applyBorder="1" applyAlignment="1">
      <alignment horizontal="center" vertical="center"/>
    </xf>
    <xf numFmtId="169" fontId="29" fillId="0" borderId="2" xfId="0" applyNumberFormat="1" applyFont="1" applyFill="1" applyBorder="1" applyAlignment="1">
      <alignment horizontal="center" vertical="center"/>
    </xf>
    <xf numFmtId="169" fontId="29" fillId="0" borderId="7" xfId="0" applyNumberFormat="1" applyFont="1" applyFill="1" applyBorder="1" applyAlignment="1">
      <alignment horizontal="center" vertical="center"/>
    </xf>
    <xf numFmtId="0" fontId="30" fillId="3" borderId="126" xfId="0" applyFont="1" applyFill="1" applyBorder="1" applyAlignment="1">
      <alignment vertical="center" wrapText="1"/>
    </xf>
    <xf numFmtId="0" fontId="30" fillId="3" borderId="127" xfId="0" applyFont="1" applyFill="1" applyBorder="1" applyAlignment="1">
      <alignment vertical="center" wrapText="1"/>
    </xf>
    <xf numFmtId="0" fontId="29" fillId="3" borderId="127" xfId="0" applyFont="1" applyFill="1" applyBorder="1" applyAlignment="1">
      <alignment wrapText="1"/>
    </xf>
    <xf numFmtId="0" fontId="30" fillId="6" borderId="4" xfId="0" applyFont="1" applyFill="1" applyBorder="1" applyAlignment="1">
      <alignment horizontal="left" vertical="center" wrapText="1"/>
    </xf>
    <xf numFmtId="0" fontId="30" fillId="6" borderId="5" xfId="0" applyFont="1" applyFill="1" applyBorder="1" applyAlignment="1">
      <alignment horizontal="left" vertical="center" wrapText="1"/>
    </xf>
    <xf numFmtId="0" fontId="30" fillId="6" borderId="6" xfId="0" applyFont="1" applyFill="1" applyBorder="1" applyAlignment="1">
      <alignment horizontal="left" vertical="center" wrapText="1"/>
    </xf>
    <xf numFmtId="0" fontId="30" fillId="3" borderId="1" xfId="0" applyFont="1" applyFill="1" applyBorder="1" applyAlignment="1">
      <alignment vertical="center" wrapText="1"/>
    </xf>
    <xf numFmtId="0" fontId="30" fillId="3" borderId="4" xfId="0" applyFont="1" applyFill="1" applyBorder="1" applyAlignment="1">
      <alignment vertical="center" wrapText="1"/>
    </xf>
    <xf numFmtId="169" fontId="29" fillId="2" borderId="124" xfId="0" applyNumberFormat="1" applyFont="1" applyFill="1" applyBorder="1" applyAlignment="1">
      <alignment horizontal="center" vertical="center"/>
    </xf>
    <xf numFmtId="169" fontId="29" fillId="2" borderId="7" xfId="0" applyNumberFormat="1" applyFont="1" applyFill="1" applyBorder="1" applyAlignment="1">
      <alignment horizontal="center" vertical="center"/>
    </xf>
    <xf numFmtId="167" fontId="30" fillId="0" borderId="124" xfId="1" applyNumberFormat="1" applyFont="1" applyFill="1" applyBorder="1" applyAlignment="1">
      <alignment horizontal="center" vertical="center" wrapText="1"/>
    </xf>
    <xf numFmtId="167" fontId="29" fillId="0" borderId="7" xfId="1" applyNumberFormat="1" applyFont="1" applyFill="1" applyBorder="1" applyAlignment="1">
      <alignment horizontal="center" vertical="center" wrapText="1"/>
    </xf>
    <xf numFmtId="167" fontId="30" fillId="0" borderId="1" xfId="1" applyNumberFormat="1" applyFont="1" applyFill="1" applyBorder="1" applyAlignment="1">
      <alignment horizontal="center" vertical="center" wrapText="1"/>
    </xf>
    <xf numFmtId="167" fontId="29" fillId="0" borderId="124" xfId="1" applyNumberFormat="1" applyFont="1" applyFill="1" applyBorder="1" applyAlignment="1">
      <alignment horizontal="center" vertical="center" wrapText="1"/>
    </xf>
    <xf numFmtId="167" fontId="29" fillId="0" borderId="2" xfId="1" applyNumberFormat="1" applyFont="1" applyFill="1" applyBorder="1" applyAlignment="1">
      <alignment horizontal="center" vertical="center" wrapText="1"/>
    </xf>
    <xf numFmtId="167" fontId="29" fillId="0" borderId="1" xfId="1" applyNumberFormat="1" applyFont="1" applyFill="1" applyBorder="1" applyAlignment="1">
      <alignment horizontal="center" vertical="center" wrapText="1"/>
    </xf>
    <xf numFmtId="167" fontId="29" fillId="0" borderId="30" xfId="1" applyNumberFormat="1" applyFont="1" applyFill="1" applyBorder="1" applyAlignment="1">
      <alignment horizontal="center" vertical="center" wrapText="1"/>
    </xf>
    <xf numFmtId="0" fontId="30" fillId="6" borderId="126" xfId="0" applyFont="1" applyFill="1" applyBorder="1" applyAlignment="1">
      <alignment horizontal="left" vertical="center" wrapText="1"/>
    </xf>
    <xf numFmtId="0" fontId="30" fillId="6" borderId="127" xfId="0" applyFont="1" applyFill="1" applyBorder="1" applyAlignment="1">
      <alignment horizontal="left" vertical="center" wrapText="1"/>
    </xf>
    <xf numFmtId="0" fontId="30" fillId="6" borderId="125" xfId="0" applyFont="1" applyFill="1" applyBorder="1" applyAlignment="1">
      <alignment horizontal="left" vertical="center" wrapText="1"/>
    </xf>
    <xf numFmtId="0" fontId="29" fillId="4" borderId="124" xfId="0" applyFont="1" applyFill="1" applyBorder="1" applyAlignment="1">
      <alignment horizontal="center" vertical="center"/>
    </xf>
    <xf numFmtId="0" fontId="29" fillId="4" borderId="7" xfId="0" applyFont="1" applyFill="1" applyBorder="1" applyAlignment="1">
      <alignment horizontal="center" vertical="center"/>
    </xf>
    <xf numFmtId="176" fontId="29" fillId="0" borderId="124" xfId="0" applyNumberFormat="1" applyFont="1" applyFill="1" applyBorder="1" applyAlignment="1">
      <alignment horizontal="center" vertical="center"/>
    </xf>
    <xf numFmtId="176" fontId="29" fillId="0" borderId="7" xfId="0" applyNumberFormat="1" applyFont="1" applyFill="1" applyBorder="1" applyAlignment="1">
      <alignment horizontal="center" vertical="center"/>
    </xf>
    <xf numFmtId="49" fontId="29" fillId="0" borderId="124" xfId="0" applyNumberFormat="1" applyFont="1" applyFill="1" applyBorder="1" applyAlignment="1">
      <alignment horizontal="center" vertical="center"/>
    </xf>
    <xf numFmtId="49" fontId="29" fillId="0" borderId="7" xfId="0" applyNumberFormat="1" applyFont="1" applyFill="1" applyBorder="1" applyAlignment="1">
      <alignment horizontal="center" vertical="center"/>
    </xf>
    <xf numFmtId="49" fontId="29" fillId="0" borderId="126" xfId="0" applyNumberFormat="1" applyFont="1" applyFill="1" applyBorder="1" applyAlignment="1">
      <alignment horizontal="center" vertical="top"/>
    </xf>
    <xf numFmtId="49" fontId="29" fillId="0" borderId="10" xfId="0" applyNumberFormat="1" applyFont="1" applyFill="1" applyBorder="1" applyAlignment="1">
      <alignment horizontal="center" vertical="top"/>
    </xf>
    <xf numFmtId="49" fontId="34" fillId="0" borderId="125" xfId="0" applyNumberFormat="1" applyFont="1" applyFill="1" applyBorder="1" applyAlignment="1">
      <alignment horizontal="center" vertical="center"/>
    </xf>
    <xf numFmtId="49" fontId="34" fillId="0" borderId="9" xfId="0" applyNumberFormat="1" applyFont="1" applyFill="1" applyBorder="1" applyAlignment="1">
      <alignment horizontal="center" vertical="center"/>
    </xf>
    <xf numFmtId="49" fontId="29" fillId="0" borderId="124" xfId="0" applyNumberFormat="1" applyFont="1" applyFill="1" applyBorder="1" applyAlignment="1">
      <alignment horizontal="center" vertical="top"/>
    </xf>
    <xf numFmtId="49" fontId="29" fillId="0" borderId="2" xfId="0" applyNumberFormat="1" applyFont="1" applyFill="1" applyBorder="1" applyAlignment="1">
      <alignment horizontal="center" vertical="top"/>
    </xf>
    <xf numFmtId="49" fontId="29" fillId="0" borderId="7" xfId="0" applyNumberFormat="1" applyFont="1" applyFill="1" applyBorder="1" applyAlignment="1">
      <alignment horizontal="center" vertical="top"/>
    </xf>
    <xf numFmtId="169" fontId="30" fillId="0" borderId="124" xfId="0" applyNumberFormat="1" applyFont="1" applyFill="1" applyBorder="1" applyAlignment="1">
      <alignment horizontal="center" vertical="center"/>
    </xf>
    <xf numFmtId="169" fontId="30" fillId="0" borderId="7" xfId="0" applyNumberFormat="1" applyFont="1" applyFill="1" applyBorder="1" applyAlignment="1">
      <alignment horizontal="center" vertical="center"/>
    </xf>
    <xf numFmtId="169" fontId="30" fillId="0" borderId="1" xfId="0" applyNumberFormat="1" applyFont="1" applyFill="1" applyBorder="1" applyAlignment="1">
      <alignment horizontal="center" vertical="center"/>
    </xf>
    <xf numFmtId="49" fontId="29" fillId="0" borderId="1" xfId="0" applyNumberFormat="1" applyFont="1" applyFill="1" applyBorder="1" applyAlignment="1">
      <alignment horizontal="center" vertical="top"/>
    </xf>
    <xf numFmtId="167" fontId="30" fillId="0" borderId="7" xfId="1" applyNumberFormat="1" applyFont="1" applyFill="1" applyBorder="1" applyAlignment="1">
      <alignment horizontal="center" vertical="center" wrapText="1"/>
    </xf>
    <xf numFmtId="0" fontId="29" fillId="0" borderId="1" xfId="3" applyFont="1" applyFill="1" applyBorder="1" applyAlignment="1">
      <alignment horizontal="left" vertical="center" wrapText="1"/>
    </xf>
    <xf numFmtId="0" fontId="29" fillId="0" borderId="124" xfId="0" applyFont="1" applyFill="1" applyBorder="1" applyAlignment="1">
      <alignment horizontal="left" vertical="center" wrapText="1"/>
    </xf>
    <xf numFmtId="0" fontId="29" fillId="0" borderId="2" xfId="0" applyFont="1" applyFill="1" applyBorder="1" applyAlignment="1">
      <alignment horizontal="left" vertical="center" wrapText="1"/>
    </xf>
    <xf numFmtId="0" fontId="29" fillId="0" borderId="7" xfId="0" applyFont="1" applyFill="1" applyBorder="1" applyAlignment="1">
      <alignment horizontal="left" vertical="center" wrapText="1"/>
    </xf>
    <xf numFmtId="167" fontId="30" fillId="0" borderId="6" xfId="1" applyNumberFormat="1" applyFont="1" applyFill="1" applyBorder="1" applyAlignment="1">
      <alignment horizontal="center" vertical="center" wrapText="1"/>
    </xf>
    <xf numFmtId="0" fontId="29" fillId="0" borderId="124" xfId="3" applyFont="1" applyFill="1" applyBorder="1" applyAlignment="1">
      <alignment horizontal="left" vertical="center" wrapText="1"/>
    </xf>
    <xf numFmtId="0" fontId="29" fillId="0" borderId="2" xfId="3" applyFont="1" applyFill="1" applyBorder="1" applyAlignment="1">
      <alignment horizontal="left" vertical="center" wrapText="1"/>
    </xf>
    <xf numFmtId="49" fontId="29" fillId="0" borderId="2" xfId="0" applyNumberFormat="1" applyFont="1" applyFill="1" applyBorder="1" applyAlignment="1">
      <alignment horizontal="center" vertical="center"/>
    </xf>
    <xf numFmtId="0" fontId="29" fillId="0" borderId="124" xfId="0" applyFont="1" applyFill="1" applyBorder="1" applyAlignment="1">
      <alignment horizontal="center" vertical="top"/>
    </xf>
    <xf numFmtId="0" fontId="29" fillId="0" borderId="7" xfId="0" applyFont="1" applyFill="1" applyBorder="1" applyAlignment="1">
      <alignment horizontal="center" vertical="top"/>
    </xf>
    <xf numFmtId="167" fontId="46" fillId="29" borderId="124" xfId="0" applyNumberFormat="1" applyFont="1" applyFill="1" applyBorder="1" applyAlignment="1">
      <alignment horizontal="center" vertical="center" wrapText="1"/>
    </xf>
    <xf numFmtId="167" fontId="46" fillId="29" borderId="7" xfId="0" applyNumberFormat="1" applyFont="1" applyFill="1" applyBorder="1" applyAlignment="1">
      <alignment horizontal="center" vertical="center" wrapText="1"/>
    </xf>
    <xf numFmtId="0" fontId="29" fillId="2" borderId="124" xfId="0" applyFont="1" applyFill="1" applyBorder="1" applyAlignment="1">
      <alignment horizontal="center" vertical="center" wrapText="1"/>
    </xf>
    <xf numFmtId="0" fontId="29" fillId="2" borderId="7" xfId="0" applyFont="1" applyFill="1" applyBorder="1" applyAlignment="1">
      <alignment horizontal="center" vertical="center" wrapText="1"/>
    </xf>
    <xf numFmtId="0" fontId="29" fillId="0" borderId="49" xfId="3" applyFont="1" applyFill="1" applyBorder="1" applyAlignment="1">
      <alignment horizontal="left" vertical="center" wrapText="1"/>
    </xf>
    <xf numFmtId="0" fontId="29" fillId="0" borderId="7" xfId="3" applyFont="1" applyFill="1" applyBorder="1" applyAlignment="1">
      <alignment horizontal="left" vertical="center" wrapText="1"/>
    </xf>
    <xf numFmtId="0" fontId="30" fillId="0" borderId="49" xfId="0" applyFont="1" applyFill="1" applyBorder="1" applyAlignment="1">
      <alignment horizontal="left" vertical="center" wrapText="1"/>
    </xf>
    <xf numFmtId="0" fontId="30" fillId="0" borderId="7" xfId="0" applyFont="1" applyFill="1" applyBorder="1" applyAlignment="1">
      <alignment horizontal="left" vertical="center" wrapText="1"/>
    </xf>
    <xf numFmtId="0" fontId="30" fillId="2" borderId="63"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30" fillId="2" borderId="7" xfId="0" applyFont="1" applyFill="1" applyBorder="1" applyAlignment="1">
      <alignment horizontal="left" vertical="center" wrapText="1"/>
    </xf>
    <xf numFmtId="0" fontId="29" fillId="0" borderId="63" xfId="3" applyFont="1" applyFill="1" applyBorder="1" applyAlignment="1">
      <alignment horizontal="left" vertical="center" wrapText="1"/>
    </xf>
    <xf numFmtId="0" fontId="30" fillId="2" borderId="63" xfId="3" applyFont="1" applyFill="1" applyBorder="1" applyAlignment="1">
      <alignment horizontal="left" vertical="center" wrapText="1"/>
    </xf>
    <xf numFmtId="0" fontId="29" fillId="2" borderId="2" xfId="3" applyFont="1" applyFill="1" applyBorder="1" applyAlignment="1">
      <alignment horizontal="left" vertical="center" wrapText="1"/>
    </xf>
    <xf numFmtId="0" fontId="29" fillId="2" borderId="7" xfId="3" applyFont="1" applyFill="1" applyBorder="1" applyAlignment="1">
      <alignment horizontal="left" vertical="center" wrapText="1"/>
    </xf>
    <xf numFmtId="0" fontId="30" fillId="3" borderId="4" xfId="0" applyFont="1" applyFill="1" applyBorder="1" applyAlignment="1">
      <alignment horizontal="left" vertical="center" wrapText="1"/>
    </xf>
    <xf numFmtId="0" fontId="30" fillId="3" borderId="5" xfId="0" applyFont="1" applyFill="1" applyBorder="1" applyAlignment="1">
      <alignment horizontal="left" vertical="center" wrapText="1"/>
    </xf>
    <xf numFmtId="0" fontId="29" fillId="5" borderId="4" xfId="0" applyFont="1" applyFill="1" applyBorder="1" applyAlignment="1">
      <alignment horizontal="left" vertical="center" wrapText="1"/>
    </xf>
    <xf numFmtId="0" fontId="29" fillId="5" borderId="5" xfId="0" applyFont="1" applyFill="1" applyBorder="1" applyAlignment="1">
      <alignment horizontal="left" vertical="center" wrapText="1"/>
    </xf>
    <xf numFmtId="0" fontId="29" fillId="5" borderId="6" xfId="0" applyFont="1" applyFill="1" applyBorder="1" applyAlignment="1">
      <alignment horizontal="left" vertical="center" wrapText="1"/>
    </xf>
    <xf numFmtId="0" fontId="30" fillId="6" borderId="113" xfId="0" applyFont="1" applyFill="1" applyBorder="1" applyAlignment="1">
      <alignment horizontal="left" vertical="center" wrapText="1"/>
    </xf>
    <xf numFmtId="0" fontId="30" fillId="6" borderId="114" xfId="0" applyFont="1" applyFill="1" applyBorder="1" applyAlignment="1">
      <alignment horizontal="left" vertical="center" wrapText="1"/>
    </xf>
    <xf numFmtId="0" fontId="30" fillId="3" borderId="5" xfId="0" applyFont="1" applyFill="1" applyBorder="1" applyAlignment="1">
      <alignment vertical="center" wrapText="1"/>
    </xf>
    <xf numFmtId="0" fontId="30" fillId="3" borderId="6" xfId="0" applyFont="1" applyFill="1" applyBorder="1" applyAlignment="1">
      <alignment vertical="center" wrapText="1"/>
    </xf>
    <xf numFmtId="169" fontId="46" fillId="29" borderId="34" xfId="0" applyNumberFormat="1" applyFont="1" applyFill="1" applyBorder="1" applyAlignment="1">
      <alignment horizontal="center" vertical="center" wrapText="1"/>
    </xf>
    <xf numFmtId="169" fontId="46" fillId="29" borderId="44" xfId="0" applyNumberFormat="1" applyFont="1" applyFill="1" applyBorder="1" applyAlignment="1">
      <alignment horizontal="center" vertical="center" wrapText="1"/>
    </xf>
    <xf numFmtId="168" fontId="46" fillId="29" borderId="124" xfId="0" applyNumberFormat="1" applyFont="1" applyFill="1" applyBorder="1" applyAlignment="1">
      <alignment horizontal="center" vertical="center" wrapText="1"/>
    </xf>
    <xf numFmtId="168" fontId="46" fillId="29" borderId="7" xfId="0" applyNumberFormat="1" applyFont="1" applyFill="1" applyBorder="1" applyAlignment="1">
      <alignment horizontal="center" vertical="center" wrapText="1"/>
    </xf>
    <xf numFmtId="0" fontId="47" fillId="29" borderId="124" xfId="0" applyFont="1" applyFill="1" applyBorder="1" applyAlignment="1">
      <alignment horizontal="center" vertical="center" wrapText="1"/>
    </xf>
    <xf numFmtId="0" fontId="47" fillId="29" borderId="7" xfId="0" applyFont="1" applyFill="1" applyBorder="1" applyAlignment="1">
      <alignment horizontal="center" vertical="center" wrapText="1"/>
    </xf>
    <xf numFmtId="0" fontId="47" fillId="29" borderId="126" xfId="0" applyFont="1" applyFill="1" applyBorder="1" applyAlignment="1">
      <alignment horizontal="right" vertical="top" wrapText="1"/>
    </xf>
    <xf numFmtId="0" fontId="47" fillId="29" borderId="10" xfId="0" applyFont="1" applyFill="1" applyBorder="1" applyAlignment="1">
      <alignment horizontal="right" vertical="top" wrapText="1"/>
    </xf>
    <xf numFmtId="167" fontId="47" fillId="29" borderId="125" xfId="0" applyNumberFormat="1" applyFont="1" applyFill="1" applyBorder="1" applyAlignment="1">
      <alignment horizontal="center" vertical="center" wrapText="1"/>
    </xf>
    <xf numFmtId="167" fontId="47" fillId="29" borderId="9" xfId="0" applyNumberFormat="1" applyFont="1" applyFill="1" applyBorder="1" applyAlignment="1">
      <alignment horizontal="center" vertical="center" wrapText="1"/>
    </xf>
    <xf numFmtId="0" fontId="34" fillId="2" borderId="124" xfId="0" applyFont="1" applyFill="1" applyBorder="1" applyAlignment="1">
      <alignment horizontal="center" vertical="center" wrapText="1"/>
    </xf>
    <xf numFmtId="0" fontId="34" fillId="2" borderId="7" xfId="0" applyFont="1" applyFill="1" applyBorder="1" applyAlignment="1">
      <alignment horizontal="center" vertical="center" wrapText="1"/>
    </xf>
    <xf numFmtId="0" fontId="34" fillId="2" borderId="124" xfId="0" applyFont="1" applyFill="1" applyBorder="1" applyAlignment="1">
      <alignment horizontal="center" wrapText="1"/>
    </xf>
    <xf numFmtId="0" fontId="34" fillId="2" borderId="7" xfId="0" applyFont="1" applyFill="1" applyBorder="1" applyAlignment="1">
      <alignment horizontal="center" wrapText="1"/>
    </xf>
    <xf numFmtId="0" fontId="34" fillId="2" borderId="42" xfId="0" applyFont="1" applyFill="1" applyBorder="1" applyAlignment="1">
      <alignment horizontal="center" vertical="center" wrapText="1"/>
    </xf>
    <xf numFmtId="0" fontId="34" fillId="2" borderId="43" xfId="0" applyFont="1" applyFill="1" applyBorder="1" applyAlignment="1">
      <alignment horizontal="center" vertical="center" wrapText="1"/>
    </xf>
    <xf numFmtId="169" fontId="30" fillId="2" borderId="1" xfId="0" applyNumberFormat="1" applyFont="1" applyFill="1" applyBorder="1" applyAlignment="1">
      <alignment horizontal="center" vertical="center"/>
    </xf>
    <xf numFmtId="168" fontId="30" fillId="2" borderId="124" xfId="0" applyNumberFormat="1" applyFont="1" applyFill="1" applyBorder="1" applyAlignment="1">
      <alignment horizontal="center" vertical="center"/>
    </xf>
    <xf numFmtId="168" fontId="30" fillId="2" borderId="7" xfId="0" applyNumberFormat="1" applyFont="1" applyFill="1" applyBorder="1" applyAlignment="1">
      <alignment horizontal="center" vertical="center"/>
    </xf>
    <xf numFmtId="49" fontId="29" fillId="2" borderId="1" xfId="0" applyNumberFormat="1" applyFont="1" applyFill="1" applyBorder="1" applyAlignment="1">
      <alignment horizontal="center" vertical="center"/>
    </xf>
    <xf numFmtId="49" fontId="29" fillId="2" borderId="1" xfId="0" applyNumberFormat="1" applyFont="1" applyFill="1" applyBorder="1" applyAlignment="1">
      <alignment horizontal="right" vertical="center"/>
    </xf>
    <xf numFmtId="0" fontId="29" fillId="2" borderId="126" xfId="0" applyFont="1" applyFill="1" applyBorder="1" applyAlignment="1">
      <alignment horizontal="left" vertical="center" wrapText="1"/>
    </xf>
    <xf numFmtId="0" fontId="29" fillId="2" borderId="10" xfId="0" applyFont="1" applyFill="1" applyBorder="1" applyAlignment="1">
      <alignment horizontal="left" vertical="center" wrapText="1"/>
    </xf>
    <xf numFmtId="167" fontId="29" fillId="0" borderId="124" xfId="0" applyNumberFormat="1" applyFont="1" applyBorder="1" applyAlignment="1">
      <alignment horizontal="center" vertical="center"/>
    </xf>
    <xf numFmtId="167" fontId="29" fillId="0" borderId="7" xfId="0" applyNumberFormat="1" applyFont="1" applyBorder="1" applyAlignment="1">
      <alignment horizontal="center" vertical="center"/>
    </xf>
    <xf numFmtId="167" fontId="29" fillId="2" borderId="125" xfId="1" applyNumberFormat="1" applyFont="1" applyFill="1" applyBorder="1" applyAlignment="1">
      <alignment horizontal="center" vertical="center" wrapText="1"/>
    </xf>
    <xf numFmtId="167" fontId="29" fillId="0" borderId="9" xfId="1" applyNumberFormat="1" applyFont="1" applyBorder="1" applyAlignment="1">
      <alignment horizontal="center" vertical="center" wrapText="1"/>
    </xf>
    <xf numFmtId="167" fontId="29" fillId="2" borderId="124" xfId="1" applyNumberFormat="1" applyFont="1" applyFill="1" applyBorder="1" applyAlignment="1">
      <alignment horizontal="center" vertical="center" wrapText="1"/>
    </xf>
    <xf numFmtId="167" fontId="29" fillId="0" borderId="7" xfId="1" applyNumberFormat="1" applyFont="1" applyBorder="1" applyAlignment="1">
      <alignment horizontal="center" vertical="center" wrapText="1"/>
    </xf>
    <xf numFmtId="0" fontId="29" fillId="2" borderId="124" xfId="0" applyFont="1" applyFill="1" applyBorder="1" applyAlignment="1">
      <alignment horizontal="left" vertical="center" wrapText="1"/>
    </xf>
    <xf numFmtId="0" fontId="29" fillId="2" borderId="7" xfId="0" applyFont="1" applyFill="1" applyBorder="1" applyAlignment="1">
      <alignment horizontal="left" vertical="center" wrapText="1"/>
    </xf>
    <xf numFmtId="0" fontId="30" fillId="3" borderId="1" xfId="0" applyFont="1" applyFill="1" applyBorder="1" applyAlignment="1">
      <alignment vertical="center"/>
    </xf>
    <xf numFmtId="0" fontId="30" fillId="3" borderId="4" xfId="0" applyFont="1" applyFill="1" applyBorder="1" applyAlignment="1">
      <alignment vertical="center"/>
    </xf>
    <xf numFmtId="0" fontId="29" fillId="3" borderId="5" xfId="0" applyFont="1" applyFill="1" applyBorder="1" applyAlignment="1">
      <alignment wrapText="1"/>
    </xf>
    <xf numFmtId="168" fontId="30" fillId="0" borderId="124" xfId="0" applyNumberFormat="1" applyFont="1" applyFill="1" applyBorder="1" applyAlignment="1">
      <alignment horizontal="center" vertical="center"/>
    </xf>
    <xf numFmtId="168" fontId="30" fillId="0" borderId="7" xfId="0" applyNumberFormat="1" applyFont="1" applyFill="1" applyBorder="1" applyAlignment="1">
      <alignment horizontal="center" vertical="center"/>
    </xf>
    <xf numFmtId="49" fontId="29" fillId="0" borderId="1" xfId="0" applyNumberFormat="1" applyFont="1" applyFill="1" applyBorder="1" applyAlignment="1">
      <alignment horizontal="center" vertical="center"/>
    </xf>
    <xf numFmtId="0" fontId="30" fillId="0" borderId="126" xfId="0" applyFont="1" applyFill="1" applyBorder="1" applyAlignment="1">
      <alignment horizontal="left" vertical="center" wrapText="1"/>
    </xf>
    <xf numFmtId="0" fontId="30" fillId="0" borderId="10" xfId="0" applyFont="1" applyFill="1" applyBorder="1" applyAlignment="1">
      <alignment horizontal="left" vertical="center" wrapText="1"/>
    </xf>
    <xf numFmtId="167" fontId="29" fillId="0" borderId="6" xfId="1" applyNumberFormat="1" applyFont="1" applyFill="1" applyBorder="1" applyAlignment="1">
      <alignment horizontal="center" vertical="center" wrapText="1"/>
    </xf>
    <xf numFmtId="169" fontId="29" fillId="0" borderId="1" xfId="0" applyNumberFormat="1" applyFont="1" applyBorder="1" applyAlignment="1">
      <alignment horizontal="center" vertical="center"/>
    </xf>
    <xf numFmtId="49" fontId="29" fillId="0" borderId="124" xfId="0" applyNumberFormat="1" applyFont="1" applyBorder="1" applyAlignment="1">
      <alignment horizontal="center" vertical="center"/>
    </xf>
    <xf numFmtId="0" fontId="29" fillId="0" borderId="2" xfId="0" applyFont="1" applyBorder="1" applyAlignment="1">
      <alignment horizontal="center" vertical="center"/>
    </xf>
    <xf numFmtId="0" fontId="29" fillId="0" borderId="7" xfId="0" applyFont="1" applyBorder="1" applyAlignment="1">
      <alignment horizontal="center" vertical="center"/>
    </xf>
    <xf numFmtId="0" fontId="29" fillId="0" borderId="1" xfId="0" applyFont="1" applyBorder="1" applyAlignment="1">
      <alignment horizontal="left" vertical="center" wrapText="1"/>
    </xf>
    <xf numFmtId="167" fontId="29" fillId="2" borderId="124" xfId="0" applyNumberFormat="1" applyFont="1" applyFill="1" applyBorder="1" applyAlignment="1">
      <alignment horizontal="center" vertical="center" wrapText="1"/>
    </xf>
    <xf numFmtId="167" fontId="29" fillId="2" borderId="2" xfId="0" applyNumberFormat="1" applyFont="1" applyFill="1" applyBorder="1" applyAlignment="1">
      <alignment horizontal="center" vertical="center" wrapText="1"/>
    </xf>
    <xf numFmtId="167" fontId="29" fillId="2" borderId="7" xfId="0" applyNumberFormat="1" applyFont="1" applyFill="1" applyBorder="1" applyAlignment="1">
      <alignment horizontal="center" vertical="center" wrapText="1"/>
    </xf>
    <xf numFmtId="167" fontId="29" fillId="2" borderId="1" xfId="0" applyNumberFormat="1" applyFont="1" applyFill="1" applyBorder="1" applyAlignment="1">
      <alignment horizontal="center" vertical="center" wrapText="1"/>
    </xf>
    <xf numFmtId="0" fontId="29" fillId="0" borderId="1" xfId="0" applyFont="1" applyBorder="1" applyAlignment="1">
      <alignment vertical="center" wrapText="1"/>
    </xf>
    <xf numFmtId="0" fontId="29" fillId="0" borderId="4" xfId="0" applyFont="1" applyBorder="1" applyAlignment="1">
      <alignment vertical="center" wrapText="1"/>
    </xf>
    <xf numFmtId="167" fontId="29" fillId="0" borderId="125" xfId="1" applyNumberFormat="1" applyFont="1" applyFill="1" applyBorder="1" applyAlignment="1">
      <alignment horizontal="center" vertical="center" wrapText="1"/>
    </xf>
    <xf numFmtId="167" fontId="29" fillId="0" borderId="9" xfId="1" applyNumberFormat="1" applyFont="1" applyFill="1" applyBorder="1" applyAlignment="1">
      <alignment horizontal="center" vertical="center" wrapText="1"/>
    </xf>
    <xf numFmtId="169" fontId="29" fillId="0" borderId="124" xfId="0" applyNumberFormat="1" applyFont="1" applyFill="1" applyBorder="1" applyAlignment="1">
      <alignment horizontal="center" vertical="center" wrapText="1"/>
    </xf>
    <xf numFmtId="169" fontId="29" fillId="0" borderId="7" xfId="0" applyNumberFormat="1" applyFont="1" applyFill="1" applyBorder="1" applyAlignment="1">
      <alignment horizontal="center" vertical="center" wrapText="1"/>
    </xf>
    <xf numFmtId="49" fontId="29" fillId="0" borderId="124" xfId="0" applyNumberFormat="1" applyFont="1" applyFill="1" applyBorder="1" applyAlignment="1">
      <alignment horizontal="center" vertical="center" wrapText="1"/>
    </xf>
    <xf numFmtId="0" fontId="29" fillId="0" borderId="7" xfId="0" applyFont="1" applyFill="1" applyBorder="1" applyAlignment="1">
      <alignment horizontal="center" vertical="center" wrapText="1"/>
    </xf>
    <xf numFmtId="167" fontId="29" fillId="0" borderId="124" xfId="0" applyNumberFormat="1" applyFont="1" applyFill="1" applyBorder="1" applyAlignment="1">
      <alignment horizontal="center" vertical="center" wrapText="1"/>
    </xf>
    <xf numFmtId="167" fontId="29" fillId="0" borderId="7" xfId="0" applyNumberFormat="1" applyFont="1" applyFill="1" applyBorder="1" applyAlignment="1">
      <alignment horizontal="center" vertical="center" wrapText="1"/>
    </xf>
    <xf numFmtId="169" fontId="29" fillId="0" borderId="2" xfId="0" applyNumberFormat="1" applyFont="1" applyFill="1" applyBorder="1" applyAlignment="1">
      <alignment horizontal="center" vertical="center" wrapText="1"/>
    </xf>
    <xf numFmtId="49" fontId="29" fillId="0" borderId="2" xfId="0" applyNumberFormat="1" applyFont="1" applyFill="1" applyBorder="1" applyAlignment="1">
      <alignment horizontal="center" vertical="center" wrapText="1"/>
    </xf>
    <xf numFmtId="167" fontId="29" fillId="0" borderId="2" xfId="0" applyNumberFormat="1" applyFont="1" applyFill="1" applyBorder="1" applyAlignment="1">
      <alignment horizontal="center" vertical="center" wrapText="1"/>
    </xf>
    <xf numFmtId="49" fontId="30" fillId="3" borderId="4" xfId="0" applyNumberFormat="1" applyFont="1" applyFill="1" applyBorder="1" applyAlignment="1">
      <alignment wrapText="1"/>
    </xf>
    <xf numFmtId="49" fontId="30" fillId="3" borderId="5" xfId="0" applyNumberFormat="1" applyFont="1" applyFill="1" applyBorder="1" applyAlignment="1">
      <alignment wrapText="1"/>
    </xf>
    <xf numFmtId="0" fontId="30" fillId="3" borderId="5" xfId="0" applyFont="1" applyFill="1" applyBorder="1" applyAlignment="1">
      <alignment wrapText="1"/>
    </xf>
    <xf numFmtId="0" fontId="29" fillId="3" borderId="1" xfId="0" applyFont="1" applyFill="1" applyBorder="1" applyAlignment="1">
      <alignment wrapText="1"/>
    </xf>
    <xf numFmtId="0" fontId="29" fillId="3" borderId="10" xfId="0" applyFont="1" applyFill="1" applyBorder="1" applyAlignment="1">
      <alignment wrapText="1"/>
    </xf>
    <xf numFmtId="0" fontId="30" fillId="3" borderId="4" xfId="0" applyFont="1" applyFill="1" applyBorder="1" applyAlignment="1">
      <alignment horizontal="left" wrapText="1"/>
    </xf>
    <xf numFmtId="0" fontId="30" fillId="3" borderId="5" xfId="0" applyFont="1" applyFill="1" applyBorder="1" applyAlignment="1">
      <alignment horizontal="left" wrapText="1"/>
    </xf>
    <xf numFmtId="169" fontId="29" fillId="2" borderId="1" xfId="0" applyNumberFormat="1" applyFont="1" applyFill="1" applyBorder="1" applyAlignment="1">
      <alignment horizontal="center" vertical="center" wrapText="1"/>
    </xf>
    <xf numFmtId="168" fontId="29" fillId="2" borderId="124" xfId="0" applyNumberFormat="1" applyFont="1" applyFill="1" applyBorder="1" applyAlignment="1">
      <alignment horizontal="center" vertical="center" wrapText="1"/>
    </xf>
    <xf numFmtId="168" fontId="29" fillId="2" borderId="7" xfId="0" applyNumberFormat="1"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180" fontId="30" fillId="2" borderId="1" xfId="0" applyNumberFormat="1" applyFont="1" applyFill="1" applyBorder="1" applyAlignment="1">
      <alignment horizontal="center" vertical="center" wrapText="1"/>
    </xf>
    <xf numFmtId="0" fontId="29" fillId="2" borderId="1" xfId="0" applyFont="1" applyFill="1" applyBorder="1" applyAlignment="1">
      <alignment horizontal="left" vertical="center" wrapText="1"/>
    </xf>
    <xf numFmtId="167" fontId="29" fillId="2" borderId="125" xfId="1" applyNumberFormat="1" applyFont="1" applyFill="1" applyBorder="1" applyAlignment="1">
      <alignment horizontal="center" vertical="center"/>
    </xf>
    <xf numFmtId="167" fontId="29" fillId="2" borderId="9" xfId="1" applyNumberFormat="1" applyFont="1" applyFill="1" applyBorder="1" applyAlignment="1">
      <alignment horizontal="center" vertical="center"/>
    </xf>
    <xf numFmtId="167" fontId="29" fillId="2" borderId="124" xfId="1" applyNumberFormat="1" applyFont="1" applyFill="1" applyBorder="1" applyAlignment="1">
      <alignment horizontal="center" vertical="center"/>
    </xf>
    <xf numFmtId="167" fontId="29" fillId="2" borderId="7" xfId="1" applyNumberFormat="1" applyFont="1" applyFill="1" applyBorder="1" applyAlignment="1">
      <alignment horizontal="center" vertical="center"/>
    </xf>
    <xf numFmtId="169" fontId="34" fillId="2" borderId="1" xfId="0" applyNumberFormat="1" applyFont="1" applyFill="1" applyBorder="1" applyAlignment="1">
      <alignment horizontal="center"/>
    </xf>
    <xf numFmtId="169" fontId="38" fillId="2" borderId="1" xfId="0" applyNumberFormat="1" applyFont="1" applyFill="1" applyBorder="1" applyAlignment="1">
      <alignment horizontal="center" vertical="center"/>
    </xf>
    <xf numFmtId="169" fontId="37" fillId="2" borderId="124" xfId="0" applyNumberFormat="1" applyFont="1" applyFill="1" applyBorder="1" applyAlignment="1">
      <alignment horizontal="center" vertical="center"/>
    </xf>
    <xf numFmtId="169" fontId="37" fillId="2" borderId="7" xfId="0" applyNumberFormat="1" applyFont="1" applyFill="1" applyBorder="1" applyAlignment="1">
      <alignment horizontal="center" vertical="center"/>
    </xf>
    <xf numFmtId="0" fontId="34" fillId="2" borderId="124" xfId="0" applyFont="1" applyFill="1" applyBorder="1" applyAlignment="1">
      <alignment horizontal="center"/>
    </xf>
    <xf numFmtId="0" fontId="34" fillId="2" borderId="7" xfId="0" applyFont="1" applyFill="1" applyBorder="1" applyAlignment="1">
      <alignment horizontal="center"/>
    </xf>
    <xf numFmtId="0" fontId="29" fillId="2" borderId="124" xfId="156" applyFont="1" applyFill="1" applyBorder="1" applyAlignment="1">
      <alignment horizontal="left" vertical="center" wrapText="1"/>
    </xf>
    <xf numFmtId="0" fontId="29" fillId="2" borderId="7" xfId="156" applyFont="1" applyFill="1" applyBorder="1" applyAlignment="1">
      <alignment horizontal="left" vertical="center" wrapText="1"/>
    </xf>
    <xf numFmtId="167" fontId="34" fillId="2" borderId="124" xfId="0" applyNumberFormat="1" applyFont="1" applyFill="1" applyBorder="1" applyAlignment="1">
      <alignment horizontal="center" vertical="center" wrapText="1"/>
    </xf>
    <xf numFmtId="167" fontId="34" fillId="2" borderId="7" xfId="0" applyNumberFormat="1" applyFont="1" applyFill="1" applyBorder="1" applyAlignment="1">
      <alignment horizontal="center" vertical="center" wrapText="1"/>
    </xf>
    <xf numFmtId="167" fontId="34" fillId="2" borderId="124" xfId="0" applyNumberFormat="1" applyFont="1" applyFill="1" applyBorder="1" applyAlignment="1">
      <alignment horizontal="center" vertical="center"/>
    </xf>
    <xf numFmtId="167" fontId="34" fillId="2" borderId="7" xfId="0" applyNumberFormat="1" applyFont="1" applyFill="1" applyBorder="1" applyAlignment="1">
      <alignment horizontal="center" vertical="center"/>
    </xf>
    <xf numFmtId="169" fontId="38" fillId="2" borderId="124" xfId="0" applyNumberFormat="1" applyFont="1" applyFill="1" applyBorder="1" applyAlignment="1">
      <alignment horizontal="center" vertical="center"/>
    </xf>
    <xf numFmtId="169" fontId="38" fillId="2" borderId="2" xfId="0" applyNumberFormat="1" applyFont="1" applyFill="1" applyBorder="1" applyAlignment="1">
      <alignment horizontal="center" vertical="center"/>
    </xf>
    <xf numFmtId="169" fontId="38" fillId="2" borderId="7" xfId="0" applyNumberFormat="1" applyFont="1" applyFill="1" applyBorder="1" applyAlignment="1">
      <alignment horizontal="center" vertical="center"/>
    </xf>
    <xf numFmtId="0" fontId="34" fillId="2" borderId="124" xfId="0" applyFont="1" applyFill="1" applyBorder="1"/>
    <xf numFmtId="0" fontId="34" fillId="2" borderId="7" xfId="0" applyFont="1" applyFill="1" applyBorder="1"/>
    <xf numFmtId="49" fontId="29" fillId="0" borderId="124" xfId="0" applyNumberFormat="1" applyFont="1" applyFill="1" applyBorder="1" applyAlignment="1">
      <alignment vertical="center"/>
    </xf>
    <xf numFmtId="49" fontId="29" fillId="0" borderId="7" xfId="0" applyNumberFormat="1" applyFont="1" applyFill="1" applyBorder="1" applyAlignment="1">
      <alignment vertical="center"/>
    </xf>
    <xf numFmtId="167" fontId="29" fillId="0" borderId="1" xfId="0" applyNumberFormat="1" applyFont="1" applyFill="1" applyBorder="1" applyAlignment="1">
      <alignment horizontal="center" vertical="center" wrapText="1"/>
    </xf>
    <xf numFmtId="167" fontId="29" fillId="0" borderId="124" xfId="0" applyNumberFormat="1" applyFont="1" applyFill="1" applyBorder="1" applyAlignment="1">
      <alignment horizontal="center" vertical="center"/>
    </xf>
    <xf numFmtId="167" fontId="29" fillId="0" borderId="7" xfId="0" applyNumberFormat="1" applyFont="1" applyFill="1" applyBorder="1" applyAlignment="1">
      <alignment horizontal="center" vertical="center"/>
    </xf>
    <xf numFmtId="169" fontId="30" fillId="2" borderId="124" xfId="0" applyNumberFormat="1" applyFont="1" applyFill="1" applyBorder="1" applyAlignment="1">
      <alignment horizontal="center" vertical="center"/>
    </xf>
    <xf numFmtId="169" fontId="30" fillId="2" borderId="7" xfId="0" applyNumberFormat="1" applyFont="1" applyFill="1" applyBorder="1" applyAlignment="1">
      <alignment horizontal="center" vertical="center"/>
    </xf>
    <xf numFmtId="49" fontId="29" fillId="2" borderId="124" xfId="0" applyNumberFormat="1" applyFont="1" applyFill="1" applyBorder="1" applyAlignment="1">
      <alignment horizontal="center" vertical="center"/>
    </xf>
    <xf numFmtId="49" fontId="29" fillId="2" borderId="7" xfId="0" applyNumberFormat="1" applyFont="1" applyFill="1" applyBorder="1" applyAlignment="1">
      <alignment horizontal="center" vertical="center"/>
    </xf>
    <xf numFmtId="0" fontId="29" fillId="2" borderId="124" xfId="4" applyFont="1" applyFill="1" applyBorder="1" applyAlignment="1">
      <alignment horizontal="center" vertical="center" wrapText="1"/>
    </xf>
    <xf numFmtId="0" fontId="29" fillId="2" borderId="7" xfId="4" applyFont="1" applyFill="1" applyBorder="1" applyAlignment="1">
      <alignment horizontal="center" vertical="center" wrapText="1"/>
    </xf>
    <xf numFmtId="0" fontId="29" fillId="2" borderId="1" xfId="4" applyFont="1" applyFill="1" applyBorder="1" applyAlignment="1">
      <alignment horizontal="left" vertical="center" wrapText="1"/>
    </xf>
    <xf numFmtId="0" fontId="30" fillId="3" borderId="4" xfId="155" applyFont="1" applyFill="1" applyBorder="1" applyAlignment="1">
      <alignment vertical="center" wrapText="1"/>
    </xf>
    <xf numFmtId="0" fontId="30" fillId="3" borderId="5" xfId="155" applyFont="1" applyFill="1" applyBorder="1" applyAlignment="1">
      <alignment vertical="center" wrapText="1"/>
    </xf>
    <xf numFmtId="180" fontId="38" fillId="2" borderId="124" xfId="0" applyNumberFormat="1" applyFont="1" applyFill="1" applyBorder="1" applyAlignment="1">
      <alignment horizontal="left" vertical="center"/>
    </xf>
    <xf numFmtId="180" fontId="38" fillId="2" borderId="7" xfId="0" applyNumberFormat="1" applyFont="1" applyFill="1" applyBorder="1" applyAlignment="1">
      <alignment horizontal="left" vertical="center"/>
    </xf>
    <xf numFmtId="167" fontId="37" fillId="2" borderId="124" xfId="0" applyNumberFormat="1" applyFont="1" applyFill="1" applyBorder="1" applyAlignment="1">
      <alignment horizontal="center" vertical="center"/>
    </xf>
    <xf numFmtId="167" fontId="37" fillId="2" borderId="7" xfId="0" applyNumberFormat="1" applyFont="1" applyFill="1" applyBorder="1" applyAlignment="1">
      <alignment horizontal="center" vertical="center"/>
    </xf>
    <xf numFmtId="168" fontId="30" fillId="2" borderId="2" xfId="0" applyNumberFormat="1" applyFont="1" applyFill="1" applyBorder="1" applyAlignment="1">
      <alignment horizontal="center" vertical="center"/>
    </xf>
    <xf numFmtId="168" fontId="30" fillId="2" borderId="1" xfId="0" applyNumberFormat="1" applyFont="1" applyFill="1" applyBorder="1" applyAlignment="1">
      <alignment horizontal="center" vertical="center"/>
    </xf>
    <xf numFmtId="167" fontId="34" fillId="2" borderId="2" xfId="0" applyNumberFormat="1" applyFont="1" applyFill="1" applyBorder="1" applyAlignment="1">
      <alignment horizontal="center" vertical="center" wrapText="1"/>
    </xf>
    <xf numFmtId="0" fontId="29" fillId="2" borderId="4" xfId="0" applyFont="1" applyFill="1" applyBorder="1" applyAlignment="1">
      <alignment horizontal="center" vertical="center" wrapText="1"/>
    </xf>
    <xf numFmtId="0" fontId="29" fillId="2" borderId="5" xfId="0" applyFont="1" applyFill="1" applyBorder="1" applyAlignment="1">
      <alignment horizontal="center" vertical="center" wrapText="1"/>
    </xf>
    <xf numFmtId="0" fontId="29" fillId="2" borderId="41" xfId="0" applyFont="1" applyFill="1" applyBorder="1" applyAlignment="1">
      <alignment horizontal="center" vertical="center" wrapText="1"/>
    </xf>
    <xf numFmtId="168" fontId="30" fillId="3" borderId="4" xfId="0" applyNumberFormat="1" applyFont="1" applyFill="1" applyBorder="1" applyAlignment="1">
      <alignment vertical="center" wrapText="1"/>
    </xf>
    <xf numFmtId="168" fontId="30" fillId="3" borderId="5" xfId="0" applyNumberFormat="1" applyFont="1" applyFill="1" applyBorder="1" applyAlignment="1">
      <alignment vertical="center" wrapText="1"/>
    </xf>
    <xf numFmtId="169" fontId="29" fillId="2" borderId="2" xfId="0" applyNumberFormat="1" applyFont="1" applyFill="1" applyBorder="1" applyAlignment="1">
      <alignment horizontal="center" vertical="center"/>
    </xf>
    <xf numFmtId="49" fontId="29" fillId="2" borderId="2" xfId="0" applyNumberFormat="1" applyFont="1" applyFill="1" applyBorder="1" applyAlignment="1">
      <alignment horizontal="center" vertical="center"/>
    </xf>
    <xf numFmtId="0" fontId="29" fillId="2" borderId="124" xfId="155" applyFont="1" applyFill="1" applyBorder="1" applyAlignment="1">
      <alignment horizontal="center" vertical="center"/>
    </xf>
    <xf numFmtId="0" fontId="29" fillId="2" borderId="2" xfId="155" applyFont="1" applyFill="1" applyBorder="1" applyAlignment="1">
      <alignment horizontal="center" vertical="center"/>
    </xf>
    <xf numFmtId="0" fontId="29" fillId="0" borderId="1" xfId="4" applyFont="1" applyFill="1" applyBorder="1" applyAlignment="1">
      <alignment horizontal="left" vertical="center" wrapText="1"/>
    </xf>
    <xf numFmtId="49" fontId="29" fillId="0" borderId="1" xfId="0" applyNumberFormat="1" applyFont="1" applyBorder="1" applyAlignment="1">
      <alignment horizontal="center" vertical="center"/>
    </xf>
    <xf numFmtId="0" fontId="29" fillId="0" borderId="1" xfId="0" applyFont="1" applyBorder="1" applyAlignment="1">
      <alignment horizontal="center"/>
    </xf>
    <xf numFmtId="167" fontId="34" fillId="0" borderId="124" xfId="3" applyNumberFormat="1" applyFont="1" applyFill="1" applyBorder="1" applyAlignment="1">
      <alignment horizontal="center" vertical="center" wrapText="1"/>
    </xf>
    <xf numFmtId="167" fontId="34" fillId="0" borderId="7" xfId="3" applyNumberFormat="1" applyFont="1" applyFill="1" applyBorder="1" applyAlignment="1">
      <alignment horizontal="center" vertical="center" wrapText="1"/>
    </xf>
    <xf numFmtId="167" fontId="34" fillId="0" borderId="2" xfId="3" applyNumberFormat="1" applyFont="1" applyFill="1" applyBorder="1" applyAlignment="1">
      <alignment horizontal="center" vertical="center" wrapText="1"/>
    </xf>
    <xf numFmtId="169" fontId="30" fillId="2" borderId="2" xfId="0" applyNumberFormat="1" applyFont="1" applyFill="1" applyBorder="1" applyAlignment="1">
      <alignment horizontal="center" vertical="center"/>
    </xf>
    <xf numFmtId="49" fontId="29" fillId="0" borderId="2" xfId="0" applyNumberFormat="1" applyFont="1" applyBorder="1" applyAlignment="1">
      <alignment horizontal="center" vertical="center"/>
    </xf>
    <xf numFmtId="0" fontId="29" fillId="0" borderId="124" xfId="0" applyFont="1" applyBorder="1" applyAlignment="1">
      <alignment horizontal="center"/>
    </xf>
    <xf numFmtId="0" fontId="29" fillId="0" borderId="2" xfId="0" applyFont="1" applyBorder="1" applyAlignment="1">
      <alignment horizontal="center"/>
    </xf>
    <xf numFmtId="167" fontId="29" fillId="0" borderId="124" xfId="0" applyNumberFormat="1" applyFont="1" applyBorder="1" applyAlignment="1">
      <alignment horizontal="center"/>
    </xf>
    <xf numFmtId="167" fontId="29" fillId="0" borderId="7" xfId="0" applyNumberFormat="1" applyFont="1" applyBorder="1" applyAlignment="1">
      <alignment horizontal="center"/>
    </xf>
    <xf numFmtId="0" fontId="29" fillId="3" borderId="4" xfId="0" applyFont="1" applyFill="1" applyBorder="1" applyAlignment="1">
      <alignment wrapText="1"/>
    </xf>
    <xf numFmtId="168" fontId="29" fillId="2" borderId="124" xfId="3" applyNumberFormat="1" applyFont="1" applyFill="1" applyBorder="1" applyAlignment="1">
      <alignment horizontal="center" vertical="center" wrapText="1"/>
    </xf>
    <xf numFmtId="168" fontId="29" fillId="2" borderId="7" xfId="3" applyNumberFormat="1" applyFont="1" applyFill="1" applyBorder="1" applyAlignment="1">
      <alignment horizontal="center" vertical="center" wrapText="1"/>
    </xf>
    <xf numFmtId="49" fontId="29" fillId="2" borderId="124" xfId="3" applyNumberFormat="1" applyFont="1" applyFill="1" applyBorder="1" applyAlignment="1">
      <alignment horizontal="center" vertical="center" wrapText="1"/>
    </xf>
    <xf numFmtId="49" fontId="29" fillId="2" borderId="7" xfId="0" applyNumberFormat="1" applyFont="1" applyFill="1" applyBorder="1" applyAlignment="1">
      <alignment horizontal="center" vertical="center" wrapText="1"/>
    </xf>
    <xf numFmtId="0" fontId="29" fillId="2" borderId="124" xfId="0" applyFont="1" applyFill="1" applyBorder="1" applyAlignment="1">
      <alignment horizontal="center" vertical="center"/>
    </xf>
    <xf numFmtId="0" fontId="29" fillId="2" borderId="7" xfId="0" applyFont="1" applyFill="1" applyBorder="1" applyAlignment="1">
      <alignment horizontal="center" vertical="center"/>
    </xf>
    <xf numFmtId="49" fontId="29" fillId="2" borderId="124" xfId="0" applyNumberFormat="1" applyFont="1" applyFill="1" applyBorder="1" applyAlignment="1">
      <alignment vertical="center"/>
    </xf>
    <xf numFmtId="49" fontId="29" fillId="2" borderId="7" xfId="0" applyNumberFormat="1" applyFont="1" applyFill="1" applyBorder="1" applyAlignment="1">
      <alignment vertical="center"/>
    </xf>
    <xf numFmtId="167" fontId="29" fillId="2" borderId="6" xfId="1" applyNumberFormat="1" applyFont="1" applyFill="1" applyBorder="1" applyAlignment="1">
      <alignment horizontal="center" vertical="center" wrapText="1"/>
    </xf>
    <xf numFmtId="167" fontId="29" fillId="2" borderId="1" xfId="1" applyNumberFormat="1" applyFont="1" applyFill="1" applyBorder="1" applyAlignment="1">
      <alignment horizontal="center" vertical="center" wrapText="1"/>
    </xf>
    <xf numFmtId="169" fontId="30" fillId="0" borderId="2" xfId="0" applyNumberFormat="1" applyFont="1" applyFill="1" applyBorder="1" applyAlignment="1">
      <alignment horizontal="center" vertical="center"/>
    </xf>
    <xf numFmtId="168" fontId="30" fillId="0" borderId="2" xfId="0" applyNumberFormat="1" applyFont="1" applyFill="1" applyBorder="1" applyAlignment="1">
      <alignment horizontal="center" vertical="center"/>
    </xf>
    <xf numFmtId="49" fontId="29" fillId="0" borderId="124" xfId="0" applyNumberFormat="1" applyFont="1" applyFill="1" applyBorder="1" applyAlignment="1">
      <alignment horizontal="center"/>
    </xf>
    <xf numFmtId="49" fontId="29" fillId="0" borderId="2" xfId="0" applyNumberFormat="1" applyFont="1" applyFill="1" applyBorder="1" applyAlignment="1">
      <alignment horizontal="center"/>
    </xf>
    <xf numFmtId="49" fontId="29" fillId="0" borderId="7" xfId="0" applyNumberFormat="1" applyFont="1" applyFill="1" applyBorder="1" applyAlignment="1">
      <alignment horizontal="center"/>
    </xf>
    <xf numFmtId="167" fontId="44" fillId="0" borderId="124" xfId="0" applyNumberFormat="1" applyFont="1" applyFill="1" applyBorder="1" applyAlignment="1">
      <alignment horizontal="center" vertical="center" wrapText="1"/>
    </xf>
    <xf numFmtId="167" fontId="44" fillId="0" borderId="2" xfId="0" applyNumberFormat="1" applyFont="1" applyFill="1" applyBorder="1" applyAlignment="1">
      <alignment horizontal="center" vertical="center" wrapText="1"/>
    </xf>
    <xf numFmtId="167" fontId="44" fillId="0" borderId="7" xfId="0" applyNumberFormat="1" applyFont="1" applyFill="1" applyBorder="1" applyAlignment="1">
      <alignment horizontal="center" vertical="center" wrapText="1"/>
    </xf>
    <xf numFmtId="167" fontId="43" fillId="0" borderId="124" xfId="0" applyNumberFormat="1" applyFont="1" applyFill="1" applyBorder="1" applyAlignment="1">
      <alignment horizontal="center" vertical="center" wrapText="1"/>
    </xf>
    <xf numFmtId="167" fontId="43" fillId="0" borderId="7" xfId="0" applyNumberFormat="1" applyFont="1" applyFill="1" applyBorder="1" applyAlignment="1">
      <alignment horizontal="center" vertical="center" wrapText="1"/>
    </xf>
    <xf numFmtId="0" fontId="30" fillId="3" borderId="7" xfId="0" applyFont="1" applyFill="1" applyBorder="1" applyAlignment="1">
      <alignment vertical="center" wrapText="1"/>
    </xf>
    <xf numFmtId="0" fontId="29" fillId="3" borderId="10" xfId="0" applyFont="1" applyFill="1" applyBorder="1" applyAlignment="1">
      <alignment vertical="center" wrapText="1"/>
    </xf>
    <xf numFmtId="0" fontId="29" fillId="0" borderId="124" xfId="0" applyFont="1" applyFill="1" applyBorder="1" applyAlignment="1">
      <alignment horizontal="center"/>
    </xf>
    <xf numFmtId="0" fontId="29" fillId="0" borderId="7" xfId="0" applyFont="1" applyFill="1" applyBorder="1" applyAlignment="1">
      <alignment horizontal="center"/>
    </xf>
    <xf numFmtId="167" fontId="42" fillId="0" borderId="124" xfId="0" applyNumberFormat="1" applyFont="1" applyFill="1" applyBorder="1" applyAlignment="1">
      <alignment horizontal="center" vertical="center" wrapText="1"/>
    </xf>
    <xf numFmtId="167" fontId="42" fillId="0" borderId="7" xfId="0" applyNumberFormat="1" applyFont="1" applyFill="1" applyBorder="1" applyAlignment="1">
      <alignment horizontal="center" vertical="center" wrapText="1"/>
    </xf>
    <xf numFmtId="0" fontId="29" fillId="0" borderId="1" xfId="0" applyFont="1" applyFill="1" applyBorder="1" applyAlignment="1">
      <alignment horizontal="center"/>
    </xf>
    <xf numFmtId="169" fontId="29" fillId="0" borderId="1" xfId="0" applyNumberFormat="1" applyFont="1" applyFill="1" applyBorder="1" applyAlignment="1">
      <alignment horizontal="center" vertical="center" wrapText="1"/>
    </xf>
    <xf numFmtId="168" fontId="29" fillId="0" borderId="124" xfId="0" applyNumberFormat="1" applyFont="1" applyFill="1" applyBorder="1" applyAlignment="1">
      <alignment horizontal="center" vertical="center" wrapText="1"/>
    </xf>
    <xf numFmtId="168" fontId="29" fillId="0" borderId="7" xfId="0" applyNumberFormat="1" applyFont="1" applyFill="1" applyBorder="1" applyAlignment="1">
      <alignment horizontal="center" vertical="center" wrapText="1"/>
    </xf>
    <xf numFmtId="49" fontId="29" fillId="0" borderId="1" xfId="0" applyNumberFormat="1" applyFont="1" applyFill="1" applyBorder="1" applyAlignment="1">
      <alignment horizontal="center" vertical="center" wrapText="1"/>
    </xf>
    <xf numFmtId="0" fontId="29" fillId="0" borderId="1" xfId="0" applyFont="1" applyFill="1" applyBorder="1" applyAlignment="1">
      <alignment vertical="center" wrapText="1"/>
    </xf>
    <xf numFmtId="167" fontId="29" fillId="0" borderId="124" xfId="0" applyNumberFormat="1" applyFont="1" applyBorder="1" applyAlignment="1">
      <alignment horizontal="center" vertical="center" wrapText="1"/>
    </xf>
    <xf numFmtId="167" fontId="29" fillId="0" borderId="7" xfId="0" applyNumberFormat="1" applyFont="1" applyBorder="1" applyAlignment="1">
      <alignment horizontal="center" vertical="center" wrapText="1"/>
    </xf>
    <xf numFmtId="167" fontId="34" fillId="0" borderId="124" xfId="150" applyNumberFormat="1" applyFont="1" applyBorder="1" applyAlignment="1">
      <alignment horizontal="center" vertical="center" wrapText="1"/>
    </xf>
    <xf numFmtId="167" fontId="34" fillId="0" borderId="7" xfId="150" applyNumberFormat="1" applyFont="1" applyBorder="1" applyAlignment="1">
      <alignment horizontal="center" vertical="center" wrapText="1"/>
    </xf>
    <xf numFmtId="167" fontId="34" fillId="0" borderId="124" xfId="0" applyNumberFormat="1" applyFont="1" applyBorder="1" applyAlignment="1">
      <alignment horizontal="center" vertical="center" wrapText="1"/>
    </xf>
    <xf numFmtId="167" fontId="34" fillId="0" borderId="7" xfId="0" applyNumberFormat="1" applyFont="1" applyBorder="1" applyAlignment="1">
      <alignment horizontal="center" vertical="center" wrapText="1"/>
    </xf>
    <xf numFmtId="167" fontId="29" fillId="0" borderId="124" xfId="150" applyNumberFormat="1" applyFont="1" applyBorder="1" applyAlignment="1">
      <alignment horizontal="center" vertical="center" wrapText="1"/>
    </xf>
    <xf numFmtId="167" fontId="29" fillId="0" borderId="7" xfId="150" applyNumberFormat="1" applyFont="1" applyBorder="1" applyAlignment="1">
      <alignment horizontal="center" vertical="center" wrapText="1"/>
    </xf>
    <xf numFmtId="167" fontId="29" fillId="0" borderId="1" xfId="0" applyNumberFormat="1" applyFont="1" applyBorder="1" applyAlignment="1">
      <alignment horizontal="center" vertical="center" wrapText="1"/>
    </xf>
    <xf numFmtId="167" fontId="34" fillId="2" borderId="124" xfId="18" applyNumberFormat="1" applyFont="1" applyFill="1" applyBorder="1" applyAlignment="1">
      <alignment horizontal="center" vertical="center" wrapText="1"/>
    </xf>
    <xf numFmtId="167" fontId="34" fillId="2" borderId="7" xfId="18" applyNumberFormat="1" applyFont="1" applyFill="1" applyBorder="1" applyAlignment="1">
      <alignment horizontal="center" vertical="center" wrapText="1"/>
    </xf>
    <xf numFmtId="167" fontId="34" fillId="2" borderId="1" xfId="18" applyNumberFormat="1" applyFont="1" applyFill="1" applyBorder="1" applyAlignment="1">
      <alignment horizontal="center" vertical="center" wrapText="1"/>
    </xf>
    <xf numFmtId="49" fontId="29" fillId="0" borderId="7" xfId="0" applyNumberFormat="1" applyFont="1" applyFill="1" applyBorder="1" applyAlignment="1">
      <alignment horizontal="center" vertical="center" wrapText="1"/>
    </xf>
    <xf numFmtId="0" fontId="29" fillId="0" borderId="124" xfId="0" applyFont="1" applyFill="1" applyBorder="1" applyAlignment="1">
      <alignment horizontal="center" vertical="center" wrapText="1"/>
    </xf>
    <xf numFmtId="0" fontId="29" fillId="2" borderId="1" xfId="18" applyFont="1" applyFill="1" applyBorder="1" applyAlignment="1">
      <alignment horizontal="left" vertical="center" wrapText="1"/>
    </xf>
    <xf numFmtId="167" fontId="29" fillId="2" borderId="6" xfId="0" applyNumberFormat="1" applyFont="1" applyFill="1" applyBorder="1" applyAlignment="1">
      <alignment horizontal="center" vertical="center" wrapText="1"/>
    </xf>
    <xf numFmtId="167" fontId="30" fillId="0" borderId="124" xfId="0" applyNumberFormat="1" applyFont="1" applyBorder="1" applyAlignment="1">
      <alignment horizontal="center" vertical="center"/>
    </xf>
    <xf numFmtId="167" fontId="30" fillId="0" borderId="7" xfId="0" applyNumberFormat="1" applyFont="1" applyBorder="1" applyAlignment="1">
      <alignment horizontal="center" vertical="center"/>
    </xf>
    <xf numFmtId="167" fontId="30" fillId="2" borderId="125" xfId="1" applyNumberFormat="1" applyFont="1" applyFill="1" applyBorder="1" applyAlignment="1">
      <alignment horizontal="center" vertical="center" wrapText="1"/>
    </xf>
    <xf numFmtId="167" fontId="30" fillId="2" borderId="9" xfId="1" applyNumberFormat="1" applyFont="1" applyFill="1" applyBorder="1" applyAlignment="1">
      <alignment horizontal="center" vertical="center" wrapText="1"/>
    </xf>
    <xf numFmtId="167" fontId="30" fillId="2" borderId="124" xfId="1" applyNumberFormat="1" applyFont="1" applyFill="1" applyBorder="1" applyAlignment="1">
      <alignment horizontal="center" vertical="center" wrapText="1"/>
    </xf>
    <xf numFmtId="167" fontId="30" fillId="2" borderId="7" xfId="1" applyNumberFormat="1" applyFont="1" applyFill="1" applyBorder="1" applyAlignment="1">
      <alignment horizontal="center" vertical="center" wrapText="1"/>
    </xf>
    <xf numFmtId="169" fontId="29" fillId="0" borderId="1" xfId="0" applyNumberFormat="1" applyFont="1" applyFill="1" applyBorder="1" applyAlignment="1">
      <alignment horizontal="center" vertical="center"/>
    </xf>
    <xf numFmtId="0" fontId="29" fillId="0" borderId="1" xfId="0" applyFont="1" applyFill="1" applyBorder="1" applyAlignment="1">
      <alignment horizontal="center" vertical="center"/>
    </xf>
    <xf numFmtId="0" fontId="29" fillId="2" borderId="1" xfId="0" applyFont="1" applyFill="1" applyBorder="1" applyAlignment="1">
      <alignment horizontal="center" vertical="center" wrapText="1"/>
    </xf>
    <xf numFmtId="167" fontId="29" fillId="2" borderId="1" xfId="154" applyNumberFormat="1" applyFont="1" applyFill="1" applyBorder="1" applyAlignment="1">
      <alignment horizontal="center" vertical="center" wrapText="1"/>
    </xf>
    <xf numFmtId="169" fontId="30" fillId="0" borderId="124" xfId="0" applyNumberFormat="1" applyFont="1" applyFill="1" applyBorder="1" applyAlignment="1">
      <alignment horizontal="center" vertical="center" wrapText="1"/>
    </xf>
    <xf numFmtId="169" fontId="30" fillId="0" borderId="2" xfId="0" applyNumberFormat="1" applyFont="1" applyFill="1" applyBorder="1" applyAlignment="1">
      <alignment horizontal="center" vertical="center" wrapText="1"/>
    </xf>
    <xf numFmtId="169" fontId="30" fillId="0" borderId="7" xfId="0" applyNumberFormat="1" applyFont="1" applyFill="1" applyBorder="1" applyAlignment="1">
      <alignment horizontal="center" vertical="center" wrapText="1"/>
    </xf>
    <xf numFmtId="168" fontId="30" fillId="0" borderId="124" xfId="0" applyNumberFormat="1" applyFont="1" applyFill="1" applyBorder="1" applyAlignment="1">
      <alignment horizontal="center" vertical="center" wrapText="1"/>
    </xf>
    <xf numFmtId="168" fontId="30" fillId="0" borderId="2" xfId="0" applyNumberFormat="1" applyFont="1" applyFill="1" applyBorder="1" applyAlignment="1">
      <alignment horizontal="center" vertical="center" wrapText="1"/>
    </xf>
    <xf numFmtId="168" fontId="30" fillId="0" borderId="7" xfId="0" applyNumberFormat="1" applyFont="1" applyFill="1" applyBorder="1" applyAlignment="1">
      <alignment horizontal="center" vertical="center" wrapText="1"/>
    </xf>
    <xf numFmtId="0" fontId="30" fillId="0" borderId="124"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30" fillId="0" borderId="7" xfId="0" applyFont="1" applyFill="1" applyBorder="1" applyAlignment="1">
      <alignment horizontal="center" vertical="center" wrapText="1"/>
    </xf>
    <xf numFmtId="167" fontId="29" fillId="0" borderId="124" xfId="3" applyNumberFormat="1" applyFont="1" applyFill="1" applyBorder="1" applyAlignment="1">
      <alignment horizontal="center" vertical="center" wrapText="1"/>
    </xf>
    <xf numFmtId="167" fontId="29" fillId="0" borderId="2" xfId="3" applyNumberFormat="1" applyFont="1" applyFill="1" applyBorder="1" applyAlignment="1">
      <alignment horizontal="center" vertical="center" wrapText="1"/>
    </xf>
    <xf numFmtId="167" fontId="29" fillId="0" borderId="7" xfId="3" applyNumberFormat="1"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2" borderId="1" xfId="0" applyFont="1" applyFill="1" applyBorder="1" applyAlignment="1">
      <alignment vertical="top" wrapText="1"/>
    </xf>
    <xf numFmtId="3" fontId="29" fillId="0" borderId="124" xfId="0" applyNumberFormat="1" applyFont="1" applyFill="1" applyBorder="1" applyAlignment="1">
      <alignment horizontal="center" vertical="center" wrapText="1"/>
    </xf>
    <xf numFmtId="3" fontId="29" fillId="0" borderId="7" xfId="0" applyNumberFormat="1" applyFont="1" applyFill="1" applyBorder="1" applyAlignment="1">
      <alignment horizontal="center" vertical="center" wrapText="1"/>
    </xf>
    <xf numFmtId="3" fontId="29" fillId="0" borderId="124" xfId="0" applyNumberFormat="1" applyFont="1" applyFill="1" applyBorder="1" applyAlignment="1">
      <alignment horizontal="center" vertical="center"/>
    </xf>
    <xf numFmtId="3" fontId="29" fillId="0" borderId="7" xfId="0" applyNumberFormat="1" applyFont="1" applyFill="1" applyBorder="1" applyAlignment="1">
      <alignment horizontal="center" vertical="center"/>
    </xf>
    <xf numFmtId="0" fontId="30" fillId="3" borderId="1" xfId="0" applyFont="1" applyFill="1" applyBorder="1" applyAlignment="1">
      <alignment horizontal="left" vertical="center" wrapText="1"/>
    </xf>
    <xf numFmtId="168" fontId="30" fillId="0" borderId="124" xfId="0" applyNumberFormat="1" applyFont="1" applyBorder="1" applyAlignment="1">
      <alignment horizontal="center" vertical="center"/>
    </xf>
    <xf numFmtId="168" fontId="30" fillId="0" borderId="7" xfId="0" applyNumberFormat="1" applyFont="1" applyBorder="1" applyAlignment="1">
      <alignment horizontal="center" vertical="center"/>
    </xf>
    <xf numFmtId="169" fontId="29" fillId="0" borderId="124" xfId="0" applyNumberFormat="1" applyFont="1" applyBorder="1" applyAlignment="1">
      <alignment horizontal="center" vertical="center"/>
    </xf>
    <xf numFmtId="169" fontId="29" fillId="0" borderId="7" xfId="0" applyNumberFormat="1" applyFont="1" applyBorder="1" applyAlignment="1">
      <alignment horizontal="center" vertical="center"/>
    </xf>
    <xf numFmtId="0" fontId="29" fillId="2" borderId="124" xfId="0" applyFont="1" applyFill="1" applyBorder="1" applyAlignment="1">
      <alignment horizontal="left" vertical="center"/>
    </xf>
    <xf numFmtId="0" fontId="29" fillId="2" borderId="7" xfId="0" applyFont="1" applyFill="1" applyBorder="1" applyAlignment="1">
      <alignment horizontal="left" vertical="center"/>
    </xf>
    <xf numFmtId="0" fontId="29" fillId="2" borderId="1" xfId="3" applyFont="1" applyFill="1" applyBorder="1" applyAlignment="1">
      <alignment horizontal="left" vertical="center" wrapText="1"/>
    </xf>
    <xf numFmtId="167" fontId="29" fillId="2" borderId="124" xfId="0" applyNumberFormat="1" applyFont="1" applyFill="1" applyBorder="1" applyAlignment="1">
      <alignment horizontal="center" vertical="center"/>
    </xf>
    <xf numFmtId="167" fontId="29" fillId="2" borderId="7" xfId="0" applyNumberFormat="1" applyFont="1" applyFill="1" applyBorder="1" applyAlignment="1">
      <alignment horizontal="center" vertical="center"/>
    </xf>
    <xf numFmtId="167" fontId="29" fillId="2" borderId="126" xfId="0" applyNumberFormat="1" applyFont="1" applyFill="1" applyBorder="1" applyAlignment="1">
      <alignment horizontal="center" vertical="center"/>
    </xf>
    <xf numFmtId="167" fontId="29" fillId="2" borderId="10" xfId="0" applyNumberFormat="1" applyFont="1" applyFill="1" applyBorder="1" applyAlignment="1">
      <alignment horizontal="center" vertical="center"/>
    </xf>
    <xf numFmtId="169" fontId="29" fillId="0" borderId="124" xfId="0" applyNumberFormat="1" applyFont="1" applyFill="1" applyBorder="1" applyAlignment="1">
      <alignment horizontal="center" vertical="top"/>
    </xf>
    <xf numFmtId="169" fontId="29" fillId="0" borderId="7" xfId="0" applyNumberFormat="1" applyFont="1" applyFill="1" applyBorder="1" applyAlignment="1">
      <alignment horizontal="center" vertical="top"/>
    </xf>
    <xf numFmtId="167" fontId="29" fillId="0" borderId="1" xfId="149" applyNumberFormat="1" applyFont="1" applyFill="1" applyBorder="1" applyAlignment="1">
      <alignment horizontal="center" vertical="center" wrapText="1"/>
    </xf>
    <xf numFmtId="169" fontId="29" fillId="0" borderId="2" xfId="0" applyNumberFormat="1" applyFont="1" applyFill="1" applyBorder="1" applyAlignment="1">
      <alignment horizontal="center" vertical="top"/>
    </xf>
    <xf numFmtId="0" fontId="29" fillId="0" borderId="1" xfId="0" applyFont="1" applyFill="1" applyBorder="1" applyAlignment="1">
      <alignment horizontal="left" vertical="top" wrapText="1"/>
    </xf>
    <xf numFmtId="49" fontId="29" fillId="0" borderId="4" xfId="0" applyNumberFormat="1" applyFont="1" applyFill="1" applyBorder="1" applyAlignment="1">
      <alignment horizontal="center" vertical="top"/>
    </xf>
    <xf numFmtId="167" fontId="30" fillId="0" borderId="6" xfId="149" applyNumberFormat="1" applyFont="1" applyFill="1" applyBorder="1" applyAlignment="1">
      <alignment horizontal="center" vertical="center" wrapText="1"/>
    </xf>
    <xf numFmtId="167" fontId="30" fillId="0" borderId="1" xfId="149" applyNumberFormat="1" applyFont="1" applyFill="1" applyBorder="1" applyAlignment="1">
      <alignment horizontal="center" vertical="center" wrapText="1"/>
    </xf>
    <xf numFmtId="0" fontId="29" fillId="0" borderId="124" xfId="0" applyFont="1" applyFill="1" applyBorder="1" applyAlignment="1">
      <alignment vertical="top" wrapText="1"/>
    </xf>
    <xf numFmtId="0" fontId="29" fillId="0" borderId="7" xfId="0" applyFont="1" applyFill="1" applyBorder="1" applyAlignment="1">
      <alignment vertical="top" wrapText="1"/>
    </xf>
    <xf numFmtId="0" fontId="30" fillId="3" borderId="1" xfId="0" applyFont="1" applyFill="1" applyBorder="1" applyAlignment="1">
      <alignment wrapText="1"/>
    </xf>
    <xf numFmtId="0" fontId="30" fillId="3" borderId="4" xfId="0" applyFont="1" applyFill="1" applyBorder="1" applyAlignment="1">
      <alignment wrapText="1"/>
    </xf>
    <xf numFmtId="0" fontId="29" fillId="0" borderId="4" xfId="0" applyFont="1" applyFill="1" applyBorder="1" applyAlignment="1">
      <alignment horizontal="center" vertical="top"/>
    </xf>
    <xf numFmtId="169" fontId="34" fillId="2" borderId="124" xfId="0" applyNumberFormat="1" applyFont="1" applyFill="1" applyBorder="1" applyAlignment="1">
      <alignment horizontal="center" vertical="center"/>
    </xf>
    <xf numFmtId="169" fontId="34" fillId="2" borderId="7" xfId="0" applyNumberFormat="1" applyFont="1" applyFill="1" applyBorder="1" applyAlignment="1">
      <alignment horizontal="center" vertical="center"/>
    </xf>
    <xf numFmtId="0" fontId="34" fillId="2" borderId="124" xfId="0" applyFont="1" applyFill="1" applyBorder="1" applyAlignment="1">
      <alignment vertical="center"/>
    </xf>
    <xf numFmtId="0" fontId="34" fillId="2" borderId="7" xfId="0" applyFont="1" applyFill="1" applyBorder="1" applyAlignment="1">
      <alignment vertical="center"/>
    </xf>
    <xf numFmtId="167" fontId="34" fillId="2" borderId="124" xfId="8" applyNumberFormat="1" applyFont="1" applyFill="1" applyBorder="1" applyAlignment="1">
      <alignment horizontal="center" vertical="center" wrapText="1"/>
    </xf>
    <xf numFmtId="167" fontId="34" fillId="2" borderId="7" xfId="8" applyNumberFormat="1" applyFont="1" applyFill="1" applyBorder="1" applyAlignment="1">
      <alignment horizontal="center" vertical="center" wrapText="1"/>
    </xf>
    <xf numFmtId="0" fontId="29" fillId="0" borderId="2" xfId="0" applyFont="1" applyFill="1" applyBorder="1" applyAlignment="1">
      <alignment horizontal="center"/>
    </xf>
    <xf numFmtId="167" fontId="29" fillId="0" borderId="124" xfId="8" applyNumberFormat="1" applyFont="1" applyFill="1" applyBorder="1" applyAlignment="1">
      <alignment horizontal="center" vertical="center" wrapText="1"/>
    </xf>
    <xf numFmtId="167" fontId="29" fillId="0" borderId="7" xfId="8" applyNumberFormat="1" applyFont="1" applyFill="1" applyBorder="1" applyAlignment="1">
      <alignment horizontal="center" vertical="center" wrapText="1"/>
    </xf>
    <xf numFmtId="167" fontId="29" fillId="0" borderId="1" xfId="8" applyNumberFormat="1" applyFont="1" applyFill="1" applyBorder="1" applyAlignment="1">
      <alignment horizontal="center" vertical="center" wrapText="1"/>
    </xf>
    <xf numFmtId="167" fontId="34" fillId="2" borderId="1" xfId="0" applyNumberFormat="1" applyFont="1" applyFill="1" applyBorder="1" applyAlignment="1">
      <alignment horizontal="center" vertical="center" wrapText="1"/>
    </xf>
    <xf numFmtId="169" fontId="29" fillId="0" borderId="2" xfId="0" applyNumberFormat="1" applyFont="1" applyBorder="1" applyAlignment="1">
      <alignment horizontal="center" vertical="center"/>
    </xf>
    <xf numFmtId="168" fontId="29" fillId="2" borderId="124" xfId="0" applyNumberFormat="1" applyFont="1" applyFill="1" applyBorder="1" applyAlignment="1">
      <alignment horizontal="center" vertical="center"/>
    </xf>
    <xf numFmtId="168" fontId="29" fillId="2" borderId="2" xfId="0" applyNumberFormat="1" applyFont="1" applyFill="1" applyBorder="1" applyAlignment="1">
      <alignment horizontal="center" vertical="center"/>
    </xf>
    <xf numFmtId="168" fontId="29" fillId="2" borderId="7" xfId="0" applyNumberFormat="1" applyFont="1" applyFill="1" applyBorder="1" applyAlignment="1">
      <alignment horizontal="center" vertical="center"/>
    </xf>
    <xf numFmtId="49" fontId="29" fillId="0" borderId="7" xfId="0" applyNumberFormat="1" applyFont="1" applyBorder="1" applyAlignment="1">
      <alignment horizontal="center" vertical="center"/>
    </xf>
    <xf numFmtId="49" fontId="29" fillId="2" borderId="124" xfId="0" applyNumberFormat="1" applyFont="1" applyFill="1" applyBorder="1" applyAlignment="1">
      <alignment horizontal="center"/>
    </xf>
    <xf numFmtId="49" fontId="29" fillId="2" borderId="2" xfId="0" applyNumberFormat="1" applyFont="1" applyFill="1" applyBorder="1" applyAlignment="1">
      <alignment horizontal="center"/>
    </xf>
    <xf numFmtId="49" fontId="29" fillId="2" borderId="7" xfId="0" applyNumberFormat="1" applyFont="1" applyFill="1" applyBorder="1" applyAlignment="1">
      <alignment horizontal="center"/>
    </xf>
    <xf numFmtId="0" fontId="29" fillId="2" borderId="1" xfId="0" applyFont="1" applyFill="1" applyBorder="1" applyAlignment="1">
      <alignment horizontal="left" vertical="top" wrapText="1"/>
    </xf>
    <xf numFmtId="167" fontId="29" fillId="0" borderId="2" xfId="0" applyNumberFormat="1" applyFont="1" applyBorder="1" applyAlignment="1">
      <alignment horizontal="center" vertical="center"/>
    </xf>
    <xf numFmtId="167" fontId="34" fillId="2" borderId="2" xfId="0" applyNumberFormat="1" applyFont="1" applyFill="1" applyBorder="1" applyAlignment="1">
      <alignment horizontal="center" vertical="center"/>
    </xf>
    <xf numFmtId="167" fontId="29" fillId="0" borderId="2" xfId="8" applyNumberFormat="1" applyFont="1" applyFill="1" applyBorder="1" applyAlignment="1">
      <alignment horizontal="center" vertical="center" wrapText="1"/>
    </xf>
    <xf numFmtId="169" fontId="36" fillId="2" borderId="124" xfId="0" applyNumberFormat="1" applyFont="1" applyFill="1" applyBorder="1" applyAlignment="1">
      <alignment horizontal="center" vertical="center" wrapText="1"/>
    </xf>
    <xf numFmtId="169" fontId="36" fillId="2" borderId="7" xfId="0" applyNumberFormat="1" applyFont="1" applyFill="1" applyBorder="1" applyAlignment="1">
      <alignment horizontal="center" vertical="center" wrapText="1"/>
    </xf>
    <xf numFmtId="49" fontId="34" fillId="2" borderId="124" xfId="0" applyNumberFormat="1" applyFont="1" applyFill="1" applyBorder="1" applyAlignment="1">
      <alignment horizontal="center" vertical="center"/>
    </xf>
    <xf numFmtId="49" fontId="34" fillId="2" borderId="7" xfId="0" applyNumberFormat="1" applyFont="1" applyFill="1" applyBorder="1" applyAlignment="1">
      <alignment horizontal="center" vertical="center"/>
    </xf>
    <xf numFmtId="0" fontId="34" fillId="0" borderId="124" xfId="0" applyFont="1" applyBorder="1" applyAlignment="1">
      <alignment horizontal="center" vertical="center"/>
    </xf>
    <xf numFmtId="0" fontId="34" fillId="0" borderId="7" xfId="0" applyFont="1" applyBorder="1" applyAlignment="1">
      <alignment horizontal="center" vertical="center"/>
    </xf>
    <xf numFmtId="0" fontId="29" fillId="2" borderId="124" xfId="0" applyFont="1" applyFill="1" applyBorder="1" applyAlignment="1">
      <alignment horizontal="center" vertical="top" wrapText="1"/>
    </xf>
    <xf numFmtId="0" fontId="29" fillId="2" borderId="7" xfId="0" applyFont="1" applyFill="1" applyBorder="1" applyAlignment="1">
      <alignment horizontal="center" vertical="top" wrapText="1"/>
    </xf>
    <xf numFmtId="169" fontId="30" fillId="2" borderId="1" xfId="0" applyNumberFormat="1" applyFont="1" applyFill="1" applyBorder="1" applyAlignment="1">
      <alignment horizontal="center" vertical="center" wrapText="1"/>
    </xf>
    <xf numFmtId="168" fontId="30" fillId="2" borderId="124" xfId="0" applyNumberFormat="1" applyFont="1" applyFill="1" applyBorder="1" applyAlignment="1">
      <alignment horizontal="center" vertical="center" wrapText="1"/>
    </xf>
    <xf numFmtId="168" fontId="30" fillId="2" borderId="7" xfId="0" applyNumberFormat="1" applyFont="1" applyFill="1" applyBorder="1" applyAlignment="1">
      <alignment horizontal="center" vertical="center" wrapText="1"/>
    </xf>
    <xf numFmtId="169" fontId="30" fillId="2" borderId="124" xfId="0" applyNumberFormat="1" applyFont="1" applyFill="1" applyBorder="1" applyAlignment="1">
      <alignment horizontal="center" vertical="center" wrapText="1"/>
    </xf>
    <xf numFmtId="169" fontId="29" fillId="0" borderId="7" xfId="0" applyNumberFormat="1" applyFont="1" applyBorder="1" applyAlignment="1">
      <alignment horizontal="center" vertical="center" wrapText="1"/>
    </xf>
    <xf numFmtId="49" fontId="29" fillId="2" borderId="124" xfId="0" applyNumberFormat="1" applyFont="1" applyFill="1" applyBorder="1" applyAlignment="1">
      <alignment horizontal="right" vertical="center"/>
    </xf>
    <xf numFmtId="0" fontId="29" fillId="0" borderId="7" xfId="0" applyFont="1" applyBorder="1" applyAlignment="1">
      <alignment horizontal="right" vertical="center"/>
    </xf>
    <xf numFmtId="167" fontId="34" fillId="0" borderId="1" xfId="0" applyNumberFormat="1" applyFont="1" applyBorder="1" applyAlignment="1">
      <alignment horizontal="center" vertical="center" wrapText="1"/>
    </xf>
    <xf numFmtId="167" fontId="34" fillId="2" borderId="1" xfId="0" applyNumberFormat="1" applyFont="1" applyFill="1" applyBorder="1" applyAlignment="1">
      <alignment horizontal="center" vertical="center"/>
    </xf>
    <xf numFmtId="0" fontId="29" fillId="2" borderId="1" xfId="0" applyFont="1" applyFill="1" applyBorder="1" applyAlignment="1">
      <alignment horizontal="right" vertical="center"/>
    </xf>
    <xf numFmtId="0" fontId="30" fillId="2" borderId="1" xfId="0" applyFont="1" applyFill="1" applyBorder="1" applyAlignment="1">
      <alignment horizontal="left" vertical="top" wrapText="1"/>
    </xf>
    <xf numFmtId="167" fontId="30" fillId="2" borderId="6" xfId="1" applyNumberFormat="1" applyFont="1" applyFill="1" applyBorder="1" applyAlignment="1">
      <alignment horizontal="center" vertical="center" wrapText="1"/>
    </xf>
    <xf numFmtId="167" fontId="30" fillId="2" borderId="1" xfId="1" applyNumberFormat="1" applyFont="1" applyFill="1" applyBorder="1" applyAlignment="1">
      <alignment horizontal="center" vertical="center"/>
    </xf>
    <xf numFmtId="167" fontId="30" fillId="2" borderId="1" xfId="1" applyNumberFormat="1" applyFont="1" applyFill="1" applyBorder="1" applyAlignment="1">
      <alignment horizontal="center" vertical="center" wrapText="1"/>
    </xf>
    <xf numFmtId="169" fontId="29" fillId="0" borderId="124" xfId="0" applyNumberFormat="1" applyFont="1" applyFill="1" applyBorder="1" applyAlignment="1">
      <alignment horizontal="center"/>
    </xf>
    <xf numFmtId="169" fontId="29" fillId="0" borderId="2" xfId="0" applyNumberFormat="1" applyFont="1" applyFill="1" applyBorder="1" applyAlignment="1">
      <alignment horizontal="center"/>
    </xf>
    <xf numFmtId="169" fontId="29" fillId="0" borderId="7" xfId="0" applyNumberFormat="1" applyFont="1" applyFill="1" applyBorder="1" applyAlignment="1">
      <alignment horizontal="center"/>
    </xf>
    <xf numFmtId="168" fontId="29" fillId="0" borderId="124" xfId="0" applyNumberFormat="1" applyFont="1" applyFill="1" applyBorder="1" applyAlignment="1">
      <alignment horizontal="center"/>
    </xf>
    <xf numFmtId="168" fontId="29" fillId="0" borderId="2" xfId="0" applyNumberFormat="1" applyFont="1" applyFill="1" applyBorder="1" applyAlignment="1">
      <alignment horizontal="center"/>
    </xf>
    <xf numFmtId="168" fontId="29" fillId="0" borderId="7" xfId="0" applyNumberFormat="1" applyFont="1" applyFill="1" applyBorder="1" applyAlignment="1">
      <alignment horizontal="center"/>
    </xf>
    <xf numFmtId="0" fontId="29" fillId="3" borderId="5" xfId="0" applyFont="1" applyFill="1" applyBorder="1" applyAlignment="1">
      <alignment horizontal="left" wrapText="1"/>
    </xf>
    <xf numFmtId="0" fontId="29" fillId="3" borderId="6" xfId="0" applyFont="1" applyFill="1" applyBorder="1" applyAlignment="1">
      <alignment horizontal="left" wrapText="1"/>
    </xf>
    <xf numFmtId="0" fontId="29" fillId="2" borderId="124" xfId="0" applyFont="1" applyFill="1" applyBorder="1" applyAlignment="1">
      <alignment horizontal="right" vertical="center"/>
    </xf>
    <xf numFmtId="0" fontId="34" fillId="0" borderId="7" xfId="0" applyFont="1" applyBorder="1" applyAlignment="1">
      <alignment horizontal="right" vertical="center"/>
    </xf>
    <xf numFmtId="169" fontId="29" fillId="0" borderId="1" xfId="0" applyNumberFormat="1" applyFont="1" applyFill="1" applyBorder="1" applyAlignment="1">
      <alignment horizontal="center"/>
    </xf>
    <xf numFmtId="0" fontId="29" fillId="0" borderId="124" xfId="0" applyFont="1" applyFill="1" applyBorder="1" applyAlignment="1">
      <alignment horizontal="center" wrapText="1"/>
    </xf>
    <xf numFmtId="0" fontId="29" fillId="0" borderId="7" xfId="0" applyFont="1" applyFill="1" applyBorder="1" applyAlignment="1">
      <alignment horizontal="center" wrapText="1"/>
    </xf>
    <xf numFmtId="169" fontId="30" fillId="0" borderId="2" xfId="1" applyNumberFormat="1" applyFont="1" applyFill="1" applyBorder="1" applyAlignment="1">
      <alignment horizontal="center" vertical="center"/>
    </xf>
    <xf numFmtId="169" fontId="30" fillId="0" borderId="7" xfId="1" applyNumberFormat="1" applyFont="1" applyFill="1" applyBorder="1" applyAlignment="1">
      <alignment horizontal="center" vertical="center"/>
    </xf>
    <xf numFmtId="168" fontId="30" fillId="0" borderId="124" xfId="1" applyNumberFormat="1" applyFont="1" applyFill="1" applyBorder="1" applyAlignment="1">
      <alignment horizontal="center" vertical="center"/>
    </xf>
    <xf numFmtId="168" fontId="30" fillId="0" borderId="7" xfId="1" applyNumberFormat="1" applyFont="1" applyFill="1" applyBorder="1" applyAlignment="1">
      <alignment horizontal="center" vertical="center"/>
    </xf>
    <xf numFmtId="0" fontId="30" fillId="0" borderId="124" xfId="0" applyFont="1" applyFill="1" applyBorder="1" applyAlignment="1">
      <alignment horizontal="left" vertical="center" wrapText="1"/>
    </xf>
    <xf numFmtId="167" fontId="30" fillId="0" borderId="124" xfId="0" applyNumberFormat="1" applyFont="1" applyFill="1" applyBorder="1" applyAlignment="1">
      <alignment horizontal="center" vertical="center"/>
    </xf>
    <xf numFmtId="167" fontId="30" fillId="0" borderId="7" xfId="0" applyNumberFormat="1" applyFont="1" applyFill="1" applyBorder="1" applyAlignment="1">
      <alignment horizontal="center" vertical="center"/>
    </xf>
    <xf numFmtId="168" fontId="29" fillId="0" borderId="2" xfId="0" applyNumberFormat="1" applyFont="1" applyFill="1" applyBorder="1" applyAlignment="1">
      <alignment horizontal="center" vertical="center" wrapText="1"/>
    </xf>
    <xf numFmtId="0" fontId="29" fillId="0" borderId="2" xfId="0" applyFont="1" applyFill="1" applyBorder="1" applyAlignment="1">
      <alignment horizontal="center" wrapText="1"/>
    </xf>
    <xf numFmtId="167" fontId="29" fillId="0" borderId="2" xfId="0" applyNumberFormat="1" applyFont="1" applyFill="1" applyBorder="1" applyAlignment="1">
      <alignment horizontal="center" vertical="center"/>
    </xf>
    <xf numFmtId="180" fontId="29" fillId="0" borderId="2" xfId="0" applyNumberFormat="1" applyFont="1" applyFill="1" applyBorder="1" applyAlignment="1">
      <alignment horizontal="center" vertical="center" wrapText="1"/>
    </xf>
    <xf numFmtId="180" fontId="29" fillId="0" borderId="7" xfId="0" applyNumberFormat="1" applyFont="1" applyFill="1" applyBorder="1" applyAlignment="1">
      <alignment horizontal="center" vertical="center" wrapText="1"/>
    </xf>
    <xf numFmtId="180" fontId="29" fillId="2" borderId="1" xfId="0" applyNumberFormat="1" applyFont="1" applyFill="1" applyBorder="1" applyAlignment="1">
      <alignment horizontal="left" vertical="center" wrapText="1"/>
    </xf>
    <xf numFmtId="180" fontId="29" fillId="0" borderId="124" xfId="0" applyNumberFormat="1" applyFont="1" applyFill="1" applyBorder="1" applyAlignment="1">
      <alignment horizontal="center" vertical="center" wrapText="1"/>
    </xf>
    <xf numFmtId="180" fontId="29" fillId="0" borderId="124" xfId="0" applyNumberFormat="1" applyFont="1" applyFill="1" applyBorder="1" applyAlignment="1">
      <alignment horizontal="left" vertical="center" wrapText="1"/>
    </xf>
    <xf numFmtId="180" fontId="29" fillId="0" borderId="2" xfId="0" applyNumberFormat="1" applyFont="1" applyFill="1" applyBorder="1" applyAlignment="1">
      <alignment horizontal="left" vertical="center" wrapText="1"/>
    </xf>
    <xf numFmtId="180" fontId="29" fillId="0" borderId="7" xfId="0" applyNumberFormat="1" applyFont="1" applyFill="1" applyBorder="1" applyAlignment="1">
      <alignment horizontal="left" vertical="center" wrapText="1"/>
    </xf>
    <xf numFmtId="0" fontId="29" fillId="0" borderId="2" xfId="0" applyFont="1" applyFill="1" applyBorder="1" applyAlignment="1">
      <alignment horizontal="center" vertical="center"/>
    </xf>
    <xf numFmtId="169" fontId="29" fillId="2" borderId="124" xfId="0" applyNumberFormat="1" applyFont="1" applyFill="1" applyBorder="1" applyAlignment="1">
      <alignment horizontal="center" vertical="center" wrapText="1"/>
    </xf>
    <xf numFmtId="169" fontId="29" fillId="2" borderId="2" xfId="0" applyNumberFormat="1" applyFont="1" applyFill="1" applyBorder="1" applyAlignment="1">
      <alignment horizontal="center" vertical="center" wrapText="1"/>
    </xf>
    <xf numFmtId="169" fontId="29" fillId="2" borderId="7" xfId="0" applyNumberFormat="1" applyFont="1" applyFill="1" applyBorder="1" applyAlignment="1">
      <alignment horizontal="center" vertical="center" wrapText="1"/>
    </xf>
    <xf numFmtId="168" fontId="29" fillId="2" borderId="2" xfId="0" applyNumberFormat="1" applyFont="1" applyFill="1" applyBorder="1" applyAlignment="1">
      <alignment horizontal="center" vertical="center" wrapText="1"/>
    </xf>
    <xf numFmtId="49" fontId="29" fillId="2" borderId="124" xfId="0" applyNumberFormat="1" applyFont="1" applyFill="1" applyBorder="1" applyAlignment="1">
      <alignment horizontal="center" vertical="center" wrapText="1"/>
    </xf>
    <xf numFmtId="49" fontId="29" fillId="2" borderId="2" xfId="0" applyNumberFormat="1" applyFont="1" applyFill="1" applyBorder="1" applyAlignment="1">
      <alignment horizontal="center" vertical="center" wrapText="1"/>
    </xf>
    <xf numFmtId="0" fontId="29" fillId="2" borderId="2" xfId="0" applyFont="1" applyFill="1" applyBorder="1" applyAlignment="1">
      <alignment horizontal="left" vertical="center" wrapText="1"/>
    </xf>
    <xf numFmtId="169" fontId="30" fillId="2" borderId="2" xfId="0" applyNumberFormat="1" applyFont="1" applyFill="1" applyBorder="1" applyAlignment="1">
      <alignment horizontal="center" vertical="center" wrapText="1"/>
    </xf>
    <xf numFmtId="169" fontId="30" fillId="2" borderId="7" xfId="0" applyNumberFormat="1" applyFont="1" applyFill="1" applyBorder="1" applyAlignment="1">
      <alignment horizontal="center" vertical="center" wrapText="1"/>
    </xf>
    <xf numFmtId="168" fontId="30" fillId="2" borderId="2" xfId="0" applyNumberFormat="1" applyFont="1" applyFill="1" applyBorder="1" applyAlignment="1">
      <alignment horizontal="center" vertical="center" wrapText="1"/>
    </xf>
    <xf numFmtId="167" fontId="30" fillId="2" borderId="1" xfId="0" applyNumberFormat="1" applyFont="1" applyFill="1" applyBorder="1" applyAlignment="1">
      <alignment horizontal="center" vertical="center" wrapText="1"/>
    </xf>
    <xf numFmtId="169" fontId="30" fillId="6" borderId="4" xfId="0" applyNumberFormat="1" applyFont="1" applyFill="1" applyBorder="1" applyAlignment="1">
      <alignment horizontal="left" vertical="center"/>
    </xf>
    <xf numFmtId="169" fontId="30" fillId="6" borderId="5" xfId="0" applyNumberFormat="1" applyFont="1" applyFill="1" applyBorder="1" applyAlignment="1">
      <alignment horizontal="left" vertical="center"/>
    </xf>
    <xf numFmtId="169" fontId="30" fillId="6" borderId="6" xfId="0" applyNumberFormat="1" applyFont="1" applyFill="1" applyBorder="1" applyAlignment="1">
      <alignment horizontal="left" vertical="center"/>
    </xf>
    <xf numFmtId="0" fontId="29" fillId="0" borderId="1" xfId="0" applyFont="1" applyFill="1" applyBorder="1" applyAlignment="1">
      <alignment horizontal="center" vertical="center" wrapText="1"/>
    </xf>
    <xf numFmtId="0" fontId="30" fillId="3" borderId="10" xfId="0" applyFont="1" applyFill="1" applyBorder="1" applyAlignment="1">
      <alignment wrapText="1"/>
    </xf>
    <xf numFmtId="0" fontId="30" fillId="3" borderId="13" xfId="0" applyFont="1" applyFill="1" applyBorder="1" applyAlignment="1">
      <alignment wrapText="1"/>
    </xf>
    <xf numFmtId="167" fontId="29" fillId="2" borderId="7" xfId="1" applyNumberFormat="1" applyFont="1" applyFill="1" applyBorder="1" applyAlignment="1">
      <alignment horizontal="center" vertical="center" wrapText="1"/>
    </xf>
    <xf numFmtId="49" fontId="30" fillId="2" borderId="124" xfId="0" applyNumberFormat="1" applyFont="1" applyFill="1" applyBorder="1" applyAlignment="1">
      <alignment horizontal="center" vertical="center" wrapText="1"/>
    </xf>
    <xf numFmtId="49" fontId="30" fillId="2" borderId="7" xfId="0" applyNumberFormat="1" applyFont="1" applyFill="1" applyBorder="1" applyAlignment="1">
      <alignment horizontal="center" vertical="center" wrapText="1"/>
    </xf>
    <xf numFmtId="0" fontId="30" fillId="2" borderId="124" xfId="0" applyFont="1" applyFill="1" applyBorder="1" applyAlignment="1">
      <alignment horizontal="left" vertical="center" wrapText="1"/>
    </xf>
    <xf numFmtId="167" fontId="29" fillId="2" borderId="9" xfId="1" applyNumberFormat="1" applyFont="1" applyFill="1" applyBorder="1" applyAlignment="1">
      <alignment horizontal="center" vertical="center" wrapText="1"/>
    </xf>
    <xf numFmtId="0" fontId="30" fillId="2" borderId="124" xfId="0" applyFont="1" applyFill="1" applyBorder="1" applyAlignment="1">
      <alignment horizontal="center" vertical="center" wrapText="1"/>
    </xf>
    <xf numFmtId="0" fontId="30" fillId="2" borderId="7" xfId="0" applyFont="1" applyFill="1" applyBorder="1" applyAlignment="1">
      <alignment horizontal="center" vertical="center" wrapText="1"/>
    </xf>
    <xf numFmtId="0" fontId="30" fillId="2" borderId="2" xfId="0" applyFont="1" applyFill="1" applyBorder="1" applyAlignment="1">
      <alignment horizontal="center" vertical="center" wrapText="1"/>
    </xf>
    <xf numFmtId="167" fontId="29" fillId="2" borderId="2" xfId="1" applyNumberFormat="1" applyFont="1" applyFill="1" applyBorder="1" applyAlignment="1">
      <alignment horizontal="center" vertical="center" wrapText="1"/>
    </xf>
    <xf numFmtId="49" fontId="29" fillId="0" borderId="7" xfId="0" applyNumberFormat="1" applyFont="1" applyBorder="1" applyAlignment="1">
      <alignment horizontal="center" vertical="center" wrapText="1"/>
    </xf>
    <xf numFmtId="168" fontId="30" fillId="0" borderId="124" xfId="0" applyNumberFormat="1" applyFont="1" applyBorder="1" applyAlignment="1">
      <alignment horizontal="center" vertical="center" wrapText="1"/>
    </xf>
    <xf numFmtId="168" fontId="30" fillId="0" borderId="7" xfId="0" applyNumberFormat="1" applyFont="1" applyBorder="1" applyAlignment="1">
      <alignment horizontal="center" vertical="center" wrapText="1"/>
    </xf>
    <xf numFmtId="49" fontId="30" fillId="3" borderId="4" xfId="0" applyNumberFormat="1" applyFont="1" applyFill="1" applyBorder="1" applyAlignment="1">
      <alignment horizontal="left" vertical="center" wrapText="1"/>
    </xf>
    <xf numFmtId="49" fontId="30" fillId="3" borderId="5" xfId="0" applyNumberFormat="1" applyFont="1" applyFill="1" applyBorder="1" applyAlignment="1">
      <alignment horizontal="left" vertical="center" wrapText="1"/>
    </xf>
    <xf numFmtId="169" fontId="37" fillId="4" borderId="1" xfId="0" applyNumberFormat="1" applyFont="1" applyFill="1" applyBorder="1" applyAlignment="1">
      <alignment horizontal="center" vertical="center"/>
    </xf>
    <xf numFmtId="168" fontId="37" fillId="4" borderId="124" xfId="0" applyNumberFormat="1" applyFont="1" applyFill="1" applyBorder="1" applyAlignment="1">
      <alignment horizontal="center" vertical="center"/>
    </xf>
    <xf numFmtId="168" fontId="37" fillId="4" borderId="7" xfId="0" applyNumberFormat="1" applyFont="1" applyFill="1" applyBorder="1" applyAlignment="1">
      <alignment horizontal="center" vertical="center"/>
    </xf>
    <xf numFmtId="49" fontId="37" fillId="4" borderId="1" xfId="0" applyNumberFormat="1" applyFont="1" applyFill="1" applyBorder="1" applyAlignment="1">
      <alignment horizontal="center" vertical="center"/>
    </xf>
    <xf numFmtId="0" fontId="29" fillId="2" borderId="2" xfId="0" applyFont="1" applyFill="1" applyBorder="1" applyAlignment="1">
      <alignment vertical="center" wrapText="1"/>
    </xf>
    <xf numFmtId="169" fontId="37" fillId="4" borderId="124" xfId="0" applyNumberFormat="1" applyFont="1" applyFill="1" applyBorder="1" applyAlignment="1">
      <alignment horizontal="center" vertical="center"/>
    </xf>
    <xf numFmtId="169" fontId="37" fillId="4" borderId="2" xfId="0" applyNumberFormat="1" applyFont="1" applyFill="1" applyBorder="1" applyAlignment="1">
      <alignment horizontal="center" vertical="center"/>
    </xf>
    <xf numFmtId="169" fontId="37" fillId="4" borderId="7" xfId="0" applyNumberFormat="1" applyFont="1" applyFill="1" applyBorder="1" applyAlignment="1">
      <alignment horizontal="center" vertical="center"/>
    </xf>
    <xf numFmtId="49" fontId="37" fillId="4" borderId="124" xfId="0" applyNumberFormat="1" applyFont="1" applyFill="1" applyBorder="1" applyAlignment="1">
      <alignment horizontal="center" vertical="center"/>
    </xf>
    <xf numFmtId="49" fontId="37" fillId="4" borderId="2" xfId="0" applyNumberFormat="1" applyFont="1" applyFill="1" applyBorder="1" applyAlignment="1">
      <alignment horizontal="center" vertical="center"/>
    </xf>
    <xf numFmtId="49" fontId="37" fillId="4" borderId="7" xfId="0" applyNumberFormat="1" applyFont="1" applyFill="1" applyBorder="1" applyAlignment="1">
      <alignment horizontal="center" vertical="center"/>
    </xf>
    <xf numFmtId="167" fontId="37" fillId="0" borderId="124" xfId="0" applyNumberFormat="1" applyFont="1" applyFill="1" applyBorder="1" applyAlignment="1">
      <alignment horizontal="center" vertical="center" wrapText="1"/>
    </xf>
    <xf numFmtId="167" fontId="37" fillId="0" borderId="7" xfId="0" applyNumberFormat="1" applyFont="1" applyFill="1" applyBorder="1" applyAlignment="1">
      <alignment horizontal="center" vertical="center" wrapText="1"/>
    </xf>
    <xf numFmtId="168" fontId="37" fillId="4" borderId="2" xfId="0" applyNumberFormat="1" applyFont="1" applyFill="1" applyBorder="1" applyAlignment="1">
      <alignment horizontal="center" vertical="center"/>
    </xf>
    <xf numFmtId="167" fontId="37" fillId="0" borderId="1" xfId="0" applyNumberFormat="1" applyFont="1" applyFill="1" applyBorder="1" applyAlignment="1">
      <alignment horizontal="center" vertical="center" wrapText="1"/>
    </xf>
    <xf numFmtId="169" fontId="38" fillId="4" borderId="1" xfId="0" applyNumberFormat="1" applyFont="1" applyFill="1" applyBorder="1" applyAlignment="1">
      <alignment horizontal="center" vertical="center"/>
    </xf>
    <xf numFmtId="168" fontId="38" fillId="4" borderId="124" xfId="0" applyNumberFormat="1" applyFont="1" applyFill="1" applyBorder="1" applyAlignment="1">
      <alignment horizontal="center" vertical="center"/>
    </xf>
    <xf numFmtId="168" fontId="38" fillId="4" borderId="2" xfId="0" applyNumberFormat="1" applyFont="1" applyFill="1" applyBorder="1" applyAlignment="1">
      <alignment horizontal="center" vertical="center"/>
    </xf>
    <xf numFmtId="168" fontId="38" fillId="4" borderId="7" xfId="0" applyNumberFormat="1" applyFont="1" applyFill="1" applyBorder="1" applyAlignment="1">
      <alignment horizontal="center" vertical="center"/>
    </xf>
    <xf numFmtId="167" fontId="38" fillId="0" borderId="1" xfId="0" applyNumberFormat="1" applyFont="1" applyFill="1" applyBorder="1" applyAlignment="1">
      <alignment horizontal="center" vertical="center" wrapText="1"/>
    </xf>
    <xf numFmtId="167" fontId="30" fillId="0" borderId="1" xfId="0" applyNumberFormat="1" applyFont="1" applyFill="1" applyBorder="1" applyAlignment="1">
      <alignment horizontal="center" vertical="center" wrapText="1"/>
    </xf>
    <xf numFmtId="167" fontId="29" fillId="3" borderId="1" xfId="0" applyNumberFormat="1" applyFont="1" applyFill="1" applyBorder="1" applyAlignment="1">
      <alignment horizontal="center"/>
    </xf>
    <xf numFmtId="167" fontId="29" fillId="2" borderId="124" xfId="0" applyNumberFormat="1" applyFont="1" applyFill="1" applyBorder="1" applyAlignment="1">
      <alignment horizontal="left" vertical="center" wrapText="1"/>
    </xf>
    <xf numFmtId="167" fontId="29" fillId="2" borderId="2" xfId="0" applyNumberFormat="1" applyFont="1" applyFill="1" applyBorder="1" applyAlignment="1">
      <alignment horizontal="left" vertical="center" wrapText="1"/>
    </xf>
    <xf numFmtId="169" fontId="38" fillId="4" borderId="124" xfId="0" applyNumberFormat="1" applyFont="1" applyFill="1" applyBorder="1" applyAlignment="1">
      <alignment horizontal="center" vertical="center"/>
    </xf>
    <xf numFmtId="169" fontId="38" fillId="4" borderId="2" xfId="0" applyNumberFormat="1" applyFont="1" applyFill="1" applyBorder="1" applyAlignment="1">
      <alignment horizontal="center" vertical="center"/>
    </xf>
    <xf numFmtId="169" fontId="38" fillId="4" borderId="7" xfId="0" applyNumberFormat="1" applyFont="1" applyFill="1" applyBorder="1" applyAlignment="1">
      <alignment horizontal="center" vertical="center"/>
    </xf>
    <xf numFmtId="167" fontId="38" fillId="0" borderId="124" xfId="0" applyNumberFormat="1" applyFont="1" applyFill="1" applyBorder="1" applyAlignment="1">
      <alignment horizontal="center" vertical="center" wrapText="1"/>
    </xf>
    <xf numFmtId="167" fontId="38" fillId="0" borderId="2" xfId="0" applyNumberFormat="1" applyFont="1" applyFill="1" applyBorder="1" applyAlignment="1">
      <alignment horizontal="center" vertical="center" wrapText="1"/>
    </xf>
    <xf numFmtId="167" fontId="38" fillId="0" borderId="7" xfId="0" applyNumberFormat="1" applyFont="1" applyFill="1" applyBorder="1" applyAlignment="1">
      <alignment horizontal="center" vertical="center" wrapText="1"/>
    </xf>
    <xf numFmtId="167" fontId="30" fillId="0" borderId="124" xfId="0" applyNumberFormat="1" applyFont="1" applyFill="1" applyBorder="1" applyAlignment="1">
      <alignment horizontal="center" vertical="center" wrapText="1"/>
    </xf>
    <xf numFmtId="167" fontId="30" fillId="0" borderId="2" xfId="0" applyNumberFormat="1" applyFont="1" applyFill="1" applyBorder="1" applyAlignment="1">
      <alignment horizontal="center" vertical="center" wrapText="1"/>
    </xf>
    <xf numFmtId="167" fontId="30" fillId="0" borderId="7" xfId="0" applyNumberFormat="1" applyFont="1" applyFill="1" applyBorder="1" applyAlignment="1">
      <alignment horizontal="center" vertical="center" wrapText="1"/>
    </xf>
    <xf numFmtId="0" fontId="29" fillId="3" borderId="1" xfId="0" applyFont="1" applyFill="1" applyBorder="1" applyAlignment="1">
      <alignment vertical="center" wrapText="1"/>
    </xf>
    <xf numFmtId="0" fontId="30" fillId="3" borderId="5" xfId="0" applyFont="1" applyFill="1" applyBorder="1" applyAlignment="1">
      <alignment vertical="center"/>
    </xf>
    <xf numFmtId="0" fontId="30" fillId="3" borderId="6" xfId="0" applyFont="1" applyFill="1" applyBorder="1" applyAlignment="1">
      <alignment vertical="center"/>
    </xf>
    <xf numFmtId="167" fontId="30" fillId="3" borderId="4" xfId="0" applyNumberFormat="1" applyFont="1" applyFill="1" applyBorder="1" applyAlignment="1">
      <alignment horizontal="center"/>
    </xf>
    <xf numFmtId="167" fontId="30" fillId="3" borderId="5" xfId="0" applyNumberFormat="1" applyFont="1" applyFill="1" applyBorder="1" applyAlignment="1">
      <alignment horizontal="center"/>
    </xf>
    <xf numFmtId="167" fontId="30" fillId="3" borderId="6" xfId="0" applyNumberFormat="1" applyFont="1" applyFill="1" applyBorder="1" applyAlignment="1">
      <alignment horizontal="center"/>
    </xf>
    <xf numFmtId="169" fontId="30" fillId="0" borderId="1" xfId="0" applyNumberFormat="1" applyFont="1" applyBorder="1" applyAlignment="1">
      <alignment horizontal="center" vertical="center"/>
    </xf>
    <xf numFmtId="168" fontId="30" fillId="0" borderId="2" xfId="0" applyNumberFormat="1" applyFont="1" applyBorder="1" applyAlignment="1">
      <alignment horizontal="center" vertical="center"/>
    </xf>
    <xf numFmtId="0" fontId="29" fillId="2" borderId="1" xfId="0" applyFont="1" applyFill="1" applyBorder="1" applyAlignment="1">
      <alignment horizontal="center" vertical="center"/>
    </xf>
    <xf numFmtId="168" fontId="36" fillId="2" borderId="124" xfId="0" applyNumberFormat="1" applyFont="1" applyFill="1" applyBorder="1" applyAlignment="1">
      <alignment horizontal="center" vertical="center"/>
    </xf>
    <xf numFmtId="168" fontId="36" fillId="2" borderId="7" xfId="0" applyNumberFormat="1" applyFont="1" applyFill="1" applyBorder="1" applyAlignment="1">
      <alignment horizontal="center" vertical="center"/>
    </xf>
    <xf numFmtId="167" fontId="34" fillId="0" borderId="124" xfId="0" applyNumberFormat="1" applyFont="1" applyFill="1" applyBorder="1" applyAlignment="1">
      <alignment horizontal="center" vertical="center" wrapText="1"/>
    </xf>
    <xf numFmtId="167" fontId="34" fillId="0" borderId="7" xfId="0" applyNumberFormat="1" applyFont="1" applyFill="1" applyBorder="1" applyAlignment="1">
      <alignment horizontal="center" vertical="center" wrapText="1"/>
    </xf>
    <xf numFmtId="168" fontId="36" fillId="2" borderId="2" xfId="0" applyNumberFormat="1" applyFont="1" applyFill="1" applyBorder="1" applyAlignment="1">
      <alignment horizontal="center" vertical="center"/>
    </xf>
    <xf numFmtId="49" fontId="34" fillId="2" borderId="2" xfId="0" applyNumberFormat="1" applyFont="1" applyFill="1" applyBorder="1" applyAlignment="1">
      <alignment horizontal="center" vertical="center"/>
    </xf>
    <xf numFmtId="169" fontId="36" fillId="2" borderId="124" xfId="0" applyNumberFormat="1" applyFont="1" applyFill="1" applyBorder="1" applyAlignment="1">
      <alignment horizontal="center" vertical="center"/>
    </xf>
    <xf numFmtId="169" fontId="36" fillId="2" borderId="2" xfId="0" applyNumberFormat="1" applyFont="1" applyFill="1" applyBorder="1" applyAlignment="1">
      <alignment horizontal="center" vertical="center"/>
    </xf>
    <xf numFmtId="49" fontId="34" fillId="2" borderId="124" xfId="0" applyNumberFormat="1" applyFont="1" applyFill="1" applyBorder="1" applyAlignment="1">
      <alignment vertical="center"/>
    </xf>
    <xf numFmtId="49" fontId="34" fillId="2" borderId="2" xfId="0" applyNumberFormat="1" applyFont="1" applyFill="1" applyBorder="1" applyAlignment="1">
      <alignment vertical="center"/>
    </xf>
    <xf numFmtId="167" fontId="36" fillId="2" borderId="1" xfId="0" applyNumberFormat="1" applyFont="1" applyFill="1" applyBorder="1" applyAlignment="1">
      <alignment horizontal="center" vertical="center" wrapText="1"/>
    </xf>
    <xf numFmtId="167" fontId="36" fillId="2" borderId="124" xfId="0" applyNumberFormat="1" applyFont="1" applyFill="1" applyBorder="1" applyAlignment="1">
      <alignment horizontal="center" vertical="center" wrapText="1"/>
    </xf>
    <xf numFmtId="0" fontId="29" fillId="0" borderId="7" xfId="0" applyFont="1" applyBorder="1" applyAlignment="1">
      <alignment horizontal="center"/>
    </xf>
    <xf numFmtId="169" fontId="36" fillId="2" borderId="7" xfId="0" applyNumberFormat="1" applyFont="1" applyFill="1" applyBorder="1" applyAlignment="1">
      <alignment horizontal="center" vertical="center"/>
    </xf>
    <xf numFmtId="49" fontId="34" fillId="2" borderId="7" xfId="0" applyNumberFormat="1" applyFont="1" applyFill="1" applyBorder="1" applyAlignment="1">
      <alignment vertical="center"/>
    </xf>
    <xf numFmtId="167" fontId="29" fillId="3" borderId="4" xfId="0" applyNumberFormat="1" applyFont="1" applyFill="1" applyBorder="1" applyAlignment="1">
      <alignment horizontal="center"/>
    </xf>
    <xf numFmtId="167" fontId="29" fillId="3" borderId="5" xfId="0" applyNumberFormat="1" applyFont="1" applyFill="1" applyBorder="1" applyAlignment="1">
      <alignment horizontal="center"/>
    </xf>
    <xf numFmtId="167" fontId="29" fillId="3" borderId="6" xfId="0" applyNumberFormat="1" applyFont="1" applyFill="1" applyBorder="1" applyAlignment="1">
      <alignment horizontal="center"/>
    </xf>
    <xf numFmtId="168" fontId="36" fillId="0" borderId="124" xfId="0" applyNumberFormat="1" applyFont="1" applyBorder="1" applyAlignment="1">
      <alignment horizontal="center" vertical="center"/>
    </xf>
    <xf numFmtId="168" fontId="36" fillId="0" borderId="7" xfId="0" applyNumberFormat="1" applyFont="1" applyBorder="1" applyAlignment="1">
      <alignment horizontal="center" vertical="center"/>
    </xf>
    <xf numFmtId="169" fontId="34" fillId="0" borderId="124" xfId="0" applyNumberFormat="1" applyFont="1" applyBorder="1" applyAlignment="1">
      <alignment horizontal="center" vertical="center"/>
    </xf>
    <xf numFmtId="169" fontId="34" fillId="0" borderId="7" xfId="0" applyNumberFormat="1" applyFont="1" applyBorder="1" applyAlignment="1">
      <alignment horizontal="center" vertical="center"/>
    </xf>
    <xf numFmtId="49" fontId="30" fillId="0" borderId="124" xfId="0" applyNumberFormat="1" applyFont="1" applyFill="1" applyBorder="1" applyAlignment="1">
      <alignment horizontal="center" vertical="center"/>
    </xf>
    <xf numFmtId="49" fontId="30" fillId="0" borderId="2" xfId="0" applyNumberFormat="1" applyFont="1" applyFill="1" applyBorder="1" applyAlignment="1">
      <alignment horizontal="center" vertical="center"/>
    </xf>
    <xf numFmtId="49" fontId="30" fillId="0" borderId="7" xfId="0" applyNumberFormat="1" applyFont="1" applyFill="1" applyBorder="1" applyAlignment="1">
      <alignment horizontal="center" vertical="center"/>
    </xf>
    <xf numFmtId="0" fontId="29" fillId="0" borderId="124" xfId="0" applyFont="1" applyFill="1" applyBorder="1" applyAlignment="1">
      <alignment vertical="center" wrapText="1"/>
    </xf>
    <xf numFmtId="0" fontId="29" fillId="0" borderId="2" xfId="0" applyFont="1" applyFill="1" applyBorder="1" applyAlignment="1">
      <alignment vertical="center" wrapText="1"/>
    </xf>
    <xf numFmtId="0" fontId="29" fillId="0" borderId="7" xfId="0" applyFont="1" applyFill="1" applyBorder="1" applyAlignment="1">
      <alignment vertical="center" wrapText="1"/>
    </xf>
    <xf numFmtId="0" fontId="34" fillId="2" borderId="2" xfId="0" applyFont="1" applyFill="1" applyBorder="1" applyAlignment="1">
      <alignment horizontal="center" vertical="center" wrapText="1"/>
    </xf>
    <xf numFmtId="49" fontId="29" fillId="0" borderId="2" xfId="0" applyNumberFormat="1" applyFont="1" applyFill="1" applyBorder="1" applyAlignment="1">
      <alignment vertical="center"/>
    </xf>
    <xf numFmtId="0" fontId="29" fillId="2" borderId="2" xfId="0" applyFont="1" applyFill="1" applyBorder="1" applyAlignment="1">
      <alignment horizontal="center" vertical="center" wrapText="1"/>
    </xf>
    <xf numFmtId="0" fontId="34" fillId="2" borderId="124" xfId="0" applyFont="1" applyFill="1" applyBorder="1" applyAlignment="1">
      <alignment horizontal="center" vertical="center"/>
    </xf>
    <xf numFmtId="0" fontId="34" fillId="2" borderId="2" xfId="0" applyFont="1" applyFill="1" applyBorder="1" applyAlignment="1">
      <alignment horizontal="center" vertical="center"/>
    </xf>
    <xf numFmtId="0" fontId="34" fillId="2" borderId="7" xfId="0" applyFont="1" applyFill="1" applyBorder="1" applyAlignment="1">
      <alignment horizontal="center" vertical="center"/>
    </xf>
    <xf numFmtId="166" fontId="34" fillId="2" borderId="124" xfId="0" applyNumberFormat="1" applyFont="1" applyFill="1" applyBorder="1" applyAlignment="1">
      <alignment horizontal="center" vertical="center" wrapText="1"/>
    </xf>
    <xf numFmtId="166" fontId="34" fillId="2" borderId="2" xfId="0" applyNumberFormat="1" applyFont="1" applyFill="1" applyBorder="1" applyAlignment="1">
      <alignment horizontal="center" vertical="center" wrapText="1"/>
    </xf>
    <xf numFmtId="166" fontId="34" fillId="2" borderId="7" xfId="0" applyNumberFormat="1" applyFont="1" applyFill="1" applyBorder="1" applyAlignment="1">
      <alignment horizontal="center" vertical="center" wrapText="1"/>
    </xf>
    <xf numFmtId="168" fontId="29" fillId="0" borderId="1" xfId="0" applyNumberFormat="1" applyFont="1" applyFill="1" applyBorder="1" applyAlignment="1">
      <alignment horizontal="center" vertical="center"/>
    </xf>
    <xf numFmtId="0" fontId="34" fillId="2" borderId="1" xfId="0" applyFont="1" applyFill="1" applyBorder="1" applyAlignment="1">
      <alignment horizontal="center" vertical="center" wrapText="1"/>
    </xf>
    <xf numFmtId="49" fontId="29" fillId="0" borderId="124" xfId="0" applyNumberFormat="1" applyFont="1" applyFill="1" applyBorder="1" applyAlignment="1">
      <alignment horizontal="left" vertical="center" wrapText="1"/>
    </xf>
    <xf numFmtId="49" fontId="29" fillId="0" borderId="2" xfId="0" applyNumberFormat="1" applyFont="1" applyFill="1" applyBorder="1" applyAlignment="1">
      <alignment horizontal="left" vertical="center" wrapText="1"/>
    </xf>
    <xf numFmtId="49" fontId="29" fillId="0" borderId="7" xfId="0" applyNumberFormat="1" applyFont="1" applyFill="1" applyBorder="1" applyAlignment="1">
      <alignment horizontal="left" vertical="center" wrapText="1"/>
    </xf>
    <xf numFmtId="49" fontId="29" fillId="2" borderId="1" xfId="0" applyNumberFormat="1" applyFont="1" applyFill="1" applyBorder="1" applyAlignment="1">
      <alignment horizontal="left" vertical="center" wrapText="1"/>
    </xf>
    <xf numFmtId="0" fontId="30" fillId="0" borderId="2" xfId="0" applyFont="1" applyFill="1" applyBorder="1" applyAlignment="1">
      <alignment horizontal="left" vertical="center" wrapText="1"/>
    </xf>
    <xf numFmtId="167" fontId="30" fillId="0" borderId="2" xfId="0" applyNumberFormat="1" applyFont="1" applyFill="1" applyBorder="1" applyAlignment="1">
      <alignment horizontal="center" vertical="center"/>
    </xf>
    <xf numFmtId="168" fontId="30" fillId="3" borderId="4" xfId="0" applyNumberFormat="1" applyFont="1" applyFill="1" applyBorder="1" applyAlignment="1">
      <alignment horizontal="left" vertical="top" wrapText="1"/>
    </xf>
    <xf numFmtId="168" fontId="30" fillId="3" borderId="5" xfId="0" applyNumberFormat="1" applyFont="1" applyFill="1" applyBorder="1" applyAlignment="1">
      <alignment horizontal="left" vertical="top" wrapText="1"/>
    </xf>
    <xf numFmtId="169" fontId="29" fillId="0" borderId="124" xfId="0" applyNumberFormat="1" applyFont="1" applyBorder="1" applyAlignment="1">
      <alignment horizontal="center" vertical="center" wrapText="1"/>
    </xf>
    <xf numFmtId="168" fontId="29" fillId="0" borderId="124" xfId="0" applyNumberFormat="1" applyFont="1" applyBorder="1" applyAlignment="1">
      <alignment horizontal="center" vertical="center" wrapText="1"/>
    </xf>
    <xf numFmtId="168" fontId="29" fillId="0" borderId="7" xfId="0" applyNumberFormat="1" applyFont="1" applyBorder="1" applyAlignment="1">
      <alignment horizontal="center" vertical="center" wrapText="1"/>
    </xf>
    <xf numFmtId="49" fontId="29" fillId="0" borderId="124" xfId="0" applyNumberFormat="1" applyFont="1" applyBorder="1" applyAlignment="1">
      <alignment horizontal="center" vertical="center" wrapText="1"/>
    </xf>
    <xf numFmtId="0" fontId="29" fillId="0" borderId="124" xfId="0" applyFont="1" applyBorder="1" applyAlignment="1">
      <alignment horizontal="center" vertical="center"/>
    </xf>
    <xf numFmtId="171" fontId="29" fillId="0" borderId="124" xfId="37" applyNumberFormat="1" applyFont="1" applyBorder="1" applyAlignment="1">
      <alignment horizontal="center" vertical="center"/>
    </xf>
    <xf numFmtId="171" fontId="29" fillId="0" borderId="7" xfId="37" applyNumberFormat="1" applyFont="1" applyBorder="1" applyAlignment="1">
      <alignment horizontal="center" vertical="center"/>
    </xf>
    <xf numFmtId="0" fontId="29" fillId="0" borderId="124" xfId="0" applyFont="1" applyFill="1" applyBorder="1" applyAlignment="1">
      <alignment horizontal="right" vertical="center"/>
    </xf>
    <xf numFmtId="0" fontId="29" fillId="0" borderId="2" xfId="0" applyFont="1" applyFill="1" applyBorder="1" applyAlignment="1">
      <alignment horizontal="right" vertical="center"/>
    </xf>
    <xf numFmtId="0" fontId="29" fillId="0" borderId="7" xfId="0" applyFont="1" applyFill="1" applyBorder="1" applyAlignment="1">
      <alignment horizontal="right" vertical="center"/>
    </xf>
    <xf numFmtId="174" fontId="29" fillId="0" borderId="124" xfId="37" applyNumberFormat="1" applyFont="1" applyFill="1" applyBorder="1" applyAlignment="1">
      <alignment horizontal="center" vertical="center"/>
    </xf>
    <xf numFmtId="174" fontId="29" fillId="0" borderId="2" xfId="37" applyNumberFormat="1" applyFont="1" applyFill="1" applyBorder="1" applyAlignment="1">
      <alignment horizontal="center" vertical="center"/>
    </xf>
    <xf numFmtId="174" fontId="29" fillId="0" borderId="7" xfId="37" applyNumberFormat="1" applyFont="1" applyFill="1" applyBorder="1" applyAlignment="1">
      <alignment horizontal="center" vertical="center"/>
    </xf>
    <xf numFmtId="174" fontId="29" fillId="0" borderId="124" xfId="37" applyNumberFormat="1" applyFont="1" applyFill="1" applyBorder="1" applyAlignment="1">
      <alignment horizontal="center" vertical="center" wrapText="1"/>
    </xf>
    <xf numFmtId="174" fontId="29" fillId="0" borderId="7" xfId="37" applyNumberFormat="1" applyFont="1" applyFill="1" applyBorder="1" applyAlignment="1">
      <alignment horizontal="center" vertical="center" wrapText="1"/>
    </xf>
    <xf numFmtId="171" fontId="29" fillId="0" borderId="124" xfId="0" applyNumberFormat="1" applyFont="1" applyFill="1" applyBorder="1" applyAlignment="1">
      <alignment horizontal="center" vertical="center"/>
    </xf>
    <xf numFmtId="171" fontId="29" fillId="0" borderId="2" xfId="0" applyNumberFormat="1" applyFont="1" applyFill="1" applyBorder="1" applyAlignment="1">
      <alignment horizontal="center" vertical="center"/>
    </xf>
    <xf numFmtId="171" fontId="29" fillId="0" borderId="7" xfId="0" applyNumberFormat="1" applyFont="1" applyFill="1" applyBorder="1" applyAlignment="1">
      <alignment horizontal="center" vertical="center"/>
    </xf>
    <xf numFmtId="0" fontId="29" fillId="2" borderId="1" xfId="0" applyNumberFormat="1" applyFont="1" applyFill="1" applyBorder="1" applyAlignment="1">
      <alignment horizontal="left" vertical="center" wrapText="1"/>
    </xf>
    <xf numFmtId="171" fontId="29" fillId="0" borderId="124" xfId="37" applyNumberFormat="1" applyFont="1" applyFill="1" applyBorder="1" applyAlignment="1">
      <alignment horizontal="center" vertical="center" wrapText="1"/>
    </xf>
    <xf numFmtId="171" fontId="29" fillId="0" borderId="2" xfId="37" applyNumberFormat="1" applyFont="1" applyFill="1" applyBorder="1" applyAlignment="1">
      <alignment horizontal="center" vertical="center" wrapText="1"/>
    </xf>
    <xf numFmtId="171" fontId="29" fillId="0" borderId="7" xfId="37" applyNumberFormat="1" applyFont="1" applyFill="1" applyBorder="1" applyAlignment="1">
      <alignment horizontal="center" vertical="center" wrapText="1"/>
    </xf>
    <xf numFmtId="174" fontId="29" fillId="0" borderId="124" xfId="0" applyNumberFormat="1" applyFont="1" applyFill="1" applyBorder="1" applyAlignment="1">
      <alignment horizontal="center" vertical="center"/>
    </xf>
    <xf numFmtId="174" fontId="29" fillId="0" borderId="2" xfId="0" applyNumberFormat="1" applyFont="1" applyFill="1" applyBorder="1" applyAlignment="1">
      <alignment horizontal="center" vertical="center"/>
    </xf>
    <xf numFmtId="174" fontId="29" fillId="0" borderId="7" xfId="0" applyNumberFormat="1" applyFont="1" applyFill="1" applyBorder="1" applyAlignment="1">
      <alignment horizontal="center" vertical="center"/>
    </xf>
    <xf numFmtId="174" fontId="29" fillId="0" borderId="2" xfId="37" applyNumberFormat="1" applyFont="1" applyFill="1" applyBorder="1" applyAlignment="1">
      <alignment horizontal="center" vertical="center" wrapText="1"/>
    </xf>
    <xf numFmtId="174" fontId="29" fillId="0" borderId="1" xfId="37" applyNumberFormat="1" applyFont="1" applyFill="1" applyBorder="1" applyAlignment="1">
      <alignment horizontal="center" vertical="center" wrapText="1"/>
    </xf>
    <xf numFmtId="168" fontId="30" fillId="4" borderId="124" xfId="0" applyNumberFormat="1" applyFont="1" applyFill="1" applyBorder="1" applyAlignment="1">
      <alignment horizontal="center" vertical="center"/>
    </xf>
    <xf numFmtId="168" fontId="30" fillId="4" borderId="7" xfId="0" applyNumberFormat="1" applyFont="1" applyFill="1" applyBorder="1" applyAlignment="1">
      <alignment horizontal="center" vertical="center"/>
    </xf>
    <xf numFmtId="171" fontId="37" fillId="0" borderId="124" xfId="8" applyNumberFormat="1" applyFont="1" applyBorder="1" applyAlignment="1">
      <alignment horizontal="center" vertical="center" wrapText="1"/>
    </xf>
    <xf numFmtId="171" fontId="37" fillId="0" borderId="2" xfId="8" applyNumberFormat="1" applyFont="1" applyBorder="1" applyAlignment="1">
      <alignment horizontal="center" vertical="center" wrapText="1"/>
    </xf>
    <xf numFmtId="171" fontId="37" fillId="0" borderId="7" xfId="8" applyNumberFormat="1" applyFont="1" applyBorder="1" applyAlignment="1">
      <alignment horizontal="center" vertical="center" wrapText="1"/>
    </xf>
    <xf numFmtId="0" fontId="29" fillId="3" borderId="4" xfId="0" applyFont="1" applyFill="1" applyBorder="1" applyAlignment="1">
      <alignment horizontal="center"/>
    </xf>
    <xf numFmtId="0" fontId="29" fillId="3" borderId="5" xfId="0" applyFont="1" applyFill="1" applyBorder="1" applyAlignment="1">
      <alignment horizontal="center"/>
    </xf>
    <xf numFmtId="0" fontId="29" fillId="3" borderId="6" xfId="0" applyFont="1" applyFill="1" applyBorder="1" applyAlignment="1">
      <alignment horizontal="center"/>
    </xf>
    <xf numFmtId="167" fontId="30" fillId="0" borderId="125" xfId="1" applyNumberFormat="1" applyFont="1" applyFill="1" applyBorder="1" applyAlignment="1">
      <alignment horizontal="center" vertical="center" wrapText="1"/>
    </xf>
    <xf numFmtId="167" fontId="30" fillId="0" borderId="9" xfId="1" applyNumberFormat="1" applyFont="1" applyFill="1" applyBorder="1" applyAlignment="1">
      <alignment horizontal="center" vertical="center" wrapText="1"/>
    </xf>
    <xf numFmtId="169" fontId="30" fillId="0" borderId="31" xfId="0" applyNumberFormat="1" applyFont="1" applyFill="1" applyBorder="1" applyAlignment="1">
      <alignment horizontal="center" vertical="center"/>
    </xf>
    <xf numFmtId="0" fontId="30" fillId="6" borderId="31" xfId="0" applyFont="1" applyFill="1" applyBorder="1" applyAlignment="1">
      <alignment horizontal="left" vertical="center" wrapText="1"/>
    </xf>
    <xf numFmtId="0" fontId="34" fillId="0" borderId="1" xfId="0" applyFont="1" applyBorder="1" applyAlignment="1">
      <alignment horizontal="center" vertical="center"/>
    </xf>
    <xf numFmtId="168" fontId="30" fillId="0" borderId="124" xfId="0" applyNumberFormat="1" applyFont="1" applyFill="1" applyBorder="1" applyAlignment="1">
      <alignment horizontal="center" vertical="top"/>
    </xf>
    <xf numFmtId="168" fontId="30" fillId="0" borderId="2" xfId="0" applyNumberFormat="1" applyFont="1" applyFill="1" applyBorder="1" applyAlignment="1">
      <alignment horizontal="center" vertical="top"/>
    </xf>
    <xf numFmtId="168" fontId="30" fillId="0" borderId="7" xfId="0" applyNumberFormat="1" applyFont="1" applyFill="1" applyBorder="1" applyAlignment="1">
      <alignment horizontal="center" vertical="top"/>
    </xf>
    <xf numFmtId="169" fontId="30" fillId="0" borderId="124" xfId="0" applyNumberFormat="1" applyFont="1" applyFill="1" applyBorder="1" applyAlignment="1">
      <alignment horizontal="center" vertical="top"/>
    </xf>
    <xf numFmtId="169" fontId="30" fillId="0" borderId="2" xfId="0" applyNumberFormat="1" applyFont="1" applyFill="1" applyBorder="1" applyAlignment="1">
      <alignment horizontal="center" vertical="top"/>
    </xf>
    <xf numFmtId="169" fontId="30" fillId="0" borderId="7" xfId="0" applyNumberFormat="1" applyFont="1" applyFill="1" applyBorder="1" applyAlignment="1">
      <alignment horizontal="center" vertical="top"/>
    </xf>
    <xf numFmtId="169" fontId="30" fillId="0" borderId="1" xfId="0" applyNumberFormat="1" applyFont="1" applyFill="1" applyBorder="1" applyAlignment="1">
      <alignment horizontal="center" vertical="top"/>
    </xf>
    <xf numFmtId="0" fontId="29" fillId="0" borderId="124" xfId="0" applyFont="1" applyFill="1" applyBorder="1" applyAlignment="1">
      <alignment horizontal="center" vertical="top" wrapText="1"/>
    </xf>
    <xf numFmtId="0" fontId="29" fillId="0" borderId="7" xfId="0" applyFont="1" applyFill="1" applyBorder="1" applyAlignment="1">
      <alignment horizontal="center" vertical="top" wrapText="1"/>
    </xf>
    <xf numFmtId="0" fontId="29" fillId="0" borderId="124" xfId="0" applyFont="1" applyFill="1" applyBorder="1" applyAlignment="1">
      <alignment horizontal="left" vertical="top" wrapText="1"/>
    </xf>
    <xf numFmtId="0" fontId="29" fillId="0" borderId="7" xfId="0" applyFont="1" applyFill="1" applyBorder="1" applyAlignment="1">
      <alignment horizontal="left" vertical="top" wrapText="1"/>
    </xf>
    <xf numFmtId="49" fontId="29" fillId="4" borderId="124" xfId="0" applyNumberFormat="1" applyFont="1" applyFill="1" applyBorder="1" applyAlignment="1">
      <alignment horizontal="center" vertical="center"/>
    </xf>
    <xf numFmtId="49" fontId="29" fillId="4" borderId="7" xfId="0" applyNumberFormat="1" applyFont="1" applyFill="1" applyBorder="1" applyAlignment="1">
      <alignment horizontal="center" vertical="center"/>
    </xf>
    <xf numFmtId="169" fontId="30" fillId="4" borderId="124" xfId="0" applyNumberFormat="1" applyFont="1" applyFill="1" applyBorder="1" applyAlignment="1">
      <alignment horizontal="center" vertical="center"/>
    </xf>
    <xf numFmtId="169" fontId="30" fillId="4" borderId="7" xfId="0" applyNumberFormat="1" applyFont="1" applyFill="1" applyBorder="1" applyAlignment="1">
      <alignment horizontal="center" vertical="center"/>
    </xf>
    <xf numFmtId="0" fontId="29" fillId="0" borderId="2" xfId="0" applyFont="1" applyFill="1" applyBorder="1" applyAlignment="1">
      <alignment horizontal="center" vertical="top" wrapText="1"/>
    </xf>
    <xf numFmtId="49" fontId="30" fillId="6" borderId="4" xfId="0" applyNumberFormat="1" applyFont="1" applyFill="1" applyBorder="1" applyAlignment="1">
      <alignment horizontal="left"/>
    </xf>
    <xf numFmtId="49" fontId="30" fillId="6" borderId="5" xfId="0" applyNumberFormat="1" applyFont="1" applyFill="1" applyBorder="1" applyAlignment="1">
      <alignment horizontal="left"/>
    </xf>
    <xf numFmtId="167" fontId="29" fillId="0" borderId="29" xfId="1" applyNumberFormat="1" applyFont="1" applyFill="1" applyBorder="1" applyAlignment="1">
      <alignment horizontal="center" vertical="center" wrapText="1"/>
    </xf>
    <xf numFmtId="0" fontId="30" fillId="2" borderId="1" xfId="3" applyFont="1" applyFill="1" applyBorder="1" applyAlignment="1">
      <alignment horizontal="left" vertical="center" wrapText="1"/>
    </xf>
    <xf numFmtId="0" fontId="29" fillId="4" borderId="124" xfId="0" applyFont="1" applyFill="1" applyBorder="1" applyAlignment="1">
      <alignment horizontal="center" vertical="center" wrapText="1"/>
    </xf>
    <xf numFmtId="0" fontId="29" fillId="4" borderId="7" xfId="0" applyFont="1" applyFill="1" applyBorder="1" applyAlignment="1">
      <alignment horizontal="center" vertical="center" wrapText="1"/>
    </xf>
    <xf numFmtId="0" fontId="29" fillId="2" borderId="1" xfId="4" applyFont="1" applyFill="1" applyBorder="1" applyAlignment="1">
      <alignment horizontal="left" vertical="top" wrapText="1"/>
    </xf>
    <xf numFmtId="177" fontId="37" fillId="2" borderId="124" xfId="0" applyNumberFormat="1" applyFont="1" applyFill="1" applyBorder="1" applyAlignment="1">
      <alignment horizontal="center" vertical="center" wrapText="1"/>
    </xf>
    <xf numFmtId="177" fontId="34" fillId="2" borderId="7" xfId="0" applyNumberFormat="1" applyFont="1" applyFill="1" applyBorder="1" applyAlignment="1">
      <alignment horizontal="center" vertical="center"/>
    </xf>
    <xf numFmtId="0" fontId="29" fillId="0" borderId="124" xfId="4" applyFont="1" applyFill="1" applyBorder="1" applyAlignment="1">
      <alignment horizontal="center" vertical="center" wrapText="1"/>
    </xf>
    <xf numFmtId="0" fontId="29" fillId="0" borderId="7" xfId="4" applyFont="1" applyFill="1" applyBorder="1" applyAlignment="1">
      <alignment horizontal="center" vertical="center" wrapText="1"/>
    </xf>
    <xf numFmtId="9" fontId="29" fillId="0" borderId="124" xfId="4" applyNumberFormat="1" applyFont="1" applyFill="1" applyBorder="1" applyAlignment="1">
      <alignment horizontal="center" vertical="center" wrapText="1"/>
    </xf>
    <xf numFmtId="9" fontId="29" fillId="0" borderId="7" xfId="4" applyNumberFormat="1" applyFont="1" applyFill="1" applyBorder="1" applyAlignment="1">
      <alignment horizontal="center" vertical="center" wrapText="1"/>
    </xf>
    <xf numFmtId="169" fontId="29" fillId="0" borderId="125" xfId="0" applyNumberFormat="1" applyFont="1" applyFill="1" applyBorder="1" applyAlignment="1">
      <alignment horizontal="center" vertical="center"/>
    </xf>
    <xf numFmtId="169" fontId="29" fillId="0" borderId="12" xfId="0" applyNumberFormat="1" applyFont="1" applyFill="1" applyBorder="1" applyAlignment="1">
      <alignment horizontal="center" vertical="center"/>
    </xf>
    <xf numFmtId="169" fontId="29" fillId="0" borderId="9" xfId="0" applyNumberFormat="1" applyFont="1" applyFill="1" applyBorder="1" applyAlignment="1">
      <alignment horizontal="center" vertical="center"/>
    </xf>
    <xf numFmtId="0" fontId="29" fillId="4" borderId="1" xfId="0" applyFont="1" applyFill="1" applyBorder="1" applyAlignment="1">
      <alignment horizontal="center" vertical="center" wrapText="1"/>
    </xf>
    <xf numFmtId="171" fontId="37" fillId="2" borderId="124" xfId="8" applyNumberFormat="1" applyFont="1" applyFill="1" applyBorder="1" applyAlignment="1">
      <alignment horizontal="center" vertical="center"/>
    </xf>
    <xf numFmtId="171" fontId="37" fillId="2" borderId="7" xfId="8" applyNumberFormat="1" applyFont="1" applyFill="1" applyBorder="1" applyAlignment="1">
      <alignment horizontal="center" vertical="center"/>
    </xf>
    <xf numFmtId="0" fontId="29" fillId="0" borderId="2" xfId="0" applyFont="1" applyFill="1" applyBorder="1" applyAlignment="1">
      <alignment horizontal="left" vertical="top" wrapText="1"/>
    </xf>
    <xf numFmtId="49" fontId="29" fillId="0" borderId="31" xfId="0" applyNumberFormat="1" applyFont="1" applyFill="1" applyBorder="1" applyAlignment="1">
      <alignment horizontal="center" vertical="center"/>
    </xf>
    <xf numFmtId="169" fontId="29" fillId="0" borderId="31" xfId="0" applyNumberFormat="1" applyFont="1" applyFill="1" applyBorder="1" applyAlignment="1">
      <alignment horizontal="center" vertical="center"/>
    </xf>
    <xf numFmtId="167" fontId="29" fillId="2" borderId="31" xfId="1" applyNumberFormat="1" applyFont="1" applyFill="1" applyBorder="1" applyAlignment="1">
      <alignment horizontal="center" vertical="center" wrapText="1"/>
    </xf>
    <xf numFmtId="3" fontId="29" fillId="0" borderId="124" xfId="4" applyNumberFormat="1" applyFont="1" applyFill="1" applyBorder="1" applyAlignment="1">
      <alignment horizontal="center" vertical="center" wrapText="1"/>
    </xf>
    <xf numFmtId="3" fontId="29" fillId="0" borderId="7" xfId="4" applyNumberFormat="1" applyFont="1" applyFill="1" applyBorder="1" applyAlignment="1">
      <alignment horizontal="center" vertical="center" wrapText="1"/>
    </xf>
    <xf numFmtId="0" fontId="30" fillId="0" borderId="124" xfId="0" applyFont="1" applyFill="1" applyBorder="1" applyAlignment="1">
      <alignment horizontal="center" vertical="center"/>
    </xf>
    <xf numFmtId="0" fontId="30" fillId="0" borderId="7" xfId="0" applyFont="1" applyFill="1" applyBorder="1" applyAlignment="1">
      <alignment horizontal="center" vertical="center"/>
    </xf>
    <xf numFmtId="4" fontId="29" fillId="2" borderId="1" xfId="4" applyNumberFormat="1" applyFont="1" applyFill="1" applyBorder="1" applyAlignment="1">
      <alignment horizontal="left" vertical="top" wrapText="1"/>
    </xf>
    <xf numFmtId="181" fontId="29" fillId="2" borderId="31" xfId="0" applyNumberFormat="1" applyFont="1" applyFill="1" applyBorder="1" applyAlignment="1">
      <alignment horizontal="center" vertical="center" wrapText="1"/>
    </xf>
    <xf numFmtId="181" fontId="29" fillId="2" borderId="2" xfId="0" applyNumberFormat="1" applyFont="1" applyFill="1" applyBorder="1" applyAlignment="1">
      <alignment horizontal="center" vertical="center" wrapText="1"/>
    </xf>
    <xf numFmtId="181" fontId="29" fillId="2" borderId="7" xfId="0" applyNumberFormat="1" applyFont="1" applyFill="1" applyBorder="1" applyAlignment="1">
      <alignment horizontal="center" vertical="center" wrapText="1"/>
    </xf>
    <xf numFmtId="1" fontId="29" fillId="2" borderId="31" xfId="0" applyNumberFormat="1" applyFont="1" applyFill="1" applyBorder="1" applyAlignment="1">
      <alignment horizontal="center" vertical="center"/>
    </xf>
    <xf numFmtId="1" fontId="29" fillId="2" borderId="2" xfId="0" applyNumberFormat="1" applyFont="1" applyFill="1" applyBorder="1" applyAlignment="1">
      <alignment horizontal="center" vertical="center"/>
    </xf>
    <xf numFmtId="0" fontId="29" fillId="2" borderId="4" xfId="0" applyFont="1" applyFill="1" applyBorder="1" applyAlignment="1">
      <alignment horizontal="left" vertical="center" wrapText="1"/>
    </xf>
    <xf numFmtId="167" fontId="30" fillId="3" borderId="26" xfId="0" applyNumberFormat="1" applyFont="1" applyFill="1" applyBorder="1" applyAlignment="1">
      <alignment horizontal="center"/>
    </xf>
    <xf numFmtId="167" fontId="30" fillId="3" borderId="27" xfId="0" applyNumberFormat="1" applyFont="1" applyFill="1" applyBorder="1" applyAlignment="1">
      <alignment horizontal="center"/>
    </xf>
    <xf numFmtId="167" fontId="30" fillId="3" borderId="28" xfId="0" applyNumberFormat="1" applyFont="1" applyFill="1" applyBorder="1" applyAlignment="1">
      <alignment horizontal="center"/>
    </xf>
    <xf numFmtId="0" fontId="30" fillId="4" borderId="124" xfId="0" applyFont="1" applyFill="1" applyBorder="1" applyAlignment="1">
      <alignment horizontal="center" vertical="center" wrapText="1"/>
    </xf>
    <xf numFmtId="0" fontId="30" fillId="4" borderId="7" xfId="0" applyFont="1" applyFill="1" applyBorder="1" applyAlignment="1">
      <alignment horizontal="center" vertical="center" wrapText="1"/>
    </xf>
    <xf numFmtId="0" fontId="30" fillId="2" borderId="124" xfId="4" applyFont="1" applyFill="1" applyBorder="1" applyAlignment="1">
      <alignment vertical="center" wrapText="1"/>
    </xf>
    <xf numFmtId="0" fontId="29" fillId="0" borderId="8" xfId="0" applyFont="1" applyFill="1" applyBorder="1" applyAlignment="1">
      <alignment horizontal="center" vertical="center"/>
    </xf>
    <xf numFmtId="0" fontId="30" fillId="3" borderId="6" xfId="0" applyFont="1" applyFill="1" applyBorder="1" applyAlignment="1">
      <alignment horizontal="left" vertical="center" wrapText="1"/>
    </xf>
    <xf numFmtId="0" fontId="29" fillId="0" borderId="31" xfId="0" applyFont="1" applyFill="1" applyBorder="1" applyAlignment="1">
      <alignment horizontal="center" vertical="center"/>
    </xf>
    <xf numFmtId="167" fontId="29" fillId="0" borderId="31" xfId="1" applyNumberFormat="1" applyFont="1" applyFill="1" applyBorder="1" applyAlignment="1">
      <alignment horizontal="center" vertical="center" wrapText="1"/>
    </xf>
    <xf numFmtId="3" fontId="29" fillId="0" borderId="31" xfId="0" applyNumberFormat="1" applyFont="1" applyFill="1" applyBorder="1" applyAlignment="1">
      <alignment horizontal="center" vertical="center" wrapText="1"/>
    </xf>
    <xf numFmtId="167" fontId="29" fillId="0" borderId="31" xfId="0" applyNumberFormat="1" applyFont="1" applyFill="1" applyBorder="1" applyAlignment="1">
      <alignment horizontal="center" vertical="center" wrapText="1"/>
    </xf>
    <xf numFmtId="0" fontId="29" fillId="0" borderId="31" xfId="3" applyFont="1" applyFill="1" applyBorder="1" applyAlignment="1">
      <alignment horizontal="left" vertical="center" wrapText="1"/>
    </xf>
    <xf numFmtId="169" fontId="29" fillId="0" borderId="8" xfId="0" applyNumberFormat="1" applyFont="1" applyFill="1" applyBorder="1" applyAlignment="1">
      <alignment horizontal="center" vertical="center"/>
    </xf>
    <xf numFmtId="168" fontId="29" fillId="0" borderId="31" xfId="0" applyNumberFormat="1" applyFont="1" applyFill="1" applyBorder="1" applyAlignment="1">
      <alignment horizontal="center" vertical="center"/>
    </xf>
    <xf numFmtId="168" fontId="30" fillId="0" borderId="31" xfId="0" applyNumberFormat="1" applyFont="1" applyFill="1" applyBorder="1" applyAlignment="1">
      <alignment horizontal="center" vertical="center"/>
    </xf>
    <xf numFmtId="49" fontId="29" fillId="0" borderId="8" xfId="0" applyNumberFormat="1" applyFont="1" applyFill="1" applyBorder="1" applyAlignment="1">
      <alignment horizontal="center" vertical="center"/>
    </xf>
    <xf numFmtId="0" fontId="30" fillId="0" borderId="8" xfId="0" applyFont="1" applyFill="1" applyBorder="1" applyAlignment="1">
      <alignment horizontal="center" vertical="center"/>
    </xf>
    <xf numFmtId="49" fontId="29" fillId="0" borderId="8" xfId="0" applyNumberFormat="1" applyFont="1" applyFill="1" applyBorder="1" applyAlignment="1">
      <alignment vertical="center"/>
    </xf>
    <xf numFmtId="0" fontId="29" fillId="0" borderId="8" xfId="0" applyFont="1" applyFill="1" applyBorder="1" applyAlignment="1">
      <alignment horizontal="center" vertical="center" wrapText="1"/>
    </xf>
    <xf numFmtId="49" fontId="29" fillId="0" borderId="1" xfId="0" applyNumberFormat="1" applyFont="1" applyFill="1" applyBorder="1" applyAlignment="1">
      <alignment vertical="center"/>
    </xf>
    <xf numFmtId="169" fontId="30" fillId="0" borderId="8" xfId="0" applyNumberFormat="1" applyFont="1" applyFill="1" applyBorder="1" applyAlignment="1">
      <alignment horizontal="center" vertical="center"/>
    </xf>
    <xf numFmtId="0" fontId="29" fillId="2" borderId="31" xfId="0" applyFont="1" applyFill="1" applyBorder="1" applyAlignment="1">
      <alignment horizontal="left" vertical="center" wrapText="1"/>
    </xf>
    <xf numFmtId="0" fontId="29" fillId="0" borderId="31" xfId="0" applyFont="1" applyFill="1" applyBorder="1" applyAlignment="1">
      <alignment horizontal="left" vertical="center" wrapText="1"/>
    </xf>
    <xf numFmtId="0" fontId="29" fillId="0" borderId="31" xfId="0" applyFont="1" applyFill="1" applyBorder="1" applyAlignment="1">
      <alignment horizontal="center" vertical="center" wrapText="1"/>
    </xf>
    <xf numFmtId="167" fontId="30" fillId="0" borderId="8" xfId="0" applyNumberFormat="1" applyFont="1" applyFill="1" applyBorder="1" applyAlignment="1">
      <alignment horizontal="center" vertical="center"/>
    </xf>
    <xf numFmtId="167" fontId="30" fillId="0" borderId="31" xfId="1" applyNumberFormat="1" applyFont="1" applyFill="1" applyBorder="1" applyAlignment="1">
      <alignment horizontal="center" vertical="center" wrapText="1"/>
    </xf>
    <xf numFmtId="167" fontId="30" fillId="0" borderId="2" xfId="1" applyNumberFormat="1" applyFont="1" applyFill="1" applyBorder="1" applyAlignment="1">
      <alignment horizontal="center" vertical="center" wrapText="1"/>
    </xf>
    <xf numFmtId="0" fontId="29" fillId="0" borderId="8" xfId="0" applyFont="1" applyBorder="1" applyAlignment="1">
      <alignment horizontal="center" vertical="center"/>
    </xf>
    <xf numFmtId="167" fontId="29" fillId="4" borderId="1" xfId="1" applyNumberFormat="1" applyFont="1" applyFill="1" applyBorder="1" applyAlignment="1">
      <alignment horizontal="center" vertical="center" wrapText="1"/>
    </xf>
    <xf numFmtId="168" fontId="30" fillId="6" borderId="4" xfId="0" applyNumberFormat="1" applyFont="1" applyFill="1" applyBorder="1" applyAlignment="1">
      <alignment horizontal="left" vertical="center"/>
    </xf>
    <xf numFmtId="168" fontId="30" fillId="6" borderId="5" xfId="0" applyNumberFormat="1" applyFont="1" applyFill="1" applyBorder="1" applyAlignment="1">
      <alignment horizontal="left" vertical="center"/>
    </xf>
    <xf numFmtId="168" fontId="30" fillId="6" borderId="6" xfId="0" applyNumberFormat="1" applyFont="1" applyFill="1" applyBorder="1" applyAlignment="1">
      <alignment horizontal="left" vertical="center"/>
    </xf>
    <xf numFmtId="166" fontId="34" fillId="2" borderId="31" xfId="0" applyNumberFormat="1" applyFont="1" applyFill="1" applyBorder="1" applyAlignment="1">
      <alignment horizontal="center" vertical="center" wrapText="1"/>
    </xf>
    <xf numFmtId="168" fontId="29" fillId="2" borderId="8" xfId="0" applyNumberFormat="1" applyFont="1" applyFill="1" applyBorder="1" applyAlignment="1">
      <alignment horizontal="left" vertical="center" wrapText="1"/>
    </xf>
    <xf numFmtId="168" fontId="29" fillId="2" borderId="7" xfId="0" applyNumberFormat="1" applyFont="1" applyFill="1" applyBorder="1" applyAlignment="1">
      <alignment horizontal="left" vertical="center" wrapText="1"/>
    </xf>
    <xf numFmtId="0" fontId="29" fillId="3" borderId="4" xfId="0" applyFont="1" applyFill="1" applyBorder="1" applyAlignment="1">
      <alignment horizontal="center" wrapText="1"/>
    </xf>
    <xf numFmtId="0" fontId="29" fillId="3" borderId="5" xfId="0" applyFont="1" applyFill="1" applyBorder="1" applyAlignment="1">
      <alignment horizontal="center" wrapText="1"/>
    </xf>
    <xf numFmtId="0" fontId="29" fillId="3" borderId="6" xfId="0" applyFont="1" applyFill="1" applyBorder="1" applyAlignment="1">
      <alignment horizontal="center" wrapText="1"/>
    </xf>
    <xf numFmtId="166" fontId="34" fillId="0" borderId="31" xfId="0" applyNumberFormat="1" applyFont="1" applyFill="1" applyBorder="1" applyAlignment="1">
      <alignment horizontal="center" vertical="center" wrapText="1"/>
    </xf>
    <xf numFmtId="166" fontId="34" fillId="0" borderId="2" xfId="0" applyNumberFormat="1" applyFont="1" applyFill="1" applyBorder="1" applyAlignment="1">
      <alignment horizontal="center" vertical="center" wrapText="1"/>
    </xf>
    <xf numFmtId="166" fontId="34" fillId="0" borderId="7" xfId="0" applyNumberFormat="1" applyFont="1" applyFill="1" applyBorder="1" applyAlignment="1">
      <alignment horizontal="center" vertical="center" wrapText="1"/>
    </xf>
    <xf numFmtId="0" fontId="29" fillId="0" borderId="8" xfId="0" applyFont="1" applyFill="1" applyBorder="1" applyAlignment="1">
      <alignment horizontal="center"/>
    </xf>
    <xf numFmtId="168" fontId="30" fillId="2" borderId="8" xfId="0" applyNumberFormat="1" applyFont="1" applyFill="1" applyBorder="1" applyAlignment="1">
      <alignment horizontal="center" vertical="center"/>
    </xf>
    <xf numFmtId="0" fontId="29" fillId="2" borderId="32" xfId="0" applyFont="1" applyFill="1" applyBorder="1" applyAlignment="1">
      <alignment horizontal="left" vertical="center" wrapText="1"/>
    </xf>
    <xf numFmtId="0" fontId="29" fillId="2" borderId="31" xfId="0" applyFont="1" applyFill="1" applyBorder="1" applyAlignment="1">
      <alignment horizontal="center" vertical="center"/>
    </xf>
    <xf numFmtId="169" fontId="30" fillId="2" borderId="8" xfId="0" applyNumberFormat="1" applyFont="1" applyFill="1" applyBorder="1" applyAlignment="1">
      <alignment horizontal="center" vertical="center"/>
    </xf>
    <xf numFmtId="49" fontId="29" fillId="2" borderId="8" xfId="0" applyNumberFormat="1" applyFont="1" applyFill="1" applyBorder="1" applyAlignment="1">
      <alignment horizontal="center" vertical="center"/>
    </xf>
    <xf numFmtId="167" fontId="29" fillId="0" borderId="8" xfId="0" applyNumberFormat="1" applyFont="1" applyFill="1" applyBorder="1" applyAlignment="1">
      <alignment horizontal="center" vertical="center" wrapText="1"/>
    </xf>
    <xf numFmtId="2" fontId="29" fillId="0" borderId="31" xfId="17" applyNumberFormat="1" applyFont="1" applyFill="1" applyBorder="1" applyAlignment="1">
      <alignment horizontal="center" vertical="center" wrapText="1"/>
    </xf>
    <xf numFmtId="2" fontId="29" fillId="0" borderId="7" xfId="17" applyNumberFormat="1" applyFont="1" applyFill="1" applyBorder="1" applyAlignment="1">
      <alignment horizontal="center" vertical="center" wrapText="1"/>
    </xf>
    <xf numFmtId="168" fontId="29" fillId="2" borderId="31" xfId="0" applyNumberFormat="1" applyFont="1" applyFill="1" applyBorder="1" applyAlignment="1">
      <alignment horizontal="center" vertical="center" wrapText="1"/>
    </xf>
    <xf numFmtId="167" fontId="29" fillId="2" borderId="8" xfId="0" applyNumberFormat="1" applyFont="1" applyFill="1" applyBorder="1" applyAlignment="1">
      <alignment horizontal="center" vertical="center" wrapText="1"/>
    </xf>
    <xf numFmtId="167" fontId="30" fillId="4" borderId="8" xfId="1" applyNumberFormat="1" applyFont="1" applyFill="1" applyBorder="1" applyAlignment="1">
      <alignment horizontal="center" vertical="center" wrapText="1"/>
    </xf>
    <xf numFmtId="167" fontId="30" fillId="4" borderId="7" xfId="1" applyNumberFormat="1" applyFont="1" applyFill="1" applyBorder="1" applyAlignment="1">
      <alignment horizontal="center" vertical="center" wrapText="1"/>
    </xf>
    <xf numFmtId="0" fontId="29" fillId="2" borderId="8" xfId="0" applyFont="1" applyFill="1" applyBorder="1" applyAlignment="1">
      <alignment horizontal="left" vertical="center" wrapText="1"/>
    </xf>
    <xf numFmtId="0" fontId="29" fillId="2" borderId="11" xfId="0" applyFont="1" applyFill="1" applyBorder="1" applyAlignment="1">
      <alignment horizontal="left" vertical="center" wrapText="1"/>
    </xf>
    <xf numFmtId="0" fontId="29" fillId="0" borderId="1" xfId="0" applyFont="1" applyBorder="1" applyAlignment="1">
      <alignment horizontal="center" vertical="center"/>
    </xf>
    <xf numFmtId="9" fontId="29" fillId="0" borderId="2" xfId="17" applyFont="1" applyFill="1" applyBorder="1" applyAlignment="1">
      <alignment horizontal="center" vertical="center" wrapText="1"/>
    </xf>
    <xf numFmtId="167" fontId="29" fillId="2" borderId="8" xfId="1" applyNumberFormat="1" applyFont="1" applyFill="1" applyBorder="1" applyAlignment="1">
      <alignment horizontal="center" vertical="center" wrapText="1"/>
    </xf>
    <xf numFmtId="168" fontId="29" fillId="0" borderId="31" xfId="0" applyNumberFormat="1" applyFont="1" applyBorder="1" applyAlignment="1">
      <alignment horizontal="center" vertical="center"/>
    </xf>
    <xf numFmtId="168" fontId="29" fillId="0" borderId="7" xfId="0" applyNumberFormat="1" applyFont="1" applyBorder="1" applyAlignment="1">
      <alignment horizontal="center" vertical="center"/>
    </xf>
    <xf numFmtId="49" fontId="29" fillId="0" borderId="8" xfId="0" applyNumberFormat="1" applyFont="1" applyBorder="1" applyAlignment="1">
      <alignment horizontal="center" vertical="center"/>
    </xf>
    <xf numFmtId="0" fontId="29" fillId="2" borderId="8" xfId="0" applyFont="1" applyFill="1" applyBorder="1" applyAlignment="1">
      <alignment horizontal="center" vertical="center"/>
    </xf>
    <xf numFmtId="0" fontId="29" fillId="2" borderId="2" xfId="0" applyFont="1" applyFill="1" applyBorder="1" applyAlignment="1">
      <alignment horizontal="center" vertical="center"/>
    </xf>
    <xf numFmtId="167" fontId="29" fillId="2" borderId="14" xfId="1" applyNumberFormat="1" applyFont="1" applyFill="1" applyBorder="1" applyAlignment="1">
      <alignment horizontal="center" vertical="center" wrapText="1"/>
    </xf>
    <xf numFmtId="167" fontId="30" fillId="3" borderId="7" xfId="0" applyNumberFormat="1" applyFont="1" applyFill="1" applyBorder="1" applyAlignment="1">
      <alignment horizontal="center"/>
    </xf>
    <xf numFmtId="167" fontId="29" fillId="2" borderId="12" xfId="1" applyNumberFormat="1" applyFont="1" applyFill="1" applyBorder="1" applyAlignment="1">
      <alignment horizontal="center" vertical="center" wrapText="1"/>
    </xf>
    <xf numFmtId="169" fontId="29" fillId="0" borderId="8" xfId="0" applyNumberFormat="1" applyFont="1" applyBorder="1" applyAlignment="1">
      <alignment horizontal="center" vertical="center"/>
    </xf>
    <xf numFmtId="0" fontId="29" fillId="0" borderId="8" xfId="0" applyFont="1" applyFill="1" applyBorder="1" applyAlignment="1">
      <alignment horizontal="left" vertical="center" wrapText="1"/>
    </xf>
    <xf numFmtId="0" fontId="29" fillId="2" borderId="31" xfId="0" applyFont="1" applyFill="1" applyBorder="1" applyAlignment="1">
      <alignment horizontal="center" vertical="center" wrapText="1"/>
    </xf>
    <xf numFmtId="167" fontId="29" fillId="2" borderId="4" xfId="1" applyNumberFormat="1" applyFont="1" applyFill="1" applyBorder="1" applyAlignment="1">
      <alignment horizontal="center" vertical="center" wrapText="1"/>
    </xf>
    <xf numFmtId="167" fontId="29" fillId="2" borderId="5" xfId="1" applyNumberFormat="1" applyFont="1" applyFill="1" applyBorder="1" applyAlignment="1">
      <alignment horizontal="center" vertical="center" wrapText="1"/>
    </xf>
    <xf numFmtId="167" fontId="30" fillId="2" borderId="4" xfId="1" applyNumberFormat="1" applyFont="1" applyFill="1" applyBorder="1" applyAlignment="1">
      <alignment horizontal="center" vertical="center" wrapText="1"/>
    </xf>
    <xf numFmtId="167" fontId="30" fillId="2" borderId="5" xfId="1" applyNumberFormat="1" applyFont="1" applyFill="1" applyBorder="1" applyAlignment="1">
      <alignment horizontal="center" vertical="center" wrapText="1"/>
    </xf>
    <xf numFmtId="168" fontId="30" fillId="0" borderId="1" xfId="0" applyNumberFormat="1" applyFont="1" applyBorder="1" applyAlignment="1">
      <alignment horizontal="center" vertical="center" wrapText="1"/>
    </xf>
    <xf numFmtId="0" fontId="30" fillId="2" borderId="11" xfId="0" applyFont="1" applyFill="1" applyBorder="1" applyAlignment="1">
      <alignment horizontal="center" vertical="center" wrapText="1"/>
    </xf>
    <xf numFmtId="0" fontId="30" fillId="2" borderId="15"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30" fillId="2" borderId="10" xfId="0" applyFont="1" applyFill="1" applyBorder="1" applyAlignment="1">
      <alignment horizontal="center" vertical="center" wrapText="1"/>
    </xf>
    <xf numFmtId="0" fontId="30" fillId="2" borderId="13" xfId="0" applyFont="1" applyFill="1" applyBorder="1" applyAlignment="1">
      <alignment horizontal="center" vertical="center" wrapText="1"/>
    </xf>
    <xf numFmtId="0" fontId="30" fillId="2" borderId="9" xfId="0" applyFont="1" applyFill="1" applyBorder="1" applyAlignment="1">
      <alignment horizontal="center" vertical="center" wrapText="1"/>
    </xf>
    <xf numFmtId="49" fontId="30" fillId="0" borderId="8" xfId="0" applyNumberFormat="1" applyFont="1" applyFill="1" applyBorder="1" applyAlignment="1">
      <alignment horizontal="center" vertical="center"/>
    </xf>
    <xf numFmtId="49" fontId="30" fillId="0" borderId="0" xfId="0" applyNumberFormat="1" applyFont="1" applyAlignment="1">
      <alignment wrapText="1"/>
    </xf>
    <xf numFmtId="169" fontId="30" fillId="0" borderId="1" xfId="0" applyNumberFormat="1" applyFont="1" applyBorder="1" applyAlignment="1">
      <alignment horizontal="center" vertical="center" wrapText="1"/>
    </xf>
    <xf numFmtId="49" fontId="30" fillId="0" borderId="1" xfId="0" applyNumberFormat="1" applyFont="1" applyBorder="1" applyAlignment="1">
      <alignment horizontal="center" vertical="center" wrapText="1"/>
    </xf>
    <xf numFmtId="0" fontId="30" fillId="0" borderId="1" xfId="0" applyFont="1" applyBorder="1" applyAlignment="1">
      <alignment horizontal="center" vertical="center" wrapText="1"/>
    </xf>
    <xf numFmtId="0" fontId="30" fillId="2" borderId="11" xfId="0" applyFont="1" applyFill="1" applyBorder="1" applyAlignment="1">
      <alignment horizontal="left" vertical="center" wrapText="1"/>
    </xf>
    <xf numFmtId="0" fontId="30" fillId="2" borderId="10" xfId="0" applyFont="1" applyFill="1" applyBorder="1" applyAlignment="1">
      <alignment horizontal="left" vertical="center" wrapText="1"/>
    </xf>
    <xf numFmtId="169" fontId="29" fillId="2" borderId="8" xfId="0" applyNumberFormat="1" applyFont="1" applyFill="1" applyBorder="1" applyAlignment="1">
      <alignment horizontal="center" vertical="center"/>
    </xf>
    <xf numFmtId="0" fontId="30" fillId="2" borderId="8" xfId="0" applyFont="1" applyFill="1" applyBorder="1" applyAlignment="1">
      <alignment horizontal="left" vertical="center" wrapText="1"/>
    </xf>
    <xf numFmtId="0" fontId="30" fillId="2" borderId="8" xfId="0" applyFont="1" applyFill="1" applyBorder="1" applyAlignment="1">
      <alignment horizontal="center" vertical="center" wrapText="1"/>
    </xf>
    <xf numFmtId="0" fontId="30" fillId="0" borderId="11" xfId="0" applyFont="1" applyFill="1" applyBorder="1" applyAlignment="1">
      <alignment horizontal="left" vertical="center" wrapText="1"/>
    </xf>
    <xf numFmtId="0" fontId="30" fillId="0" borderId="8" xfId="0" applyFont="1" applyFill="1" applyBorder="1" applyAlignment="1">
      <alignment horizontal="center" vertical="center" wrapText="1"/>
    </xf>
    <xf numFmtId="0" fontId="30" fillId="2" borderId="1" xfId="0" applyFont="1" applyFill="1" applyBorder="1" applyAlignment="1">
      <alignment vertical="center" wrapText="1"/>
    </xf>
    <xf numFmtId="1" fontId="29" fillId="2" borderId="7" xfId="0" applyNumberFormat="1" applyFont="1" applyFill="1" applyBorder="1" applyAlignment="1">
      <alignment horizontal="center" vertical="center"/>
    </xf>
    <xf numFmtId="167" fontId="29" fillId="0" borderId="31" xfId="8" applyNumberFormat="1" applyFont="1" applyFill="1" applyBorder="1" applyAlignment="1">
      <alignment horizontal="center" vertical="center"/>
    </xf>
    <xf numFmtId="167" fontId="29" fillId="0" borderId="2" xfId="8" applyNumberFormat="1" applyFont="1" applyFill="1" applyBorder="1" applyAlignment="1">
      <alignment horizontal="center" vertical="center"/>
    </xf>
    <xf numFmtId="167" fontId="29" fillId="0" borderId="7" xfId="8" applyNumberFormat="1" applyFont="1" applyFill="1" applyBorder="1" applyAlignment="1">
      <alignment horizontal="center" vertical="center"/>
    </xf>
    <xf numFmtId="0" fontId="29" fillId="0" borderId="124" xfId="4" applyFont="1" applyFill="1" applyBorder="1" applyAlignment="1">
      <alignment horizontal="center" vertical="center"/>
    </xf>
    <xf numFmtId="0" fontId="29" fillId="0" borderId="124" xfId="4" applyFont="1" applyFill="1" applyBorder="1" applyAlignment="1">
      <alignment horizontal="left" vertical="center" wrapText="1"/>
    </xf>
    <xf numFmtId="0" fontId="29" fillId="0" borderId="7" xfId="4" applyFont="1" applyFill="1" applyBorder="1" applyAlignment="1">
      <alignment horizontal="left" vertical="center" wrapText="1"/>
    </xf>
    <xf numFmtId="168" fontId="29" fillId="2" borderId="126" xfId="0" applyNumberFormat="1" applyFont="1" applyFill="1" applyBorder="1" applyAlignment="1">
      <alignment horizontal="left" vertical="center" wrapText="1"/>
    </xf>
    <xf numFmtId="0" fontId="29" fillId="2" borderId="3" xfId="0" applyFont="1" applyFill="1" applyBorder="1" applyAlignment="1">
      <alignment horizontal="left" vertical="center"/>
    </xf>
    <xf numFmtId="0" fontId="29" fillId="2" borderId="124" xfId="4" applyFont="1" applyFill="1" applyBorder="1" applyAlignment="1">
      <alignment horizontal="left" vertical="center" wrapText="1"/>
    </xf>
    <xf numFmtId="0" fontId="29" fillId="2" borderId="2" xfId="4" applyFont="1" applyFill="1" applyBorder="1" applyAlignment="1">
      <alignment horizontal="left" vertical="center" wrapText="1"/>
    </xf>
    <xf numFmtId="0" fontId="29" fillId="2" borderId="7" xfId="4" applyFont="1" applyFill="1" applyBorder="1" applyAlignment="1">
      <alignment horizontal="left" vertical="center" wrapText="1"/>
    </xf>
    <xf numFmtId="0" fontId="30" fillId="0" borderId="1" xfId="0" applyFont="1" applyFill="1" applyBorder="1" applyAlignment="1">
      <alignment horizontal="left" vertical="center" wrapText="1"/>
    </xf>
    <xf numFmtId="167" fontId="30" fillId="4" borderId="125" xfId="1" applyNumberFormat="1" applyFont="1" applyFill="1" applyBorder="1" applyAlignment="1">
      <alignment horizontal="center" vertical="center" wrapText="1"/>
    </xf>
    <xf numFmtId="167" fontId="30" fillId="4" borderId="9" xfId="1" applyNumberFormat="1" applyFont="1" applyFill="1" applyBorder="1" applyAlignment="1">
      <alignment horizontal="center" vertical="center" wrapText="1"/>
    </xf>
    <xf numFmtId="171" fontId="37" fillId="2" borderId="2" xfId="8" applyNumberFormat="1" applyFont="1" applyFill="1" applyBorder="1" applyAlignment="1">
      <alignment horizontal="center" vertical="center"/>
    </xf>
    <xf numFmtId="49" fontId="29" fillId="4" borderId="124" xfId="0" applyNumberFormat="1" applyFont="1" applyFill="1" applyBorder="1" applyAlignment="1">
      <alignment vertical="center"/>
    </xf>
    <xf numFmtId="49" fontId="29" fillId="4" borderId="7" xfId="0" applyNumberFormat="1" applyFont="1" applyFill="1" applyBorder="1" applyAlignment="1">
      <alignment vertical="center"/>
    </xf>
    <xf numFmtId="171" fontId="37" fillId="0" borderId="124" xfId="8" applyNumberFormat="1" applyFont="1" applyFill="1" applyBorder="1" applyAlignment="1">
      <alignment horizontal="center" vertical="center"/>
    </xf>
    <xf numFmtId="171" fontId="37" fillId="0" borderId="2" xfId="8" applyNumberFormat="1" applyFont="1" applyFill="1" applyBorder="1" applyAlignment="1">
      <alignment horizontal="center" vertical="center"/>
    </xf>
    <xf numFmtId="171" fontId="37" fillId="0" borderId="7" xfId="8" applyNumberFormat="1" applyFont="1" applyFill="1" applyBorder="1" applyAlignment="1">
      <alignment horizontal="center" vertical="center"/>
    </xf>
    <xf numFmtId="167" fontId="30" fillId="4" borderId="124" xfId="1" applyNumberFormat="1" applyFont="1" applyFill="1" applyBorder="1" applyAlignment="1">
      <alignment horizontal="center" vertical="center" wrapText="1"/>
    </xf>
    <xf numFmtId="171" fontId="37" fillId="2" borderId="124" xfId="8" applyNumberFormat="1" applyFont="1" applyFill="1" applyBorder="1" applyAlignment="1">
      <alignment horizontal="center" vertical="center" wrapText="1"/>
    </xf>
    <xf numFmtId="171" fontId="37" fillId="2" borderId="2" xfId="8" applyNumberFormat="1" applyFont="1" applyFill="1" applyBorder="1" applyAlignment="1">
      <alignment horizontal="center" vertical="center" wrapText="1"/>
    </xf>
    <xf numFmtId="171" fontId="37" fillId="2" borderId="7" xfId="8" applyNumberFormat="1" applyFont="1" applyFill="1" applyBorder="1" applyAlignment="1">
      <alignment horizontal="center" vertical="center" wrapText="1"/>
    </xf>
    <xf numFmtId="1" fontId="29" fillId="2" borderId="1" xfId="0" applyNumberFormat="1" applyFont="1" applyFill="1" applyBorder="1" applyAlignment="1">
      <alignment horizontal="center" vertical="center"/>
    </xf>
    <xf numFmtId="0" fontId="29" fillId="0" borderId="31" xfId="0" applyFont="1" applyBorder="1" applyAlignment="1">
      <alignment horizontal="center" vertical="center"/>
    </xf>
    <xf numFmtId="0" fontId="29" fillId="2" borderId="31" xfId="3" applyFont="1" applyFill="1" applyBorder="1" applyAlignment="1">
      <alignment horizontal="left" vertical="center" wrapText="1"/>
    </xf>
    <xf numFmtId="0" fontId="30" fillId="2" borderId="4" xfId="0" applyFont="1" applyFill="1" applyBorder="1" applyAlignment="1">
      <alignment horizontal="left" vertical="center" wrapText="1"/>
    </xf>
    <xf numFmtId="167" fontId="29" fillId="0" borderId="31" xfId="3" applyNumberFormat="1" applyFont="1" applyFill="1" applyBorder="1" applyAlignment="1">
      <alignment horizontal="center" vertical="center" wrapText="1"/>
    </xf>
    <xf numFmtId="49" fontId="29" fillId="2" borderId="31" xfId="0" applyNumberFormat="1" applyFont="1" applyFill="1" applyBorder="1" applyAlignment="1">
      <alignment horizontal="center" vertical="center"/>
    </xf>
    <xf numFmtId="0" fontId="30" fillId="2" borderId="3" xfId="0" applyFont="1" applyFill="1" applyBorder="1" applyAlignment="1">
      <alignment horizontal="left" vertical="center" wrapText="1"/>
    </xf>
    <xf numFmtId="1" fontId="29" fillId="2" borderId="1" xfId="0" applyNumberFormat="1" applyFont="1" applyFill="1" applyBorder="1" applyAlignment="1">
      <alignment vertical="center" wrapText="1"/>
    </xf>
    <xf numFmtId="0" fontId="29" fillId="2" borderId="3" xfId="0" applyFont="1" applyFill="1" applyBorder="1" applyAlignment="1">
      <alignment horizontal="left" vertical="center" wrapText="1"/>
    </xf>
    <xf numFmtId="167" fontId="29" fillId="2" borderId="31" xfId="0" applyNumberFormat="1" applyFont="1" applyFill="1" applyBorder="1" applyAlignment="1">
      <alignment horizontal="center" vertical="center" wrapText="1"/>
    </xf>
    <xf numFmtId="169" fontId="30" fillId="0" borderId="124" xfId="0" applyNumberFormat="1" applyFont="1" applyBorder="1" applyAlignment="1">
      <alignment horizontal="center" vertical="center"/>
    </xf>
    <xf numFmtId="169" fontId="30" fillId="0" borderId="7" xfId="0" applyNumberFormat="1" applyFont="1" applyBorder="1" applyAlignment="1">
      <alignment horizontal="center" vertical="center"/>
    </xf>
    <xf numFmtId="169" fontId="29" fillId="2" borderId="31" xfId="0" applyNumberFormat="1" applyFont="1" applyFill="1" applyBorder="1" applyAlignment="1">
      <alignment horizontal="center" vertical="center"/>
    </xf>
    <xf numFmtId="0" fontId="30" fillId="2" borderId="31" xfId="0" applyFont="1" applyFill="1" applyBorder="1" applyAlignment="1">
      <alignment horizontal="center" vertical="center" wrapText="1"/>
    </xf>
    <xf numFmtId="167" fontId="29" fillId="0" borderId="1" xfId="3" applyNumberFormat="1" applyFont="1" applyFill="1" applyBorder="1" applyAlignment="1">
      <alignment horizontal="center" vertical="center" wrapText="1"/>
    </xf>
    <xf numFmtId="0" fontId="29" fillId="2" borderId="124" xfId="4" applyFont="1" applyFill="1" applyBorder="1" applyAlignment="1">
      <alignment horizontal="center" vertical="top" wrapText="1"/>
    </xf>
    <xf numFmtId="168" fontId="30" fillId="0" borderId="124" xfId="152" applyNumberFormat="1" applyFont="1" applyBorder="1" applyAlignment="1">
      <alignment horizontal="center" vertical="top"/>
    </xf>
    <xf numFmtId="168" fontId="30" fillId="0" borderId="7" xfId="152" applyNumberFormat="1" applyFont="1" applyBorder="1" applyAlignment="1">
      <alignment horizontal="center" vertical="top"/>
    </xf>
    <xf numFmtId="0" fontId="34" fillId="0" borderId="125" xfId="0" applyFont="1" applyFill="1" applyBorder="1" applyAlignment="1">
      <alignment horizontal="center"/>
    </xf>
    <xf numFmtId="0" fontId="34" fillId="0" borderId="12" xfId="0" applyFont="1" applyFill="1" applyBorder="1" applyAlignment="1">
      <alignment horizontal="center"/>
    </xf>
    <xf numFmtId="176" fontId="34" fillId="0" borderId="124" xfId="0" applyNumberFormat="1" applyFont="1" applyFill="1" applyBorder="1" applyAlignment="1">
      <alignment horizontal="center" vertical="center" wrapText="1"/>
    </xf>
    <xf numFmtId="176" fontId="34" fillId="0" borderId="2" xfId="0" applyNumberFormat="1" applyFont="1" applyFill="1" applyBorder="1" applyAlignment="1">
      <alignment horizontal="center" vertical="center" wrapText="1"/>
    </xf>
    <xf numFmtId="176" fontId="34" fillId="0" borderId="7" xfId="0" applyNumberFormat="1" applyFont="1" applyFill="1" applyBorder="1" applyAlignment="1">
      <alignment horizontal="center" vertical="center" wrapText="1"/>
    </xf>
    <xf numFmtId="176" fontId="29" fillId="0" borderId="124" xfId="0" applyNumberFormat="1" applyFont="1" applyFill="1" applyBorder="1" applyAlignment="1">
      <alignment horizontal="center" vertical="center" wrapText="1"/>
    </xf>
    <xf numFmtId="176" fontId="29" fillId="0" borderId="2" xfId="0" applyNumberFormat="1" applyFont="1" applyFill="1" applyBorder="1" applyAlignment="1">
      <alignment horizontal="center" vertical="center" wrapText="1"/>
    </xf>
    <xf numFmtId="176" fontId="29" fillId="0" borderId="7" xfId="0" applyNumberFormat="1" applyFont="1" applyFill="1" applyBorder="1" applyAlignment="1">
      <alignment horizontal="center" vertical="center" wrapText="1"/>
    </xf>
    <xf numFmtId="0" fontId="34" fillId="0" borderId="124" xfId="0" applyFont="1" applyFill="1" applyBorder="1" applyAlignment="1">
      <alignment horizontal="center"/>
    </xf>
    <xf numFmtId="0" fontId="34" fillId="0" borderId="7" xfId="0" applyFont="1" applyFill="1" applyBorder="1" applyAlignment="1">
      <alignment horizontal="center"/>
    </xf>
    <xf numFmtId="0" fontId="34" fillId="0" borderId="9" xfId="0" applyFont="1" applyFill="1" applyBorder="1" applyAlignment="1">
      <alignment horizontal="center"/>
    </xf>
    <xf numFmtId="176" fontId="29" fillId="0" borderId="2" xfId="0" applyNumberFormat="1" applyFont="1" applyFill="1" applyBorder="1" applyAlignment="1">
      <alignment horizontal="center" vertical="center"/>
    </xf>
    <xf numFmtId="168" fontId="29" fillId="2" borderId="124" xfId="152" applyNumberFormat="1" applyFont="1" applyFill="1" applyBorder="1" applyAlignment="1">
      <alignment horizontal="left" vertical="center" wrapText="1"/>
    </xf>
    <xf numFmtId="168" fontId="29" fillId="2" borderId="7" xfId="152" applyNumberFormat="1" applyFont="1" applyFill="1" applyBorder="1" applyAlignment="1">
      <alignment horizontal="left" vertical="center" wrapText="1"/>
    </xf>
    <xf numFmtId="0" fontId="29" fillId="2" borderId="124" xfId="4" applyFont="1" applyFill="1" applyBorder="1" applyAlignment="1">
      <alignment horizontal="left" vertical="top" wrapText="1"/>
    </xf>
    <xf numFmtId="0" fontId="29" fillId="2" borderId="7" xfId="0" applyFont="1" applyFill="1" applyBorder="1" applyAlignment="1">
      <alignment horizontal="left" vertical="top" wrapText="1"/>
    </xf>
    <xf numFmtId="168" fontId="30" fillId="0" borderId="2" xfId="152" applyNumberFormat="1" applyFont="1" applyBorder="1" applyAlignment="1">
      <alignment horizontal="center" vertical="top"/>
    </xf>
    <xf numFmtId="49" fontId="34" fillId="0" borderId="124" xfId="0" applyNumberFormat="1" applyFont="1" applyFill="1" applyBorder="1" applyAlignment="1">
      <alignment horizontal="center"/>
    </xf>
    <xf numFmtId="49" fontId="34" fillId="0" borderId="7" xfId="0" applyNumberFormat="1" applyFont="1" applyFill="1" applyBorder="1" applyAlignment="1">
      <alignment horizontal="center"/>
    </xf>
    <xf numFmtId="49" fontId="34" fillId="0" borderId="124" xfId="0" applyNumberFormat="1" applyFont="1" applyFill="1" applyBorder="1" applyAlignment="1">
      <alignment horizontal="center" vertical="center"/>
    </xf>
    <xf numFmtId="49" fontId="34" fillId="0" borderId="7" xfId="0" applyNumberFormat="1" applyFont="1" applyFill="1" applyBorder="1" applyAlignment="1">
      <alignment horizontal="center" vertical="center"/>
    </xf>
    <xf numFmtId="0" fontId="34" fillId="0" borderId="2" xfId="0" applyFont="1" applyFill="1" applyBorder="1" applyAlignment="1">
      <alignment horizontal="center"/>
    </xf>
    <xf numFmtId="168" fontId="29" fillId="2" borderId="2" xfId="152" applyNumberFormat="1" applyFont="1" applyFill="1" applyBorder="1" applyAlignment="1">
      <alignment horizontal="left" vertical="center" wrapText="1"/>
    </xf>
    <xf numFmtId="167" fontId="37" fillId="2" borderId="124" xfId="4" applyNumberFormat="1" applyFont="1" applyFill="1" applyBorder="1" applyAlignment="1">
      <alignment horizontal="center" vertical="center" wrapText="1"/>
    </xf>
    <xf numFmtId="167" fontId="37" fillId="2" borderId="2" xfId="4" applyNumberFormat="1" applyFont="1" applyFill="1" applyBorder="1" applyAlignment="1">
      <alignment horizontal="center" vertical="center" wrapText="1"/>
    </xf>
    <xf numFmtId="167" fontId="37" fillId="2" borderId="7" xfId="4" applyNumberFormat="1" applyFont="1" applyFill="1" applyBorder="1" applyAlignment="1">
      <alignment horizontal="center" vertical="center" wrapText="1"/>
    </xf>
    <xf numFmtId="167" fontId="37" fillId="0" borderId="124" xfId="4" applyNumberFormat="1" applyFont="1" applyFill="1" applyBorder="1" applyAlignment="1">
      <alignment horizontal="center" vertical="center" wrapText="1"/>
    </xf>
    <xf numFmtId="167" fontId="37" fillId="0" borderId="2" xfId="4" applyNumberFormat="1" applyFont="1" applyFill="1" applyBorder="1" applyAlignment="1">
      <alignment horizontal="center" vertical="center" wrapText="1"/>
    </xf>
    <xf numFmtId="167" fontId="37" fillId="0" borderId="7" xfId="4" applyNumberFormat="1" applyFont="1" applyFill="1" applyBorder="1" applyAlignment="1">
      <alignment horizontal="center" vertical="center" wrapText="1"/>
    </xf>
    <xf numFmtId="168" fontId="30" fillId="6" borderId="1" xfId="0" applyNumberFormat="1" applyFont="1" applyFill="1" applyBorder="1" applyAlignment="1">
      <alignment horizontal="left" vertical="center"/>
    </xf>
    <xf numFmtId="0" fontId="34" fillId="0" borderId="2" xfId="0" applyFont="1" applyFill="1" applyBorder="1" applyAlignment="1">
      <alignment horizontal="center" vertical="center"/>
    </xf>
    <xf numFmtId="0" fontId="34" fillId="0" borderId="7" xfId="0" applyFont="1" applyFill="1" applyBorder="1" applyAlignment="1">
      <alignment horizontal="center" vertical="center"/>
    </xf>
    <xf numFmtId="168" fontId="30" fillId="0" borderId="1" xfId="0" applyNumberFormat="1" applyFont="1" applyFill="1" applyBorder="1" applyAlignment="1">
      <alignment horizontal="center" vertical="center"/>
    </xf>
    <xf numFmtId="0" fontId="29" fillId="2" borderId="4" xfId="4" applyFont="1" applyFill="1" applyBorder="1" applyAlignment="1">
      <alignment horizontal="left" vertical="top" wrapText="1"/>
    </xf>
    <xf numFmtId="0" fontId="30" fillId="3" borderId="4" xfId="0" applyFont="1" applyFill="1" applyBorder="1" applyAlignment="1">
      <alignment horizontal="left" vertical="center"/>
    </xf>
    <xf numFmtId="0" fontId="30" fillId="3" borderId="5" xfId="0" applyFont="1" applyFill="1" applyBorder="1" applyAlignment="1">
      <alignment horizontal="left" vertical="center"/>
    </xf>
    <xf numFmtId="0" fontId="30" fillId="3" borderId="6" xfId="0" applyFont="1" applyFill="1" applyBorder="1" applyAlignment="1">
      <alignment horizontal="left" vertical="center"/>
    </xf>
    <xf numFmtId="169" fontId="29" fillId="0" borderId="8" xfId="0" applyNumberFormat="1" applyFont="1" applyFill="1" applyBorder="1" applyAlignment="1">
      <alignment horizontal="center" vertical="center" wrapText="1"/>
    </xf>
    <xf numFmtId="49" fontId="29" fillId="0" borderId="8" xfId="0" applyNumberFormat="1" applyFont="1" applyFill="1" applyBorder="1" applyAlignment="1">
      <alignment horizontal="center" vertical="center" wrapText="1"/>
    </xf>
    <xf numFmtId="0" fontId="29" fillId="2" borderId="32" xfId="3" applyFont="1" applyFill="1" applyBorder="1" applyAlignment="1">
      <alignment horizontal="left" vertical="center" wrapText="1"/>
    </xf>
    <xf numFmtId="0" fontId="29" fillId="2" borderId="3" xfId="3" applyFont="1" applyFill="1" applyBorder="1" applyAlignment="1">
      <alignment horizontal="left" vertical="center" wrapText="1"/>
    </xf>
    <xf numFmtId="0" fontId="29" fillId="2" borderId="10" xfId="3" applyFont="1" applyFill="1" applyBorder="1" applyAlignment="1">
      <alignment horizontal="left" vertical="center" wrapText="1"/>
    </xf>
    <xf numFmtId="167" fontId="30" fillId="2" borderId="31" xfId="0" applyNumberFormat="1" applyFont="1" applyFill="1" applyBorder="1" applyAlignment="1">
      <alignment horizontal="center" vertical="center" wrapText="1"/>
    </xf>
    <xf numFmtId="170" fontId="30" fillId="2" borderId="31" xfId="17" applyNumberFormat="1" applyFont="1" applyFill="1" applyBorder="1" applyAlignment="1">
      <alignment horizontal="center" vertical="center" wrapText="1"/>
    </xf>
    <xf numFmtId="170" fontId="30" fillId="2" borderId="7" xfId="17" applyNumberFormat="1" applyFont="1" applyFill="1" applyBorder="1" applyAlignment="1">
      <alignment horizontal="center" vertical="center" wrapText="1"/>
    </xf>
    <xf numFmtId="0" fontId="29" fillId="0" borderId="2" xfId="4" applyFont="1" applyFill="1" applyBorder="1" applyAlignment="1">
      <alignment horizontal="left" vertical="center" wrapText="1"/>
    </xf>
    <xf numFmtId="169" fontId="29" fillId="2" borderId="31" xfId="0" applyNumberFormat="1" applyFont="1" applyFill="1" applyBorder="1" applyAlignment="1">
      <alignment horizontal="center" vertical="center" wrapText="1"/>
    </xf>
    <xf numFmtId="168" fontId="30" fillId="2" borderId="31" xfId="0" applyNumberFormat="1" applyFont="1" applyFill="1" applyBorder="1" applyAlignment="1">
      <alignment horizontal="center" vertical="center"/>
    </xf>
    <xf numFmtId="167" fontId="30" fillId="2" borderId="31" xfId="3" applyNumberFormat="1" applyFont="1" applyFill="1" applyBorder="1" applyAlignment="1">
      <alignment horizontal="center" vertical="center" wrapText="1"/>
    </xf>
    <xf numFmtId="167" fontId="30" fillId="2" borderId="2" xfId="3" applyNumberFormat="1" applyFont="1" applyFill="1" applyBorder="1" applyAlignment="1">
      <alignment horizontal="center" vertical="center" wrapText="1"/>
    </xf>
    <xf numFmtId="167" fontId="30" fillId="2" borderId="7" xfId="3" applyNumberFormat="1" applyFont="1" applyFill="1" applyBorder="1" applyAlignment="1">
      <alignment horizontal="center" vertical="center" wrapText="1"/>
    </xf>
    <xf numFmtId="168" fontId="30" fillId="2" borderId="31" xfId="0" applyNumberFormat="1" applyFont="1" applyFill="1" applyBorder="1" applyAlignment="1">
      <alignment horizontal="center" vertical="center" wrapText="1"/>
    </xf>
    <xf numFmtId="169" fontId="30" fillId="2" borderId="31" xfId="0" applyNumberFormat="1" applyFont="1" applyFill="1" applyBorder="1" applyAlignment="1">
      <alignment horizontal="center" vertical="center"/>
    </xf>
    <xf numFmtId="0" fontId="29" fillId="3" borderId="4" xfId="3" applyFont="1" applyFill="1" applyBorder="1" applyAlignment="1">
      <alignment horizontal="center" vertical="top" wrapText="1"/>
    </xf>
    <xf numFmtId="0" fontId="29" fillId="3" borderId="5" xfId="3" applyFont="1" applyFill="1" applyBorder="1" applyAlignment="1">
      <alignment horizontal="center" vertical="top" wrapText="1"/>
    </xf>
    <xf numFmtId="0" fontId="29" fillId="3" borderId="6" xfId="3" applyFont="1" applyFill="1" applyBorder="1" applyAlignment="1">
      <alignment horizontal="center" vertical="top" wrapText="1"/>
    </xf>
    <xf numFmtId="166" fontId="29" fillId="0" borderId="31" xfId="0" applyNumberFormat="1" applyFont="1" applyFill="1" applyBorder="1" applyAlignment="1">
      <alignment horizontal="center" vertical="center" wrapText="1"/>
    </xf>
    <xf numFmtId="166" fontId="29" fillId="0" borderId="2" xfId="0" applyNumberFormat="1" applyFont="1" applyFill="1" applyBorder="1" applyAlignment="1">
      <alignment horizontal="center" vertical="center" wrapText="1"/>
    </xf>
    <xf numFmtId="166" fontId="29" fillId="0" borderId="7" xfId="0" applyNumberFormat="1" applyFont="1" applyFill="1" applyBorder="1" applyAlignment="1">
      <alignment horizontal="center" vertical="center" wrapText="1"/>
    </xf>
    <xf numFmtId="169" fontId="30" fillId="3" borderId="4" xfId="0" applyNumberFormat="1" applyFont="1" applyFill="1" applyBorder="1" applyAlignment="1">
      <alignment horizontal="left" vertical="center"/>
    </xf>
    <xf numFmtId="169" fontId="30" fillId="3" borderId="5" xfId="0" applyNumberFormat="1" applyFont="1" applyFill="1" applyBorder="1" applyAlignment="1">
      <alignment horizontal="left" vertical="center"/>
    </xf>
    <xf numFmtId="169" fontId="30" fillId="3" borderId="6" xfId="0" applyNumberFormat="1" applyFont="1" applyFill="1" applyBorder="1" applyAlignment="1">
      <alignment horizontal="left" vertical="center"/>
    </xf>
    <xf numFmtId="169" fontId="30" fillId="2" borderId="31" xfId="0" applyNumberFormat="1" applyFont="1" applyFill="1" applyBorder="1" applyAlignment="1">
      <alignment horizontal="center" vertical="center" wrapText="1"/>
    </xf>
    <xf numFmtId="0" fontId="30" fillId="6" borderId="4" xfId="0" applyFont="1" applyFill="1" applyBorder="1" applyAlignment="1">
      <alignment horizontal="left" vertical="top" wrapText="1"/>
    </xf>
    <xf numFmtId="0" fontId="30" fillId="6" borderId="5" xfId="0" applyFont="1" applyFill="1" applyBorder="1" applyAlignment="1">
      <alignment horizontal="left" vertical="top" wrapText="1"/>
    </xf>
    <xf numFmtId="0" fontId="30" fillId="6" borderId="6" xfId="0" applyFont="1" applyFill="1" applyBorder="1" applyAlignment="1">
      <alignment horizontal="left" vertical="top" wrapText="1"/>
    </xf>
    <xf numFmtId="168" fontId="29" fillId="0" borderId="124" xfId="0" applyNumberFormat="1" applyFont="1" applyBorder="1" applyAlignment="1">
      <alignment horizontal="center" vertical="center"/>
    </xf>
    <xf numFmtId="0" fontId="29" fillId="0" borderId="2" xfId="0" applyFont="1" applyFill="1" applyBorder="1" applyAlignment="1">
      <alignment horizontal="center" vertical="top"/>
    </xf>
    <xf numFmtId="0" fontId="30" fillId="0" borderId="58" xfId="0" applyFont="1" applyFill="1" applyBorder="1" applyAlignment="1">
      <alignment horizontal="center" vertical="top"/>
    </xf>
    <xf numFmtId="0" fontId="30" fillId="0" borderId="10" xfId="0" applyFont="1" applyFill="1" applyBorder="1" applyAlignment="1">
      <alignment horizontal="center" vertical="top"/>
    </xf>
    <xf numFmtId="0" fontId="29" fillId="31" borderId="0" xfId="0" applyFont="1" applyFill="1" applyAlignment="1">
      <alignment horizontal="right" vertical="center" wrapText="1"/>
    </xf>
    <xf numFmtId="167" fontId="29" fillId="2" borderId="31" xfId="3" applyNumberFormat="1" applyFont="1" applyFill="1" applyBorder="1" applyAlignment="1">
      <alignment horizontal="center" vertical="center" wrapText="1"/>
    </xf>
    <xf numFmtId="167" fontId="29" fillId="2" borderId="7" xfId="3" applyNumberFormat="1" applyFont="1" applyFill="1" applyBorder="1" applyAlignment="1">
      <alignment horizontal="center" vertical="center" wrapText="1"/>
    </xf>
  </cellXfs>
  <cellStyles count="251">
    <cellStyle name="20% - Accent1" xfId="64"/>
    <cellStyle name="20% - Accent2" xfId="65"/>
    <cellStyle name="20% - Accent3" xfId="66"/>
    <cellStyle name="20% - Accent4" xfId="67"/>
    <cellStyle name="20% - Accent5" xfId="68"/>
    <cellStyle name="20% - Accent6" xfId="69"/>
    <cellStyle name="40% - Accent1" xfId="70"/>
    <cellStyle name="40% - Accent2" xfId="71"/>
    <cellStyle name="40% - Accent3" xfId="72"/>
    <cellStyle name="40% - Accent4" xfId="73"/>
    <cellStyle name="40% - Accent5" xfId="74"/>
    <cellStyle name="40% - Accent6" xfId="75"/>
    <cellStyle name="60% - Accent1" xfId="76"/>
    <cellStyle name="60% - Accent2" xfId="77"/>
    <cellStyle name="60% - Accent3" xfId="78"/>
    <cellStyle name="60% - Accent4" xfId="79"/>
    <cellStyle name="60% - Accent5" xfId="80"/>
    <cellStyle name="60% - Accent6" xfId="81"/>
    <cellStyle name="Accent1" xfId="82"/>
    <cellStyle name="Accent2" xfId="83"/>
    <cellStyle name="Accent3" xfId="84"/>
    <cellStyle name="Accent4" xfId="85"/>
    <cellStyle name="Accent5" xfId="86"/>
    <cellStyle name="Accent6" xfId="87"/>
    <cellStyle name="Bad" xfId="88"/>
    <cellStyle name="Calculation" xfId="89"/>
    <cellStyle name="Calculation 10" xfId="213"/>
    <cellStyle name="Calculation 11" xfId="241"/>
    <cellStyle name="Calculation 12" xfId="158"/>
    <cellStyle name="Calculation 13" xfId="222"/>
    <cellStyle name="Calculation 14" xfId="206"/>
    <cellStyle name="Calculation 15" xfId="240"/>
    <cellStyle name="Calculation 16" xfId="203"/>
    <cellStyle name="Calculation 17" xfId="184"/>
    <cellStyle name="Calculation 2" xfId="189"/>
    <cellStyle name="Calculation 3" xfId="161"/>
    <cellStyle name="Calculation 4" xfId="160"/>
    <cellStyle name="Calculation 5" xfId="201"/>
    <cellStyle name="Calculation 6" xfId="159"/>
    <cellStyle name="Calculation 7" xfId="188"/>
    <cellStyle name="Calculation 8" xfId="163"/>
    <cellStyle name="Calculation 9" xfId="182"/>
    <cellStyle name="Check Cell" xfId="90"/>
    <cellStyle name="Explanatory Text" xfId="91"/>
    <cellStyle name="Good" xfId="92"/>
    <cellStyle name="Heading 1" xfId="93"/>
    <cellStyle name="Heading 2" xfId="94"/>
    <cellStyle name="Heading 3" xfId="95"/>
    <cellStyle name="Heading 4" xfId="96"/>
    <cellStyle name="Input" xfId="97"/>
    <cellStyle name="Input 10" xfId="205"/>
    <cellStyle name="Input 11" xfId="185"/>
    <cellStyle name="Input 12" xfId="164"/>
    <cellStyle name="Input 13" xfId="246"/>
    <cellStyle name="Input 14" xfId="234"/>
    <cellStyle name="Input 15" xfId="207"/>
    <cellStyle name="Input 16" xfId="248"/>
    <cellStyle name="Input 17" xfId="242"/>
    <cellStyle name="Input 2" xfId="193"/>
    <cellStyle name="Input 3" xfId="218"/>
    <cellStyle name="Input 4" xfId="227"/>
    <cellStyle name="Input 5" xfId="177"/>
    <cellStyle name="Input 6" xfId="228"/>
    <cellStyle name="Input 7" xfId="168"/>
    <cellStyle name="Input 8" xfId="204"/>
    <cellStyle name="Input 9" xfId="223"/>
    <cellStyle name="Linked Cell" xfId="98"/>
    <cellStyle name="Neutral" xfId="99"/>
    <cellStyle name="Normal 4" xfId="10"/>
    <cellStyle name="Note" xfId="100"/>
    <cellStyle name="Note 10" xfId="186"/>
    <cellStyle name="Note 11" xfId="179"/>
    <cellStyle name="Note 12" xfId="173"/>
    <cellStyle name="Note 13" xfId="183"/>
    <cellStyle name="Note 14" xfId="194"/>
    <cellStyle name="Note 15" xfId="216"/>
    <cellStyle name="Note 16" xfId="247"/>
    <cellStyle name="Note 17" xfId="157"/>
    <cellStyle name="Note 18" xfId="171"/>
    <cellStyle name="Note 2" xfId="195"/>
    <cellStyle name="Note 3" xfId="180"/>
    <cellStyle name="Note 4" xfId="208"/>
    <cellStyle name="Note 5" xfId="210"/>
    <cellStyle name="Note 6" xfId="232"/>
    <cellStyle name="Note 7" xfId="162"/>
    <cellStyle name="Note 8" xfId="214"/>
    <cellStyle name="Note 9" xfId="200"/>
    <cellStyle name="Output" xfId="101"/>
    <cellStyle name="Output 10" xfId="202"/>
    <cellStyle name="Output 11" xfId="165"/>
    <cellStyle name="Output 12" xfId="175"/>
    <cellStyle name="Output 13" xfId="197"/>
    <cellStyle name="Output 14" xfId="169"/>
    <cellStyle name="Output 15" xfId="233"/>
    <cellStyle name="Output 16" xfId="226"/>
    <cellStyle name="Output 17" xfId="172"/>
    <cellStyle name="Output 18" xfId="244"/>
    <cellStyle name="Output 2" xfId="196"/>
    <cellStyle name="Output 3" xfId="224"/>
    <cellStyle name="Output 4" xfId="170"/>
    <cellStyle name="Output 5" xfId="178"/>
    <cellStyle name="Output 6" xfId="176"/>
    <cellStyle name="Output 7" xfId="199"/>
    <cellStyle name="Output 8" xfId="191"/>
    <cellStyle name="Output 9" xfId="211"/>
    <cellStyle name="Title" xfId="102"/>
    <cellStyle name="Total" xfId="103"/>
    <cellStyle name="Total 10" xfId="190"/>
    <cellStyle name="Total 11" xfId="245"/>
    <cellStyle name="Total 12" xfId="167"/>
    <cellStyle name="Total 13" xfId="235"/>
    <cellStyle name="Total 14" xfId="249"/>
    <cellStyle name="Total 15" xfId="187"/>
    <cellStyle name="Total 16" xfId="250"/>
    <cellStyle name="Total 17" xfId="231"/>
    <cellStyle name="Total 18" xfId="239"/>
    <cellStyle name="Total 2" xfId="198"/>
    <cellStyle name="Total 3" xfId="225"/>
    <cellStyle name="Total 4" xfId="220"/>
    <cellStyle name="Total 5" xfId="166"/>
    <cellStyle name="Total 6" xfId="219"/>
    <cellStyle name="Total 7" xfId="230"/>
    <cellStyle name="Total 8" xfId="238"/>
    <cellStyle name="Total 9" xfId="243"/>
    <cellStyle name="Warning Text" xfId="104"/>
    <cellStyle name="Денежный 2" xfId="16"/>
    <cellStyle name="Обычный" xfId="0" builtinId="0"/>
    <cellStyle name="Обычный 10" xfId="153"/>
    <cellStyle name="Обычный 10 2" xfId="152"/>
    <cellStyle name="Обычный 2" xfId="3"/>
    <cellStyle name="Обычный 2 2" xfId="18"/>
    <cellStyle name="Обычный 2 2 2" xfId="106"/>
    <cellStyle name="Обычный 2 2 3" xfId="148"/>
    <cellStyle name="Обычный 2 3" xfId="19"/>
    <cellStyle name="Обычный 2 4" xfId="105"/>
    <cellStyle name="Обычный 2 5" xfId="217"/>
    <cellStyle name="Обычный 2_09.04.2014_Programme budget 2014_Education_Modified" xfId="4"/>
    <cellStyle name="Обычный 2_Бюджетный циркуляр 2015г.Нацстат" xfId="156"/>
    <cellStyle name="Обычный 3" xfId="6"/>
    <cellStyle name="Обычный 3 2" xfId="20"/>
    <cellStyle name="Обычный 3 3" xfId="21"/>
    <cellStyle name="Обычный 3 3 2" xfId="22"/>
    <cellStyle name="Обычный 3 3 2 2" xfId="5"/>
    <cellStyle name="Обычный 3 3 2 2 2" xfId="46"/>
    <cellStyle name="Обычный 3 3 2 2 3" xfId="110"/>
    <cellStyle name="Обычный 3 3 2 3" xfId="45"/>
    <cellStyle name="Обычный 3 3 2 4" xfId="109"/>
    <cellStyle name="Обычный 3 3 2_09.04.2014_Programme budget 2014_Education_Modified" xfId="111"/>
    <cellStyle name="Обычный 3 3 3" xfId="23"/>
    <cellStyle name="Обычный 3 3 3 2" xfId="47"/>
    <cellStyle name="Обычный 3 3 3 3" xfId="112"/>
    <cellStyle name="Обычный 3 3 4" xfId="44"/>
    <cellStyle name="Обычный 3 3 5" xfId="108"/>
    <cellStyle name="Обычный 3 3_09.04.2014_Programme budget 2014_Education_Modified" xfId="113"/>
    <cellStyle name="Обычный 3 4" xfId="24"/>
    <cellStyle name="Обычный 3 4 2" xfId="25"/>
    <cellStyle name="Обычный 3 4 2 2" xfId="49"/>
    <cellStyle name="Обычный 3 4 2 3" xfId="115"/>
    <cellStyle name="Обычный 3 4 3" xfId="48"/>
    <cellStyle name="Обычный 3 4 4" xfId="114"/>
    <cellStyle name="Обычный 3 4_09.04.2014_Programme budget 2014_Education_Modified" xfId="116"/>
    <cellStyle name="Обычный 3 5" xfId="26"/>
    <cellStyle name="Обычный 3 5 2" xfId="50"/>
    <cellStyle name="Обычный 3 5 3" xfId="117"/>
    <cellStyle name="Обычный 3 6" xfId="43"/>
    <cellStyle name="Обычный 3 7" xfId="107"/>
    <cellStyle name="Обычный 3_09.04.2014_Programme budget 2014_Education_Modified" xfId="118"/>
    <cellStyle name="Обычный 4" xfId="9"/>
    <cellStyle name="Обычный 4 2" xfId="28"/>
    <cellStyle name="Обычный 4 2 2" xfId="29"/>
    <cellStyle name="Обычный 4 2 2 2" xfId="53"/>
    <cellStyle name="Обычный 4 2 2 3" xfId="121"/>
    <cellStyle name="Обычный 4 2 3" xfId="52"/>
    <cellStyle name="Обычный 4 2 4" xfId="120"/>
    <cellStyle name="Обычный 4 2 5" xfId="146"/>
    <cellStyle name="Обычный 4 2_09.04.2014_Programme budget 2014_Education_Modified" xfId="122"/>
    <cellStyle name="Обычный 4 3" xfId="30"/>
    <cellStyle name="Обычный 4 3 2" xfId="54"/>
    <cellStyle name="Обычный 4 3 3" xfId="123"/>
    <cellStyle name="Обычный 4 4" xfId="51"/>
    <cellStyle name="Обычный 4 5" xfId="27"/>
    <cellStyle name="Обычный 4 6" xfId="119"/>
    <cellStyle name="Обычный 4_09.04.2014_Programme budget 2014_Education_Modified" xfId="124"/>
    <cellStyle name="Обычный 5" xfId="7"/>
    <cellStyle name="Обычный 5 2" xfId="15"/>
    <cellStyle name="Обычный 5 3" xfId="125"/>
    <cellStyle name="Обычный 5 4" xfId="144"/>
    <cellStyle name="Обычный 6" xfId="14"/>
    <cellStyle name="Обычный 6 2" xfId="32"/>
    <cellStyle name="Обычный 6 2 2" xfId="33"/>
    <cellStyle name="Обычный 6 2 2 2" xfId="57"/>
    <cellStyle name="Обычный 6 2 2 3" xfId="128"/>
    <cellStyle name="Обычный 6 2 3" xfId="56"/>
    <cellStyle name="Обычный 6 2 4" xfId="127"/>
    <cellStyle name="Обычный 6 2_09.04.2014_Programme budget 2014_Education_Modified" xfId="129"/>
    <cellStyle name="Обычный 6 3" xfId="34"/>
    <cellStyle name="Обычный 6 3 2" xfId="58"/>
    <cellStyle name="Обычный 6 3 3" xfId="130"/>
    <cellStyle name="Обычный 6 4" xfId="55"/>
    <cellStyle name="Обычный 6 5" xfId="31"/>
    <cellStyle name="Обычный 6 6" xfId="126"/>
    <cellStyle name="Обычный 6_09.04.2014_Programme budget 2014_Education_Modified" xfId="131"/>
    <cellStyle name="Обычный 7" xfId="138"/>
    <cellStyle name="Обычный 8" xfId="139"/>
    <cellStyle name="Обычный 9" xfId="142"/>
    <cellStyle name="Обычный_Таблицы СПБ_ 2015-2017_МТММ_12.04.2014" xfId="155"/>
    <cellStyle name="Процентный" xfId="2" builtinId="5"/>
    <cellStyle name="Процентный 2" xfId="11"/>
    <cellStyle name="Процентный 2 2" xfId="36"/>
    <cellStyle name="Процентный 2 3" xfId="35"/>
    <cellStyle name="Процентный 2 4" xfId="140"/>
    <cellStyle name="Процентный 3" xfId="12"/>
    <cellStyle name="Процентный 4" xfId="17"/>
    <cellStyle name="Процентный 5" xfId="137"/>
    <cellStyle name="Стиль 1" xfId="63"/>
    <cellStyle name="Стиль 1 10" xfId="212"/>
    <cellStyle name="Стиль 1 11" xfId="192"/>
    <cellStyle name="Стиль 1 2" xfId="181"/>
    <cellStyle name="Стиль 1 3" xfId="209"/>
    <cellStyle name="Стиль 1 4" xfId="174"/>
    <cellStyle name="Стиль 1 5" xfId="229"/>
    <cellStyle name="Стиль 1 6" xfId="237"/>
    <cellStyle name="Стиль 1 7" xfId="215"/>
    <cellStyle name="Стиль 1 8" xfId="236"/>
    <cellStyle name="Стиль 1 9" xfId="221"/>
    <cellStyle name="Финансовый" xfId="1" builtinId="3"/>
    <cellStyle name="Финансовый 2" xfId="13"/>
    <cellStyle name="Финансовый 2 2" xfId="38"/>
    <cellStyle name="Финансовый 2 2 2" xfId="39"/>
    <cellStyle name="Финансовый 2 2 2 2" xfId="40"/>
    <cellStyle name="Финансовый 2 2 2 2 2" xfId="61"/>
    <cellStyle name="Финансовый 2 2 2 2 3" xfId="134"/>
    <cellStyle name="Финансовый 2 2 2 3" xfId="60"/>
    <cellStyle name="Финансовый 2 2 2 4" xfId="133"/>
    <cellStyle name="Финансовый 2 2 3" xfId="41"/>
    <cellStyle name="Финансовый 2 2 3 2" xfId="62"/>
    <cellStyle name="Финансовый 2 2 3 3" xfId="135"/>
    <cellStyle name="Финансовый 2 2 4" xfId="59"/>
    <cellStyle name="Финансовый 2 2 5" xfId="132"/>
    <cellStyle name="Финансовый 2 3" xfId="37"/>
    <cellStyle name="Финансовый 2 4" xfId="141"/>
    <cellStyle name="Финансовый 3" xfId="8"/>
    <cellStyle name="Финансовый 3 2" xfId="42"/>
    <cellStyle name="Финансовый 3 3" xfId="145"/>
    <cellStyle name="Финансовый 3 4" xfId="147"/>
    <cellStyle name="Финансовый 4" xfId="136"/>
    <cellStyle name="Финансовый 4 2" xfId="143"/>
    <cellStyle name="Финансовый 4 3" xfId="151"/>
    <cellStyle name="Финансовый 5" xfId="149"/>
    <cellStyle name="Финансовый 6" xfId="150"/>
    <cellStyle name="Финансовый 7" xfId="1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2021"/>
  <sheetViews>
    <sheetView tabSelected="1" topLeftCell="A2001" zoomScale="80" zoomScaleNormal="80" workbookViewId="0">
      <selection activeCell="Q2021" sqref="A1:Q2021"/>
    </sheetView>
  </sheetViews>
  <sheetFormatPr defaultRowHeight="15" x14ac:dyDescent="0.25"/>
  <cols>
    <col min="1" max="1" width="0.140625" style="405" customWidth="1"/>
    <col min="2" max="2" width="11.85546875" style="436" customWidth="1"/>
    <col min="3" max="3" width="9.28515625" style="14" bestFit="1" customWidth="1"/>
    <col min="4" max="4" width="9.42578125" style="109" bestFit="1" customWidth="1"/>
    <col min="5" max="5" width="48" style="109" customWidth="1"/>
    <col min="6" max="6" width="16.140625" style="14" customWidth="1"/>
    <col min="7" max="7" width="17.42578125" style="14" customWidth="1"/>
    <col min="8" max="8" width="19" style="14" customWidth="1"/>
    <col min="9" max="9" width="19.140625" style="14" customWidth="1"/>
    <col min="10" max="10" width="19" style="14" customWidth="1"/>
    <col min="11" max="11" width="48.140625" style="109" customWidth="1"/>
    <col min="12" max="12" width="11.42578125" style="109" customWidth="1"/>
    <col min="13" max="13" width="10" style="109" customWidth="1"/>
    <col min="14" max="14" width="11.5703125" style="109" customWidth="1"/>
    <col min="15" max="15" width="15.5703125" style="109" bestFit="1" customWidth="1"/>
    <col min="16" max="16" width="11.85546875" style="109" customWidth="1"/>
    <col min="17" max="17" width="15.28515625" style="109" customWidth="1"/>
    <col min="18" max="16384" width="9.140625" style="109"/>
  </cols>
  <sheetData>
    <row r="1" spans="1:17" hidden="1" x14ac:dyDescent="0.25">
      <c r="K1" s="1622"/>
      <c r="L1" s="1622"/>
      <c r="M1" s="1622"/>
      <c r="N1" s="1622"/>
      <c r="O1" s="1622"/>
      <c r="P1" s="1622"/>
      <c r="Q1" s="1622"/>
    </row>
    <row r="2" spans="1:17" ht="15" hidden="1" customHeight="1" x14ac:dyDescent="0.25">
      <c r="I2" s="161" t="s">
        <v>33</v>
      </c>
      <c r="K2" s="1622"/>
      <c r="L2" s="1622"/>
      <c r="M2" s="1622"/>
      <c r="N2" s="1622"/>
      <c r="O2" s="1622"/>
      <c r="P2" s="1622"/>
      <c r="Q2" s="1622"/>
    </row>
    <row r="3" spans="1:17" ht="15" hidden="1" customHeight="1" x14ac:dyDescent="0.25">
      <c r="K3" s="1622"/>
      <c r="L3" s="1622"/>
      <c r="M3" s="1622"/>
      <c r="N3" s="1622"/>
      <c r="O3" s="1622"/>
      <c r="P3" s="1622"/>
      <c r="Q3" s="1622"/>
    </row>
    <row r="4" spans="1:17" x14ac:dyDescent="0.25">
      <c r="K4" s="1622"/>
      <c r="L4" s="1622"/>
      <c r="M4" s="1622"/>
      <c r="N4" s="1622"/>
      <c r="O4" s="1622"/>
      <c r="P4" s="1622"/>
      <c r="Q4" s="1622"/>
    </row>
    <row r="5" spans="1:17" ht="101.25" customHeight="1" x14ac:dyDescent="0.25">
      <c r="A5" s="406"/>
      <c r="B5" s="6"/>
      <c r="C5" s="325"/>
      <c r="D5" s="8"/>
      <c r="E5" s="9"/>
      <c r="K5" s="2451" t="s">
        <v>3161</v>
      </c>
      <c r="L5" s="2451"/>
      <c r="M5" s="2451"/>
      <c r="N5" s="2451"/>
      <c r="O5" s="2451"/>
      <c r="P5" s="2451"/>
      <c r="Q5" s="2451"/>
    </row>
    <row r="6" spans="1:17" ht="15" customHeight="1" x14ac:dyDescent="0.25">
      <c r="A6" s="2326" t="s">
        <v>0</v>
      </c>
      <c r="B6" s="2326"/>
      <c r="C6" s="2326"/>
      <c r="D6" s="2326"/>
      <c r="E6" s="2326"/>
      <c r="P6" s="26"/>
      <c r="Q6" s="1623"/>
    </row>
    <row r="7" spans="1:17" ht="10.5" customHeight="1" x14ac:dyDescent="0.25"/>
    <row r="8" spans="1:17" ht="15" customHeight="1" x14ac:dyDescent="0.25">
      <c r="A8" s="2327" t="s">
        <v>137</v>
      </c>
      <c r="B8" s="2318" t="s">
        <v>1</v>
      </c>
      <c r="C8" s="2328" t="s">
        <v>2</v>
      </c>
      <c r="D8" s="2329" t="s">
        <v>3</v>
      </c>
      <c r="E8" s="1630" t="s">
        <v>421</v>
      </c>
      <c r="F8" s="2316" t="s">
        <v>422</v>
      </c>
      <c r="G8" s="2317"/>
      <c r="H8" s="2317"/>
      <c r="I8" s="2317"/>
      <c r="J8" s="1999"/>
      <c r="K8" s="2333" t="s">
        <v>429</v>
      </c>
      <c r="L8" s="2334" t="s">
        <v>430</v>
      </c>
      <c r="M8" s="2334"/>
      <c r="N8" s="2319" t="s">
        <v>431</v>
      </c>
      <c r="O8" s="2320"/>
      <c r="P8" s="2320"/>
      <c r="Q8" s="2321"/>
    </row>
    <row r="9" spans="1:17" x14ac:dyDescent="0.25">
      <c r="A9" s="2327"/>
      <c r="B9" s="2318"/>
      <c r="C9" s="2328"/>
      <c r="D9" s="2329"/>
      <c r="E9" s="1630"/>
      <c r="F9" s="2314" t="s">
        <v>423</v>
      </c>
      <c r="G9" s="2315"/>
      <c r="H9" s="2315"/>
      <c r="I9" s="2315"/>
      <c r="J9" s="1864"/>
      <c r="K9" s="1702"/>
      <c r="L9" s="2057"/>
      <c r="M9" s="2056"/>
      <c r="N9" s="2322"/>
      <c r="O9" s="2323"/>
      <c r="P9" s="2323"/>
      <c r="Q9" s="2324"/>
    </row>
    <row r="10" spans="1:17" x14ac:dyDescent="0.25">
      <c r="A10" s="2327"/>
      <c r="B10" s="2318"/>
      <c r="C10" s="2328"/>
      <c r="D10" s="2329"/>
      <c r="E10" s="1630"/>
      <c r="F10" s="233" t="s">
        <v>428</v>
      </c>
      <c r="G10" s="233" t="s">
        <v>427</v>
      </c>
      <c r="H10" s="233" t="s">
        <v>424</v>
      </c>
      <c r="I10" s="233" t="s">
        <v>425</v>
      </c>
      <c r="J10" s="233" t="s">
        <v>426</v>
      </c>
      <c r="K10" s="1703"/>
      <c r="L10" s="2056"/>
      <c r="M10" s="156" t="s">
        <v>432</v>
      </c>
      <c r="N10" s="156" t="s">
        <v>433</v>
      </c>
      <c r="O10" s="156" t="s">
        <v>434</v>
      </c>
      <c r="P10" s="156" t="s">
        <v>435</v>
      </c>
      <c r="Q10" s="156" t="s">
        <v>436</v>
      </c>
    </row>
    <row r="11" spans="1:17" ht="19.5" customHeight="1" thickBot="1" x14ac:dyDescent="0.3">
      <c r="A11" s="1648" t="s">
        <v>414</v>
      </c>
      <c r="B11" s="1649"/>
      <c r="C11" s="1649"/>
      <c r="D11" s="1649"/>
      <c r="E11" s="1649"/>
      <c r="F11" s="1649"/>
      <c r="G11" s="1649"/>
      <c r="H11" s="1649"/>
      <c r="I11" s="1649"/>
      <c r="J11" s="1649"/>
      <c r="K11" s="1649"/>
      <c r="L11" s="1649"/>
      <c r="M11" s="1649"/>
      <c r="N11" s="1649"/>
      <c r="O11" s="1649"/>
      <c r="P11" s="1649"/>
      <c r="Q11" s="1650"/>
    </row>
    <row r="12" spans="1:17" s="110" customFormat="1" ht="99.75" x14ac:dyDescent="0.25">
      <c r="A12" s="402">
        <v>11</v>
      </c>
      <c r="B12" s="371">
        <v>1</v>
      </c>
      <c r="C12" s="309"/>
      <c r="D12" s="48"/>
      <c r="E12" s="291" t="s">
        <v>392</v>
      </c>
      <c r="F12" s="162">
        <v>201810.50000000003</v>
      </c>
      <c r="G12" s="162">
        <v>215271.99999999997</v>
      </c>
      <c r="H12" s="163">
        <f>H13+H14+H15+H16+H17+H18+H19+H20+H21</f>
        <v>257908.99999999997</v>
      </c>
      <c r="I12" s="162">
        <v>223871.19999999998</v>
      </c>
      <c r="J12" s="162">
        <v>226443.29999999996</v>
      </c>
      <c r="K12" s="1208" t="s">
        <v>437</v>
      </c>
      <c r="L12" s="219" t="s">
        <v>34</v>
      </c>
      <c r="M12" s="219"/>
      <c r="N12" s="219"/>
      <c r="O12" s="219"/>
      <c r="P12" s="219"/>
      <c r="Q12" s="219"/>
    </row>
    <row r="13" spans="1:17" s="110" customFormat="1" x14ac:dyDescent="0.25">
      <c r="A13" s="403"/>
      <c r="B13" s="360"/>
      <c r="C13" s="319">
        <v>1</v>
      </c>
      <c r="D13" s="204"/>
      <c r="E13" s="121" t="s">
        <v>393</v>
      </c>
      <c r="F13" s="273">
        <v>27811.4</v>
      </c>
      <c r="G13" s="273">
        <v>43796</v>
      </c>
      <c r="H13" s="572">
        <v>29957.8</v>
      </c>
      <c r="I13" s="79">
        <v>27559.3</v>
      </c>
      <c r="J13" s="79">
        <v>27788.7</v>
      </c>
      <c r="K13" s="1205" t="s">
        <v>438</v>
      </c>
      <c r="L13" s="247" t="s">
        <v>35</v>
      </c>
      <c r="M13" s="286">
        <v>100</v>
      </c>
      <c r="N13" s="286">
        <v>100</v>
      </c>
      <c r="O13" s="286">
        <v>100</v>
      </c>
      <c r="P13" s="286">
        <v>100</v>
      </c>
      <c r="Q13" s="286">
        <v>100</v>
      </c>
    </row>
    <row r="14" spans="1:17" s="110" customFormat="1" ht="30" x14ac:dyDescent="0.25">
      <c r="A14" s="403"/>
      <c r="B14" s="393"/>
      <c r="C14" s="326">
        <v>2</v>
      </c>
      <c r="D14" s="204"/>
      <c r="E14" s="1149" t="s">
        <v>394</v>
      </c>
      <c r="F14" s="273">
        <v>11941.9</v>
      </c>
      <c r="G14" s="273">
        <v>11732.4</v>
      </c>
      <c r="H14" s="572">
        <v>14239.5</v>
      </c>
      <c r="I14" s="79">
        <v>13642</v>
      </c>
      <c r="J14" s="79">
        <v>13760.4</v>
      </c>
      <c r="K14" s="1205" t="s">
        <v>439</v>
      </c>
      <c r="L14" s="247" t="s">
        <v>34</v>
      </c>
      <c r="M14" s="286">
        <v>95</v>
      </c>
      <c r="N14" s="286">
        <v>100</v>
      </c>
      <c r="O14" s="286">
        <v>100</v>
      </c>
      <c r="P14" s="286">
        <v>100</v>
      </c>
      <c r="Q14" s="286">
        <v>100</v>
      </c>
    </row>
    <row r="15" spans="1:17" s="110" customFormat="1" ht="30" x14ac:dyDescent="0.25">
      <c r="A15" s="403"/>
      <c r="B15" s="393"/>
      <c r="C15" s="326">
        <v>3</v>
      </c>
      <c r="D15" s="204"/>
      <c r="E15" s="1149" t="s">
        <v>395</v>
      </c>
      <c r="F15" s="273">
        <v>7908.3</v>
      </c>
      <c r="G15" s="273">
        <v>7551.9</v>
      </c>
      <c r="H15" s="572">
        <v>8203.2000000000007</v>
      </c>
      <c r="I15" s="79">
        <v>7543.4</v>
      </c>
      <c r="J15" s="79">
        <v>7571.9</v>
      </c>
      <c r="K15" s="50" t="s">
        <v>440</v>
      </c>
      <c r="L15" s="247" t="s">
        <v>34</v>
      </c>
      <c r="M15" s="286"/>
      <c r="N15" s="286"/>
      <c r="O15" s="286"/>
      <c r="P15" s="286"/>
      <c r="Q15" s="286"/>
    </row>
    <row r="16" spans="1:17" s="110" customFormat="1" ht="30" x14ac:dyDescent="0.25">
      <c r="A16" s="403"/>
      <c r="B16" s="393"/>
      <c r="C16" s="326">
        <v>4</v>
      </c>
      <c r="D16" s="204"/>
      <c r="E16" s="1149" t="s">
        <v>396</v>
      </c>
      <c r="F16" s="273">
        <v>18945.599999999999</v>
      </c>
      <c r="G16" s="273">
        <v>18229.7</v>
      </c>
      <c r="H16" s="572">
        <v>19670.2</v>
      </c>
      <c r="I16" s="79">
        <v>18054.900000000001</v>
      </c>
      <c r="J16" s="79">
        <v>18136.900000000001</v>
      </c>
      <c r="K16" s="1205" t="s">
        <v>441</v>
      </c>
      <c r="L16" s="247" t="s">
        <v>78</v>
      </c>
      <c r="M16" s="286"/>
      <c r="N16" s="286"/>
      <c r="O16" s="286"/>
      <c r="P16" s="286"/>
      <c r="Q16" s="286"/>
    </row>
    <row r="17" spans="1:17" s="110" customFormat="1" ht="30" x14ac:dyDescent="0.25">
      <c r="A17" s="403"/>
      <c r="B17" s="393"/>
      <c r="C17" s="326">
        <v>5</v>
      </c>
      <c r="D17" s="204"/>
      <c r="E17" s="1235" t="s">
        <v>397</v>
      </c>
      <c r="F17" s="273">
        <v>21239.1</v>
      </c>
      <c r="G17" s="273">
        <v>19008</v>
      </c>
      <c r="H17" s="572">
        <v>34138.699999999997</v>
      </c>
      <c r="I17" s="79">
        <v>28119.9</v>
      </c>
      <c r="J17" s="79">
        <v>28592.2</v>
      </c>
      <c r="K17" s="1205" t="s">
        <v>442</v>
      </c>
      <c r="L17" s="247" t="s">
        <v>36</v>
      </c>
      <c r="M17" s="286"/>
      <c r="N17" s="286"/>
      <c r="O17" s="286"/>
      <c r="P17" s="286"/>
      <c r="Q17" s="286"/>
    </row>
    <row r="18" spans="1:17" s="110" customFormat="1" ht="45" x14ac:dyDescent="0.25">
      <c r="A18" s="403"/>
      <c r="B18" s="360"/>
      <c r="C18" s="317">
        <v>6</v>
      </c>
      <c r="D18" s="204"/>
      <c r="E18" s="1217" t="s">
        <v>398</v>
      </c>
      <c r="F18" s="273">
        <v>62185.599999999999</v>
      </c>
      <c r="G18" s="273">
        <v>60029.1</v>
      </c>
      <c r="H18" s="572">
        <v>67430.2</v>
      </c>
      <c r="I18" s="79">
        <v>75932.800000000003</v>
      </c>
      <c r="J18" s="79">
        <v>76893</v>
      </c>
      <c r="K18" s="1205" t="s">
        <v>443</v>
      </c>
      <c r="L18" s="247" t="s">
        <v>34</v>
      </c>
      <c r="M18" s="286"/>
      <c r="N18" s="286"/>
      <c r="O18" s="286"/>
      <c r="P18" s="286"/>
      <c r="Q18" s="286"/>
    </row>
    <row r="19" spans="1:17" s="110" customFormat="1" ht="45" x14ac:dyDescent="0.25">
      <c r="A19" s="403"/>
      <c r="B19" s="393"/>
      <c r="C19" s="326">
        <v>9</v>
      </c>
      <c r="D19" s="204"/>
      <c r="E19" s="1217" t="s">
        <v>399</v>
      </c>
      <c r="F19" s="246">
        <v>18729.2</v>
      </c>
      <c r="G19" s="246">
        <v>18301.3</v>
      </c>
      <c r="H19" s="572">
        <f>12137.3+7639.3</f>
        <v>19776.599999999999</v>
      </c>
      <c r="I19" s="79">
        <v>19434.099999999999</v>
      </c>
      <c r="J19" s="79">
        <v>19737.400000000001</v>
      </c>
      <c r="K19" s="1156" t="s">
        <v>444</v>
      </c>
      <c r="L19" s="245" t="s">
        <v>37</v>
      </c>
      <c r="M19" s="286">
        <v>230</v>
      </c>
      <c r="N19" s="286">
        <v>241</v>
      </c>
      <c r="O19" s="286">
        <v>251</v>
      </c>
      <c r="P19" s="286">
        <v>258</v>
      </c>
      <c r="Q19" s="286">
        <v>268</v>
      </c>
    </row>
    <row r="20" spans="1:17" s="110" customFormat="1" x14ac:dyDescent="0.25">
      <c r="A20" s="403"/>
      <c r="B20" s="360"/>
      <c r="C20" s="317">
        <v>10</v>
      </c>
      <c r="D20" s="204"/>
      <c r="E20" s="1217" t="s">
        <v>400</v>
      </c>
      <c r="F20" s="246">
        <v>32626.3</v>
      </c>
      <c r="G20" s="246">
        <v>36031.199999999997</v>
      </c>
      <c r="H20" s="572">
        <v>29620.799999999999</v>
      </c>
      <c r="I20" s="77">
        <v>33184.199999999997</v>
      </c>
      <c r="J20" s="77">
        <v>33546.9</v>
      </c>
      <c r="K20" s="1156" t="s">
        <v>445</v>
      </c>
      <c r="L20" s="245" t="s">
        <v>36</v>
      </c>
      <c r="M20" s="286">
        <v>53</v>
      </c>
      <c r="N20" s="286">
        <v>53</v>
      </c>
      <c r="O20" s="286">
        <v>53</v>
      </c>
      <c r="P20" s="286">
        <v>53</v>
      </c>
      <c r="Q20" s="286">
        <v>53</v>
      </c>
    </row>
    <row r="21" spans="1:17" s="110" customFormat="1" x14ac:dyDescent="0.25">
      <c r="A21" s="403"/>
      <c r="B21" s="360"/>
      <c r="C21" s="317">
        <v>11</v>
      </c>
      <c r="D21" s="204"/>
      <c r="E21" s="1217" t="s">
        <v>401</v>
      </c>
      <c r="F21" s="246">
        <v>423.1</v>
      </c>
      <c r="G21" s="246">
        <v>592.4</v>
      </c>
      <c r="H21" s="572">
        <v>34872</v>
      </c>
      <c r="I21" s="79">
        <v>400.6</v>
      </c>
      <c r="J21" s="79">
        <v>415.9</v>
      </c>
      <c r="K21" s="1156"/>
      <c r="L21" s="245"/>
      <c r="M21" s="286"/>
      <c r="N21" s="286"/>
      <c r="O21" s="286"/>
      <c r="P21" s="286"/>
      <c r="Q21" s="286"/>
    </row>
    <row r="22" spans="1:17" s="110" customFormat="1" ht="133.5" customHeight="1" x14ac:dyDescent="0.25">
      <c r="A22" s="403">
        <v>11</v>
      </c>
      <c r="B22" s="360">
        <v>2</v>
      </c>
      <c r="C22" s="327"/>
      <c r="D22" s="111"/>
      <c r="E22" s="460" t="s">
        <v>402</v>
      </c>
      <c r="F22" s="163">
        <v>158329.80000000002</v>
      </c>
      <c r="G22" s="163">
        <v>161863.90000000002</v>
      </c>
      <c r="H22" s="163">
        <f>H23+H24+H25+H27</f>
        <v>161416.5</v>
      </c>
      <c r="I22" s="163">
        <v>164908.69999999998</v>
      </c>
      <c r="J22" s="163">
        <v>165951.20000000001</v>
      </c>
      <c r="K22" s="1207" t="s">
        <v>446</v>
      </c>
      <c r="L22" s="112" t="s">
        <v>34</v>
      </c>
      <c r="M22" s="10"/>
      <c r="N22" s="10"/>
      <c r="O22" s="10"/>
      <c r="P22" s="10"/>
      <c r="Q22" s="10"/>
    </row>
    <row r="23" spans="1:17" s="110" customFormat="1" ht="60" x14ac:dyDescent="0.25">
      <c r="A23" s="403"/>
      <c r="B23" s="360"/>
      <c r="C23" s="317">
        <v>1</v>
      </c>
      <c r="D23" s="12"/>
      <c r="E23" s="1138" t="s">
        <v>403</v>
      </c>
      <c r="F23" s="246">
        <v>69144.3</v>
      </c>
      <c r="G23" s="246">
        <v>70838.600000000006</v>
      </c>
      <c r="H23" s="572">
        <v>73431.100000000006</v>
      </c>
      <c r="I23" s="273">
        <v>72709.3</v>
      </c>
      <c r="J23" s="273">
        <v>73129.5</v>
      </c>
      <c r="K23" s="1138" t="s">
        <v>447</v>
      </c>
      <c r="L23" s="113" t="s">
        <v>38</v>
      </c>
      <c r="M23" s="114">
        <v>11</v>
      </c>
      <c r="N23" s="114">
        <v>11</v>
      </c>
      <c r="O23" s="114">
        <v>11</v>
      </c>
      <c r="P23" s="114">
        <v>11</v>
      </c>
      <c r="Q23" s="114">
        <v>11</v>
      </c>
    </row>
    <row r="24" spans="1:17" s="110" customFormat="1" ht="37.5" customHeight="1" x14ac:dyDescent="0.25">
      <c r="A24" s="403"/>
      <c r="B24" s="360"/>
      <c r="C24" s="317">
        <v>2</v>
      </c>
      <c r="D24" s="12"/>
      <c r="E24" s="1138" t="s">
        <v>404</v>
      </c>
      <c r="F24" s="246">
        <v>77653.899999999994</v>
      </c>
      <c r="G24" s="246">
        <v>79067.100000000006</v>
      </c>
      <c r="H24" s="572">
        <v>75947.5</v>
      </c>
      <c r="I24" s="273">
        <v>79132.2</v>
      </c>
      <c r="J24" s="273">
        <v>79646.600000000006</v>
      </c>
      <c r="K24" s="1138" t="s">
        <v>448</v>
      </c>
      <c r="L24" s="113" t="s">
        <v>39</v>
      </c>
      <c r="M24" s="114">
        <v>10</v>
      </c>
      <c r="N24" s="114">
        <v>10</v>
      </c>
      <c r="O24" s="114">
        <v>10</v>
      </c>
      <c r="P24" s="114">
        <v>10</v>
      </c>
      <c r="Q24" s="114">
        <v>10</v>
      </c>
    </row>
    <row r="25" spans="1:17" s="110" customFormat="1" ht="30" x14ac:dyDescent="0.25">
      <c r="A25" s="2264"/>
      <c r="B25" s="2258"/>
      <c r="C25" s="2256">
        <v>3</v>
      </c>
      <c r="D25" s="2249"/>
      <c r="E25" s="2312" t="s">
        <v>405</v>
      </c>
      <c r="F25" s="2291">
        <v>5051</v>
      </c>
      <c r="G25" s="2291">
        <v>4854</v>
      </c>
      <c r="H25" s="1815">
        <v>4734.8999999999996</v>
      </c>
      <c r="I25" s="2291">
        <v>4792.3</v>
      </c>
      <c r="J25" s="2291">
        <v>4814</v>
      </c>
      <c r="K25" s="1138" t="s">
        <v>449</v>
      </c>
      <c r="L25" s="247" t="s">
        <v>34</v>
      </c>
      <c r="M25" s="39"/>
      <c r="N25" s="39"/>
      <c r="O25" s="39"/>
      <c r="P25" s="39"/>
      <c r="Q25" s="39"/>
    </row>
    <row r="26" spans="1:17" s="110" customFormat="1" ht="30" x14ac:dyDescent="0.25">
      <c r="A26" s="1679"/>
      <c r="B26" s="1752"/>
      <c r="C26" s="1644"/>
      <c r="D26" s="1640"/>
      <c r="E26" s="1686"/>
      <c r="F26" s="1775"/>
      <c r="G26" s="1775"/>
      <c r="H26" s="1815"/>
      <c r="I26" s="1775"/>
      <c r="J26" s="1775"/>
      <c r="K26" s="1138" t="s">
        <v>450</v>
      </c>
      <c r="L26" s="247" t="s">
        <v>37</v>
      </c>
      <c r="M26" s="114">
        <v>1</v>
      </c>
      <c r="N26" s="114">
        <v>1</v>
      </c>
      <c r="O26" s="114">
        <v>1</v>
      </c>
      <c r="P26" s="114">
        <v>1</v>
      </c>
      <c r="Q26" s="114">
        <v>1</v>
      </c>
    </row>
    <row r="27" spans="1:17" s="110" customFormat="1" ht="45" x14ac:dyDescent="0.25">
      <c r="A27" s="337"/>
      <c r="B27" s="375"/>
      <c r="C27" s="317">
        <v>4</v>
      </c>
      <c r="D27" s="217"/>
      <c r="E27" s="1205" t="s">
        <v>406</v>
      </c>
      <c r="F27" s="246">
        <v>6480.6</v>
      </c>
      <c r="G27" s="246">
        <v>7104.2</v>
      </c>
      <c r="H27" s="572">
        <v>7303</v>
      </c>
      <c r="I27" s="273">
        <v>8274.9</v>
      </c>
      <c r="J27" s="273">
        <v>8361.1</v>
      </c>
      <c r="K27" s="1138" t="s">
        <v>451</v>
      </c>
      <c r="L27" s="247" t="s">
        <v>36</v>
      </c>
      <c r="M27" s="39"/>
      <c r="N27" s="39"/>
      <c r="O27" s="39"/>
      <c r="P27" s="39"/>
      <c r="Q27" s="39"/>
    </row>
    <row r="28" spans="1:17" s="110" customFormat="1" ht="88.5" customHeight="1" x14ac:dyDescent="0.25">
      <c r="A28" s="403">
        <v>11</v>
      </c>
      <c r="B28" s="375">
        <v>3</v>
      </c>
      <c r="C28" s="317"/>
      <c r="D28" s="266"/>
      <c r="E28" s="460" t="s">
        <v>407</v>
      </c>
      <c r="F28" s="163">
        <v>361292.7</v>
      </c>
      <c r="G28" s="163">
        <v>373387.10000000003</v>
      </c>
      <c r="H28" s="163">
        <f>H29+H30+H32</f>
        <v>362418.9</v>
      </c>
      <c r="I28" s="163">
        <v>369596.10000000003</v>
      </c>
      <c r="J28" s="163">
        <v>373856.7</v>
      </c>
      <c r="K28" s="144" t="s">
        <v>452</v>
      </c>
      <c r="L28" s="247" t="s">
        <v>34</v>
      </c>
      <c r="M28" s="10"/>
      <c r="N28" s="10"/>
      <c r="O28" s="10"/>
      <c r="P28" s="10"/>
      <c r="Q28" s="10"/>
    </row>
    <row r="29" spans="1:17" s="110" customFormat="1" ht="45" x14ac:dyDescent="0.25">
      <c r="A29" s="337"/>
      <c r="B29" s="375"/>
      <c r="C29" s="317">
        <v>1</v>
      </c>
      <c r="D29" s="266"/>
      <c r="E29" s="1138" t="s">
        <v>408</v>
      </c>
      <c r="F29" s="273">
        <v>259810.9</v>
      </c>
      <c r="G29" s="273">
        <v>276478.90000000002</v>
      </c>
      <c r="H29" s="572">
        <v>257437</v>
      </c>
      <c r="I29" s="273">
        <v>269844.90000000002</v>
      </c>
      <c r="J29" s="273">
        <v>273066.3</v>
      </c>
      <c r="K29" s="1138" t="s">
        <v>453</v>
      </c>
      <c r="L29" s="247" t="s">
        <v>36</v>
      </c>
      <c r="M29" s="39"/>
      <c r="N29" s="39"/>
      <c r="O29" s="39"/>
      <c r="P29" s="39"/>
      <c r="Q29" s="39"/>
    </row>
    <row r="30" spans="1:17" s="110" customFormat="1" ht="30" x14ac:dyDescent="0.25">
      <c r="A30" s="2264"/>
      <c r="B30" s="2258"/>
      <c r="C30" s="2256">
        <v>2</v>
      </c>
      <c r="D30" s="2259"/>
      <c r="E30" s="2312" t="s">
        <v>409</v>
      </c>
      <c r="F30" s="2291">
        <v>69700.600000000006</v>
      </c>
      <c r="G30" s="2291">
        <v>66540.7</v>
      </c>
      <c r="H30" s="1815">
        <v>69858.399999999994</v>
      </c>
      <c r="I30" s="2291">
        <v>66300.800000000003</v>
      </c>
      <c r="J30" s="2291">
        <v>66625</v>
      </c>
      <c r="K30" s="1138" t="s">
        <v>454</v>
      </c>
      <c r="L30" s="247" t="s">
        <v>40</v>
      </c>
      <c r="M30" s="39"/>
      <c r="N30" s="39"/>
      <c r="O30" s="39"/>
      <c r="P30" s="39"/>
      <c r="Q30" s="39"/>
    </row>
    <row r="31" spans="1:17" s="110" customFormat="1" ht="30" x14ac:dyDescent="0.25">
      <c r="A31" s="1679"/>
      <c r="B31" s="1752"/>
      <c r="C31" s="1644"/>
      <c r="D31" s="1670"/>
      <c r="E31" s="1686"/>
      <c r="F31" s="1775"/>
      <c r="G31" s="1775"/>
      <c r="H31" s="1815"/>
      <c r="I31" s="1775"/>
      <c r="J31" s="1775"/>
      <c r="K31" s="1138" t="s">
        <v>455</v>
      </c>
      <c r="L31" s="247" t="s">
        <v>36</v>
      </c>
      <c r="M31" s="39"/>
      <c r="N31" s="39"/>
      <c r="O31" s="39"/>
      <c r="P31" s="39"/>
      <c r="Q31" s="39"/>
    </row>
    <row r="32" spans="1:17" s="110" customFormat="1" ht="30" x14ac:dyDescent="0.25">
      <c r="A32" s="403"/>
      <c r="B32" s="360"/>
      <c r="C32" s="317">
        <v>3</v>
      </c>
      <c r="D32" s="244"/>
      <c r="E32" s="1138" t="s">
        <v>410</v>
      </c>
      <c r="F32" s="246">
        <v>31781.200000000001</v>
      </c>
      <c r="G32" s="246">
        <v>30367.5</v>
      </c>
      <c r="H32" s="572">
        <v>35123.5</v>
      </c>
      <c r="I32" s="273">
        <v>33450.400000000001</v>
      </c>
      <c r="J32" s="273">
        <v>34165.4</v>
      </c>
      <c r="K32" s="1138" t="s">
        <v>456</v>
      </c>
      <c r="L32" s="247" t="s">
        <v>36</v>
      </c>
      <c r="M32" s="39"/>
      <c r="N32" s="39"/>
      <c r="O32" s="39"/>
      <c r="P32" s="39"/>
      <c r="Q32" s="39"/>
    </row>
    <row r="33" spans="1:17" s="110" customFormat="1" ht="128.25" x14ac:dyDescent="0.25">
      <c r="A33" s="403">
        <v>11</v>
      </c>
      <c r="B33" s="635">
        <v>4</v>
      </c>
      <c r="C33" s="422"/>
      <c r="D33" s="638"/>
      <c r="E33" s="1195" t="s">
        <v>411</v>
      </c>
      <c r="F33" s="639">
        <v>10443.799999999999</v>
      </c>
      <c r="G33" s="639">
        <v>10335.599999999999</v>
      </c>
      <c r="H33" s="163">
        <f>H34+H37</f>
        <v>10689.7</v>
      </c>
      <c r="I33" s="163">
        <v>10428.299999999999</v>
      </c>
      <c r="J33" s="163">
        <v>10475.400000000001</v>
      </c>
      <c r="K33" s="144" t="s">
        <v>457</v>
      </c>
      <c r="L33" s="247" t="s">
        <v>34</v>
      </c>
      <c r="M33" s="10"/>
      <c r="N33" s="10"/>
      <c r="O33" s="10"/>
      <c r="P33" s="10"/>
      <c r="Q33" s="10"/>
    </row>
    <row r="34" spans="1:17" s="110" customFormat="1" ht="15" customHeight="1" x14ac:dyDescent="0.25">
      <c r="A34" s="2264"/>
      <c r="B34" s="635"/>
      <c r="C34" s="2332">
        <v>1</v>
      </c>
      <c r="D34" s="2290"/>
      <c r="E34" s="2298" t="s">
        <v>412</v>
      </c>
      <c r="F34" s="2295">
        <v>3150.1</v>
      </c>
      <c r="G34" s="2295">
        <v>3092.2</v>
      </c>
      <c r="H34" s="1815">
        <v>3456</v>
      </c>
      <c r="I34" s="2291">
        <v>3110.3</v>
      </c>
      <c r="J34" s="2291">
        <v>3124.8</v>
      </c>
      <c r="K34" s="1138" t="s">
        <v>458</v>
      </c>
      <c r="L34" s="247" t="s">
        <v>34</v>
      </c>
      <c r="M34" s="39"/>
      <c r="N34" s="39"/>
      <c r="O34" s="39"/>
      <c r="P34" s="39"/>
      <c r="Q34" s="39"/>
    </row>
    <row r="35" spans="1:17" s="110" customFormat="1" x14ac:dyDescent="0.25">
      <c r="A35" s="1866"/>
      <c r="B35" s="636"/>
      <c r="C35" s="1839"/>
      <c r="D35" s="1840"/>
      <c r="E35" s="2039"/>
      <c r="F35" s="1763"/>
      <c r="G35" s="1763"/>
      <c r="H35" s="1815"/>
      <c r="I35" s="1778"/>
      <c r="J35" s="1778"/>
      <c r="K35" s="1138" t="s">
        <v>459</v>
      </c>
      <c r="L35" s="247" t="s">
        <v>34</v>
      </c>
      <c r="M35" s="39"/>
      <c r="N35" s="39"/>
      <c r="O35" s="39"/>
      <c r="P35" s="39"/>
      <c r="Q35" s="39"/>
    </row>
    <row r="36" spans="1:17" s="110" customFormat="1" x14ac:dyDescent="0.25">
      <c r="A36" s="1679"/>
      <c r="B36" s="637"/>
      <c r="C36" s="1654"/>
      <c r="D36" s="1821"/>
      <c r="E36" s="1747"/>
      <c r="F36" s="1764"/>
      <c r="G36" s="1764"/>
      <c r="H36" s="1815"/>
      <c r="I36" s="1775"/>
      <c r="J36" s="1775"/>
      <c r="K36" s="1138" t="s">
        <v>460</v>
      </c>
      <c r="L36" s="247" t="s">
        <v>34</v>
      </c>
      <c r="M36" s="39"/>
      <c r="N36" s="39"/>
      <c r="O36" s="39"/>
      <c r="P36" s="39"/>
      <c r="Q36" s="39"/>
    </row>
    <row r="37" spans="1:17" s="110" customFormat="1" ht="15" customHeight="1" x14ac:dyDescent="0.25">
      <c r="A37" s="2264"/>
      <c r="B37" s="635"/>
      <c r="C37" s="2332">
        <v>2</v>
      </c>
      <c r="D37" s="2290"/>
      <c r="E37" s="2298" t="s">
        <v>413</v>
      </c>
      <c r="F37" s="2295">
        <v>7293.7</v>
      </c>
      <c r="G37" s="2295">
        <v>7243.4</v>
      </c>
      <c r="H37" s="1815">
        <v>7233.7</v>
      </c>
      <c r="I37" s="2291">
        <v>7318</v>
      </c>
      <c r="J37" s="2291">
        <v>7350.6</v>
      </c>
      <c r="K37" s="1138" t="s">
        <v>461</v>
      </c>
      <c r="L37" s="247" t="s">
        <v>36</v>
      </c>
      <c r="M37" s="39"/>
      <c r="N37" s="39"/>
      <c r="O37" s="39"/>
      <c r="P37" s="39"/>
      <c r="Q37" s="39"/>
    </row>
    <row r="38" spans="1:17" s="110" customFormat="1" ht="30" x14ac:dyDescent="0.25">
      <c r="A38" s="1679"/>
      <c r="B38" s="637"/>
      <c r="C38" s="1654"/>
      <c r="D38" s="1821"/>
      <c r="E38" s="1747"/>
      <c r="F38" s="1763"/>
      <c r="G38" s="1763"/>
      <c r="H38" s="1815"/>
      <c r="I38" s="1778"/>
      <c r="J38" s="1778"/>
      <c r="K38" s="1138" t="s">
        <v>462</v>
      </c>
      <c r="L38" s="247" t="s">
        <v>36</v>
      </c>
      <c r="M38" s="39"/>
      <c r="N38" s="39"/>
      <c r="O38" s="39"/>
      <c r="P38" s="39"/>
      <c r="Q38" s="39"/>
    </row>
    <row r="39" spans="1:17" s="120" customFormat="1" x14ac:dyDescent="0.25">
      <c r="A39" s="2440" t="s">
        <v>415</v>
      </c>
      <c r="B39" s="2441"/>
      <c r="C39" s="2441"/>
      <c r="D39" s="2441"/>
      <c r="E39" s="2442"/>
      <c r="F39" s="16">
        <v>731876.8</v>
      </c>
      <c r="G39" s="16">
        <v>760858.6</v>
      </c>
      <c r="H39" s="16">
        <f>H12+H22+H28+H33</f>
        <v>792434.1</v>
      </c>
      <c r="I39" s="16">
        <v>768804.3</v>
      </c>
      <c r="J39" s="16">
        <v>776726.6</v>
      </c>
      <c r="K39" s="548"/>
      <c r="L39" s="2121"/>
      <c r="M39" s="2122"/>
      <c r="N39" s="2122"/>
      <c r="O39" s="2122"/>
      <c r="P39" s="2122"/>
      <c r="Q39" s="2123"/>
    </row>
    <row r="40" spans="1:17" x14ac:dyDescent="0.25">
      <c r="A40" s="1648" t="s">
        <v>416</v>
      </c>
      <c r="B40" s="1649"/>
      <c r="C40" s="1649"/>
      <c r="D40" s="1649"/>
      <c r="E40" s="1649"/>
      <c r="F40" s="1649"/>
      <c r="G40" s="1649"/>
      <c r="H40" s="1649"/>
      <c r="I40" s="1649"/>
      <c r="J40" s="1649"/>
      <c r="K40" s="1649"/>
      <c r="L40" s="1649"/>
      <c r="M40" s="1649"/>
      <c r="N40" s="1649"/>
      <c r="O40" s="1649"/>
      <c r="P40" s="1649"/>
      <c r="Q40" s="1650"/>
    </row>
    <row r="41" spans="1:17" ht="21" customHeight="1" x14ac:dyDescent="0.25">
      <c r="A41" s="404">
        <v>12</v>
      </c>
      <c r="B41" s="364">
        <v>2</v>
      </c>
      <c r="C41" s="252"/>
      <c r="D41" s="35"/>
      <c r="E41" s="36" t="s">
        <v>417</v>
      </c>
      <c r="F41" s="264"/>
      <c r="G41" s="264"/>
      <c r="H41" s="502">
        <f>H42+H43+H44</f>
        <v>159650.9</v>
      </c>
      <c r="I41" s="264">
        <v>169934.19999999998</v>
      </c>
      <c r="J41" s="264">
        <v>171785.69999999998</v>
      </c>
      <c r="K41" s="35"/>
      <c r="L41" s="35"/>
      <c r="M41" s="35"/>
      <c r="N41" s="35"/>
      <c r="O41" s="35"/>
      <c r="P41" s="35"/>
      <c r="Q41" s="35"/>
    </row>
    <row r="42" spans="1:17" ht="68.25" customHeight="1" x14ac:dyDescent="0.25">
      <c r="A42" s="407"/>
      <c r="B42" s="339"/>
      <c r="C42" s="321" t="s">
        <v>4</v>
      </c>
      <c r="D42" s="283"/>
      <c r="E42" s="347" t="s">
        <v>418</v>
      </c>
      <c r="F42" s="270"/>
      <c r="G42" s="270"/>
      <c r="H42" s="653">
        <v>118088</v>
      </c>
      <c r="I42" s="649">
        <v>132871.29999999999</v>
      </c>
      <c r="J42" s="649">
        <v>134722.79999999999</v>
      </c>
      <c r="K42" s="1212" t="s">
        <v>463</v>
      </c>
      <c r="L42" s="230" t="s">
        <v>81</v>
      </c>
      <c r="M42" s="265">
        <v>7.9000000000000001E-2</v>
      </c>
      <c r="N42" s="265">
        <v>7.9000000000000001E-2</v>
      </c>
      <c r="O42" s="265">
        <v>7.9000000000000001E-2</v>
      </c>
      <c r="P42" s="265">
        <v>7.9000000000000001E-2</v>
      </c>
      <c r="Q42" s="285">
        <v>0.1</v>
      </c>
    </row>
    <row r="43" spans="1:17" ht="45" x14ac:dyDescent="0.25">
      <c r="A43" s="408"/>
      <c r="B43" s="37"/>
      <c r="C43" s="321" t="s">
        <v>5</v>
      </c>
      <c r="D43" s="283"/>
      <c r="E43" s="347" t="s">
        <v>419</v>
      </c>
      <c r="F43" s="270"/>
      <c r="G43" s="270"/>
      <c r="H43" s="653">
        <v>7062.9</v>
      </c>
      <c r="I43" s="649">
        <v>7062.9</v>
      </c>
      <c r="J43" s="649">
        <v>7062.9</v>
      </c>
      <c r="K43" s="1212" t="s">
        <v>464</v>
      </c>
      <c r="L43" s="230" t="s">
        <v>34</v>
      </c>
      <c r="M43" s="265">
        <v>100</v>
      </c>
      <c r="N43" s="265">
        <v>100</v>
      </c>
      <c r="O43" s="265">
        <v>100</v>
      </c>
      <c r="P43" s="265">
        <v>100</v>
      </c>
      <c r="Q43" s="285">
        <v>100</v>
      </c>
    </row>
    <row r="44" spans="1:17" ht="60" x14ac:dyDescent="0.25">
      <c r="A44" s="409"/>
      <c r="B44" s="437"/>
      <c r="C44" s="321" t="s">
        <v>7</v>
      </c>
      <c r="D44" s="45"/>
      <c r="E44" s="348" t="s">
        <v>420</v>
      </c>
      <c r="F44" s="270"/>
      <c r="G44" s="270"/>
      <c r="H44" s="1096">
        <f>30000+5000-500</f>
        <v>34500</v>
      </c>
      <c r="I44" s="755">
        <v>30000</v>
      </c>
      <c r="J44" s="755">
        <v>30000</v>
      </c>
      <c r="K44" s="67" t="s">
        <v>465</v>
      </c>
      <c r="L44" s="270" t="s">
        <v>56</v>
      </c>
      <c r="M44" s="270">
        <v>13</v>
      </c>
      <c r="N44" s="270">
        <v>13</v>
      </c>
      <c r="O44" s="270">
        <v>13</v>
      </c>
      <c r="P44" s="270">
        <v>13</v>
      </c>
      <c r="Q44" s="115">
        <v>13</v>
      </c>
    </row>
    <row r="45" spans="1:17" s="120" customFormat="1" x14ac:dyDescent="0.25">
      <c r="A45" s="2440" t="s">
        <v>416</v>
      </c>
      <c r="B45" s="2441"/>
      <c r="C45" s="2441"/>
      <c r="D45" s="2441"/>
      <c r="E45" s="2442"/>
      <c r="F45" s="16">
        <v>0</v>
      </c>
      <c r="G45" s="16">
        <v>0</v>
      </c>
      <c r="H45" s="16">
        <f>H41</f>
        <v>159650.9</v>
      </c>
      <c r="I45" s="16">
        <v>169934.19999999998</v>
      </c>
      <c r="J45" s="16">
        <v>171785.69999999998</v>
      </c>
      <c r="K45" s="548"/>
      <c r="L45" s="2121"/>
      <c r="M45" s="2122"/>
      <c r="N45" s="2122"/>
      <c r="O45" s="2122"/>
      <c r="P45" s="2122"/>
      <c r="Q45" s="2123"/>
    </row>
    <row r="46" spans="1:17" x14ac:dyDescent="0.25">
      <c r="A46" s="1648" t="s">
        <v>1109</v>
      </c>
      <c r="B46" s="1649"/>
      <c r="C46" s="1649"/>
      <c r="D46" s="1649"/>
      <c r="E46" s="1649"/>
      <c r="F46" s="1649"/>
      <c r="G46" s="1649"/>
      <c r="H46" s="1649"/>
      <c r="I46" s="1649"/>
      <c r="J46" s="1649"/>
      <c r="K46" s="1649"/>
      <c r="L46" s="1649"/>
      <c r="M46" s="1649"/>
      <c r="N46" s="1649"/>
      <c r="O46" s="1649"/>
      <c r="P46" s="1649"/>
      <c r="Q46" s="1650"/>
    </row>
    <row r="47" spans="1:17" ht="85.5" customHeight="1" x14ac:dyDescent="0.25">
      <c r="A47" s="410">
        <v>13</v>
      </c>
      <c r="B47" s="394">
        <v>2</v>
      </c>
      <c r="C47" s="328"/>
      <c r="D47" s="260"/>
      <c r="E47" s="2330" t="s">
        <v>466</v>
      </c>
      <c r="F47" s="2296">
        <v>0</v>
      </c>
      <c r="G47" s="2296">
        <v>0</v>
      </c>
      <c r="H47" s="2296">
        <f>H49+H51+H53+H55+H56</f>
        <v>8618.2999999999993</v>
      </c>
      <c r="I47" s="2296">
        <v>7928.6</v>
      </c>
      <c r="J47" s="2296">
        <v>8002.4</v>
      </c>
      <c r="K47" s="1291" t="s">
        <v>467</v>
      </c>
      <c r="L47" s="19" t="s">
        <v>34</v>
      </c>
      <c r="M47" s="19">
        <v>7413.2</v>
      </c>
      <c r="N47" s="25">
        <v>5508.5</v>
      </c>
      <c r="O47" s="25">
        <v>5509.7</v>
      </c>
      <c r="P47" s="25">
        <v>5542.3</v>
      </c>
      <c r="Q47" s="25">
        <v>5564.4</v>
      </c>
    </row>
    <row r="48" spans="1:17" ht="71.25" x14ac:dyDescent="0.25">
      <c r="A48" s="411"/>
      <c r="B48" s="271"/>
      <c r="C48" s="329"/>
      <c r="D48" s="261"/>
      <c r="E48" s="2331"/>
      <c r="F48" s="2297"/>
      <c r="G48" s="2297"/>
      <c r="H48" s="2297"/>
      <c r="I48" s="2297"/>
      <c r="J48" s="2297"/>
      <c r="K48" s="1291" t="s">
        <v>468</v>
      </c>
      <c r="L48" s="19" t="s">
        <v>34</v>
      </c>
      <c r="M48" s="19">
        <v>25</v>
      </c>
      <c r="N48" s="25">
        <v>30</v>
      </c>
      <c r="O48" s="25">
        <v>40</v>
      </c>
      <c r="P48" s="25">
        <v>50</v>
      </c>
      <c r="Q48" s="25">
        <v>50</v>
      </c>
    </row>
    <row r="49" spans="1:17" ht="75" x14ac:dyDescent="0.25">
      <c r="A49" s="412"/>
      <c r="B49" s="395"/>
      <c r="C49" s="328" t="s">
        <v>4</v>
      </c>
      <c r="D49" s="260"/>
      <c r="E49" s="2299" t="s">
        <v>469</v>
      </c>
      <c r="F49" s="2271"/>
      <c r="G49" s="2271"/>
      <c r="H49" s="2272"/>
      <c r="I49" s="2272">
        <v>1662.7</v>
      </c>
      <c r="J49" s="2272">
        <v>1669.3</v>
      </c>
      <c r="K49" s="259" t="s">
        <v>474</v>
      </c>
      <c r="L49" s="258" t="s">
        <v>34</v>
      </c>
      <c r="M49" s="258">
        <v>40</v>
      </c>
      <c r="N49" s="31">
        <v>45</v>
      </c>
      <c r="O49" s="31">
        <v>50</v>
      </c>
      <c r="P49" s="31">
        <v>60</v>
      </c>
      <c r="Q49" s="31">
        <v>60</v>
      </c>
    </row>
    <row r="50" spans="1:17" ht="30" x14ac:dyDescent="0.25">
      <c r="A50" s="411"/>
      <c r="B50" s="271"/>
      <c r="C50" s="329"/>
      <c r="D50" s="261"/>
      <c r="E50" s="1739"/>
      <c r="F50" s="1760"/>
      <c r="G50" s="1760"/>
      <c r="H50" s="2272"/>
      <c r="I50" s="2272"/>
      <c r="J50" s="2272"/>
      <c r="K50" s="259" t="s">
        <v>475</v>
      </c>
      <c r="L50" s="258" t="s">
        <v>41</v>
      </c>
      <c r="M50" s="258" t="s">
        <v>42</v>
      </c>
      <c r="N50" s="31" t="s">
        <v>42</v>
      </c>
      <c r="O50" s="31" t="s">
        <v>43</v>
      </c>
      <c r="P50" s="31"/>
      <c r="Q50" s="31"/>
    </row>
    <row r="51" spans="1:17" ht="30" x14ac:dyDescent="0.25">
      <c r="A51" s="412"/>
      <c r="B51" s="395"/>
      <c r="C51" s="328" t="s">
        <v>5</v>
      </c>
      <c r="D51" s="260"/>
      <c r="E51" s="2299" t="s">
        <v>470</v>
      </c>
      <c r="F51" s="2271"/>
      <c r="G51" s="2271"/>
      <c r="H51" s="2272">
        <f>7952.7</f>
        <v>7952.7</v>
      </c>
      <c r="I51" s="2272">
        <v>831.3</v>
      </c>
      <c r="J51" s="2272">
        <v>834.7</v>
      </c>
      <c r="K51" s="259" t="s">
        <v>476</v>
      </c>
      <c r="L51" s="258" t="s">
        <v>34</v>
      </c>
      <c r="M51" s="258">
        <v>35</v>
      </c>
      <c r="N51" s="31">
        <v>40</v>
      </c>
      <c r="O51" s="31">
        <v>50</v>
      </c>
      <c r="P51" s="31">
        <v>60</v>
      </c>
      <c r="Q51" s="31">
        <v>60</v>
      </c>
    </row>
    <row r="52" spans="1:17" ht="45" x14ac:dyDescent="0.25">
      <c r="A52" s="411"/>
      <c r="B52" s="271"/>
      <c r="C52" s="329"/>
      <c r="D52" s="261"/>
      <c r="E52" s="1739"/>
      <c r="F52" s="1760"/>
      <c r="G52" s="1760"/>
      <c r="H52" s="2272"/>
      <c r="I52" s="2272"/>
      <c r="J52" s="2272"/>
      <c r="K52" s="259" t="s">
        <v>477</v>
      </c>
      <c r="L52" s="258" t="s">
        <v>34</v>
      </c>
      <c r="M52" s="258"/>
      <c r="N52" s="31">
        <v>30</v>
      </c>
      <c r="O52" s="31">
        <v>40</v>
      </c>
      <c r="P52" s="31">
        <v>50</v>
      </c>
      <c r="Q52" s="31">
        <v>50</v>
      </c>
    </row>
    <row r="53" spans="1:17" ht="60" x14ac:dyDescent="0.25">
      <c r="A53" s="412"/>
      <c r="B53" s="395"/>
      <c r="C53" s="328" t="s">
        <v>7</v>
      </c>
      <c r="D53" s="260"/>
      <c r="E53" s="2299" t="s">
        <v>471</v>
      </c>
      <c r="F53" s="2271"/>
      <c r="G53" s="2271"/>
      <c r="H53" s="2272"/>
      <c r="I53" s="2272">
        <v>720.5</v>
      </c>
      <c r="J53" s="2272">
        <v>723.4</v>
      </c>
      <c r="K53" s="259" t="s">
        <v>478</v>
      </c>
      <c r="L53" s="258" t="s">
        <v>34</v>
      </c>
      <c r="M53" s="258">
        <v>15</v>
      </c>
      <c r="N53" s="31">
        <v>20</v>
      </c>
      <c r="O53" s="31">
        <v>20</v>
      </c>
      <c r="P53" s="31">
        <v>25</v>
      </c>
      <c r="Q53" s="31">
        <v>25</v>
      </c>
    </row>
    <row r="54" spans="1:17" ht="45" x14ac:dyDescent="0.25">
      <c r="A54" s="411"/>
      <c r="B54" s="271"/>
      <c r="C54" s="329"/>
      <c r="D54" s="261"/>
      <c r="E54" s="1739"/>
      <c r="F54" s="1760"/>
      <c r="G54" s="1760"/>
      <c r="H54" s="2272"/>
      <c r="I54" s="2272"/>
      <c r="J54" s="2272"/>
      <c r="K54" s="259" t="s">
        <v>479</v>
      </c>
      <c r="L54" s="258" t="s">
        <v>36</v>
      </c>
      <c r="M54" s="258">
        <v>10</v>
      </c>
      <c r="N54" s="31">
        <v>15</v>
      </c>
      <c r="O54" s="31">
        <v>20</v>
      </c>
      <c r="P54" s="31">
        <v>25</v>
      </c>
      <c r="Q54" s="31">
        <v>25</v>
      </c>
    </row>
    <row r="55" spans="1:17" ht="75" x14ac:dyDescent="0.25">
      <c r="A55" s="413"/>
      <c r="B55" s="381"/>
      <c r="C55" s="320" t="s">
        <v>9</v>
      </c>
      <c r="D55" s="160"/>
      <c r="E55" s="1150" t="s">
        <v>472</v>
      </c>
      <c r="F55" s="270"/>
      <c r="G55" s="270"/>
      <c r="H55" s="262"/>
      <c r="I55" s="262">
        <v>1163.9000000000001</v>
      </c>
      <c r="J55" s="262">
        <v>1168.5</v>
      </c>
      <c r="K55" s="259" t="s">
        <v>480</v>
      </c>
      <c r="L55" s="258" t="s">
        <v>36</v>
      </c>
      <c r="M55" s="258"/>
      <c r="N55" s="288"/>
      <c r="O55" s="288"/>
      <c r="P55" s="288"/>
      <c r="Q55" s="288"/>
    </row>
    <row r="56" spans="1:17" ht="45" x14ac:dyDescent="0.25">
      <c r="A56" s="413"/>
      <c r="B56" s="381"/>
      <c r="C56" s="320" t="s">
        <v>11</v>
      </c>
      <c r="D56" s="160"/>
      <c r="E56" s="1099" t="s">
        <v>473</v>
      </c>
      <c r="F56" s="270"/>
      <c r="G56" s="270"/>
      <c r="H56" s="262">
        <v>665.6</v>
      </c>
      <c r="I56" s="262">
        <v>3550.2000000000003</v>
      </c>
      <c r="J56" s="262">
        <v>3606.5</v>
      </c>
      <c r="K56" s="259" t="s">
        <v>481</v>
      </c>
      <c r="L56" s="258"/>
      <c r="M56" s="258"/>
      <c r="N56" s="288"/>
      <c r="O56" s="288"/>
      <c r="P56" s="288"/>
      <c r="Q56" s="288"/>
    </row>
    <row r="57" spans="1:17" s="120" customFormat="1" x14ac:dyDescent="0.25">
      <c r="A57" s="613"/>
      <c r="B57" s="614" t="s">
        <v>482</v>
      </c>
      <c r="C57" s="614"/>
      <c r="D57" s="615"/>
      <c r="E57" s="1102"/>
      <c r="F57" s="42">
        <v>0</v>
      </c>
      <c r="G57" s="42">
        <v>0</v>
      </c>
      <c r="H57" s="42">
        <f>H47</f>
        <v>8618.2999999999993</v>
      </c>
      <c r="I57" s="42">
        <v>7928.6</v>
      </c>
      <c r="J57" s="42">
        <v>8002.4</v>
      </c>
      <c r="K57" s="15"/>
      <c r="L57" s="16">
        <v>0</v>
      </c>
      <c r="M57" s="16"/>
      <c r="N57" s="16"/>
      <c r="O57" s="16"/>
      <c r="P57" s="16"/>
      <c r="Q57" s="16"/>
    </row>
    <row r="58" spans="1:17" x14ac:dyDescent="0.25">
      <c r="A58" s="2273" t="s">
        <v>483</v>
      </c>
      <c r="B58" s="2274"/>
      <c r="C58" s="2274"/>
      <c r="D58" s="2274"/>
      <c r="E58" s="2274"/>
      <c r="F58" s="2274"/>
      <c r="G58" s="2274"/>
      <c r="H58" s="2274"/>
      <c r="I58" s="2274"/>
      <c r="J58" s="2274"/>
      <c r="K58" s="2274"/>
      <c r="L58" s="2274"/>
      <c r="M58" s="2274"/>
      <c r="N58" s="2274"/>
      <c r="O58" s="2274"/>
      <c r="P58" s="2274"/>
      <c r="Q58" s="2275"/>
    </row>
    <row r="59" spans="1:17" ht="24.75" customHeight="1" x14ac:dyDescent="0.25">
      <c r="A59" s="404">
        <v>14</v>
      </c>
      <c r="B59" s="364">
        <v>2</v>
      </c>
      <c r="C59" s="308"/>
      <c r="D59" s="7"/>
      <c r="E59" s="7" t="s">
        <v>484</v>
      </c>
      <c r="F59" s="164">
        <v>242926.7</v>
      </c>
      <c r="G59" s="164">
        <v>236730.7</v>
      </c>
      <c r="H59" s="164">
        <f>H60+H62+H63</f>
        <v>212832.1</v>
      </c>
      <c r="I59" s="164">
        <v>239457.7</v>
      </c>
      <c r="J59" s="164">
        <v>242229.2</v>
      </c>
      <c r="K59" s="7"/>
      <c r="L59" s="7"/>
      <c r="M59" s="7"/>
      <c r="N59" s="7"/>
      <c r="O59" s="7"/>
      <c r="P59" s="7"/>
      <c r="Q59" s="7"/>
    </row>
    <row r="60" spans="1:17" ht="15" customHeight="1" x14ac:dyDescent="0.25">
      <c r="A60" s="2289"/>
      <c r="B60" s="362"/>
      <c r="C60" s="2290" t="s">
        <v>4</v>
      </c>
      <c r="D60" s="2286"/>
      <c r="E60" s="2294" t="s">
        <v>485</v>
      </c>
      <c r="F60" s="2276">
        <v>205332.1</v>
      </c>
      <c r="G60" s="2276">
        <v>201144.6</v>
      </c>
      <c r="H60" s="2276">
        <v>175546</v>
      </c>
      <c r="I60" s="2276">
        <v>203871.6</v>
      </c>
      <c r="J60" s="2276">
        <v>206643.1</v>
      </c>
      <c r="K60" s="2277" t="s">
        <v>488</v>
      </c>
      <c r="L60" s="252" t="s">
        <v>56</v>
      </c>
      <c r="M60" s="252">
        <v>421</v>
      </c>
      <c r="N60" s="252">
        <v>400</v>
      </c>
      <c r="O60" s="252">
        <v>400</v>
      </c>
      <c r="P60" s="252">
        <v>400</v>
      </c>
      <c r="Q60" s="252">
        <v>400</v>
      </c>
    </row>
    <row r="61" spans="1:17" ht="30" x14ac:dyDescent="0.25">
      <c r="A61" s="1819"/>
      <c r="B61" s="363"/>
      <c r="C61" s="1821"/>
      <c r="D61" s="1735"/>
      <c r="E61" s="1788"/>
      <c r="F61" s="2142"/>
      <c r="G61" s="2142"/>
      <c r="H61" s="2142"/>
      <c r="I61" s="2142"/>
      <c r="J61" s="2142"/>
      <c r="K61" s="2278"/>
      <c r="L61" s="231" t="s">
        <v>95</v>
      </c>
      <c r="M61" s="252">
        <v>802</v>
      </c>
      <c r="N61" s="252">
        <v>800</v>
      </c>
      <c r="O61" s="252">
        <v>800</v>
      </c>
      <c r="P61" s="252">
        <v>800</v>
      </c>
      <c r="Q61" s="252">
        <v>800</v>
      </c>
    </row>
    <row r="62" spans="1:17" ht="54.75" customHeight="1" x14ac:dyDescent="0.25">
      <c r="A62" s="404"/>
      <c r="B62" s="364"/>
      <c r="C62" s="307" t="s">
        <v>5</v>
      </c>
      <c r="D62" s="7"/>
      <c r="E62" s="38" t="s">
        <v>486</v>
      </c>
      <c r="F62" s="250">
        <v>3607.6</v>
      </c>
      <c r="G62" s="250">
        <v>5586.1</v>
      </c>
      <c r="H62" s="250">
        <v>2786.1</v>
      </c>
      <c r="I62" s="250">
        <v>5586.1</v>
      </c>
      <c r="J62" s="250">
        <v>5586.1</v>
      </c>
      <c r="K62" s="38" t="s">
        <v>489</v>
      </c>
      <c r="L62" s="252" t="s">
        <v>56</v>
      </c>
      <c r="M62" s="252">
        <v>15</v>
      </c>
      <c r="N62" s="252">
        <v>20</v>
      </c>
      <c r="O62" s="252">
        <v>24</v>
      </c>
      <c r="P62" s="252">
        <v>24</v>
      </c>
      <c r="Q62" s="252">
        <v>24</v>
      </c>
    </row>
    <row r="63" spans="1:17" ht="67.5" customHeight="1" x14ac:dyDescent="0.25">
      <c r="A63" s="404"/>
      <c r="B63" s="364"/>
      <c r="C63" s="307" t="s">
        <v>7</v>
      </c>
      <c r="D63" s="7"/>
      <c r="E63" s="38" t="s">
        <v>487</v>
      </c>
      <c r="F63" s="250">
        <v>33987</v>
      </c>
      <c r="G63" s="250">
        <v>30000</v>
      </c>
      <c r="H63" s="250">
        <f>34200+300</f>
        <v>34500</v>
      </c>
      <c r="I63" s="250">
        <v>30000</v>
      </c>
      <c r="J63" s="250">
        <v>30000</v>
      </c>
      <c r="K63" s="38" t="s">
        <v>490</v>
      </c>
      <c r="L63" s="252" t="s">
        <v>56</v>
      </c>
      <c r="M63" s="252">
        <v>180</v>
      </c>
      <c r="N63" s="252">
        <v>180</v>
      </c>
      <c r="O63" s="252">
        <v>180</v>
      </c>
      <c r="P63" s="252">
        <v>180</v>
      </c>
      <c r="Q63" s="252">
        <v>180</v>
      </c>
    </row>
    <row r="64" spans="1:17" s="120" customFormat="1" x14ac:dyDescent="0.25">
      <c r="A64" s="2440" t="s">
        <v>491</v>
      </c>
      <c r="B64" s="2441"/>
      <c r="C64" s="2441"/>
      <c r="D64" s="2441"/>
      <c r="E64" s="2442"/>
      <c r="F64" s="42">
        <v>242926.7</v>
      </c>
      <c r="G64" s="42">
        <v>236730.7</v>
      </c>
      <c r="H64" s="42">
        <f>H59</f>
        <v>212832.1</v>
      </c>
      <c r="I64" s="42">
        <v>239457.7</v>
      </c>
      <c r="J64" s="42">
        <v>242229.2</v>
      </c>
      <c r="K64" s="15"/>
      <c r="L64" s="16"/>
      <c r="M64" s="16"/>
      <c r="N64" s="16"/>
      <c r="O64" s="16"/>
      <c r="P64" s="16"/>
      <c r="Q64" s="16"/>
    </row>
    <row r="65" spans="1:17" x14ac:dyDescent="0.25">
      <c r="A65" s="2444" t="s">
        <v>492</v>
      </c>
      <c r="B65" s="2445"/>
      <c r="C65" s="2445"/>
      <c r="D65" s="2445"/>
      <c r="E65" s="2445"/>
      <c r="F65" s="2445"/>
      <c r="G65" s="2445"/>
      <c r="H65" s="2445"/>
      <c r="I65" s="2445"/>
      <c r="J65" s="2445"/>
      <c r="K65" s="2445"/>
      <c r="L65" s="2445"/>
      <c r="M65" s="2445"/>
      <c r="N65" s="2445"/>
      <c r="O65" s="2445"/>
      <c r="P65" s="2445"/>
      <c r="Q65" s="2446"/>
    </row>
    <row r="66" spans="1:17" s="110" customFormat="1" x14ac:dyDescent="0.25">
      <c r="A66" s="337"/>
      <c r="B66" s="375"/>
      <c r="C66" s="316"/>
      <c r="D66" s="28"/>
      <c r="E66" s="460"/>
      <c r="F66" s="303">
        <v>582074.9</v>
      </c>
      <c r="G66" s="303">
        <v>574738.50000000012</v>
      </c>
      <c r="H66" s="489">
        <f>H67+H68+H69+H70+H71+H72+H73+H75+H81</f>
        <v>1192348.7999999998</v>
      </c>
      <c r="I66" s="303">
        <v>594314.1</v>
      </c>
      <c r="J66" s="303">
        <v>600531.5</v>
      </c>
      <c r="K66" s="460"/>
      <c r="L66" s="286"/>
      <c r="M66" s="286"/>
      <c r="N66" s="286"/>
      <c r="O66" s="286"/>
      <c r="P66" s="286"/>
      <c r="Q66" s="286"/>
    </row>
    <row r="67" spans="1:17" s="110" customFormat="1" ht="57" x14ac:dyDescent="0.25">
      <c r="A67" s="337">
        <v>15</v>
      </c>
      <c r="B67" s="375">
        <v>2</v>
      </c>
      <c r="C67" s="316" t="s">
        <v>4</v>
      </c>
      <c r="D67" s="28"/>
      <c r="E67" s="646" t="s">
        <v>493</v>
      </c>
      <c r="F67" s="235">
        <v>126317.40000000001</v>
      </c>
      <c r="G67" s="235">
        <v>127446.1</v>
      </c>
      <c r="H67" s="1307">
        <v>124157.5</v>
      </c>
      <c r="I67" s="235">
        <v>129491.1</v>
      </c>
      <c r="J67" s="235">
        <v>135708.5</v>
      </c>
      <c r="K67" s="460" t="s">
        <v>510</v>
      </c>
      <c r="L67" s="286" t="s">
        <v>56</v>
      </c>
      <c r="M67" s="286">
        <v>36</v>
      </c>
      <c r="N67" s="286">
        <v>37</v>
      </c>
      <c r="O67" s="286">
        <v>37</v>
      </c>
      <c r="P67" s="286">
        <v>37</v>
      </c>
      <c r="Q67" s="286">
        <v>37</v>
      </c>
    </row>
    <row r="68" spans="1:17" s="110" customFormat="1" ht="45" x14ac:dyDescent="0.25">
      <c r="A68" s="414"/>
      <c r="B68" s="360"/>
      <c r="C68" s="316" t="s">
        <v>5</v>
      </c>
      <c r="D68" s="203"/>
      <c r="E68" s="1300" t="s">
        <v>494</v>
      </c>
      <c r="F68" s="281">
        <v>72564.7</v>
      </c>
      <c r="G68" s="281">
        <v>23099.7</v>
      </c>
      <c r="H68" s="1306">
        <f>161328+7969.3</f>
        <v>169297.3</v>
      </c>
      <c r="I68" s="281">
        <v>36588.699999999997</v>
      </c>
      <c r="J68" s="281">
        <v>36588.699999999997</v>
      </c>
      <c r="K68" s="1205" t="s">
        <v>511</v>
      </c>
      <c r="L68" s="247" t="s">
        <v>56</v>
      </c>
      <c r="M68" s="62">
        <v>142</v>
      </c>
      <c r="N68" s="62">
        <v>62</v>
      </c>
      <c r="O68" s="62">
        <v>74</v>
      </c>
      <c r="P68" s="62">
        <v>74</v>
      </c>
      <c r="Q68" s="62">
        <v>74</v>
      </c>
    </row>
    <row r="69" spans="1:17" s="110" customFormat="1" ht="75" x14ac:dyDescent="0.25">
      <c r="A69" s="414"/>
      <c r="B69" s="360"/>
      <c r="C69" s="312" t="s">
        <v>7</v>
      </c>
      <c r="D69" s="202"/>
      <c r="E69" s="1300" t="s">
        <v>495</v>
      </c>
      <c r="F69" s="284">
        <v>4211.3999999999996</v>
      </c>
      <c r="G69" s="284">
        <v>2960</v>
      </c>
      <c r="H69" s="1309">
        <v>3023.3</v>
      </c>
      <c r="I69" s="284">
        <v>3023.3</v>
      </c>
      <c r="J69" s="284">
        <v>3023.3</v>
      </c>
      <c r="K69" s="1254" t="s">
        <v>512</v>
      </c>
      <c r="L69" s="206" t="s">
        <v>56</v>
      </c>
      <c r="M69" s="206">
        <v>257</v>
      </c>
      <c r="N69" s="206">
        <v>200</v>
      </c>
      <c r="O69" s="206">
        <v>200</v>
      </c>
      <c r="P69" s="206">
        <v>200</v>
      </c>
      <c r="Q69" s="206">
        <v>200</v>
      </c>
    </row>
    <row r="70" spans="1:17" s="110" customFormat="1" ht="105" x14ac:dyDescent="0.25">
      <c r="A70" s="414"/>
      <c r="B70" s="360"/>
      <c r="C70" s="312" t="s">
        <v>9</v>
      </c>
      <c r="D70" s="202"/>
      <c r="E70" s="1300" t="s">
        <v>496</v>
      </c>
      <c r="F70" s="284">
        <v>10365.9</v>
      </c>
      <c r="G70" s="284">
        <v>8878.7000000000007</v>
      </c>
      <c r="H70" s="1309">
        <v>8110.1</v>
      </c>
      <c r="I70" s="284">
        <v>8110.1</v>
      </c>
      <c r="J70" s="284">
        <v>8110.1</v>
      </c>
      <c r="K70" s="1254" t="s">
        <v>513</v>
      </c>
      <c r="L70" s="206" t="s">
        <v>44</v>
      </c>
      <c r="M70" s="206">
        <v>4921</v>
      </c>
      <c r="N70" s="238">
        <v>3600</v>
      </c>
      <c r="O70" s="238">
        <v>2445</v>
      </c>
      <c r="P70" s="238">
        <v>2445</v>
      </c>
      <c r="Q70" s="238">
        <v>2445</v>
      </c>
    </row>
    <row r="71" spans="1:17" s="110" customFormat="1" ht="45" x14ac:dyDescent="0.25">
      <c r="A71" s="414"/>
      <c r="B71" s="360"/>
      <c r="C71" s="312" t="s">
        <v>11</v>
      </c>
      <c r="D71" s="217"/>
      <c r="E71" s="1300" t="s">
        <v>497</v>
      </c>
      <c r="F71" s="284">
        <v>830</v>
      </c>
      <c r="G71" s="284">
        <v>1421.6</v>
      </c>
      <c r="H71" s="1309">
        <f>1341.6</f>
        <v>1341.6</v>
      </c>
      <c r="I71" s="284">
        <v>1341.6</v>
      </c>
      <c r="J71" s="284">
        <v>1341.6</v>
      </c>
      <c r="K71" s="1254" t="s">
        <v>889</v>
      </c>
      <c r="L71" s="206" t="s">
        <v>84</v>
      </c>
      <c r="M71" s="239">
        <v>3</v>
      </c>
      <c r="N71" s="239">
        <v>2</v>
      </c>
      <c r="O71" s="239">
        <v>2</v>
      </c>
      <c r="P71" s="239">
        <v>2</v>
      </c>
      <c r="Q71" s="239">
        <v>2</v>
      </c>
    </row>
    <row r="72" spans="1:17" s="110" customFormat="1" ht="30" x14ac:dyDescent="0.25">
      <c r="A72" s="337"/>
      <c r="B72" s="375"/>
      <c r="C72" s="316" t="s">
        <v>13</v>
      </c>
      <c r="D72" s="217"/>
      <c r="E72" s="1300" t="s">
        <v>498</v>
      </c>
      <c r="F72" s="284">
        <v>5351.6</v>
      </c>
      <c r="G72" s="284">
        <v>0</v>
      </c>
      <c r="H72" s="1309">
        <f>475472.1</f>
        <v>475472.1</v>
      </c>
      <c r="I72" s="284">
        <v>0</v>
      </c>
      <c r="J72" s="284">
        <v>0</v>
      </c>
      <c r="K72" s="1205" t="s">
        <v>514</v>
      </c>
      <c r="L72" s="206" t="s">
        <v>56</v>
      </c>
      <c r="M72" s="239">
        <v>1</v>
      </c>
      <c r="N72" s="239">
        <v>2</v>
      </c>
      <c r="O72" s="239">
        <v>2</v>
      </c>
      <c r="P72" s="239">
        <v>2</v>
      </c>
      <c r="Q72" s="239">
        <v>2</v>
      </c>
    </row>
    <row r="73" spans="1:17" s="110" customFormat="1" x14ac:dyDescent="0.25">
      <c r="A73" s="2190"/>
      <c r="B73" s="2258"/>
      <c r="C73" s="2229" t="s">
        <v>15</v>
      </c>
      <c r="D73" s="2251"/>
      <c r="E73" s="2287" t="s">
        <v>499</v>
      </c>
      <c r="F73" s="2288"/>
      <c r="G73" s="2288"/>
      <c r="H73" s="1744">
        <v>11628</v>
      </c>
      <c r="I73" s="2231">
        <v>11628</v>
      </c>
      <c r="J73" s="2231">
        <v>11628</v>
      </c>
      <c r="K73" s="2266" t="s">
        <v>515</v>
      </c>
      <c r="L73" s="2267" t="s">
        <v>81</v>
      </c>
      <c r="M73" s="2292">
        <v>100</v>
      </c>
      <c r="N73" s="2292">
        <v>100</v>
      </c>
      <c r="O73" s="2292">
        <v>100</v>
      </c>
      <c r="P73" s="2292">
        <v>100</v>
      </c>
      <c r="Q73" s="2292">
        <v>100</v>
      </c>
    </row>
    <row r="74" spans="1:17" s="110" customFormat="1" x14ac:dyDescent="0.25">
      <c r="A74" s="1679"/>
      <c r="B74" s="1752"/>
      <c r="C74" s="1670"/>
      <c r="D74" s="1640"/>
      <c r="E74" s="1739"/>
      <c r="F74" s="1861"/>
      <c r="G74" s="1861"/>
      <c r="H74" s="2050"/>
      <c r="I74" s="2050"/>
      <c r="J74" s="2050"/>
      <c r="K74" s="1686"/>
      <c r="L74" s="1773"/>
      <c r="M74" s="2293"/>
      <c r="N74" s="2293"/>
      <c r="O74" s="2293"/>
      <c r="P74" s="2293"/>
      <c r="Q74" s="2293"/>
    </row>
    <row r="75" spans="1:17" s="110" customFormat="1" ht="30" customHeight="1" x14ac:dyDescent="0.25">
      <c r="A75" s="2190"/>
      <c r="B75" s="2258"/>
      <c r="C75" s="2229" t="s">
        <v>16</v>
      </c>
      <c r="D75" s="2251"/>
      <c r="E75" s="2265" t="s">
        <v>500</v>
      </c>
      <c r="F75" s="284">
        <v>140622.9</v>
      </c>
      <c r="G75" s="284">
        <v>164563.6</v>
      </c>
      <c r="H75" s="1804">
        <f>197052.8+130597-20058.3</f>
        <v>307591.5</v>
      </c>
      <c r="I75" s="284">
        <v>161200.4</v>
      </c>
      <c r="J75" s="284">
        <v>161200.4</v>
      </c>
      <c r="K75" s="2039" t="s">
        <v>516</v>
      </c>
      <c r="L75" s="301" t="s">
        <v>34</v>
      </c>
      <c r="M75" s="302">
        <v>0.28799999999999998</v>
      </c>
      <c r="N75" s="302">
        <v>0.32</v>
      </c>
      <c r="O75" s="302">
        <v>0.28599999999999998</v>
      </c>
      <c r="P75" s="302">
        <v>0.28599999999999998</v>
      </c>
      <c r="Q75" s="302">
        <v>0.28599999999999998</v>
      </c>
    </row>
    <row r="76" spans="1:17" s="110" customFormat="1" x14ac:dyDescent="0.25">
      <c r="A76" s="1866"/>
      <c r="B76" s="1867"/>
      <c r="C76" s="1690"/>
      <c r="D76" s="2032"/>
      <c r="E76" s="2039"/>
      <c r="F76" s="284">
        <v>70150.7</v>
      </c>
      <c r="G76" s="284">
        <v>73664.2</v>
      </c>
      <c r="H76" s="1833"/>
      <c r="I76" s="284">
        <v>73769</v>
      </c>
      <c r="J76" s="284">
        <v>73769</v>
      </c>
      <c r="K76" s="2039"/>
      <c r="L76" s="301" t="s">
        <v>34</v>
      </c>
      <c r="M76" s="302">
        <v>0.55100000000000005</v>
      </c>
      <c r="N76" s="302">
        <v>0.57399999999999995</v>
      </c>
      <c r="O76" s="302">
        <v>0.39700000000000002</v>
      </c>
      <c r="P76" s="302">
        <v>0.39700000000000002</v>
      </c>
      <c r="Q76" s="302">
        <v>0.39700000000000002</v>
      </c>
    </row>
    <row r="77" spans="1:17" s="110" customFormat="1" x14ac:dyDescent="0.25">
      <c r="A77" s="1866"/>
      <c r="B77" s="1867"/>
      <c r="C77" s="1690"/>
      <c r="D77" s="2032"/>
      <c r="E77" s="2039"/>
      <c r="F77" s="284">
        <v>7273.8</v>
      </c>
      <c r="G77" s="284">
        <v>13931.4</v>
      </c>
      <c r="H77" s="1833"/>
      <c r="I77" s="284">
        <v>12495.9</v>
      </c>
      <c r="J77" s="284">
        <v>12495.9</v>
      </c>
      <c r="K77" s="2039"/>
      <c r="L77" s="301" t="s">
        <v>34</v>
      </c>
      <c r="M77" s="302">
        <v>0.32</v>
      </c>
      <c r="N77" s="302">
        <v>0.41599999999999998</v>
      </c>
      <c r="O77" s="302">
        <v>0.46400000000000002</v>
      </c>
      <c r="P77" s="302">
        <v>0.46400000000000002</v>
      </c>
      <c r="Q77" s="302">
        <v>0.46400000000000002</v>
      </c>
    </row>
    <row r="78" spans="1:17" s="110" customFormat="1" x14ac:dyDescent="0.25">
      <c r="A78" s="1866"/>
      <c r="B78" s="1867"/>
      <c r="C78" s="1690"/>
      <c r="D78" s="2032"/>
      <c r="E78" s="2039"/>
      <c r="F78" s="284">
        <v>4555.2</v>
      </c>
      <c r="G78" s="284">
        <v>4219.3999999999996</v>
      </c>
      <c r="H78" s="1833"/>
      <c r="I78" s="284">
        <v>4103.8999999999996</v>
      </c>
      <c r="J78" s="284">
        <v>4103.8999999999996</v>
      </c>
      <c r="K78" s="2039"/>
      <c r="L78" s="301" t="s">
        <v>34</v>
      </c>
      <c r="M78" s="302">
        <v>0.187</v>
      </c>
      <c r="N78" s="302">
        <v>0.26100000000000001</v>
      </c>
      <c r="O78" s="302">
        <v>0.26900000000000002</v>
      </c>
      <c r="P78" s="302">
        <v>0.26900000000000002</v>
      </c>
      <c r="Q78" s="302">
        <v>0.26900000000000002</v>
      </c>
    </row>
    <row r="79" spans="1:17" s="110" customFormat="1" x14ac:dyDescent="0.25">
      <c r="A79" s="1866"/>
      <c r="B79" s="1867"/>
      <c r="C79" s="1690"/>
      <c r="D79" s="2032"/>
      <c r="E79" s="2039"/>
      <c r="F79" s="284">
        <v>26371.5</v>
      </c>
      <c r="G79" s="284">
        <v>36175.300000000003</v>
      </c>
      <c r="H79" s="1833"/>
      <c r="I79" s="284">
        <v>36455.1</v>
      </c>
      <c r="J79" s="284">
        <v>36455.1</v>
      </c>
      <c r="K79" s="2039"/>
      <c r="L79" s="301" t="s">
        <v>34</v>
      </c>
      <c r="M79" s="302">
        <v>0.65900000000000003</v>
      </c>
      <c r="N79" s="302">
        <v>0.70499999999999996</v>
      </c>
      <c r="O79" s="302">
        <v>0.30099999999999999</v>
      </c>
      <c r="P79" s="302">
        <v>0.30099999999999999</v>
      </c>
      <c r="Q79" s="302">
        <v>0.30099999999999999</v>
      </c>
    </row>
    <row r="80" spans="1:17" s="110" customFormat="1" x14ac:dyDescent="0.25">
      <c r="A80" s="1679"/>
      <c r="B80" s="1752"/>
      <c r="C80" s="1670"/>
      <c r="D80" s="1640"/>
      <c r="E80" s="1747"/>
      <c r="F80" s="284">
        <v>15839.4</v>
      </c>
      <c r="G80" s="284">
        <v>22530.5</v>
      </c>
      <c r="H80" s="1805"/>
      <c r="I80" s="284">
        <v>20619</v>
      </c>
      <c r="J80" s="284">
        <v>20619</v>
      </c>
      <c r="K80" s="1747"/>
      <c r="L80" s="301" t="s">
        <v>34</v>
      </c>
      <c r="M80" s="302">
        <v>0.249</v>
      </c>
      <c r="N80" s="302">
        <v>0.39100000000000001</v>
      </c>
      <c r="O80" s="302">
        <v>0.60099999999999998</v>
      </c>
      <c r="P80" s="302">
        <v>0.60099999999999998</v>
      </c>
      <c r="Q80" s="302">
        <v>0.60099999999999998</v>
      </c>
    </row>
    <row r="81" spans="1:17" s="110" customFormat="1" ht="45" customHeight="1" x14ac:dyDescent="0.25">
      <c r="A81" s="2190"/>
      <c r="B81" s="2258"/>
      <c r="C81" s="2229" t="s">
        <v>18</v>
      </c>
      <c r="D81" s="2251"/>
      <c r="E81" s="2265" t="s">
        <v>501</v>
      </c>
      <c r="F81" s="2282">
        <v>97620.4</v>
      </c>
      <c r="G81" s="2282">
        <v>95848</v>
      </c>
      <c r="H81" s="1804">
        <f>78864.3+2523.2+10029.9+310</f>
        <v>91727.4</v>
      </c>
      <c r="I81" s="2276">
        <v>95488</v>
      </c>
      <c r="J81" s="2276">
        <v>95488</v>
      </c>
      <c r="K81" s="1205" t="s">
        <v>517</v>
      </c>
      <c r="L81" s="247" t="s">
        <v>56</v>
      </c>
      <c r="M81" s="63">
        <v>114</v>
      </c>
      <c r="N81" s="63">
        <v>116</v>
      </c>
      <c r="O81" s="63">
        <v>159</v>
      </c>
      <c r="P81" s="63">
        <v>159</v>
      </c>
      <c r="Q81" s="63">
        <v>159</v>
      </c>
    </row>
    <row r="82" spans="1:17" s="110" customFormat="1" x14ac:dyDescent="0.25">
      <c r="A82" s="1866"/>
      <c r="B82" s="1867"/>
      <c r="C82" s="1690"/>
      <c r="D82" s="2032"/>
      <c r="E82" s="2039"/>
      <c r="F82" s="2283"/>
      <c r="G82" s="2283"/>
      <c r="H82" s="1833"/>
      <c r="I82" s="2141"/>
      <c r="J82" s="2141"/>
      <c r="K82" s="1205" t="s">
        <v>518</v>
      </c>
      <c r="L82" s="247" t="s">
        <v>56</v>
      </c>
      <c r="M82" s="63">
        <v>33</v>
      </c>
      <c r="N82" s="63">
        <v>30</v>
      </c>
      <c r="O82" s="63">
        <v>29</v>
      </c>
      <c r="P82" s="63">
        <v>29</v>
      </c>
      <c r="Q82" s="63">
        <v>29</v>
      </c>
    </row>
    <row r="83" spans="1:17" s="110" customFormat="1" ht="30" x14ac:dyDescent="0.25">
      <c r="A83" s="1866"/>
      <c r="B83" s="1867"/>
      <c r="C83" s="1690"/>
      <c r="D83" s="2032"/>
      <c r="E83" s="2039"/>
      <c r="F83" s="2283"/>
      <c r="G83" s="2283"/>
      <c r="H83" s="1833"/>
      <c r="I83" s="2141"/>
      <c r="J83" s="2141"/>
      <c r="K83" s="1205" t="s">
        <v>519</v>
      </c>
      <c r="L83" s="247" t="s">
        <v>56</v>
      </c>
      <c r="M83" s="63">
        <v>21</v>
      </c>
      <c r="N83" s="63">
        <v>27</v>
      </c>
      <c r="O83" s="63">
        <v>18</v>
      </c>
      <c r="P83" s="63">
        <v>18</v>
      </c>
      <c r="Q83" s="63">
        <v>18</v>
      </c>
    </row>
    <row r="84" spans="1:17" s="110" customFormat="1" x14ac:dyDescent="0.25">
      <c r="A84" s="1866"/>
      <c r="B84" s="1867"/>
      <c r="C84" s="1690"/>
      <c r="D84" s="2032"/>
      <c r="E84" s="2039"/>
      <c r="F84" s="2283"/>
      <c r="G84" s="2283"/>
      <c r="H84" s="1833"/>
      <c r="I84" s="2141"/>
      <c r="J84" s="2141"/>
      <c r="K84" s="1205" t="s">
        <v>890</v>
      </c>
      <c r="L84" s="247" t="s">
        <v>56</v>
      </c>
      <c r="M84" s="63">
        <v>2</v>
      </c>
      <c r="N84" s="63">
        <v>2</v>
      </c>
      <c r="O84" s="63">
        <v>2</v>
      </c>
      <c r="P84" s="63">
        <v>2</v>
      </c>
      <c r="Q84" s="63">
        <v>2</v>
      </c>
    </row>
    <row r="85" spans="1:17" s="110" customFormat="1" x14ac:dyDescent="0.25">
      <c r="A85" s="1866"/>
      <c r="B85" s="1867"/>
      <c r="C85" s="1690"/>
      <c r="D85" s="2032"/>
      <c r="E85" s="2039"/>
      <c r="F85" s="2283"/>
      <c r="G85" s="2283"/>
      <c r="H85" s="1833"/>
      <c r="I85" s="2141"/>
      <c r="J85" s="2141"/>
      <c r="K85" s="1205" t="s">
        <v>520</v>
      </c>
      <c r="L85" s="247" t="s">
        <v>56</v>
      </c>
      <c r="M85" s="63">
        <v>8</v>
      </c>
      <c r="N85" s="63">
        <v>8</v>
      </c>
      <c r="O85" s="63">
        <v>8</v>
      </c>
      <c r="P85" s="63">
        <v>8</v>
      </c>
      <c r="Q85" s="63">
        <v>8</v>
      </c>
    </row>
    <row r="86" spans="1:17" s="110" customFormat="1" x14ac:dyDescent="0.25">
      <c r="A86" s="1866"/>
      <c r="B86" s="1867"/>
      <c r="C86" s="1690"/>
      <c r="D86" s="2032"/>
      <c r="E86" s="2039"/>
      <c r="F86" s="2283"/>
      <c r="G86" s="2283"/>
      <c r="H86" s="1833"/>
      <c r="I86" s="2141"/>
      <c r="J86" s="2141"/>
      <c r="K86" s="1205" t="s">
        <v>126</v>
      </c>
      <c r="L86" s="247" t="s">
        <v>56</v>
      </c>
      <c r="M86" s="63"/>
      <c r="N86" s="63"/>
      <c r="O86" s="63"/>
      <c r="P86" s="63"/>
      <c r="Q86" s="63"/>
    </row>
    <row r="87" spans="1:17" s="110" customFormat="1" ht="15" customHeight="1" x14ac:dyDescent="0.25">
      <c r="A87" s="1866"/>
      <c r="B87" s="1867"/>
      <c r="C87" s="1690"/>
      <c r="D87" s="2032"/>
      <c r="E87" s="2039"/>
      <c r="F87" s="2283"/>
      <c r="G87" s="2283"/>
      <c r="H87" s="1833"/>
      <c r="I87" s="2141"/>
      <c r="J87" s="2141"/>
      <c r="K87" s="1205" t="s">
        <v>891</v>
      </c>
      <c r="L87" s="247" t="s">
        <v>56</v>
      </c>
      <c r="M87" s="63">
        <v>50</v>
      </c>
      <c r="N87" s="63">
        <v>49</v>
      </c>
      <c r="O87" s="63">
        <v>102</v>
      </c>
      <c r="P87" s="63">
        <v>102</v>
      </c>
      <c r="Q87" s="63">
        <v>102</v>
      </c>
    </row>
    <row r="88" spans="1:17" s="110" customFormat="1" ht="30" x14ac:dyDescent="0.25">
      <c r="A88" s="1866"/>
      <c r="B88" s="1867"/>
      <c r="C88" s="1690"/>
      <c r="D88" s="2032"/>
      <c r="E88" s="2039"/>
      <c r="F88" s="2283"/>
      <c r="G88" s="2283"/>
      <c r="H88" s="1833"/>
      <c r="I88" s="2141"/>
      <c r="J88" s="2141"/>
      <c r="K88" s="1205" t="s">
        <v>893</v>
      </c>
      <c r="L88" s="247" t="s">
        <v>56</v>
      </c>
      <c r="M88" s="63">
        <v>26</v>
      </c>
      <c r="N88" s="63">
        <v>34</v>
      </c>
      <c r="O88" s="63">
        <v>21</v>
      </c>
      <c r="P88" s="63">
        <v>21</v>
      </c>
      <c r="Q88" s="63">
        <v>21</v>
      </c>
    </row>
    <row r="89" spans="1:17" s="110" customFormat="1" ht="15" customHeight="1" x14ac:dyDescent="0.25">
      <c r="A89" s="1866"/>
      <c r="B89" s="1867"/>
      <c r="C89" s="1690"/>
      <c r="D89" s="2032"/>
      <c r="E89" s="2039"/>
      <c r="F89" s="2283"/>
      <c r="G89" s="2283"/>
      <c r="H89" s="1833"/>
      <c r="I89" s="2141"/>
      <c r="J89" s="2141"/>
      <c r="K89" s="1205" t="s">
        <v>892</v>
      </c>
      <c r="L89" s="247" t="s">
        <v>56</v>
      </c>
      <c r="M89" s="63">
        <v>17</v>
      </c>
      <c r="N89" s="63">
        <v>13</v>
      </c>
      <c r="O89" s="63">
        <v>12</v>
      </c>
      <c r="P89" s="63">
        <v>12</v>
      </c>
      <c r="Q89" s="63">
        <v>12</v>
      </c>
    </row>
    <row r="90" spans="1:17" s="110" customFormat="1" ht="15" customHeight="1" x14ac:dyDescent="0.25">
      <c r="A90" s="1866"/>
      <c r="B90" s="1867"/>
      <c r="C90" s="1690"/>
      <c r="D90" s="2032"/>
      <c r="E90" s="2039"/>
      <c r="F90" s="2283"/>
      <c r="G90" s="2283"/>
      <c r="H90" s="1833"/>
      <c r="I90" s="2141"/>
      <c r="J90" s="2141"/>
      <c r="K90" s="1205" t="s">
        <v>894</v>
      </c>
      <c r="L90" s="247" t="s">
        <v>56</v>
      </c>
      <c r="M90" s="63">
        <v>9</v>
      </c>
      <c r="N90" s="63">
        <v>8</v>
      </c>
      <c r="O90" s="63">
        <v>9</v>
      </c>
      <c r="P90" s="63">
        <v>9</v>
      </c>
      <c r="Q90" s="63">
        <v>9</v>
      </c>
    </row>
    <row r="91" spans="1:17" s="110" customFormat="1" x14ac:dyDescent="0.25">
      <c r="A91" s="1679"/>
      <c r="B91" s="1752"/>
      <c r="C91" s="1670"/>
      <c r="D91" s="1640"/>
      <c r="E91" s="1747"/>
      <c r="F91" s="2284"/>
      <c r="G91" s="2284"/>
      <c r="H91" s="1805"/>
      <c r="I91" s="2142"/>
      <c r="J91" s="2142"/>
      <c r="K91" s="1205" t="s">
        <v>895</v>
      </c>
      <c r="L91" s="247" t="s">
        <v>56</v>
      </c>
      <c r="M91" s="63"/>
      <c r="N91" s="63">
        <v>13</v>
      </c>
      <c r="O91" s="63"/>
      <c r="P91" s="63"/>
      <c r="Q91" s="63"/>
    </row>
    <row r="92" spans="1:17" s="110" customFormat="1" x14ac:dyDescent="0.25">
      <c r="A92" s="2190">
        <v>15</v>
      </c>
      <c r="B92" s="2258">
        <v>3</v>
      </c>
      <c r="C92" s="2229"/>
      <c r="D92" s="2251"/>
      <c r="E92" s="2149" t="s">
        <v>502</v>
      </c>
      <c r="F92" s="2269">
        <v>11735</v>
      </c>
      <c r="G92" s="2269">
        <v>19000</v>
      </c>
      <c r="H92" s="2269">
        <f>H95+H96+H97</f>
        <v>19000</v>
      </c>
      <c r="I92" s="2269">
        <v>19000</v>
      </c>
      <c r="J92" s="2269">
        <v>19000</v>
      </c>
      <c r="K92" s="1926"/>
      <c r="L92" s="1926"/>
      <c r="M92" s="2301"/>
      <c r="N92" s="2301"/>
      <c r="O92" s="2301"/>
      <c r="P92" s="2301"/>
      <c r="Q92" s="2301"/>
    </row>
    <row r="93" spans="1:17" s="110" customFormat="1" x14ac:dyDescent="0.25">
      <c r="A93" s="1866"/>
      <c r="B93" s="1867"/>
      <c r="C93" s="1690"/>
      <c r="D93" s="2032"/>
      <c r="E93" s="2149"/>
      <c r="F93" s="2270"/>
      <c r="G93" s="2270"/>
      <c r="H93" s="2270"/>
      <c r="I93" s="2270"/>
      <c r="J93" s="2270"/>
      <c r="K93" s="1926"/>
      <c r="L93" s="1926"/>
      <c r="M93" s="2301"/>
      <c r="N93" s="2301"/>
      <c r="O93" s="2301"/>
      <c r="P93" s="2301"/>
      <c r="Q93" s="2301"/>
    </row>
    <row r="94" spans="1:17" s="110" customFormat="1" ht="21" customHeight="1" x14ac:dyDescent="0.25">
      <c r="A94" s="1866"/>
      <c r="B94" s="1867"/>
      <c r="C94" s="1690"/>
      <c r="D94" s="2032"/>
      <c r="E94" s="2149"/>
      <c r="F94" s="2270"/>
      <c r="G94" s="2270"/>
      <c r="H94" s="2270"/>
      <c r="I94" s="2270"/>
      <c r="J94" s="2270"/>
      <c r="K94" s="1926"/>
      <c r="L94" s="1926"/>
      <c r="M94" s="2301"/>
      <c r="N94" s="2301"/>
      <c r="O94" s="2301"/>
      <c r="P94" s="2301"/>
      <c r="Q94" s="2301"/>
    </row>
    <row r="95" spans="1:17" s="110" customFormat="1" ht="30" x14ac:dyDescent="0.25">
      <c r="A95" s="414"/>
      <c r="B95" s="360"/>
      <c r="C95" s="312" t="s">
        <v>4</v>
      </c>
      <c r="D95" s="10"/>
      <c r="E95" s="304" t="s">
        <v>503</v>
      </c>
      <c r="F95" s="176">
        <v>7447</v>
      </c>
      <c r="G95" s="176">
        <v>9360</v>
      </c>
      <c r="H95" s="487">
        <v>5440</v>
      </c>
      <c r="I95" s="176">
        <v>6000</v>
      </c>
      <c r="J95" s="176">
        <v>6000</v>
      </c>
      <c r="K95" s="1205" t="s">
        <v>896</v>
      </c>
      <c r="L95" s="220" t="s">
        <v>81</v>
      </c>
      <c r="M95" s="206">
        <v>45.8</v>
      </c>
      <c r="N95" s="206">
        <v>47.4</v>
      </c>
      <c r="O95" s="206">
        <v>47.4</v>
      </c>
      <c r="P95" s="206">
        <v>47.4</v>
      </c>
      <c r="Q95" s="206">
        <v>47.4</v>
      </c>
    </row>
    <row r="96" spans="1:17" s="110" customFormat="1" ht="30" x14ac:dyDescent="0.25">
      <c r="A96" s="337"/>
      <c r="B96" s="375"/>
      <c r="C96" s="316" t="s">
        <v>5</v>
      </c>
      <c r="D96" s="10"/>
      <c r="E96" s="305" t="s">
        <v>504</v>
      </c>
      <c r="F96" s="177">
        <v>4200</v>
      </c>
      <c r="G96" s="177">
        <v>4640</v>
      </c>
      <c r="H96" s="487"/>
      <c r="I96" s="177">
        <v>4500</v>
      </c>
      <c r="J96" s="177">
        <v>4500</v>
      </c>
      <c r="K96" s="1205" t="s">
        <v>896</v>
      </c>
      <c r="L96" s="223" t="s">
        <v>81</v>
      </c>
      <c r="M96" s="247">
        <v>43.7</v>
      </c>
      <c r="N96" s="247">
        <v>21</v>
      </c>
      <c r="O96" s="247">
        <v>21</v>
      </c>
      <c r="P96" s="247">
        <v>21</v>
      </c>
      <c r="Q96" s="247">
        <v>21</v>
      </c>
    </row>
    <row r="97" spans="1:17" s="110" customFormat="1" ht="60" x14ac:dyDescent="0.25">
      <c r="A97" s="415"/>
      <c r="B97" s="361"/>
      <c r="C97" s="316" t="s">
        <v>7</v>
      </c>
      <c r="D97" s="268"/>
      <c r="E97" s="305" t="s">
        <v>505</v>
      </c>
      <c r="F97" s="177">
        <v>88</v>
      </c>
      <c r="G97" s="177">
        <v>5000</v>
      </c>
      <c r="H97" s="487">
        <v>13560</v>
      </c>
      <c r="I97" s="177">
        <v>8500</v>
      </c>
      <c r="J97" s="177">
        <v>8500</v>
      </c>
      <c r="K97" s="1205" t="s">
        <v>896</v>
      </c>
      <c r="L97" s="223" t="s">
        <v>81</v>
      </c>
      <c r="M97" s="247">
        <v>10.5</v>
      </c>
      <c r="N97" s="247">
        <v>31.6</v>
      </c>
      <c r="O97" s="247">
        <v>31.6</v>
      </c>
      <c r="P97" s="247">
        <v>31.6</v>
      </c>
      <c r="Q97" s="247">
        <v>31.6</v>
      </c>
    </row>
    <row r="98" spans="1:17" s="110" customFormat="1" ht="99.75" x14ac:dyDescent="0.25">
      <c r="A98" s="337">
        <v>15</v>
      </c>
      <c r="B98" s="375">
        <v>4</v>
      </c>
      <c r="C98" s="316"/>
      <c r="D98" s="10"/>
      <c r="E98" s="646" t="s">
        <v>506</v>
      </c>
      <c r="F98" s="165">
        <v>27926.7</v>
      </c>
      <c r="G98" s="64">
        <v>29652.799999999999</v>
      </c>
      <c r="H98" s="64">
        <f>H99</f>
        <v>35546.699999999997</v>
      </c>
      <c r="I98" s="64">
        <v>29203</v>
      </c>
      <c r="J98" s="64">
        <v>29203</v>
      </c>
      <c r="K98" s="65"/>
      <c r="L98" s="217"/>
      <c r="M98" s="217"/>
      <c r="N98" s="217"/>
      <c r="O98" s="217"/>
      <c r="P98" s="217"/>
      <c r="Q98" s="217"/>
    </row>
    <row r="99" spans="1:17" s="110" customFormat="1" ht="15" customHeight="1" x14ac:dyDescent="0.25">
      <c r="A99" s="337"/>
      <c r="B99" s="375"/>
      <c r="C99" s="316" t="s">
        <v>4</v>
      </c>
      <c r="D99" s="10"/>
      <c r="E99" s="1097" t="s">
        <v>507</v>
      </c>
      <c r="F99" s="284">
        <v>27926.7</v>
      </c>
      <c r="G99" s="284">
        <v>29652.799999999999</v>
      </c>
      <c r="H99" s="487">
        <f>18074.9+17471.8</f>
        <v>35546.699999999997</v>
      </c>
      <c r="I99" s="284">
        <v>29203</v>
      </c>
      <c r="J99" s="284">
        <v>29203</v>
      </c>
      <c r="K99" s="1205" t="s">
        <v>897</v>
      </c>
      <c r="L99" s="217" t="s">
        <v>84</v>
      </c>
      <c r="M99" s="217">
        <v>293</v>
      </c>
      <c r="N99" s="217">
        <v>260</v>
      </c>
      <c r="O99" s="217">
        <v>294</v>
      </c>
      <c r="P99" s="217">
        <v>294</v>
      </c>
      <c r="Q99" s="217">
        <v>294</v>
      </c>
    </row>
    <row r="100" spans="1:17" s="110" customFormat="1" ht="71.25" x14ac:dyDescent="0.25">
      <c r="A100" s="337">
        <v>15</v>
      </c>
      <c r="B100" s="375">
        <v>5</v>
      </c>
      <c r="C100" s="316"/>
      <c r="D100" s="10"/>
      <c r="E100" s="646" t="s">
        <v>508</v>
      </c>
      <c r="F100" s="165">
        <v>5125.7999999999993</v>
      </c>
      <c r="G100" s="64">
        <v>6776.7999999999993</v>
      </c>
      <c r="H100" s="64">
        <f>H101</f>
        <v>6693.9000000000005</v>
      </c>
      <c r="I100" s="64">
        <v>7044.6</v>
      </c>
      <c r="J100" s="64">
        <v>7044.6</v>
      </c>
      <c r="K100" s="65"/>
      <c r="L100" s="217"/>
      <c r="M100" s="217"/>
      <c r="N100" s="217"/>
      <c r="O100" s="217"/>
      <c r="P100" s="217"/>
      <c r="Q100" s="217"/>
    </row>
    <row r="101" spans="1:17" s="110" customFormat="1" ht="52.5" customHeight="1" x14ac:dyDescent="0.25">
      <c r="A101" s="337"/>
      <c r="B101" s="375"/>
      <c r="C101" s="316" t="s">
        <v>4</v>
      </c>
      <c r="D101" s="10"/>
      <c r="E101" s="1097" t="s">
        <v>509</v>
      </c>
      <c r="F101" s="284">
        <v>5125.7999999999993</v>
      </c>
      <c r="G101" s="284">
        <v>6776.7999999999993</v>
      </c>
      <c r="H101" s="487">
        <f>5986.6+707.3</f>
        <v>6693.9000000000005</v>
      </c>
      <c r="I101" s="284">
        <v>7044.6</v>
      </c>
      <c r="J101" s="284">
        <v>7044.6</v>
      </c>
      <c r="K101" s="1205" t="s">
        <v>898</v>
      </c>
      <c r="L101" s="217" t="s">
        <v>56</v>
      </c>
      <c r="M101" s="217">
        <v>4</v>
      </c>
      <c r="N101" s="217">
        <v>4</v>
      </c>
      <c r="O101" s="217">
        <v>4</v>
      </c>
      <c r="P101" s="217">
        <v>4</v>
      </c>
      <c r="Q101" s="217">
        <v>4</v>
      </c>
    </row>
    <row r="102" spans="1:17" s="120" customFormat="1" ht="33" customHeight="1" x14ac:dyDescent="0.25">
      <c r="A102" s="1784" t="s">
        <v>899</v>
      </c>
      <c r="B102" s="1785"/>
      <c r="C102" s="1785"/>
      <c r="D102" s="1785"/>
      <c r="E102" s="1785"/>
      <c r="F102" s="71">
        <v>626862.4</v>
      </c>
      <c r="G102" s="71">
        <v>630168.10000000009</v>
      </c>
      <c r="H102" s="71">
        <f>H66+H92+H98+H100</f>
        <v>1253589.3999999997</v>
      </c>
      <c r="I102" s="71">
        <v>649561.69999999995</v>
      </c>
      <c r="J102" s="71">
        <v>655779.1</v>
      </c>
      <c r="K102" s="553"/>
      <c r="L102" s="2279"/>
      <c r="M102" s="2280"/>
      <c r="N102" s="2280"/>
      <c r="O102" s="2280"/>
      <c r="P102" s="2280"/>
      <c r="Q102" s="2281"/>
    </row>
    <row r="103" spans="1:17" x14ac:dyDescent="0.25">
      <c r="A103" s="1648" t="s">
        <v>900</v>
      </c>
      <c r="B103" s="1649"/>
      <c r="C103" s="1649"/>
      <c r="D103" s="1649"/>
      <c r="E103" s="1649"/>
      <c r="F103" s="1649"/>
      <c r="G103" s="1649"/>
      <c r="H103" s="1649"/>
      <c r="I103" s="1649"/>
      <c r="J103" s="1649"/>
      <c r="K103" s="1649"/>
      <c r="L103" s="1649"/>
      <c r="M103" s="1649"/>
      <c r="N103" s="1649"/>
      <c r="O103" s="1649"/>
      <c r="P103" s="1649"/>
      <c r="Q103" s="1650"/>
    </row>
    <row r="104" spans="1:17" s="110" customFormat="1" ht="81.75" customHeight="1" x14ac:dyDescent="0.25">
      <c r="A104" s="416">
        <v>16</v>
      </c>
      <c r="B104" s="58">
        <v>1</v>
      </c>
      <c r="C104" s="27"/>
      <c r="D104" s="24"/>
      <c r="E104" s="460" t="s">
        <v>521</v>
      </c>
      <c r="F104" s="248">
        <v>0</v>
      </c>
      <c r="G104" s="248">
        <v>0</v>
      </c>
      <c r="H104" s="248">
        <f>H105+H106+H107+H109+H110</f>
        <v>48458.1</v>
      </c>
      <c r="I104" s="248">
        <v>49193.1</v>
      </c>
      <c r="J104" s="248">
        <v>49193.1</v>
      </c>
      <c r="K104" s="460" t="s">
        <v>901</v>
      </c>
      <c r="L104" s="286" t="s">
        <v>34</v>
      </c>
      <c r="M104" s="286">
        <v>49.9</v>
      </c>
      <c r="N104" s="286">
        <v>66.7</v>
      </c>
      <c r="O104" s="286">
        <v>68.2</v>
      </c>
      <c r="P104" s="286">
        <v>69.599999999999994</v>
      </c>
      <c r="Q104" s="286">
        <v>69.599999999999994</v>
      </c>
    </row>
    <row r="105" spans="1:17" s="110" customFormat="1" ht="45" x14ac:dyDescent="0.25">
      <c r="A105" s="417"/>
      <c r="B105" s="373"/>
      <c r="C105" s="27" t="s">
        <v>4</v>
      </c>
      <c r="D105" s="27"/>
      <c r="E105" s="1205" t="s">
        <v>522</v>
      </c>
      <c r="F105" s="241"/>
      <c r="G105" s="241"/>
      <c r="H105" s="241">
        <v>14685.3</v>
      </c>
      <c r="I105" s="241">
        <v>14685.3</v>
      </c>
      <c r="J105" s="241">
        <v>14685.3</v>
      </c>
      <c r="K105" s="1205" t="s">
        <v>902</v>
      </c>
      <c r="L105" s="247" t="s">
        <v>45</v>
      </c>
      <c r="M105" s="61">
        <v>0</v>
      </c>
      <c r="N105" s="61">
        <v>0</v>
      </c>
      <c r="O105" s="61">
        <v>0</v>
      </c>
      <c r="P105" s="61">
        <v>0</v>
      </c>
      <c r="Q105" s="61">
        <v>0</v>
      </c>
    </row>
    <row r="106" spans="1:17" s="110" customFormat="1" ht="30" x14ac:dyDescent="0.25">
      <c r="A106" s="417"/>
      <c r="B106" s="373"/>
      <c r="C106" s="27" t="s">
        <v>7</v>
      </c>
      <c r="D106" s="27"/>
      <c r="E106" s="1205" t="s">
        <v>395</v>
      </c>
      <c r="F106" s="241"/>
      <c r="G106" s="241"/>
      <c r="H106" s="241">
        <v>25072.799999999999</v>
      </c>
      <c r="I106" s="241">
        <v>25307.8</v>
      </c>
      <c r="J106" s="241">
        <v>25307.8</v>
      </c>
      <c r="K106" s="1205" t="s">
        <v>602</v>
      </c>
      <c r="L106" s="247" t="s">
        <v>34</v>
      </c>
      <c r="M106" s="247">
        <v>0</v>
      </c>
      <c r="N106" s="247">
        <v>0</v>
      </c>
      <c r="O106" s="23">
        <v>0</v>
      </c>
      <c r="P106" s="23">
        <v>0</v>
      </c>
      <c r="Q106" s="23">
        <v>0</v>
      </c>
    </row>
    <row r="107" spans="1:17" s="110" customFormat="1" ht="30" x14ac:dyDescent="0.25">
      <c r="A107" s="2418"/>
      <c r="B107" s="396"/>
      <c r="C107" s="2419" t="s">
        <v>11</v>
      </c>
      <c r="D107" s="2419"/>
      <c r="E107" s="1791" t="s">
        <v>523</v>
      </c>
      <c r="F107" s="2252"/>
      <c r="G107" s="2252"/>
      <c r="H107" s="2252"/>
      <c r="I107" s="2252">
        <v>1000</v>
      </c>
      <c r="J107" s="2252">
        <v>1000</v>
      </c>
      <c r="K107" s="116" t="s">
        <v>903</v>
      </c>
      <c r="L107" s="247" t="s">
        <v>36</v>
      </c>
      <c r="M107" s="247">
        <v>20</v>
      </c>
      <c r="N107" s="247">
        <v>20</v>
      </c>
      <c r="O107" s="247">
        <v>20</v>
      </c>
      <c r="P107" s="247">
        <v>20</v>
      </c>
      <c r="Q107" s="247">
        <v>20</v>
      </c>
    </row>
    <row r="108" spans="1:17" s="110" customFormat="1" ht="45" x14ac:dyDescent="0.25">
      <c r="A108" s="1771"/>
      <c r="B108" s="376"/>
      <c r="C108" s="1900"/>
      <c r="D108" s="1900"/>
      <c r="E108" s="1791"/>
      <c r="F108" s="1656"/>
      <c r="G108" s="1656"/>
      <c r="H108" s="1656"/>
      <c r="I108" s="1656"/>
      <c r="J108" s="1656"/>
      <c r="K108" s="116" t="s">
        <v>904</v>
      </c>
      <c r="L108" s="247" t="s">
        <v>36</v>
      </c>
      <c r="M108" s="247">
        <v>3</v>
      </c>
      <c r="N108" s="247">
        <v>3</v>
      </c>
      <c r="O108" s="247">
        <v>3</v>
      </c>
      <c r="P108" s="247">
        <v>3</v>
      </c>
      <c r="Q108" s="247">
        <v>3</v>
      </c>
    </row>
    <row r="109" spans="1:17" s="110" customFormat="1" x14ac:dyDescent="0.25">
      <c r="A109" s="417"/>
      <c r="B109" s="373"/>
      <c r="C109" s="27" t="s">
        <v>11</v>
      </c>
      <c r="D109" s="27"/>
      <c r="E109" s="1212" t="s">
        <v>524</v>
      </c>
      <c r="F109" s="241"/>
      <c r="G109" s="241"/>
      <c r="H109" s="643">
        <v>6100</v>
      </c>
      <c r="I109" s="241">
        <v>4500</v>
      </c>
      <c r="J109" s="241">
        <v>4500</v>
      </c>
      <c r="K109" s="1205" t="s">
        <v>905</v>
      </c>
      <c r="L109" s="247" t="s">
        <v>36</v>
      </c>
      <c r="M109" s="247" t="s">
        <v>46</v>
      </c>
      <c r="N109" s="247" t="s">
        <v>46</v>
      </c>
      <c r="O109" s="247" t="s">
        <v>46</v>
      </c>
      <c r="P109" s="247" t="s">
        <v>46</v>
      </c>
      <c r="Q109" s="247" t="s">
        <v>46</v>
      </c>
    </row>
    <row r="110" spans="1:17" s="110" customFormat="1" ht="45" x14ac:dyDescent="0.25">
      <c r="A110" s="417"/>
      <c r="B110" s="373"/>
      <c r="C110" s="27" t="s">
        <v>13</v>
      </c>
      <c r="D110" s="27"/>
      <c r="E110" s="1205" t="s">
        <v>525</v>
      </c>
      <c r="F110" s="241"/>
      <c r="G110" s="241"/>
      <c r="H110" s="241">
        <v>2600</v>
      </c>
      <c r="I110" s="241">
        <v>3700</v>
      </c>
      <c r="J110" s="241">
        <v>3700</v>
      </c>
      <c r="K110" s="1205" t="s">
        <v>906</v>
      </c>
      <c r="L110" s="247" t="s">
        <v>34</v>
      </c>
      <c r="M110" s="247">
        <v>30</v>
      </c>
      <c r="N110" s="247">
        <v>30</v>
      </c>
      <c r="O110" s="247">
        <v>30</v>
      </c>
      <c r="P110" s="247">
        <v>30</v>
      </c>
      <c r="Q110" s="247">
        <v>30</v>
      </c>
    </row>
    <row r="111" spans="1:17" s="110" customFormat="1" ht="74.25" x14ac:dyDescent="0.25">
      <c r="A111" s="416">
        <v>16</v>
      </c>
      <c r="B111" s="58">
        <v>2</v>
      </c>
      <c r="C111" s="27"/>
      <c r="D111" s="27"/>
      <c r="E111" s="1205" t="s">
        <v>526</v>
      </c>
      <c r="F111" s="248">
        <v>0</v>
      </c>
      <c r="G111" s="248">
        <v>0</v>
      </c>
      <c r="H111" s="248">
        <f>H112+H113+H114+H115+H116</f>
        <v>98995.9</v>
      </c>
      <c r="I111" s="248">
        <v>101378.9</v>
      </c>
      <c r="J111" s="248">
        <v>89298.9</v>
      </c>
      <c r="K111" s="460" t="s">
        <v>907</v>
      </c>
      <c r="L111" s="286" t="s">
        <v>34</v>
      </c>
      <c r="M111" s="286">
        <v>174</v>
      </c>
      <c r="N111" s="286">
        <v>0</v>
      </c>
      <c r="O111" s="286">
        <v>0</v>
      </c>
      <c r="P111" s="286">
        <v>0</v>
      </c>
      <c r="Q111" s="286">
        <v>0</v>
      </c>
    </row>
    <row r="112" spans="1:17" s="110" customFormat="1" ht="45" x14ac:dyDescent="0.25">
      <c r="A112" s="384"/>
      <c r="B112" s="379"/>
      <c r="C112" s="316" t="s">
        <v>4</v>
      </c>
      <c r="D112" s="266"/>
      <c r="E112" s="1205" t="s">
        <v>527</v>
      </c>
      <c r="F112" s="241"/>
      <c r="G112" s="241"/>
      <c r="H112" s="241">
        <v>65622.7</v>
      </c>
      <c r="I112" s="241">
        <v>61016.9</v>
      </c>
      <c r="J112" s="241">
        <v>61016.9</v>
      </c>
      <c r="K112" s="1205" t="s">
        <v>908</v>
      </c>
      <c r="L112" s="247" t="s">
        <v>79</v>
      </c>
      <c r="M112" s="247">
        <v>650</v>
      </c>
      <c r="N112" s="247" t="s">
        <v>47</v>
      </c>
      <c r="O112" s="247" t="s">
        <v>47</v>
      </c>
      <c r="P112" s="247" t="s">
        <v>48</v>
      </c>
      <c r="Q112" s="247" t="s">
        <v>48</v>
      </c>
    </row>
    <row r="113" spans="1:17" s="110" customFormat="1" ht="45" x14ac:dyDescent="0.25">
      <c r="A113" s="384"/>
      <c r="B113" s="379"/>
      <c r="C113" s="316" t="s">
        <v>5</v>
      </c>
      <c r="D113" s="266"/>
      <c r="E113" s="1205" t="s">
        <v>528</v>
      </c>
      <c r="F113" s="241"/>
      <c r="G113" s="241"/>
      <c r="H113" s="241">
        <v>6126.2</v>
      </c>
      <c r="I113" s="241">
        <v>12032</v>
      </c>
      <c r="J113" s="241">
        <v>6532</v>
      </c>
      <c r="K113" s="1205" t="s">
        <v>909</v>
      </c>
      <c r="L113" s="247"/>
      <c r="M113" s="247" t="s">
        <v>43</v>
      </c>
      <c r="N113" s="247" t="s">
        <v>43</v>
      </c>
      <c r="O113" s="247" t="s">
        <v>43</v>
      </c>
      <c r="P113" s="247" t="s">
        <v>43</v>
      </c>
      <c r="Q113" s="247" t="s">
        <v>43</v>
      </c>
    </row>
    <row r="114" spans="1:17" s="110" customFormat="1" ht="45" x14ac:dyDescent="0.25">
      <c r="A114" s="384"/>
      <c r="B114" s="379"/>
      <c r="C114" s="316" t="s">
        <v>7</v>
      </c>
      <c r="D114" s="266"/>
      <c r="E114" s="1205" t="s">
        <v>529</v>
      </c>
      <c r="F114" s="241"/>
      <c r="G114" s="241"/>
      <c r="H114" s="241">
        <v>5000</v>
      </c>
      <c r="I114" s="241">
        <v>500</v>
      </c>
      <c r="J114" s="241">
        <v>6000</v>
      </c>
      <c r="K114" s="1205" t="s">
        <v>910</v>
      </c>
      <c r="L114" s="247" t="s">
        <v>34</v>
      </c>
      <c r="M114" s="247">
        <v>100</v>
      </c>
      <c r="N114" s="247">
        <v>100</v>
      </c>
      <c r="O114" s="247">
        <v>100</v>
      </c>
      <c r="P114" s="247">
        <v>100</v>
      </c>
      <c r="Q114" s="247">
        <v>100</v>
      </c>
    </row>
    <row r="115" spans="1:17" s="110" customFormat="1" ht="30" x14ac:dyDescent="0.25">
      <c r="A115" s="384"/>
      <c r="B115" s="379"/>
      <c r="C115" s="316" t="s">
        <v>9</v>
      </c>
      <c r="D115" s="266"/>
      <c r="E115" s="1205" t="s">
        <v>530</v>
      </c>
      <c r="F115" s="241"/>
      <c r="G115" s="241"/>
      <c r="H115" s="241">
        <v>13680</v>
      </c>
      <c r="I115" s="241">
        <v>16580</v>
      </c>
      <c r="J115" s="241">
        <v>8000</v>
      </c>
      <c r="K115" s="1205" t="s">
        <v>911</v>
      </c>
      <c r="L115" s="247" t="s">
        <v>34</v>
      </c>
      <c r="M115" s="247">
        <v>100</v>
      </c>
      <c r="N115" s="247">
        <v>100</v>
      </c>
      <c r="O115" s="247">
        <v>100</v>
      </c>
      <c r="P115" s="247">
        <v>100</v>
      </c>
      <c r="Q115" s="247">
        <v>100</v>
      </c>
    </row>
    <row r="116" spans="1:17" s="110" customFormat="1" ht="75" x14ac:dyDescent="0.25">
      <c r="A116" s="384"/>
      <c r="B116" s="379"/>
      <c r="C116" s="316" t="s">
        <v>11</v>
      </c>
      <c r="D116" s="266"/>
      <c r="E116" s="1205" t="s">
        <v>531</v>
      </c>
      <c r="F116" s="241"/>
      <c r="G116" s="241"/>
      <c r="H116" s="241">
        <v>8567</v>
      </c>
      <c r="I116" s="241">
        <v>11250</v>
      </c>
      <c r="J116" s="241">
        <v>7750</v>
      </c>
      <c r="K116" s="1205" t="s">
        <v>912</v>
      </c>
      <c r="L116" s="247" t="s">
        <v>45</v>
      </c>
      <c r="M116" s="247">
        <v>30</v>
      </c>
      <c r="N116" s="247">
        <v>30</v>
      </c>
      <c r="O116" s="247">
        <v>30</v>
      </c>
      <c r="P116" s="247">
        <v>30</v>
      </c>
      <c r="Q116" s="247">
        <v>30</v>
      </c>
    </row>
    <row r="117" spans="1:17" s="120" customFormat="1" x14ac:dyDescent="0.25">
      <c r="A117" s="1708" t="s">
        <v>913</v>
      </c>
      <c r="B117" s="1709"/>
      <c r="C117" s="1709"/>
      <c r="D117" s="1709"/>
      <c r="E117" s="1709"/>
      <c r="F117" s="42">
        <v>0</v>
      </c>
      <c r="G117" s="42">
        <v>0</v>
      </c>
      <c r="H117" s="42">
        <f>H104+H111</f>
        <v>147454</v>
      </c>
      <c r="I117" s="42">
        <v>150572</v>
      </c>
      <c r="J117" s="42">
        <v>138492</v>
      </c>
      <c r="K117" s="1178"/>
      <c r="L117" s="616"/>
      <c r="M117" s="616"/>
      <c r="N117" s="616"/>
      <c r="O117" s="616"/>
      <c r="P117" s="616"/>
      <c r="Q117" s="616"/>
    </row>
    <row r="118" spans="1:17" ht="9" hidden="1" customHeight="1" x14ac:dyDescent="0.25">
      <c r="A118" s="1711"/>
      <c r="B118" s="1711"/>
      <c r="C118" s="1711"/>
      <c r="D118" s="1711"/>
      <c r="E118" s="1711"/>
      <c r="F118" s="1711"/>
      <c r="G118" s="1711"/>
      <c r="H118" s="1711"/>
      <c r="I118" s="1711"/>
      <c r="J118" s="1711"/>
      <c r="K118" s="1711"/>
      <c r="L118" s="1711"/>
      <c r="M118" s="1711"/>
      <c r="N118" s="1711"/>
      <c r="O118" s="1711"/>
      <c r="P118" s="1711"/>
      <c r="Q118" s="1711"/>
    </row>
    <row r="119" spans="1:17" x14ac:dyDescent="0.25">
      <c r="A119" s="1648" t="s">
        <v>914</v>
      </c>
      <c r="B119" s="1649"/>
      <c r="C119" s="1649"/>
      <c r="D119" s="1649"/>
      <c r="E119" s="1649"/>
      <c r="F119" s="1649"/>
      <c r="G119" s="1649"/>
      <c r="H119" s="1649"/>
      <c r="I119" s="1649"/>
      <c r="J119" s="1649"/>
      <c r="K119" s="1649"/>
      <c r="L119" s="1649"/>
      <c r="M119" s="1649"/>
      <c r="N119" s="1649"/>
      <c r="O119" s="1649"/>
      <c r="P119" s="1649"/>
      <c r="Q119" s="1650"/>
    </row>
    <row r="120" spans="1:17" s="110" customFormat="1" ht="88.5" x14ac:dyDescent="0.25">
      <c r="A120" s="416">
        <v>16</v>
      </c>
      <c r="B120" s="58">
        <v>1</v>
      </c>
      <c r="C120" s="24"/>
      <c r="D120" s="24"/>
      <c r="E120" s="1195" t="s">
        <v>532</v>
      </c>
      <c r="F120" s="370">
        <v>0</v>
      </c>
      <c r="G120" s="370">
        <v>0</v>
      </c>
      <c r="H120" s="370">
        <f>H121+H122+H123+H124+H125</f>
        <v>13056.400000000001</v>
      </c>
      <c r="I120" s="370">
        <v>13851.099999999999</v>
      </c>
      <c r="J120" s="370">
        <v>13851.099999999999</v>
      </c>
      <c r="K120" s="460" t="s">
        <v>915</v>
      </c>
      <c r="L120" s="385" t="s">
        <v>34</v>
      </c>
      <c r="M120" s="385">
        <v>4.9000000000000004</v>
      </c>
      <c r="N120" s="385">
        <v>4.9000000000000004</v>
      </c>
      <c r="O120" s="385">
        <v>4.9000000000000004</v>
      </c>
      <c r="P120" s="385">
        <v>4.9000000000000004</v>
      </c>
      <c r="Q120" s="385">
        <v>4.9000000000000004</v>
      </c>
    </row>
    <row r="121" spans="1:17" s="110" customFormat="1" ht="60" x14ac:dyDescent="0.25">
      <c r="A121" s="417"/>
      <c r="B121" s="373"/>
      <c r="C121" s="27" t="s">
        <v>4</v>
      </c>
      <c r="D121" s="27"/>
      <c r="E121" s="1205" t="s">
        <v>393</v>
      </c>
      <c r="F121" s="217"/>
      <c r="G121" s="217"/>
      <c r="H121" s="273">
        <v>3016.5</v>
      </c>
      <c r="I121" s="273">
        <v>3016.5</v>
      </c>
      <c r="J121" s="273">
        <v>3016.5</v>
      </c>
      <c r="K121" s="1205" t="s">
        <v>916</v>
      </c>
      <c r="L121" s="247" t="s">
        <v>35</v>
      </c>
      <c r="M121" s="247">
        <v>0</v>
      </c>
      <c r="N121" s="247">
        <v>0</v>
      </c>
      <c r="O121" s="247">
        <v>0</v>
      </c>
      <c r="P121" s="247">
        <v>0</v>
      </c>
      <c r="Q121" s="247">
        <v>0</v>
      </c>
    </row>
    <row r="122" spans="1:17" s="110" customFormat="1" ht="60" x14ac:dyDescent="0.25">
      <c r="A122" s="417"/>
      <c r="B122" s="373"/>
      <c r="C122" s="27" t="s">
        <v>5</v>
      </c>
      <c r="D122" s="27"/>
      <c r="E122" s="1205" t="s">
        <v>394</v>
      </c>
      <c r="F122" s="217"/>
      <c r="G122" s="217"/>
      <c r="H122" s="273">
        <v>2161.3000000000002</v>
      </c>
      <c r="I122" s="273">
        <v>2316.6999999999998</v>
      </c>
      <c r="J122" s="273">
        <v>2316.6999999999998</v>
      </c>
      <c r="K122" s="1205" t="s">
        <v>917</v>
      </c>
      <c r="L122" s="247" t="s">
        <v>34</v>
      </c>
      <c r="M122" s="247">
        <v>100</v>
      </c>
      <c r="N122" s="247">
        <v>100</v>
      </c>
      <c r="O122" s="247">
        <v>100</v>
      </c>
      <c r="P122" s="247">
        <v>100</v>
      </c>
      <c r="Q122" s="247">
        <v>100</v>
      </c>
    </row>
    <row r="123" spans="1:17" s="110" customFormat="1" ht="30" x14ac:dyDescent="0.25">
      <c r="A123" s="417"/>
      <c r="B123" s="373"/>
      <c r="C123" s="27" t="s">
        <v>7</v>
      </c>
      <c r="D123" s="27"/>
      <c r="E123" s="1205" t="s">
        <v>395</v>
      </c>
      <c r="F123" s="217"/>
      <c r="G123" s="217"/>
      <c r="H123" s="273">
        <v>705.6</v>
      </c>
      <c r="I123" s="273">
        <v>824.1</v>
      </c>
      <c r="J123" s="273">
        <v>824.1</v>
      </c>
      <c r="K123" s="1205" t="s">
        <v>602</v>
      </c>
      <c r="L123" s="247" t="s">
        <v>34</v>
      </c>
      <c r="M123" s="247" t="s">
        <v>50</v>
      </c>
      <c r="N123" s="247" t="s">
        <v>50</v>
      </c>
      <c r="O123" s="247" t="s">
        <v>50</v>
      </c>
      <c r="P123" s="247">
        <v>100</v>
      </c>
      <c r="Q123" s="247">
        <v>100</v>
      </c>
    </row>
    <row r="124" spans="1:17" s="110" customFormat="1" ht="30" x14ac:dyDescent="0.25">
      <c r="A124" s="417"/>
      <c r="B124" s="373"/>
      <c r="C124" s="27" t="s">
        <v>11</v>
      </c>
      <c r="D124" s="27"/>
      <c r="E124" s="1205" t="s">
        <v>533</v>
      </c>
      <c r="F124" s="217"/>
      <c r="G124" s="217"/>
      <c r="H124" s="273">
        <v>2705.3</v>
      </c>
      <c r="I124" s="273">
        <v>2792.1</v>
      </c>
      <c r="J124" s="273">
        <v>2792.1</v>
      </c>
      <c r="K124" s="1205" t="s">
        <v>918</v>
      </c>
      <c r="L124" s="247" t="s">
        <v>79</v>
      </c>
      <c r="M124" s="247" t="s">
        <v>50</v>
      </c>
      <c r="N124" s="247" t="s">
        <v>50</v>
      </c>
      <c r="O124" s="247">
        <v>2</v>
      </c>
      <c r="P124" s="247">
        <v>2</v>
      </c>
      <c r="Q124" s="247">
        <v>2</v>
      </c>
    </row>
    <row r="125" spans="1:17" s="110" customFormat="1" ht="60" x14ac:dyDescent="0.25">
      <c r="A125" s="417"/>
      <c r="B125" s="373"/>
      <c r="C125" s="27" t="s">
        <v>13</v>
      </c>
      <c r="D125" s="27"/>
      <c r="E125" s="1205" t="s">
        <v>534</v>
      </c>
      <c r="F125" s="217"/>
      <c r="G125" s="217"/>
      <c r="H125" s="273">
        <v>4467.7</v>
      </c>
      <c r="I125" s="273">
        <v>4901.7</v>
      </c>
      <c r="J125" s="273">
        <v>4901.7</v>
      </c>
      <c r="K125" s="1205" t="s">
        <v>919</v>
      </c>
      <c r="L125" s="247" t="s">
        <v>34</v>
      </c>
      <c r="M125" s="247">
        <v>24</v>
      </c>
      <c r="N125" s="247">
        <v>24</v>
      </c>
      <c r="O125" s="247">
        <v>22.4</v>
      </c>
      <c r="P125" s="247">
        <v>22.4</v>
      </c>
      <c r="Q125" s="247">
        <v>22.4</v>
      </c>
    </row>
    <row r="126" spans="1:17" s="110" customFormat="1" ht="58.5" x14ac:dyDescent="0.25">
      <c r="A126" s="337">
        <v>16</v>
      </c>
      <c r="B126" s="375">
        <v>3</v>
      </c>
      <c r="C126" s="59"/>
      <c r="D126" s="59"/>
      <c r="E126" s="460" t="s">
        <v>535</v>
      </c>
      <c r="F126" s="248">
        <v>0</v>
      </c>
      <c r="G126" s="248">
        <v>0</v>
      </c>
      <c r="H126" s="248">
        <f>H127+H128+H129</f>
        <v>2773.3</v>
      </c>
      <c r="I126" s="248">
        <v>2952.9</v>
      </c>
      <c r="J126" s="248">
        <v>2952.9</v>
      </c>
      <c r="K126" s="460" t="s">
        <v>920</v>
      </c>
      <c r="L126" s="287" t="s">
        <v>79</v>
      </c>
      <c r="M126" s="287">
        <v>23</v>
      </c>
      <c r="N126" s="287">
        <v>23</v>
      </c>
      <c r="O126" s="287">
        <v>23</v>
      </c>
      <c r="P126" s="287">
        <v>23</v>
      </c>
      <c r="Q126" s="287">
        <v>23</v>
      </c>
    </row>
    <row r="127" spans="1:17" s="110" customFormat="1" ht="45" x14ac:dyDescent="0.25">
      <c r="A127" s="384"/>
      <c r="B127" s="379"/>
      <c r="C127" s="316" t="s">
        <v>4</v>
      </c>
      <c r="D127" s="266"/>
      <c r="E127" s="1205" t="s">
        <v>536</v>
      </c>
      <c r="F127" s="217"/>
      <c r="G127" s="217"/>
      <c r="H127" s="247">
        <v>1089.2</v>
      </c>
      <c r="I127" s="217">
        <v>1089.2</v>
      </c>
      <c r="J127" s="217">
        <v>1089.2</v>
      </c>
      <c r="K127" s="1205" t="s">
        <v>921</v>
      </c>
      <c r="L127" s="247" t="s">
        <v>36</v>
      </c>
      <c r="M127" s="247" t="s">
        <v>51</v>
      </c>
      <c r="N127" s="247" t="s">
        <v>52</v>
      </c>
      <c r="O127" s="247" t="s">
        <v>53</v>
      </c>
      <c r="P127" s="247" t="s">
        <v>53</v>
      </c>
      <c r="Q127" s="247" t="s">
        <v>53</v>
      </c>
    </row>
    <row r="128" spans="1:17" s="110" customFormat="1" ht="60" x14ac:dyDescent="0.25">
      <c r="A128" s="384"/>
      <c r="B128" s="379"/>
      <c r="C128" s="316" t="s">
        <v>5</v>
      </c>
      <c r="D128" s="266"/>
      <c r="E128" s="1205" t="s">
        <v>537</v>
      </c>
      <c r="F128" s="217"/>
      <c r="G128" s="217"/>
      <c r="H128" s="272">
        <v>331.6</v>
      </c>
      <c r="I128" s="272">
        <v>331.6</v>
      </c>
      <c r="J128" s="272">
        <v>331.6</v>
      </c>
      <c r="K128" s="1205" t="s">
        <v>922</v>
      </c>
      <c r="L128" s="247" t="s">
        <v>36</v>
      </c>
      <c r="M128" s="247">
        <v>1</v>
      </c>
      <c r="N128" s="247">
        <v>1</v>
      </c>
      <c r="O128" s="247">
        <v>1</v>
      </c>
      <c r="P128" s="247">
        <v>1</v>
      </c>
      <c r="Q128" s="247">
        <v>1</v>
      </c>
    </row>
    <row r="129" spans="1:17" s="110" customFormat="1" ht="45" x14ac:dyDescent="0.25">
      <c r="A129" s="384"/>
      <c r="B129" s="379"/>
      <c r="C129" s="316" t="s">
        <v>7</v>
      </c>
      <c r="D129" s="266"/>
      <c r="E129" s="1205" t="s">
        <v>538</v>
      </c>
      <c r="F129" s="217"/>
      <c r="G129" s="217"/>
      <c r="H129" s="247">
        <v>1352.5</v>
      </c>
      <c r="I129" s="247">
        <v>1532.1</v>
      </c>
      <c r="J129" s="247">
        <v>1532.1</v>
      </c>
      <c r="K129" s="1205" t="s">
        <v>923</v>
      </c>
      <c r="L129" s="247" t="s">
        <v>36</v>
      </c>
      <c r="M129" s="247">
        <v>0</v>
      </c>
      <c r="N129" s="247">
        <v>0</v>
      </c>
      <c r="O129" s="247">
        <v>1</v>
      </c>
      <c r="P129" s="247">
        <v>0</v>
      </c>
      <c r="Q129" s="247">
        <v>0</v>
      </c>
    </row>
    <row r="130" spans="1:17" s="110" customFormat="1" ht="45" x14ac:dyDescent="0.25">
      <c r="A130" s="384"/>
      <c r="B130" s="379"/>
      <c r="C130" s="316" t="s">
        <v>9</v>
      </c>
      <c r="D130" s="266"/>
      <c r="E130" s="1205" t="s">
        <v>539</v>
      </c>
      <c r="F130" s="217"/>
      <c r="G130" s="217"/>
      <c r="H130" s="247"/>
      <c r="I130" s="272"/>
      <c r="J130" s="272"/>
      <c r="K130" s="1205" t="s">
        <v>924</v>
      </c>
      <c r="L130" s="247" t="s">
        <v>36</v>
      </c>
      <c r="M130" s="247">
        <v>0</v>
      </c>
      <c r="N130" s="247">
        <v>0</v>
      </c>
      <c r="O130" s="247">
        <v>0</v>
      </c>
      <c r="P130" s="247">
        <v>10</v>
      </c>
      <c r="Q130" s="247">
        <v>10</v>
      </c>
    </row>
    <row r="131" spans="1:17" s="110" customFormat="1" ht="30" x14ac:dyDescent="0.25">
      <c r="A131" s="384"/>
      <c r="B131" s="379"/>
      <c r="C131" s="316" t="s">
        <v>11</v>
      </c>
      <c r="D131" s="266"/>
      <c r="E131" s="1205" t="s">
        <v>540</v>
      </c>
      <c r="F131" s="217"/>
      <c r="G131" s="217"/>
      <c r="H131" s="247">
        <v>0</v>
      </c>
      <c r="I131" s="272">
        <v>0</v>
      </c>
      <c r="J131" s="272">
        <v>0</v>
      </c>
      <c r="K131" s="1205" t="s">
        <v>925</v>
      </c>
      <c r="L131" s="247" t="s">
        <v>36</v>
      </c>
      <c r="M131" s="247">
        <v>0</v>
      </c>
      <c r="N131" s="247">
        <v>0</v>
      </c>
      <c r="O131" s="247">
        <v>3</v>
      </c>
      <c r="P131" s="247">
        <v>3</v>
      </c>
      <c r="Q131" s="247">
        <v>3</v>
      </c>
    </row>
    <row r="132" spans="1:17" s="110" customFormat="1" ht="71.25" x14ac:dyDescent="0.25">
      <c r="A132" s="337">
        <v>16</v>
      </c>
      <c r="B132" s="375">
        <v>4</v>
      </c>
      <c r="C132" s="59"/>
      <c r="D132" s="59"/>
      <c r="E132" s="460" t="s">
        <v>541</v>
      </c>
      <c r="F132" s="165">
        <v>0</v>
      </c>
      <c r="G132" s="165">
        <v>0</v>
      </c>
      <c r="H132" s="165">
        <f>H133+H134</f>
        <v>376.8</v>
      </c>
      <c r="I132" s="165">
        <v>504.1</v>
      </c>
      <c r="J132" s="165">
        <v>504.1</v>
      </c>
      <c r="K132" s="460" t="s">
        <v>926</v>
      </c>
      <c r="L132" s="60" t="s">
        <v>36</v>
      </c>
      <c r="M132" s="60">
        <v>0</v>
      </c>
      <c r="N132" s="60">
        <v>0</v>
      </c>
      <c r="O132" s="60">
        <v>0</v>
      </c>
      <c r="P132" s="60">
        <v>0</v>
      </c>
      <c r="Q132" s="60">
        <v>0</v>
      </c>
    </row>
    <row r="133" spans="1:17" s="110" customFormat="1" ht="90" x14ac:dyDescent="0.25">
      <c r="A133" s="384"/>
      <c r="B133" s="379"/>
      <c r="C133" s="316" t="s">
        <v>4</v>
      </c>
      <c r="D133" s="266"/>
      <c r="E133" s="1205" t="s">
        <v>542</v>
      </c>
      <c r="F133" s="217"/>
      <c r="G133" s="217"/>
      <c r="H133" s="247"/>
      <c r="I133" s="247">
        <v>103.5</v>
      </c>
      <c r="J133" s="247">
        <v>103.5</v>
      </c>
      <c r="K133" s="1205" t="s">
        <v>927</v>
      </c>
      <c r="L133" s="247" t="s">
        <v>41</v>
      </c>
      <c r="M133" s="247" t="s">
        <v>42</v>
      </c>
      <c r="N133" s="247" t="s">
        <v>42</v>
      </c>
      <c r="O133" s="247" t="s">
        <v>43</v>
      </c>
      <c r="P133" s="247" t="s">
        <v>43</v>
      </c>
      <c r="Q133" s="247" t="s">
        <v>43</v>
      </c>
    </row>
    <row r="134" spans="1:17" s="110" customFormat="1" ht="45" x14ac:dyDescent="0.25">
      <c r="A134" s="384"/>
      <c r="B134" s="379"/>
      <c r="C134" s="316" t="s">
        <v>5</v>
      </c>
      <c r="D134" s="266"/>
      <c r="E134" s="1205" t="s">
        <v>543</v>
      </c>
      <c r="F134" s="217"/>
      <c r="G134" s="217"/>
      <c r="H134" s="247">
        <v>376.8</v>
      </c>
      <c r="I134" s="247">
        <v>400.6</v>
      </c>
      <c r="J134" s="247">
        <v>400.6</v>
      </c>
      <c r="K134" s="1205" t="s">
        <v>928</v>
      </c>
      <c r="L134" s="247" t="s">
        <v>41</v>
      </c>
      <c r="M134" s="247" t="s">
        <v>50</v>
      </c>
      <c r="N134" s="247" t="s">
        <v>43</v>
      </c>
      <c r="O134" s="247" t="s">
        <v>43</v>
      </c>
      <c r="P134" s="247" t="s">
        <v>43</v>
      </c>
      <c r="Q134" s="247" t="s">
        <v>43</v>
      </c>
    </row>
    <row r="135" spans="1:17" s="110" customFormat="1" ht="87.75" x14ac:dyDescent="0.25">
      <c r="A135" s="337">
        <v>16</v>
      </c>
      <c r="B135" s="375">
        <v>5</v>
      </c>
      <c r="C135" s="59"/>
      <c r="D135" s="59"/>
      <c r="E135" s="1205" t="s">
        <v>544</v>
      </c>
      <c r="F135" s="165">
        <v>0</v>
      </c>
      <c r="G135" s="165">
        <v>0</v>
      </c>
      <c r="H135" s="165">
        <f>H136+H137+H138+H139+H140</f>
        <v>33928.699999999997</v>
      </c>
      <c r="I135" s="165">
        <v>33234.5</v>
      </c>
      <c r="J135" s="165">
        <v>33234.5</v>
      </c>
      <c r="K135" s="460" t="s">
        <v>929</v>
      </c>
      <c r="L135" s="60" t="s">
        <v>79</v>
      </c>
      <c r="M135" s="60">
        <v>23</v>
      </c>
      <c r="N135" s="60">
        <v>23</v>
      </c>
      <c r="O135" s="60">
        <v>23</v>
      </c>
      <c r="P135" s="60">
        <v>23</v>
      </c>
      <c r="Q135" s="60">
        <v>23</v>
      </c>
    </row>
    <row r="136" spans="1:17" s="110" customFormat="1" ht="30" x14ac:dyDescent="0.25">
      <c r="A136" s="384"/>
      <c r="B136" s="379"/>
      <c r="C136" s="316" t="s">
        <v>4</v>
      </c>
      <c r="D136" s="266"/>
      <c r="E136" s="1205" t="s">
        <v>545</v>
      </c>
      <c r="F136" s="217"/>
      <c r="G136" s="217"/>
      <c r="H136" s="247">
        <v>29707.5</v>
      </c>
      <c r="I136" s="247">
        <v>28913.3</v>
      </c>
      <c r="J136" s="247">
        <v>28913.3</v>
      </c>
      <c r="K136" s="1205" t="s">
        <v>920</v>
      </c>
      <c r="L136" s="247" t="s">
        <v>36</v>
      </c>
      <c r="M136" s="247">
        <v>23</v>
      </c>
      <c r="N136" s="247">
        <v>23</v>
      </c>
      <c r="O136" s="247">
        <v>23</v>
      </c>
      <c r="P136" s="247">
        <v>20</v>
      </c>
      <c r="Q136" s="247">
        <v>20</v>
      </c>
    </row>
    <row r="137" spans="1:17" s="110" customFormat="1" ht="30" x14ac:dyDescent="0.25">
      <c r="A137" s="384"/>
      <c r="B137" s="379"/>
      <c r="C137" s="316" t="s">
        <v>5</v>
      </c>
      <c r="D137" s="266"/>
      <c r="E137" s="1205" t="s">
        <v>546</v>
      </c>
      <c r="F137" s="217"/>
      <c r="G137" s="217"/>
      <c r="H137" s="247">
        <v>4041.7</v>
      </c>
      <c r="I137" s="247">
        <v>4041.7</v>
      </c>
      <c r="J137" s="247">
        <v>4041.7</v>
      </c>
      <c r="K137" s="1205" t="s">
        <v>920</v>
      </c>
      <c r="L137" s="247" t="s">
        <v>36</v>
      </c>
      <c r="M137" s="247">
        <v>23</v>
      </c>
      <c r="N137" s="247">
        <v>23</v>
      </c>
      <c r="O137" s="247">
        <v>23</v>
      </c>
      <c r="P137" s="247">
        <v>20</v>
      </c>
      <c r="Q137" s="247">
        <v>20</v>
      </c>
    </row>
    <row r="138" spans="1:17" s="110" customFormat="1" ht="30" x14ac:dyDescent="0.25">
      <c r="A138" s="384"/>
      <c r="B138" s="379"/>
      <c r="C138" s="316" t="s">
        <v>7</v>
      </c>
      <c r="D138" s="266"/>
      <c r="E138" s="1205" t="s">
        <v>547</v>
      </c>
      <c r="F138" s="217"/>
      <c r="G138" s="217"/>
      <c r="H138" s="247">
        <v>76.5</v>
      </c>
      <c r="I138" s="247">
        <v>76.5</v>
      </c>
      <c r="J138" s="247">
        <v>76.5</v>
      </c>
      <c r="K138" s="1205" t="s">
        <v>930</v>
      </c>
      <c r="L138" s="247" t="s">
        <v>41</v>
      </c>
      <c r="M138" s="247" t="s">
        <v>42</v>
      </c>
      <c r="N138" s="247" t="s">
        <v>42</v>
      </c>
      <c r="O138" s="247" t="s">
        <v>43</v>
      </c>
      <c r="P138" s="247" t="s">
        <v>43</v>
      </c>
      <c r="Q138" s="247" t="s">
        <v>43</v>
      </c>
    </row>
    <row r="139" spans="1:17" s="110" customFormat="1" ht="45" x14ac:dyDescent="0.25">
      <c r="A139" s="384"/>
      <c r="B139" s="379"/>
      <c r="C139" s="316" t="s">
        <v>9</v>
      </c>
      <c r="D139" s="266"/>
      <c r="E139" s="1205" t="s">
        <v>548</v>
      </c>
      <c r="F139" s="217"/>
      <c r="G139" s="217"/>
      <c r="H139" s="247">
        <v>53</v>
      </c>
      <c r="I139" s="247">
        <v>53</v>
      </c>
      <c r="J139" s="247">
        <v>53</v>
      </c>
      <c r="K139" s="1205" t="s">
        <v>931</v>
      </c>
      <c r="L139" s="247" t="s">
        <v>41</v>
      </c>
      <c r="M139" s="247" t="s">
        <v>42</v>
      </c>
      <c r="N139" s="247" t="s">
        <v>42</v>
      </c>
      <c r="O139" s="247" t="s">
        <v>43</v>
      </c>
      <c r="P139" s="247" t="s">
        <v>43</v>
      </c>
      <c r="Q139" s="247" t="s">
        <v>43</v>
      </c>
    </row>
    <row r="140" spans="1:17" s="110" customFormat="1" ht="45" x14ac:dyDescent="0.25">
      <c r="A140" s="384"/>
      <c r="B140" s="379"/>
      <c r="C140" s="316" t="s">
        <v>11</v>
      </c>
      <c r="D140" s="266"/>
      <c r="E140" s="1205" t="s">
        <v>549</v>
      </c>
      <c r="F140" s="217"/>
      <c r="G140" s="217"/>
      <c r="H140" s="247">
        <v>50</v>
      </c>
      <c r="I140" s="247">
        <v>150</v>
      </c>
      <c r="J140" s="247">
        <v>150</v>
      </c>
      <c r="K140" s="1205" t="s">
        <v>932</v>
      </c>
      <c r="L140" s="247" t="s">
        <v>41</v>
      </c>
      <c r="M140" s="247" t="s">
        <v>42</v>
      </c>
      <c r="N140" s="247" t="s">
        <v>42</v>
      </c>
      <c r="O140" s="247" t="s">
        <v>43</v>
      </c>
      <c r="P140" s="247" t="s">
        <v>43</v>
      </c>
      <c r="Q140" s="247" t="s">
        <v>43</v>
      </c>
    </row>
    <row r="141" spans="1:17" s="120" customFormat="1" ht="36" customHeight="1" x14ac:dyDescent="0.25">
      <c r="A141" s="2062" t="s">
        <v>1110</v>
      </c>
      <c r="B141" s="2063"/>
      <c r="C141" s="2063"/>
      <c r="D141" s="2063"/>
      <c r="E141" s="2063"/>
      <c r="F141" s="42">
        <v>0</v>
      </c>
      <c r="G141" s="42">
        <v>0</v>
      </c>
      <c r="H141" s="42">
        <f>H120+H126+H132+H135</f>
        <v>50135.199999999997</v>
      </c>
      <c r="I141" s="42">
        <v>50542.6</v>
      </c>
      <c r="J141" s="42">
        <v>50542.6</v>
      </c>
      <c r="K141" s="617"/>
      <c r="L141" s="554"/>
      <c r="M141" s="554"/>
      <c r="N141" s="554"/>
      <c r="O141" s="554"/>
      <c r="P141" s="554"/>
      <c r="Q141" s="554"/>
    </row>
    <row r="142" spans="1:17" x14ac:dyDescent="0.25">
      <c r="A142" s="1648" t="s">
        <v>1111</v>
      </c>
      <c r="B142" s="1649"/>
      <c r="C142" s="1649"/>
      <c r="D142" s="1649"/>
      <c r="E142" s="1649"/>
      <c r="F142" s="1649"/>
      <c r="G142" s="1649"/>
      <c r="H142" s="1649"/>
      <c r="I142" s="1649"/>
      <c r="J142" s="1649"/>
      <c r="K142" s="1649"/>
      <c r="L142" s="1649"/>
      <c r="M142" s="1649"/>
      <c r="N142" s="1649"/>
      <c r="O142" s="1649"/>
      <c r="P142" s="1649"/>
      <c r="Q142" s="1650"/>
    </row>
    <row r="143" spans="1:17" s="110" customFormat="1" ht="88.5" x14ac:dyDescent="0.25">
      <c r="A143" s="416">
        <v>16</v>
      </c>
      <c r="B143" s="58">
        <v>1</v>
      </c>
      <c r="C143" s="24"/>
      <c r="D143" s="24"/>
      <c r="E143" s="1195" t="s">
        <v>3096</v>
      </c>
      <c r="F143" s="248">
        <v>0</v>
      </c>
      <c r="G143" s="248">
        <v>0</v>
      </c>
      <c r="H143" s="248">
        <f>H144</f>
        <v>13494.1</v>
      </c>
      <c r="I143" s="248">
        <v>23198.1</v>
      </c>
      <c r="J143" s="248">
        <v>23198.1</v>
      </c>
      <c r="K143" s="460" t="s">
        <v>933</v>
      </c>
      <c r="L143" s="286" t="s">
        <v>34</v>
      </c>
      <c r="M143" s="286">
        <v>4.9000000000000004</v>
      </c>
      <c r="N143" s="286">
        <v>4.9000000000000004</v>
      </c>
      <c r="O143" s="286">
        <v>4.9000000000000004</v>
      </c>
      <c r="P143" s="286">
        <v>4.9000000000000004</v>
      </c>
      <c r="Q143" s="286">
        <v>4.9000000000000004</v>
      </c>
    </row>
    <row r="144" spans="1:17" s="110" customFormat="1" ht="75" x14ac:dyDescent="0.25">
      <c r="A144" s="417"/>
      <c r="B144" s="373"/>
      <c r="C144" s="27" t="s">
        <v>4</v>
      </c>
      <c r="D144" s="27"/>
      <c r="E144" s="1205" t="s">
        <v>522</v>
      </c>
      <c r="F144" s="217"/>
      <c r="G144" s="217"/>
      <c r="H144" s="272">
        <v>13494.1</v>
      </c>
      <c r="I144" s="273">
        <v>23198.1</v>
      </c>
      <c r="J144" s="273">
        <v>23198.1</v>
      </c>
      <c r="K144" s="1205" t="s">
        <v>934</v>
      </c>
      <c r="L144" s="247" t="s">
        <v>36</v>
      </c>
      <c r="M144" s="247">
        <v>0</v>
      </c>
      <c r="N144" s="247">
        <v>0</v>
      </c>
      <c r="O144" s="247">
        <v>0</v>
      </c>
      <c r="P144" s="247">
        <v>0</v>
      </c>
      <c r="Q144" s="247">
        <v>0</v>
      </c>
    </row>
    <row r="145" spans="1:17" s="110" customFormat="1" ht="87.75" x14ac:dyDescent="0.25">
      <c r="A145" s="337">
        <v>16</v>
      </c>
      <c r="B145" s="375">
        <v>6</v>
      </c>
      <c r="C145" s="59"/>
      <c r="D145" s="59"/>
      <c r="E145" s="460" t="s">
        <v>550</v>
      </c>
      <c r="F145" s="248">
        <v>0</v>
      </c>
      <c r="G145" s="248">
        <v>0</v>
      </c>
      <c r="H145" s="248">
        <f>H146+H147+H148</f>
        <v>10401.9</v>
      </c>
      <c r="I145" s="248">
        <v>14144.4</v>
      </c>
      <c r="J145" s="248">
        <v>14199.4</v>
      </c>
      <c r="K145" s="460" t="s">
        <v>568</v>
      </c>
      <c r="L145" s="247" t="s">
        <v>79</v>
      </c>
      <c r="M145" s="247">
        <v>1500</v>
      </c>
      <c r="N145" s="247">
        <v>2000</v>
      </c>
      <c r="O145" s="247">
        <v>2200</v>
      </c>
      <c r="P145" s="247">
        <v>2300</v>
      </c>
      <c r="Q145" s="247">
        <v>2500</v>
      </c>
    </row>
    <row r="146" spans="1:17" s="110" customFormat="1" ht="30" x14ac:dyDescent="0.25">
      <c r="A146" s="337"/>
      <c r="B146" s="375"/>
      <c r="C146" s="316" t="s">
        <v>4</v>
      </c>
      <c r="D146" s="59"/>
      <c r="E146" s="1205" t="s">
        <v>551</v>
      </c>
      <c r="F146" s="217"/>
      <c r="G146" s="217"/>
      <c r="H146" s="272">
        <f>9390.9+357</f>
        <v>9747.9</v>
      </c>
      <c r="I146" s="272">
        <v>13490.4</v>
      </c>
      <c r="J146" s="272">
        <v>13545.4</v>
      </c>
      <c r="K146" s="1631" t="s">
        <v>935</v>
      </c>
      <c r="L146" s="2285" t="s">
        <v>36</v>
      </c>
      <c r="M146" s="2285">
        <v>1500</v>
      </c>
      <c r="N146" s="2285">
        <v>2000</v>
      </c>
      <c r="O146" s="2285">
        <v>2200</v>
      </c>
      <c r="P146" s="2285">
        <v>2300</v>
      </c>
      <c r="Q146" s="2285">
        <v>2500</v>
      </c>
    </row>
    <row r="147" spans="1:17" s="110" customFormat="1" ht="30" x14ac:dyDescent="0.25">
      <c r="A147" s="378"/>
      <c r="B147" s="365"/>
      <c r="C147" s="318" t="s">
        <v>5</v>
      </c>
      <c r="D147" s="244"/>
      <c r="E147" s="1205" t="s">
        <v>552</v>
      </c>
      <c r="F147" s="249"/>
      <c r="G147" s="249"/>
      <c r="H147" s="272">
        <v>334</v>
      </c>
      <c r="I147" s="272">
        <v>334</v>
      </c>
      <c r="J147" s="272">
        <v>334</v>
      </c>
      <c r="K147" s="1631"/>
      <c r="L147" s="1879"/>
      <c r="M147" s="1879"/>
      <c r="N147" s="1879"/>
      <c r="O147" s="1879"/>
      <c r="P147" s="1879"/>
      <c r="Q147" s="1879"/>
    </row>
    <row r="148" spans="1:17" s="110" customFormat="1" ht="90" x14ac:dyDescent="0.25">
      <c r="A148" s="384"/>
      <c r="B148" s="379"/>
      <c r="C148" s="316" t="s">
        <v>7</v>
      </c>
      <c r="D148" s="266"/>
      <c r="E148" s="1205" t="s">
        <v>553</v>
      </c>
      <c r="F148" s="217"/>
      <c r="G148" s="217"/>
      <c r="H148" s="272">
        <v>320</v>
      </c>
      <c r="I148" s="272">
        <v>320</v>
      </c>
      <c r="J148" s="272">
        <v>320</v>
      </c>
      <c r="K148" s="1138" t="s">
        <v>936</v>
      </c>
      <c r="L148" s="10" t="s">
        <v>49</v>
      </c>
      <c r="M148" s="263">
        <v>5</v>
      </c>
      <c r="N148" s="10">
        <v>20</v>
      </c>
      <c r="O148" s="10">
        <v>30</v>
      </c>
      <c r="P148" s="10">
        <v>30</v>
      </c>
      <c r="Q148" s="10">
        <v>30</v>
      </c>
    </row>
    <row r="149" spans="1:17" s="120" customFormat="1" ht="33.75" customHeight="1" x14ac:dyDescent="0.25">
      <c r="A149" s="1708" t="s">
        <v>937</v>
      </c>
      <c r="B149" s="1709"/>
      <c r="C149" s="1709"/>
      <c r="D149" s="1709"/>
      <c r="E149" s="2250"/>
      <c r="F149" s="42">
        <v>0</v>
      </c>
      <c r="G149" s="42">
        <v>0</v>
      </c>
      <c r="H149" s="42">
        <f>H143+H145</f>
        <v>23896</v>
      </c>
      <c r="I149" s="42">
        <v>37342.5</v>
      </c>
      <c r="J149" s="42">
        <v>37397.5</v>
      </c>
      <c r="K149" s="1178"/>
      <c r="L149" s="616"/>
      <c r="M149" s="616"/>
      <c r="N149" s="616"/>
      <c r="O149" s="616"/>
      <c r="P149" s="616"/>
      <c r="Q149" s="616"/>
    </row>
    <row r="150" spans="1:17" x14ac:dyDescent="0.25">
      <c r="A150" s="1648" t="s">
        <v>938</v>
      </c>
      <c r="B150" s="1649"/>
      <c r="C150" s="1649"/>
      <c r="D150" s="1649"/>
      <c r="E150" s="1649"/>
      <c r="F150" s="1649"/>
      <c r="G150" s="1649"/>
      <c r="H150" s="1649"/>
      <c r="I150" s="1649"/>
      <c r="J150" s="1649"/>
      <c r="K150" s="1649"/>
      <c r="L150" s="1649"/>
      <c r="M150" s="1649"/>
      <c r="N150" s="1649"/>
      <c r="O150" s="1649"/>
      <c r="P150" s="1649"/>
      <c r="Q150" s="1650"/>
    </row>
    <row r="151" spans="1:17" s="110" customFormat="1" ht="103.5" x14ac:dyDescent="0.25">
      <c r="A151" s="416">
        <v>16</v>
      </c>
      <c r="B151" s="58">
        <v>1</v>
      </c>
      <c r="C151" s="24"/>
      <c r="D151" s="24"/>
      <c r="E151" s="1195" t="s">
        <v>3097</v>
      </c>
      <c r="F151" s="248">
        <v>0</v>
      </c>
      <c r="G151" s="248">
        <v>0</v>
      </c>
      <c r="H151" s="248">
        <f>H152+H153</f>
        <v>132716.29999999999</v>
      </c>
      <c r="I151" s="248">
        <v>119604.29999999999</v>
      </c>
      <c r="J151" s="248">
        <v>107485.29999999999</v>
      </c>
      <c r="K151" s="1195" t="s">
        <v>567</v>
      </c>
      <c r="L151" s="286" t="s">
        <v>34</v>
      </c>
      <c r="M151" s="286">
        <v>4.5</v>
      </c>
      <c r="N151" s="286">
        <v>6.2</v>
      </c>
      <c r="O151" s="286">
        <v>6.2</v>
      </c>
      <c r="P151" s="286">
        <v>6.2</v>
      </c>
      <c r="Q151" s="286">
        <v>6.2</v>
      </c>
    </row>
    <row r="152" spans="1:17" s="110" customFormat="1" ht="28.5" x14ac:dyDescent="0.25">
      <c r="A152" s="417"/>
      <c r="B152" s="373"/>
      <c r="C152" s="27" t="s">
        <v>4</v>
      </c>
      <c r="D152" s="27"/>
      <c r="E152" s="1205" t="s">
        <v>522</v>
      </c>
      <c r="F152" s="217"/>
      <c r="G152" s="217"/>
      <c r="H152" s="273">
        <f>46827.8</f>
        <v>46827.8</v>
      </c>
      <c r="I152" s="273">
        <v>35813.899999999994</v>
      </c>
      <c r="J152" s="273">
        <v>38677.9</v>
      </c>
      <c r="K152" s="460" t="s">
        <v>568</v>
      </c>
      <c r="L152" s="247" t="s">
        <v>49</v>
      </c>
      <c r="M152" s="247">
        <v>0</v>
      </c>
      <c r="N152" s="247">
        <v>0</v>
      </c>
      <c r="O152" s="247">
        <v>0</v>
      </c>
      <c r="P152" s="247">
        <v>0</v>
      </c>
      <c r="Q152" s="247">
        <v>0</v>
      </c>
    </row>
    <row r="153" spans="1:17" s="110" customFormat="1" ht="75" x14ac:dyDescent="0.25">
      <c r="A153" s="417"/>
      <c r="B153" s="373"/>
      <c r="C153" s="27" t="s">
        <v>16</v>
      </c>
      <c r="D153" s="27"/>
      <c r="E153" s="1205" t="s">
        <v>554</v>
      </c>
      <c r="F153" s="217"/>
      <c r="G153" s="217"/>
      <c r="H153" s="250">
        <v>85888.5</v>
      </c>
      <c r="I153" s="241">
        <v>83790.399999999994</v>
      </c>
      <c r="J153" s="241">
        <v>68807.399999999994</v>
      </c>
      <c r="K153" s="1205" t="s">
        <v>569</v>
      </c>
      <c r="L153" s="247" t="s">
        <v>49</v>
      </c>
      <c r="M153" s="247">
        <v>0</v>
      </c>
      <c r="N153" s="247">
        <v>0</v>
      </c>
      <c r="O153" s="247">
        <v>0</v>
      </c>
      <c r="P153" s="247">
        <v>0</v>
      </c>
      <c r="Q153" s="247">
        <v>0</v>
      </c>
    </row>
    <row r="154" spans="1:17" s="120" customFormat="1" ht="102.75" x14ac:dyDescent="0.25">
      <c r="A154" s="418">
        <v>16</v>
      </c>
      <c r="B154" s="438">
        <v>7</v>
      </c>
      <c r="C154" s="344"/>
      <c r="D154" s="349"/>
      <c r="E154" s="1195" t="s">
        <v>555</v>
      </c>
      <c r="F154" s="345">
        <v>0</v>
      </c>
      <c r="G154" s="345">
        <v>0</v>
      </c>
      <c r="H154" s="345">
        <f>H155+H156+H157+H158+H159+H160+H161+H162+H163+H164+H165+H166+H167+H168+H169+H170</f>
        <v>1702544</v>
      </c>
      <c r="I154" s="345">
        <v>2136332.63</v>
      </c>
      <c r="J154" s="345">
        <v>1869279.7000000002</v>
      </c>
      <c r="K154" s="1205"/>
      <c r="L154" s="342" t="s">
        <v>82</v>
      </c>
      <c r="M154" s="346">
        <v>3.7</v>
      </c>
      <c r="N154" s="346">
        <v>3.9</v>
      </c>
      <c r="O154" s="346">
        <v>4.0999999999999996</v>
      </c>
      <c r="P154" s="346">
        <v>4.2</v>
      </c>
      <c r="Q154" s="346">
        <v>4.4000000000000004</v>
      </c>
    </row>
    <row r="155" spans="1:17" s="110" customFormat="1" ht="31.5" customHeight="1" x14ac:dyDescent="0.25">
      <c r="A155" s="419"/>
      <c r="B155" s="439"/>
      <c r="C155" s="315" t="s">
        <v>4</v>
      </c>
      <c r="D155" s="46"/>
      <c r="E155" s="1205" t="s">
        <v>556</v>
      </c>
      <c r="F155" s="214"/>
      <c r="G155" s="214"/>
      <c r="H155" s="649">
        <f>5420.4</f>
        <v>5420.4</v>
      </c>
      <c r="I155" s="214">
        <v>5422.4</v>
      </c>
      <c r="J155" s="214">
        <v>5372.4</v>
      </c>
      <c r="K155" s="1205"/>
      <c r="L155" s="247" t="s">
        <v>34</v>
      </c>
      <c r="M155" s="247">
        <v>100</v>
      </c>
      <c r="N155" s="247">
        <v>100</v>
      </c>
      <c r="O155" s="247">
        <v>100</v>
      </c>
      <c r="P155" s="247">
        <v>100</v>
      </c>
      <c r="Q155" s="247">
        <v>100</v>
      </c>
    </row>
    <row r="156" spans="1:17" s="110" customFormat="1" ht="30" x14ac:dyDescent="0.25">
      <c r="A156" s="419"/>
      <c r="B156" s="439"/>
      <c r="C156" s="315" t="s">
        <v>5</v>
      </c>
      <c r="D156" s="46"/>
      <c r="E156" s="1205" t="s">
        <v>557</v>
      </c>
      <c r="F156" s="214"/>
      <c r="G156" s="214"/>
      <c r="H156" s="214">
        <v>27000</v>
      </c>
      <c r="I156" s="214">
        <v>126450</v>
      </c>
      <c r="J156" s="214">
        <v>77250</v>
      </c>
      <c r="K156" s="1205" t="s">
        <v>570</v>
      </c>
      <c r="L156" s="247" t="s">
        <v>49</v>
      </c>
      <c r="M156" s="217">
        <v>1</v>
      </c>
      <c r="N156" s="217">
        <v>3</v>
      </c>
      <c r="O156" s="217">
        <v>18</v>
      </c>
      <c r="P156" s="217">
        <v>36</v>
      </c>
      <c r="Q156" s="217">
        <v>54</v>
      </c>
    </row>
    <row r="157" spans="1:17" s="110" customFormat="1" ht="30" customHeight="1" x14ac:dyDescent="0.25">
      <c r="A157" s="419"/>
      <c r="B157" s="439"/>
      <c r="C157" s="315" t="s">
        <v>7</v>
      </c>
      <c r="D157" s="46"/>
      <c r="E157" s="1205" t="s">
        <v>833</v>
      </c>
      <c r="F157" s="214"/>
      <c r="G157" s="214"/>
      <c r="H157" s="214">
        <v>6000</v>
      </c>
      <c r="I157" s="214">
        <v>21350</v>
      </c>
      <c r="J157" s="214">
        <v>18850</v>
      </c>
      <c r="K157" s="1205" t="s">
        <v>571</v>
      </c>
      <c r="L157" s="247" t="s">
        <v>49</v>
      </c>
      <c r="M157" s="217">
        <v>0</v>
      </c>
      <c r="N157" s="217">
        <v>20</v>
      </c>
      <c r="O157" s="217">
        <v>60</v>
      </c>
      <c r="P157" s="217">
        <v>100</v>
      </c>
      <c r="Q157" s="217">
        <v>100</v>
      </c>
    </row>
    <row r="158" spans="1:17" s="110" customFormat="1" ht="30" customHeight="1" x14ac:dyDescent="0.25">
      <c r="A158" s="419"/>
      <c r="B158" s="439"/>
      <c r="C158" s="315" t="s">
        <v>9</v>
      </c>
      <c r="D158" s="46"/>
      <c r="E158" s="1205" t="s">
        <v>834</v>
      </c>
      <c r="F158" s="214"/>
      <c r="G158" s="214"/>
      <c r="H158" s="214">
        <v>8500</v>
      </c>
      <c r="I158" s="214">
        <v>31650</v>
      </c>
      <c r="J158" s="214">
        <v>30030</v>
      </c>
      <c r="K158" s="1205" t="s">
        <v>572</v>
      </c>
      <c r="L158" s="247" t="s">
        <v>49</v>
      </c>
      <c r="M158" s="217">
        <v>0</v>
      </c>
      <c r="N158" s="217">
        <v>1</v>
      </c>
      <c r="O158" s="217">
        <v>18</v>
      </c>
      <c r="P158" s="217">
        <v>36</v>
      </c>
      <c r="Q158" s="217">
        <v>54</v>
      </c>
    </row>
    <row r="159" spans="1:17" s="110" customFormat="1" ht="33" customHeight="1" x14ac:dyDescent="0.25">
      <c r="A159" s="419"/>
      <c r="B159" s="439"/>
      <c r="C159" s="315" t="s">
        <v>11</v>
      </c>
      <c r="D159" s="46"/>
      <c r="E159" s="1205" t="s">
        <v>558</v>
      </c>
      <c r="F159" s="214"/>
      <c r="G159" s="214"/>
      <c r="H159" s="214">
        <v>61815.4</v>
      </c>
      <c r="I159" s="214">
        <v>66592.5</v>
      </c>
      <c r="J159" s="214">
        <v>68509.099999999991</v>
      </c>
      <c r="K159" s="1205" t="s">
        <v>573</v>
      </c>
      <c r="L159" s="247" t="s">
        <v>49</v>
      </c>
      <c r="M159" s="247">
        <v>14</v>
      </c>
      <c r="N159" s="247">
        <v>34</v>
      </c>
      <c r="O159" s="247">
        <v>70</v>
      </c>
      <c r="P159" s="247">
        <v>72</v>
      </c>
      <c r="Q159" s="247">
        <v>72</v>
      </c>
    </row>
    <row r="160" spans="1:17" s="110" customFormat="1" ht="45" x14ac:dyDescent="0.25">
      <c r="A160" s="419"/>
      <c r="B160" s="439"/>
      <c r="C160" s="315" t="s">
        <v>13</v>
      </c>
      <c r="D160" s="46"/>
      <c r="E160" s="1205" t="s">
        <v>559</v>
      </c>
      <c r="F160" s="214"/>
      <c r="G160" s="214"/>
      <c r="H160" s="214">
        <v>6121.7</v>
      </c>
      <c r="I160" s="214">
        <v>4141.7</v>
      </c>
      <c r="J160" s="214">
        <v>4121.7</v>
      </c>
      <c r="K160" s="460" t="s">
        <v>568</v>
      </c>
      <c r="L160" s="247" t="s">
        <v>34</v>
      </c>
      <c r="M160" s="292">
        <v>100</v>
      </c>
      <c r="N160" s="292">
        <v>100</v>
      </c>
      <c r="O160" s="292">
        <v>100</v>
      </c>
      <c r="P160" s="292">
        <v>100</v>
      </c>
      <c r="Q160" s="292">
        <v>100</v>
      </c>
    </row>
    <row r="161" spans="1:17" s="110" customFormat="1" ht="30" x14ac:dyDescent="0.25">
      <c r="A161" s="419"/>
      <c r="B161" s="439"/>
      <c r="C161" s="315" t="s">
        <v>15</v>
      </c>
      <c r="D161" s="46"/>
      <c r="E161" s="1205" t="s">
        <v>560</v>
      </c>
      <c r="F161" s="214"/>
      <c r="G161" s="214"/>
      <c r="H161" s="214">
        <v>144779.6</v>
      </c>
      <c r="I161" s="214">
        <v>14700</v>
      </c>
      <c r="J161" s="214">
        <v>19200</v>
      </c>
      <c r="K161" s="1205" t="s">
        <v>574</v>
      </c>
      <c r="L161" s="247" t="s">
        <v>49</v>
      </c>
      <c r="M161" s="292">
        <v>0</v>
      </c>
      <c r="N161" s="292">
        <v>9</v>
      </c>
      <c r="O161" s="292">
        <v>60</v>
      </c>
      <c r="P161" s="292">
        <v>72</v>
      </c>
      <c r="Q161" s="292">
        <v>72</v>
      </c>
    </row>
    <row r="162" spans="1:17" s="110" customFormat="1" ht="45" x14ac:dyDescent="0.25">
      <c r="A162" s="419"/>
      <c r="B162" s="439"/>
      <c r="C162" s="315" t="s">
        <v>16</v>
      </c>
      <c r="D162" s="46"/>
      <c r="E162" s="1205" t="s">
        <v>561</v>
      </c>
      <c r="F162" s="214"/>
      <c r="G162" s="214"/>
      <c r="H162" s="214">
        <v>572003.19999999995</v>
      </c>
      <c r="I162" s="214">
        <v>716559.22999999986</v>
      </c>
      <c r="J162" s="214">
        <v>567089.1</v>
      </c>
      <c r="K162" s="1205" t="s">
        <v>575</v>
      </c>
      <c r="L162" s="247" t="s">
        <v>49</v>
      </c>
      <c r="M162" s="247">
        <v>30</v>
      </c>
      <c r="N162" s="247">
        <v>38</v>
      </c>
      <c r="O162" s="247">
        <v>46</v>
      </c>
      <c r="P162" s="247">
        <v>54</v>
      </c>
      <c r="Q162" s="247">
        <v>62</v>
      </c>
    </row>
    <row r="163" spans="1:17" s="110" customFormat="1" ht="27.75" customHeight="1" x14ac:dyDescent="0.25">
      <c r="A163" s="419"/>
      <c r="B163" s="439"/>
      <c r="C163" s="315" t="s">
        <v>18</v>
      </c>
      <c r="D163" s="46"/>
      <c r="E163" s="1205" t="s">
        <v>835</v>
      </c>
      <c r="F163" s="214"/>
      <c r="G163" s="214"/>
      <c r="H163" s="214">
        <v>4911.5</v>
      </c>
      <c r="I163" s="214">
        <v>6482.8</v>
      </c>
      <c r="J163" s="214">
        <v>6592.8</v>
      </c>
      <c r="K163" s="1205" t="s">
        <v>576</v>
      </c>
      <c r="L163" s="247" t="s">
        <v>49</v>
      </c>
      <c r="M163" s="27" t="s">
        <v>123</v>
      </c>
      <c r="N163" s="27" t="s">
        <v>124</v>
      </c>
      <c r="O163" s="27" t="s">
        <v>125</v>
      </c>
      <c r="P163" s="27" t="s">
        <v>125</v>
      </c>
      <c r="Q163" s="27" t="s">
        <v>125</v>
      </c>
    </row>
    <row r="164" spans="1:17" s="110" customFormat="1" ht="33.75" customHeight="1" x14ac:dyDescent="0.25">
      <c r="A164" s="419"/>
      <c r="B164" s="439"/>
      <c r="C164" s="315" t="s">
        <v>20</v>
      </c>
      <c r="D164" s="46"/>
      <c r="E164" s="1205" t="s">
        <v>562</v>
      </c>
      <c r="F164" s="214"/>
      <c r="G164" s="214"/>
      <c r="H164" s="214">
        <v>138316.9</v>
      </c>
      <c r="I164" s="214">
        <v>117255.1</v>
      </c>
      <c r="J164" s="214">
        <v>67718.499999999985</v>
      </c>
      <c r="K164" s="1205" t="s">
        <v>577</v>
      </c>
      <c r="L164" s="247" t="s">
        <v>34</v>
      </c>
      <c r="M164" s="292">
        <v>0</v>
      </c>
      <c r="N164" s="292">
        <v>10</v>
      </c>
      <c r="O164" s="292">
        <v>30</v>
      </c>
      <c r="P164" s="292">
        <v>80</v>
      </c>
      <c r="Q164" s="292">
        <v>100</v>
      </c>
    </row>
    <row r="165" spans="1:17" s="110" customFormat="1" ht="30" x14ac:dyDescent="0.25">
      <c r="A165" s="419"/>
      <c r="B165" s="439"/>
      <c r="C165" s="315" t="s">
        <v>21</v>
      </c>
      <c r="D165" s="46"/>
      <c r="E165" s="1205" t="s">
        <v>836</v>
      </c>
      <c r="F165" s="214"/>
      <c r="G165" s="214"/>
      <c r="H165" s="214">
        <f>65727.7+5721</f>
        <v>71448.7</v>
      </c>
      <c r="I165" s="214">
        <v>86700.500000000015</v>
      </c>
      <c r="J165" s="214">
        <v>81771.8</v>
      </c>
      <c r="K165" s="1205" t="s">
        <v>578</v>
      </c>
      <c r="L165" s="247" t="s">
        <v>34</v>
      </c>
      <c r="M165" s="292">
        <v>32.6</v>
      </c>
      <c r="N165" s="292">
        <v>40</v>
      </c>
      <c r="O165" s="292">
        <v>42</v>
      </c>
      <c r="P165" s="292">
        <v>43</v>
      </c>
      <c r="Q165" s="292">
        <v>44</v>
      </c>
    </row>
    <row r="166" spans="1:17" s="110" customFormat="1" ht="45" x14ac:dyDescent="0.25">
      <c r="A166" s="419"/>
      <c r="B166" s="439"/>
      <c r="C166" s="315" t="s">
        <v>22</v>
      </c>
      <c r="D166" s="46"/>
      <c r="E166" s="1205" t="s">
        <v>837</v>
      </c>
      <c r="F166" s="214"/>
      <c r="G166" s="214"/>
      <c r="H166" s="214">
        <v>319525.90000000002</v>
      </c>
      <c r="I166" s="214">
        <v>683460.7</v>
      </c>
      <c r="J166" s="214">
        <v>702084.7</v>
      </c>
      <c r="K166" s="1205" t="s">
        <v>579</v>
      </c>
      <c r="L166" s="247" t="s">
        <v>34</v>
      </c>
      <c r="M166" s="247">
        <v>19.100000000000001</v>
      </c>
      <c r="N166" s="247">
        <v>15</v>
      </c>
      <c r="O166" s="247">
        <v>11</v>
      </c>
      <c r="P166" s="247">
        <v>9</v>
      </c>
      <c r="Q166" s="247">
        <v>2</v>
      </c>
    </row>
    <row r="167" spans="1:17" s="110" customFormat="1" ht="45" x14ac:dyDescent="0.25">
      <c r="A167" s="419"/>
      <c r="B167" s="439"/>
      <c r="C167" s="315" t="s">
        <v>23</v>
      </c>
      <c r="D167" s="46"/>
      <c r="E167" s="1205" t="s">
        <v>563</v>
      </c>
      <c r="F167" s="214"/>
      <c r="G167" s="214"/>
      <c r="H167" s="214">
        <v>116874.3</v>
      </c>
      <c r="I167" s="214">
        <v>153352.70000000001</v>
      </c>
      <c r="J167" s="214">
        <v>144774.79999999999</v>
      </c>
      <c r="K167" s="1205" t="s">
        <v>580</v>
      </c>
      <c r="L167" s="247" t="s">
        <v>34</v>
      </c>
      <c r="M167" s="247">
        <v>60</v>
      </c>
      <c r="N167" s="247">
        <v>96</v>
      </c>
      <c r="O167" s="247">
        <v>100</v>
      </c>
      <c r="P167" s="247">
        <v>100</v>
      </c>
      <c r="Q167" s="247">
        <v>100</v>
      </c>
    </row>
    <row r="168" spans="1:17" s="110" customFormat="1" ht="45" x14ac:dyDescent="0.25">
      <c r="A168" s="419"/>
      <c r="B168" s="439"/>
      <c r="C168" s="315" t="s">
        <v>24</v>
      </c>
      <c r="D168" s="46"/>
      <c r="E168" s="1205" t="s">
        <v>564</v>
      </c>
      <c r="F168" s="214"/>
      <c r="G168" s="214"/>
      <c r="H168" s="214">
        <v>25250</v>
      </c>
      <c r="I168" s="214">
        <v>14050</v>
      </c>
      <c r="J168" s="214">
        <v>13050</v>
      </c>
      <c r="K168" s="1205" t="s">
        <v>939</v>
      </c>
      <c r="L168" s="247" t="s">
        <v>34</v>
      </c>
      <c r="M168" s="247">
        <v>0</v>
      </c>
      <c r="N168" s="247">
        <v>0</v>
      </c>
      <c r="O168" s="247">
        <v>100</v>
      </c>
      <c r="P168" s="247">
        <v>100</v>
      </c>
      <c r="Q168" s="247">
        <v>100</v>
      </c>
    </row>
    <row r="169" spans="1:17" s="110" customFormat="1" ht="45" x14ac:dyDescent="0.25">
      <c r="A169" s="419"/>
      <c r="B169" s="439"/>
      <c r="C169" s="315" t="s">
        <v>25</v>
      </c>
      <c r="D169" s="46"/>
      <c r="E169" s="1205" t="s">
        <v>565</v>
      </c>
      <c r="F169" s="214"/>
      <c r="G169" s="214"/>
      <c r="H169" s="214">
        <v>54850</v>
      </c>
      <c r="I169" s="214">
        <v>36165</v>
      </c>
      <c r="J169" s="214">
        <v>25000</v>
      </c>
      <c r="K169" s="1205" t="s">
        <v>940</v>
      </c>
      <c r="L169" s="247" t="s">
        <v>34</v>
      </c>
      <c r="M169" s="292">
        <v>0</v>
      </c>
      <c r="N169" s="292">
        <v>10</v>
      </c>
      <c r="O169" s="292">
        <v>30</v>
      </c>
      <c r="P169" s="292">
        <v>80</v>
      </c>
      <c r="Q169" s="292">
        <v>100</v>
      </c>
    </row>
    <row r="170" spans="1:17" s="110" customFormat="1" ht="30" x14ac:dyDescent="0.25">
      <c r="A170" s="419"/>
      <c r="B170" s="439"/>
      <c r="C170" s="315" t="s">
        <v>26</v>
      </c>
      <c r="D170" s="46"/>
      <c r="E170" s="1205" t="s">
        <v>566</v>
      </c>
      <c r="F170" s="214"/>
      <c r="G170" s="214"/>
      <c r="H170" s="214">
        <v>139726.40000000002</v>
      </c>
      <c r="I170" s="214">
        <v>52000</v>
      </c>
      <c r="J170" s="214">
        <v>37864.800000000003</v>
      </c>
      <c r="K170" s="1205" t="s">
        <v>941</v>
      </c>
      <c r="L170" s="247" t="s">
        <v>49</v>
      </c>
      <c r="M170" s="10">
        <v>0</v>
      </c>
      <c r="N170" s="10">
        <v>0</v>
      </c>
      <c r="O170" s="10">
        <v>0</v>
      </c>
      <c r="P170" s="10">
        <v>2</v>
      </c>
      <c r="Q170" s="10">
        <v>5</v>
      </c>
    </row>
    <row r="171" spans="1:17" s="120" customFormat="1" ht="39.75" customHeight="1" x14ac:dyDescent="0.25">
      <c r="A171" s="1932" t="s">
        <v>942</v>
      </c>
      <c r="B171" s="1932"/>
      <c r="C171" s="1932"/>
      <c r="D171" s="1932"/>
      <c r="E171" s="1708"/>
      <c r="F171" s="42">
        <v>0</v>
      </c>
      <c r="G171" s="42">
        <v>0</v>
      </c>
      <c r="H171" s="42">
        <f>H151+H154</f>
        <v>1835260.3</v>
      </c>
      <c r="I171" s="42">
        <v>2255936.9299999997</v>
      </c>
      <c r="J171" s="42">
        <v>1976765.0000000002</v>
      </c>
      <c r="K171" s="618"/>
      <c r="L171" s="16"/>
      <c r="M171" s="16"/>
      <c r="N171" s="616"/>
      <c r="O171" s="616"/>
      <c r="P171" s="616"/>
      <c r="Q171" s="616"/>
    </row>
    <row r="172" spans="1:17" x14ac:dyDescent="0.25">
      <c r="A172" s="1648" t="s">
        <v>943</v>
      </c>
      <c r="B172" s="1649"/>
      <c r="C172" s="1649"/>
      <c r="D172" s="1649"/>
      <c r="E172" s="1649"/>
      <c r="F172" s="1649"/>
      <c r="G172" s="1649"/>
      <c r="H172" s="1649"/>
      <c r="I172" s="1649"/>
      <c r="J172" s="1649"/>
      <c r="K172" s="1649"/>
      <c r="L172" s="1649"/>
      <c r="M172" s="1649"/>
      <c r="N172" s="1649"/>
      <c r="O172" s="1649"/>
      <c r="P172" s="1649"/>
      <c r="Q172" s="1650"/>
    </row>
    <row r="173" spans="1:17" ht="30" x14ac:dyDescent="0.25">
      <c r="A173" s="420">
        <v>17</v>
      </c>
      <c r="B173" s="386">
        <v>1</v>
      </c>
      <c r="C173" s="307"/>
      <c r="D173" s="179"/>
      <c r="E173" s="1280" t="s">
        <v>394</v>
      </c>
      <c r="F173" s="270"/>
      <c r="G173" s="270"/>
      <c r="H173" s="232">
        <v>48680.6</v>
      </c>
      <c r="I173" s="233">
        <v>44173.600000000006</v>
      </c>
      <c r="J173" s="233">
        <v>44747.700000000004</v>
      </c>
      <c r="K173" s="1195"/>
      <c r="L173" s="156"/>
      <c r="M173" s="156"/>
      <c r="N173" s="156"/>
      <c r="O173" s="156"/>
      <c r="P173" s="156"/>
      <c r="Q173" s="156"/>
    </row>
    <row r="174" spans="1:17" ht="45" x14ac:dyDescent="0.25">
      <c r="A174" s="332"/>
      <c r="B174" s="382"/>
      <c r="C174" s="321" t="s">
        <v>4</v>
      </c>
      <c r="D174" s="269"/>
      <c r="E174" s="1683" t="s">
        <v>395</v>
      </c>
      <c r="F174" s="270"/>
      <c r="G174" s="270"/>
      <c r="H174" s="211">
        <v>19282.3</v>
      </c>
      <c r="I174" s="212">
        <v>18759.900000000001</v>
      </c>
      <c r="J174" s="212">
        <v>19003.7</v>
      </c>
      <c r="K174" s="1205" t="s">
        <v>584</v>
      </c>
      <c r="L174" s="230" t="s">
        <v>55</v>
      </c>
      <c r="M174" s="156">
        <v>5</v>
      </c>
      <c r="N174" s="156">
        <v>5</v>
      </c>
      <c r="O174" s="156">
        <v>5</v>
      </c>
      <c r="P174" s="156">
        <v>5</v>
      </c>
      <c r="Q174" s="156">
        <v>5</v>
      </c>
    </row>
    <row r="175" spans="1:17" x14ac:dyDescent="0.25">
      <c r="A175" s="332"/>
      <c r="B175" s="382"/>
      <c r="C175" s="321" t="s">
        <v>5</v>
      </c>
      <c r="D175" s="269"/>
      <c r="E175" s="1631"/>
      <c r="F175" s="270"/>
      <c r="G175" s="270"/>
      <c r="H175" s="255">
        <v>3774.8</v>
      </c>
      <c r="I175" s="212">
        <v>3293.4</v>
      </c>
      <c r="J175" s="212">
        <v>3336.2</v>
      </c>
      <c r="K175" s="1205" t="s">
        <v>585</v>
      </c>
      <c r="L175" s="230" t="s">
        <v>34</v>
      </c>
      <c r="M175" s="156">
        <v>100</v>
      </c>
      <c r="N175" s="230">
        <v>100</v>
      </c>
      <c r="O175" s="230">
        <v>100</v>
      </c>
      <c r="P175" s="230">
        <v>100</v>
      </c>
      <c r="Q175" s="230">
        <v>100</v>
      </c>
    </row>
    <row r="176" spans="1:17" ht="45" x14ac:dyDescent="0.25">
      <c r="A176" s="1757"/>
      <c r="B176" s="2303"/>
      <c r="C176" s="1844" t="s">
        <v>7</v>
      </c>
      <c r="D176" s="2105"/>
      <c r="E176" s="1683" t="s">
        <v>396</v>
      </c>
      <c r="F176" s="2271"/>
      <c r="G176" s="2271"/>
      <c r="H176" s="2308">
        <v>4427.3</v>
      </c>
      <c r="I176" s="2302">
        <v>3894.6</v>
      </c>
      <c r="J176" s="2302">
        <v>3945.2</v>
      </c>
      <c r="K176" s="1205" t="s">
        <v>586</v>
      </c>
      <c r="L176" s="230" t="s">
        <v>34</v>
      </c>
      <c r="M176" s="156">
        <v>99</v>
      </c>
      <c r="N176" s="156">
        <v>90</v>
      </c>
      <c r="O176" s="156">
        <v>90</v>
      </c>
      <c r="P176" s="156">
        <v>90</v>
      </c>
      <c r="Q176" s="156">
        <v>90</v>
      </c>
    </row>
    <row r="177" spans="1:17" ht="45" x14ac:dyDescent="0.25">
      <c r="A177" s="1757"/>
      <c r="B177" s="2304"/>
      <c r="C177" s="1844"/>
      <c r="D177" s="2300"/>
      <c r="E177" s="1683"/>
      <c r="F177" s="1760"/>
      <c r="G177" s="1760"/>
      <c r="H177" s="2054"/>
      <c r="I177" s="2050"/>
      <c r="J177" s="2050"/>
      <c r="K177" s="1205" t="s">
        <v>587</v>
      </c>
      <c r="L177" s="230" t="s">
        <v>34</v>
      </c>
      <c r="M177" s="156">
        <v>71</v>
      </c>
      <c r="N177" s="156">
        <v>50</v>
      </c>
      <c r="O177" s="156">
        <v>50</v>
      </c>
      <c r="P177" s="156">
        <v>50</v>
      </c>
      <c r="Q177" s="156">
        <v>50</v>
      </c>
    </row>
    <row r="178" spans="1:17" ht="45" x14ac:dyDescent="0.25">
      <c r="A178" s="2311"/>
      <c r="B178" s="368"/>
      <c r="C178" s="2305" t="s">
        <v>9</v>
      </c>
      <c r="D178" s="2306"/>
      <c r="E178" s="1631"/>
      <c r="F178" s="2271"/>
      <c r="G178" s="2271"/>
      <c r="H178" s="2308">
        <v>3931.3</v>
      </c>
      <c r="I178" s="2302">
        <v>3375.5</v>
      </c>
      <c r="J178" s="2302">
        <v>3419.4</v>
      </c>
      <c r="K178" s="1205" t="s">
        <v>588</v>
      </c>
      <c r="L178" s="230" t="s">
        <v>36</v>
      </c>
      <c r="M178" s="156">
        <v>8</v>
      </c>
      <c r="N178" s="156">
        <v>10</v>
      </c>
      <c r="O178" s="156">
        <v>10</v>
      </c>
      <c r="P178" s="156">
        <v>5</v>
      </c>
      <c r="Q178" s="156">
        <v>5</v>
      </c>
    </row>
    <row r="179" spans="1:17" ht="30" x14ac:dyDescent="0.25">
      <c r="A179" s="1968"/>
      <c r="B179" s="369"/>
      <c r="C179" s="1850"/>
      <c r="D179" s="2307"/>
      <c r="E179" s="1138" t="s">
        <v>581</v>
      </c>
      <c r="F179" s="1759"/>
      <c r="G179" s="1759"/>
      <c r="H179" s="2310"/>
      <c r="I179" s="2058"/>
      <c r="J179" s="2058"/>
      <c r="K179" s="1205" t="s">
        <v>589</v>
      </c>
      <c r="L179" s="230" t="s">
        <v>36</v>
      </c>
      <c r="M179" s="156">
        <v>648</v>
      </c>
      <c r="N179" s="156">
        <v>650</v>
      </c>
      <c r="O179" s="156">
        <v>650</v>
      </c>
      <c r="P179" s="156">
        <v>700</v>
      </c>
      <c r="Q179" s="156">
        <v>700</v>
      </c>
    </row>
    <row r="180" spans="1:17" ht="45" x14ac:dyDescent="0.25">
      <c r="A180" s="1936"/>
      <c r="B180" s="380"/>
      <c r="C180" s="1972"/>
      <c r="D180" s="1760"/>
      <c r="E180" s="1195" t="s">
        <v>582</v>
      </c>
      <c r="F180" s="1760"/>
      <c r="G180" s="1760"/>
      <c r="H180" s="1743"/>
      <c r="I180" s="1745"/>
      <c r="J180" s="1745"/>
      <c r="K180" s="1205" t="s">
        <v>590</v>
      </c>
      <c r="L180" s="230" t="s">
        <v>36</v>
      </c>
      <c r="M180" s="156">
        <v>12</v>
      </c>
      <c r="N180" s="156">
        <v>20</v>
      </c>
      <c r="O180" s="156">
        <v>20</v>
      </c>
      <c r="P180" s="156">
        <v>20</v>
      </c>
      <c r="Q180" s="156">
        <v>15</v>
      </c>
    </row>
    <row r="181" spans="1:17" ht="105" x14ac:dyDescent="0.25">
      <c r="A181" s="336"/>
      <c r="B181" s="368"/>
      <c r="C181" s="321" t="s">
        <v>13</v>
      </c>
      <c r="D181" s="225"/>
      <c r="E181" s="1212" t="s">
        <v>583</v>
      </c>
      <c r="F181" s="270"/>
      <c r="G181" s="270"/>
      <c r="H181" s="255">
        <v>17264.900000000001</v>
      </c>
      <c r="I181" s="254">
        <v>14850.2</v>
      </c>
      <c r="J181" s="254">
        <v>15043.2</v>
      </c>
      <c r="K181" s="1205" t="s">
        <v>591</v>
      </c>
      <c r="L181" s="230" t="s">
        <v>34</v>
      </c>
      <c r="M181" s="156">
        <v>100</v>
      </c>
      <c r="N181" s="156">
        <v>100</v>
      </c>
      <c r="O181" s="156">
        <v>100</v>
      </c>
      <c r="P181" s="156">
        <v>100</v>
      </c>
      <c r="Q181" s="156">
        <v>100</v>
      </c>
    </row>
    <row r="182" spans="1:17" ht="29.25" customHeight="1" x14ac:dyDescent="0.25">
      <c r="A182" s="421">
        <v>17</v>
      </c>
      <c r="B182" s="75">
        <v>2</v>
      </c>
      <c r="C182" s="321"/>
      <c r="D182" s="225"/>
      <c r="E182" s="1167" t="s">
        <v>838</v>
      </c>
      <c r="F182" s="233">
        <v>0</v>
      </c>
      <c r="G182" s="233">
        <v>0</v>
      </c>
      <c r="H182" s="233">
        <v>206039</v>
      </c>
      <c r="I182" s="233">
        <v>213906.1</v>
      </c>
      <c r="J182" s="233">
        <v>216746.6</v>
      </c>
      <c r="K182" s="1212"/>
      <c r="L182" s="230"/>
      <c r="M182" s="156"/>
      <c r="N182" s="156"/>
      <c r="O182" s="156"/>
      <c r="P182" s="156"/>
      <c r="Q182" s="156"/>
    </row>
    <row r="183" spans="1:17" ht="105" x14ac:dyDescent="0.25">
      <c r="A183" s="421"/>
      <c r="B183" s="75"/>
      <c r="C183" s="321" t="s">
        <v>4</v>
      </c>
      <c r="D183" s="279"/>
      <c r="E183" s="1107" t="s">
        <v>83</v>
      </c>
      <c r="F183" s="222"/>
      <c r="G183" s="222"/>
      <c r="H183" s="210">
        <v>206039</v>
      </c>
      <c r="I183" s="251">
        <v>213906.1</v>
      </c>
      <c r="J183" s="251">
        <v>216746.6</v>
      </c>
      <c r="K183" s="1212" t="s">
        <v>592</v>
      </c>
      <c r="L183" s="230" t="s">
        <v>81</v>
      </c>
      <c r="M183" s="156"/>
      <c r="N183" s="156">
        <v>100</v>
      </c>
      <c r="O183" s="156">
        <v>100</v>
      </c>
      <c r="P183" s="156">
        <v>100</v>
      </c>
      <c r="Q183" s="156"/>
    </row>
    <row r="184" spans="1:17" s="120" customFormat="1" x14ac:dyDescent="0.25">
      <c r="A184" s="1749" t="s">
        <v>1112</v>
      </c>
      <c r="B184" s="2098"/>
      <c r="C184" s="2098"/>
      <c r="D184" s="2098"/>
      <c r="E184" s="2098"/>
      <c r="F184" s="42">
        <v>0</v>
      </c>
      <c r="G184" s="42">
        <v>0</v>
      </c>
      <c r="H184" s="42">
        <v>254719.59999999998</v>
      </c>
      <c r="I184" s="42">
        <v>258079.7</v>
      </c>
      <c r="J184" s="42">
        <v>261494.30000000002</v>
      </c>
      <c r="K184" s="15"/>
      <c r="L184" s="2100"/>
      <c r="M184" s="2101"/>
      <c r="N184" s="2101"/>
      <c r="O184" s="2101"/>
      <c r="P184" s="2101"/>
      <c r="Q184" s="2102"/>
    </row>
    <row r="185" spans="1:17" x14ac:dyDescent="0.25">
      <c r="A185" s="1648" t="s">
        <v>948</v>
      </c>
      <c r="B185" s="1649"/>
      <c r="C185" s="1649"/>
      <c r="D185" s="1649"/>
      <c r="E185" s="1649"/>
      <c r="F185" s="1649"/>
      <c r="G185" s="1649"/>
      <c r="H185" s="1649"/>
      <c r="I185" s="1649"/>
      <c r="J185" s="1649"/>
      <c r="K185" s="1649"/>
      <c r="L185" s="1649"/>
      <c r="M185" s="1649"/>
      <c r="N185" s="1649"/>
      <c r="O185" s="1649"/>
      <c r="P185" s="1649"/>
      <c r="Q185" s="1650"/>
    </row>
    <row r="186" spans="1:17" s="110" customFormat="1" ht="88.5" x14ac:dyDescent="0.25">
      <c r="A186" s="337">
        <v>18</v>
      </c>
      <c r="B186" s="375">
        <v>1</v>
      </c>
      <c r="C186" s="316"/>
      <c r="D186" s="11"/>
      <c r="E186" s="178" t="s">
        <v>593</v>
      </c>
      <c r="F186" s="248">
        <v>68305.5</v>
      </c>
      <c r="G186" s="248">
        <v>76900</v>
      </c>
      <c r="H186" s="248">
        <f>H187+H188+H189+H190+H191+H192+H193</f>
        <v>94474.891999999993</v>
      </c>
      <c r="I186" s="248">
        <v>77705</v>
      </c>
      <c r="J186" s="248">
        <v>78504</v>
      </c>
      <c r="K186" s="1195" t="s">
        <v>947</v>
      </c>
      <c r="L186" s="219" t="s">
        <v>34</v>
      </c>
      <c r="M186" s="219">
        <v>100</v>
      </c>
      <c r="N186" s="219">
        <v>100</v>
      </c>
      <c r="O186" s="219">
        <v>100</v>
      </c>
      <c r="P186" s="219">
        <v>100</v>
      </c>
      <c r="Q186" s="219">
        <v>100</v>
      </c>
    </row>
    <row r="187" spans="1:17" s="110" customFormat="1" x14ac:dyDescent="0.25">
      <c r="A187" s="378"/>
      <c r="B187" s="365"/>
      <c r="C187" s="318" t="s">
        <v>4</v>
      </c>
      <c r="D187" s="204"/>
      <c r="E187" s="1100" t="s">
        <v>393</v>
      </c>
      <c r="F187" s="217">
        <v>4201.8</v>
      </c>
      <c r="G187" s="217">
        <v>7388.6</v>
      </c>
      <c r="H187" s="250">
        <v>27129.96</v>
      </c>
      <c r="I187" s="241">
        <v>7582.5</v>
      </c>
      <c r="J187" s="241">
        <v>7637</v>
      </c>
      <c r="K187" s="1212" t="s">
        <v>438</v>
      </c>
      <c r="L187" s="247" t="s">
        <v>35</v>
      </c>
      <c r="M187" s="286"/>
      <c r="N187" s="286"/>
      <c r="O187" s="286"/>
      <c r="P187" s="286"/>
      <c r="Q187" s="286"/>
    </row>
    <row r="188" spans="1:17" s="110" customFormat="1" ht="30" x14ac:dyDescent="0.25">
      <c r="A188" s="378"/>
      <c r="B188" s="397"/>
      <c r="C188" s="330" t="s">
        <v>5</v>
      </c>
      <c r="D188" s="204"/>
      <c r="E188" s="1302" t="s">
        <v>394</v>
      </c>
      <c r="F188" s="217">
        <v>4090.2</v>
      </c>
      <c r="G188" s="217">
        <v>5718.5</v>
      </c>
      <c r="H188" s="250">
        <v>6119.232</v>
      </c>
      <c r="I188" s="241">
        <v>5834.4</v>
      </c>
      <c r="J188" s="241">
        <v>5949.5</v>
      </c>
      <c r="K188" s="1212" t="s">
        <v>515</v>
      </c>
      <c r="L188" s="247" t="s">
        <v>34</v>
      </c>
      <c r="M188" s="286">
        <v>100</v>
      </c>
      <c r="N188" s="286">
        <v>100</v>
      </c>
      <c r="O188" s="286">
        <v>100</v>
      </c>
      <c r="P188" s="286">
        <v>100</v>
      </c>
      <c r="Q188" s="286">
        <v>100</v>
      </c>
    </row>
    <row r="189" spans="1:17" s="110" customFormat="1" ht="30" x14ac:dyDescent="0.25">
      <c r="A189" s="378"/>
      <c r="B189" s="397"/>
      <c r="C189" s="330" t="s">
        <v>7</v>
      </c>
      <c r="D189" s="204"/>
      <c r="E189" s="1302" t="s">
        <v>395</v>
      </c>
      <c r="F189" s="217">
        <v>992.5</v>
      </c>
      <c r="G189" s="217">
        <v>1097.5</v>
      </c>
      <c r="H189" s="250">
        <v>982.5</v>
      </c>
      <c r="I189" s="241">
        <v>1178.4000000000001</v>
      </c>
      <c r="J189" s="241">
        <v>1204.2</v>
      </c>
      <c r="K189" s="1212" t="s">
        <v>602</v>
      </c>
      <c r="L189" s="247" t="s">
        <v>34</v>
      </c>
      <c r="M189" s="286">
        <v>100</v>
      </c>
      <c r="N189" s="286">
        <v>100</v>
      </c>
      <c r="O189" s="286">
        <v>100</v>
      </c>
      <c r="P189" s="286">
        <v>100</v>
      </c>
      <c r="Q189" s="286">
        <v>100</v>
      </c>
    </row>
    <row r="190" spans="1:17" s="110" customFormat="1" ht="30" x14ac:dyDescent="0.25">
      <c r="A190" s="378"/>
      <c r="B190" s="397"/>
      <c r="C190" s="330" t="s">
        <v>9</v>
      </c>
      <c r="D190" s="204"/>
      <c r="E190" s="1302" t="s">
        <v>396</v>
      </c>
      <c r="F190" s="217">
        <v>934.1</v>
      </c>
      <c r="G190" s="217">
        <v>1460.2</v>
      </c>
      <c r="H190" s="250">
        <v>1155.2</v>
      </c>
      <c r="I190" s="241">
        <v>1541.1</v>
      </c>
      <c r="J190" s="241">
        <v>1554.9</v>
      </c>
      <c r="K190" s="1212" t="s">
        <v>603</v>
      </c>
      <c r="L190" s="247" t="s">
        <v>54</v>
      </c>
      <c r="M190" s="286" t="s">
        <v>92</v>
      </c>
      <c r="N190" s="286">
        <v>4</v>
      </c>
      <c r="O190" s="286">
        <v>0</v>
      </c>
      <c r="P190" s="286">
        <v>0</v>
      </c>
      <c r="Q190" s="286">
        <v>0</v>
      </c>
    </row>
    <row r="191" spans="1:17" s="110" customFormat="1" ht="45" x14ac:dyDescent="0.25">
      <c r="A191" s="378"/>
      <c r="B191" s="397"/>
      <c r="C191" s="330" t="s">
        <v>11</v>
      </c>
      <c r="D191" s="204"/>
      <c r="E191" s="1302" t="s">
        <v>533</v>
      </c>
      <c r="F191" s="217">
        <v>1568.8</v>
      </c>
      <c r="G191" s="217">
        <v>2311.5</v>
      </c>
      <c r="H191" s="250">
        <v>1956.5</v>
      </c>
      <c r="I191" s="241">
        <v>2392.4</v>
      </c>
      <c r="J191" s="241">
        <v>2416.5</v>
      </c>
      <c r="K191" s="1212" t="s">
        <v>604</v>
      </c>
      <c r="L191" s="247" t="s">
        <v>36</v>
      </c>
      <c r="M191" s="286"/>
      <c r="N191" s="286"/>
      <c r="O191" s="286"/>
      <c r="P191" s="286"/>
      <c r="Q191" s="286"/>
    </row>
    <row r="192" spans="1:17" s="110" customFormat="1" ht="45" x14ac:dyDescent="0.25">
      <c r="A192" s="378"/>
      <c r="B192" s="365"/>
      <c r="C192" s="316" t="s">
        <v>13</v>
      </c>
      <c r="D192" s="204"/>
      <c r="E192" s="1217" t="s">
        <v>398</v>
      </c>
      <c r="F192" s="217">
        <v>3211.2</v>
      </c>
      <c r="G192" s="217">
        <v>3366.2</v>
      </c>
      <c r="H192" s="250">
        <v>2654.1</v>
      </c>
      <c r="I192" s="241">
        <v>3433.5</v>
      </c>
      <c r="J192" s="241">
        <v>3543.8</v>
      </c>
      <c r="K192" s="1212" t="s">
        <v>605</v>
      </c>
      <c r="L192" s="247" t="s">
        <v>34</v>
      </c>
      <c r="M192" s="286">
        <v>17</v>
      </c>
      <c r="N192" s="286">
        <v>17</v>
      </c>
      <c r="O192" s="286">
        <v>17</v>
      </c>
      <c r="P192" s="286">
        <v>17</v>
      </c>
      <c r="Q192" s="286">
        <v>17</v>
      </c>
    </row>
    <row r="193" spans="1:17" s="110" customFormat="1" ht="30" x14ac:dyDescent="0.25">
      <c r="A193" s="378"/>
      <c r="B193" s="365"/>
      <c r="C193" s="316" t="s">
        <v>16</v>
      </c>
      <c r="D193" s="204"/>
      <c r="E193" s="1217" t="s">
        <v>554</v>
      </c>
      <c r="F193" s="176">
        <v>53306.9</v>
      </c>
      <c r="G193" s="176">
        <v>55557.5</v>
      </c>
      <c r="H193" s="354">
        <v>54477.4</v>
      </c>
      <c r="I193" s="176">
        <v>55742.7</v>
      </c>
      <c r="J193" s="229">
        <v>56198.1</v>
      </c>
      <c r="K193" s="1212" t="s">
        <v>606</v>
      </c>
      <c r="L193" s="247" t="s">
        <v>34</v>
      </c>
      <c r="M193" s="286">
        <v>100</v>
      </c>
      <c r="N193" s="286">
        <v>100</v>
      </c>
      <c r="O193" s="286">
        <v>100</v>
      </c>
      <c r="P193" s="286">
        <v>100</v>
      </c>
      <c r="Q193" s="286">
        <v>100</v>
      </c>
    </row>
    <row r="194" spans="1:17" s="110" customFormat="1" ht="15" customHeight="1" x14ac:dyDescent="0.25">
      <c r="A194" s="2264">
        <v>18</v>
      </c>
      <c r="B194" s="2258">
        <v>2</v>
      </c>
      <c r="C194" s="2325"/>
      <c r="D194" s="2261"/>
      <c r="E194" s="1630" t="s">
        <v>594</v>
      </c>
      <c r="F194" s="2268">
        <v>486751.2</v>
      </c>
      <c r="G194" s="2268">
        <v>55844</v>
      </c>
      <c r="H194" s="2268">
        <f>H196</f>
        <v>45331</v>
      </c>
      <c r="I194" s="2268">
        <v>993562.09999999986</v>
      </c>
      <c r="J194" s="2268">
        <v>72192.700000000012</v>
      </c>
      <c r="K194" s="2337" t="s">
        <v>607</v>
      </c>
      <c r="L194" s="2336" t="s">
        <v>34</v>
      </c>
      <c r="M194" s="2262"/>
      <c r="N194" s="2262"/>
      <c r="O194" s="2262"/>
      <c r="P194" s="2262"/>
      <c r="Q194" s="2262"/>
    </row>
    <row r="195" spans="1:17" s="110" customFormat="1" ht="74.25" customHeight="1" x14ac:dyDescent="0.25">
      <c r="A195" s="1679"/>
      <c r="B195" s="1752"/>
      <c r="C195" s="2130"/>
      <c r="D195" s="1814"/>
      <c r="E195" s="1630"/>
      <c r="F195" s="2235"/>
      <c r="G195" s="2235"/>
      <c r="H195" s="2235"/>
      <c r="I195" s="2235"/>
      <c r="J195" s="2235"/>
      <c r="K195" s="2337"/>
      <c r="L195" s="1922"/>
      <c r="M195" s="1773"/>
      <c r="N195" s="1773"/>
      <c r="O195" s="1773"/>
      <c r="P195" s="1773"/>
      <c r="Q195" s="1773"/>
    </row>
    <row r="196" spans="1:17" s="110" customFormat="1" ht="69.75" customHeight="1" x14ac:dyDescent="0.25">
      <c r="A196" s="378"/>
      <c r="B196" s="714"/>
      <c r="C196" s="650" t="s">
        <v>4</v>
      </c>
      <c r="D196" s="652"/>
      <c r="E196" s="1212" t="s">
        <v>595</v>
      </c>
      <c r="F196" s="175">
        <v>270182.5</v>
      </c>
      <c r="G196" s="295">
        <v>29970.1</v>
      </c>
      <c r="H196" s="745">
        <f>35882.4+9448.6</f>
        <v>45331</v>
      </c>
      <c r="I196" s="295">
        <v>600057.19999999995</v>
      </c>
      <c r="J196" s="229">
        <v>58518.3</v>
      </c>
      <c r="K196" s="1212" t="s">
        <v>608</v>
      </c>
      <c r="L196" s="245" t="s">
        <v>34</v>
      </c>
      <c r="M196" s="245">
        <v>100</v>
      </c>
      <c r="N196" s="245">
        <v>100</v>
      </c>
      <c r="O196" s="245">
        <v>100</v>
      </c>
      <c r="P196" s="245">
        <v>100</v>
      </c>
      <c r="Q196" s="245">
        <v>100</v>
      </c>
    </row>
    <row r="197" spans="1:17" s="110" customFormat="1" ht="66" customHeight="1" x14ac:dyDescent="0.25">
      <c r="A197" s="357"/>
      <c r="B197" s="714"/>
      <c r="C197" s="650" t="s">
        <v>5</v>
      </c>
      <c r="D197" s="652"/>
      <c r="E197" s="1212" t="s">
        <v>596</v>
      </c>
      <c r="F197" s="296">
        <v>187302.8</v>
      </c>
      <c r="G197" s="296">
        <v>22377.4</v>
      </c>
      <c r="H197" s="487"/>
      <c r="I197" s="296">
        <v>369503.7</v>
      </c>
      <c r="J197" s="297">
        <v>12500.3</v>
      </c>
      <c r="K197" s="1212"/>
      <c r="L197" s="207"/>
      <c r="M197" s="207"/>
      <c r="N197" s="207"/>
      <c r="O197" s="207"/>
      <c r="P197" s="207"/>
      <c r="Q197" s="207"/>
    </row>
    <row r="198" spans="1:17" s="110" customFormat="1" ht="66" customHeight="1" x14ac:dyDescent="0.25">
      <c r="A198" s="357"/>
      <c r="B198" s="367"/>
      <c r="C198" s="314" t="s">
        <v>7</v>
      </c>
      <c r="D198" s="216"/>
      <c r="E198" s="1212" t="s">
        <v>597</v>
      </c>
      <c r="F198" s="293">
        <v>29265.9</v>
      </c>
      <c r="G198" s="293">
        <v>3496.5</v>
      </c>
      <c r="H198" s="488"/>
      <c r="I198" s="293">
        <v>24001.200000000001</v>
      </c>
      <c r="J198" s="229">
        <v>1174.0999999999999</v>
      </c>
      <c r="K198" s="1212" t="s">
        <v>609</v>
      </c>
      <c r="L198" s="207" t="s">
        <v>34</v>
      </c>
      <c r="M198" s="207">
        <v>100</v>
      </c>
      <c r="N198" s="207">
        <v>100</v>
      </c>
      <c r="O198" s="207">
        <v>100</v>
      </c>
      <c r="P198" s="207">
        <v>100</v>
      </c>
      <c r="Q198" s="207">
        <v>100</v>
      </c>
    </row>
    <row r="199" spans="1:17" s="110" customFormat="1" ht="66" customHeight="1" x14ac:dyDescent="0.25">
      <c r="A199" s="337">
        <v>18</v>
      </c>
      <c r="B199" s="375">
        <v>3</v>
      </c>
      <c r="C199" s="313"/>
      <c r="D199" s="236"/>
      <c r="E199" s="1212" t="s">
        <v>598</v>
      </c>
      <c r="F199" s="240">
        <v>134955.70000000001</v>
      </c>
      <c r="G199" s="240">
        <v>16084</v>
      </c>
      <c r="H199" s="240"/>
      <c r="I199" s="240">
        <v>22962.1</v>
      </c>
      <c r="J199" s="240">
        <v>1181.3000000000002</v>
      </c>
      <c r="K199" s="1212"/>
      <c r="L199" s="207"/>
      <c r="M199" s="207"/>
      <c r="N199" s="207"/>
      <c r="O199" s="207"/>
      <c r="P199" s="207"/>
      <c r="Q199" s="207"/>
    </row>
    <row r="200" spans="1:17" s="110" customFormat="1" ht="60" x14ac:dyDescent="0.25">
      <c r="A200" s="384"/>
      <c r="B200" s="379"/>
      <c r="C200" s="316" t="s">
        <v>4</v>
      </c>
      <c r="D200" s="257"/>
      <c r="E200" s="1212" t="s">
        <v>599</v>
      </c>
      <c r="F200" s="175">
        <v>29598</v>
      </c>
      <c r="G200" s="293">
        <v>3496.5</v>
      </c>
      <c r="H200" s="488"/>
      <c r="I200" s="293">
        <v>6636.1</v>
      </c>
      <c r="J200" s="229">
        <v>507.1</v>
      </c>
      <c r="K200" s="1212" t="s">
        <v>610</v>
      </c>
      <c r="L200" s="207"/>
      <c r="M200" s="207">
        <v>3800</v>
      </c>
      <c r="N200" s="207">
        <v>1650</v>
      </c>
      <c r="O200" s="207">
        <v>1850</v>
      </c>
      <c r="P200" s="207">
        <v>4800</v>
      </c>
      <c r="Q200" s="207">
        <v>1500</v>
      </c>
    </row>
    <row r="201" spans="1:17" s="110" customFormat="1" ht="75" x14ac:dyDescent="0.25">
      <c r="A201" s="378"/>
      <c r="B201" s="365"/>
      <c r="C201" s="318" t="s">
        <v>5</v>
      </c>
      <c r="D201" s="256"/>
      <c r="E201" s="1212" t="s">
        <v>600</v>
      </c>
      <c r="F201" s="293">
        <v>81944.800000000003</v>
      </c>
      <c r="G201" s="293">
        <v>9790.2000000000007</v>
      </c>
      <c r="H201" s="488"/>
      <c r="I201" s="293">
        <v>8837.4</v>
      </c>
      <c r="J201" s="229">
        <v>331.8</v>
      </c>
      <c r="K201" s="1212" t="s">
        <v>610</v>
      </c>
      <c r="L201" s="247"/>
      <c r="M201" s="247">
        <v>11300</v>
      </c>
      <c r="N201" s="273">
        <v>2460</v>
      </c>
      <c r="O201" s="273">
        <v>480</v>
      </c>
      <c r="P201" s="273">
        <v>44500</v>
      </c>
      <c r="Q201" s="273">
        <v>1430</v>
      </c>
    </row>
    <row r="202" spans="1:17" ht="60" x14ac:dyDescent="0.25">
      <c r="A202" s="422"/>
      <c r="B202" s="252"/>
      <c r="C202" s="307" t="s">
        <v>7</v>
      </c>
      <c r="D202" s="253"/>
      <c r="E202" s="1212" t="s">
        <v>601</v>
      </c>
      <c r="F202" s="175">
        <v>23412.9</v>
      </c>
      <c r="G202" s="293">
        <v>2797.3</v>
      </c>
      <c r="H202" s="488"/>
      <c r="I202" s="293">
        <v>7488.6</v>
      </c>
      <c r="J202" s="297">
        <v>342.4</v>
      </c>
      <c r="K202" s="1205" t="s">
        <v>611</v>
      </c>
      <c r="L202" s="243"/>
      <c r="M202" s="230">
        <v>65</v>
      </c>
      <c r="N202" s="230">
        <v>4</v>
      </c>
      <c r="O202" s="230">
        <v>20</v>
      </c>
      <c r="P202" s="230">
        <v>168</v>
      </c>
      <c r="Q202" s="243">
        <v>35</v>
      </c>
    </row>
    <row r="203" spans="1:17" s="120" customFormat="1" ht="45.75" customHeight="1" x14ac:dyDescent="0.25">
      <c r="A203" s="1651" t="s">
        <v>839</v>
      </c>
      <c r="B203" s="1651"/>
      <c r="C203" s="1651"/>
      <c r="D203" s="1651"/>
      <c r="E203" s="1652"/>
      <c r="F203" s="42">
        <v>555056.69999999995</v>
      </c>
      <c r="G203" s="42">
        <v>132744</v>
      </c>
      <c r="H203" s="42">
        <f>H186+H194</f>
        <v>139805.89199999999</v>
      </c>
      <c r="I203" s="42">
        <v>1071267.0999999999</v>
      </c>
      <c r="J203" s="42">
        <v>150696.70000000001</v>
      </c>
      <c r="K203" s="15"/>
      <c r="L203" s="1636"/>
      <c r="M203" s="2309"/>
      <c r="N203" s="2309"/>
      <c r="O203" s="2309"/>
      <c r="P203" s="2309"/>
      <c r="Q203" s="1636"/>
    </row>
    <row r="204" spans="1:17" ht="15.75" thickBot="1" x14ac:dyDescent="0.3">
      <c r="A204" s="1648" t="s">
        <v>840</v>
      </c>
      <c r="B204" s="1649"/>
      <c r="C204" s="1649"/>
      <c r="D204" s="1649"/>
      <c r="E204" s="1649"/>
      <c r="F204" s="1649"/>
      <c r="G204" s="1649"/>
      <c r="H204" s="1649"/>
      <c r="I204" s="1649"/>
      <c r="J204" s="1649"/>
      <c r="K204" s="1649"/>
      <c r="L204" s="1649"/>
      <c r="M204" s="1649"/>
      <c r="N204" s="1649"/>
      <c r="O204" s="1649"/>
      <c r="P204" s="1649"/>
      <c r="Q204" s="1650"/>
    </row>
    <row r="205" spans="1:17" s="110" customFormat="1" ht="88.5" x14ac:dyDescent="0.25">
      <c r="A205" s="402">
        <v>19</v>
      </c>
      <c r="B205" s="371">
        <v>1</v>
      </c>
      <c r="C205" s="309"/>
      <c r="D205" s="48"/>
      <c r="E205" s="144" t="s">
        <v>841</v>
      </c>
      <c r="F205" s="219">
        <v>219208.09999999998</v>
      </c>
      <c r="G205" s="219">
        <v>157260.79999999999</v>
      </c>
      <c r="H205" s="497">
        <f>H206+H207+H208+H209+H210+H211</f>
        <v>356863.10100000002</v>
      </c>
      <c r="I205" s="158">
        <v>255279.87411999996</v>
      </c>
      <c r="J205" s="158">
        <v>258668.54848976</v>
      </c>
      <c r="K205" s="460" t="s">
        <v>437</v>
      </c>
      <c r="L205" s="219" t="s">
        <v>34</v>
      </c>
      <c r="M205" s="219">
        <v>26</v>
      </c>
      <c r="N205" s="49">
        <v>26</v>
      </c>
      <c r="O205" s="219"/>
      <c r="P205" s="219"/>
      <c r="Q205" s="219"/>
    </row>
    <row r="206" spans="1:17" s="110" customFormat="1" ht="31.5" customHeight="1" x14ac:dyDescent="0.25">
      <c r="A206" s="403"/>
      <c r="B206" s="360"/>
      <c r="C206" s="319">
        <v>1</v>
      </c>
      <c r="D206" s="203"/>
      <c r="E206" s="795" t="s">
        <v>393</v>
      </c>
      <c r="F206" s="230">
        <v>56824.3</v>
      </c>
      <c r="G206" s="230">
        <v>39619.4</v>
      </c>
      <c r="H206" s="492">
        <v>32332.7</v>
      </c>
      <c r="I206" s="226">
        <v>32759.49164</v>
      </c>
      <c r="J206" s="226">
        <v>33191.916929648003</v>
      </c>
      <c r="K206" s="1205" t="s">
        <v>438</v>
      </c>
      <c r="L206" s="247" t="s">
        <v>35</v>
      </c>
      <c r="M206" s="286"/>
      <c r="N206" s="286"/>
      <c r="O206" s="286"/>
      <c r="P206" s="286"/>
      <c r="Q206" s="286"/>
    </row>
    <row r="207" spans="1:17" s="110" customFormat="1" ht="33.75" customHeight="1" x14ac:dyDescent="0.25">
      <c r="A207" s="403"/>
      <c r="B207" s="393"/>
      <c r="C207" s="326">
        <v>2</v>
      </c>
      <c r="D207" s="203"/>
      <c r="E207" s="1280" t="s">
        <v>394</v>
      </c>
      <c r="F207" s="230">
        <v>88075.199999999997</v>
      </c>
      <c r="G207" s="230">
        <v>61928.600000000006</v>
      </c>
      <c r="H207" s="801">
        <f>18846.3+880</f>
        <v>19726.3</v>
      </c>
      <c r="I207" s="226">
        <v>19986.687159999998</v>
      </c>
      <c r="J207" s="226">
        <v>20250.524440000001</v>
      </c>
      <c r="K207" s="1205" t="s">
        <v>515</v>
      </c>
      <c r="L207" s="247" t="s">
        <v>34</v>
      </c>
      <c r="M207" s="247" t="s">
        <v>96</v>
      </c>
      <c r="N207" s="247" t="s">
        <v>96</v>
      </c>
      <c r="O207" s="286"/>
      <c r="P207" s="286"/>
      <c r="Q207" s="286"/>
    </row>
    <row r="208" spans="1:17" s="110" customFormat="1" ht="39.75" customHeight="1" x14ac:dyDescent="0.25">
      <c r="A208" s="403"/>
      <c r="B208" s="393"/>
      <c r="C208" s="326">
        <v>3</v>
      </c>
      <c r="D208" s="203"/>
      <c r="E208" s="795" t="s">
        <v>842</v>
      </c>
      <c r="F208" s="230">
        <v>15298.8</v>
      </c>
      <c r="G208" s="230">
        <v>10666.7</v>
      </c>
      <c r="H208" s="801">
        <v>8280.4</v>
      </c>
      <c r="I208" s="226">
        <v>8389.7012799999993</v>
      </c>
      <c r="J208" s="226">
        <v>8500.4453368959985</v>
      </c>
      <c r="K208" s="1205" t="s">
        <v>602</v>
      </c>
      <c r="L208" s="247" t="s">
        <v>34</v>
      </c>
      <c r="M208" s="247">
        <v>9</v>
      </c>
      <c r="N208" s="247">
        <v>0</v>
      </c>
      <c r="O208" s="286"/>
      <c r="P208" s="286"/>
      <c r="Q208" s="286"/>
    </row>
    <row r="209" spans="1:17" s="110" customFormat="1" ht="54" customHeight="1" x14ac:dyDescent="0.25">
      <c r="A209" s="403"/>
      <c r="B209" s="393"/>
      <c r="C209" s="326">
        <v>5</v>
      </c>
      <c r="D209" s="203"/>
      <c r="E209" s="1138" t="s">
        <v>843</v>
      </c>
      <c r="F209" s="230">
        <v>56824.299999999996</v>
      </c>
      <c r="G209" s="230">
        <v>39619.299999999996</v>
      </c>
      <c r="H209" s="801">
        <f>47521.7-2178.1</f>
        <v>45343.6</v>
      </c>
      <c r="I209" s="226">
        <v>39537.597000000002</v>
      </c>
      <c r="J209" s="226">
        <v>40059.493280399998</v>
      </c>
      <c r="K209" s="1205" t="s">
        <v>637</v>
      </c>
      <c r="L209" s="247" t="s">
        <v>36</v>
      </c>
      <c r="M209" s="247">
        <v>1482</v>
      </c>
      <c r="N209" s="247">
        <v>741</v>
      </c>
      <c r="O209" s="286"/>
      <c r="P209" s="286"/>
      <c r="Q209" s="286"/>
    </row>
    <row r="210" spans="1:17" s="110" customFormat="1" ht="47.25" customHeight="1" x14ac:dyDescent="0.25">
      <c r="A210" s="403"/>
      <c r="B210" s="360"/>
      <c r="C210" s="317">
        <v>6</v>
      </c>
      <c r="D210" s="203"/>
      <c r="E210" s="1138" t="s">
        <v>398</v>
      </c>
      <c r="F210" s="230"/>
      <c r="G210" s="226">
        <v>3903</v>
      </c>
      <c r="H210" s="801">
        <f>242696.101+5770.6</f>
        <v>248466.701</v>
      </c>
      <c r="I210" s="226">
        <v>151857.18015999999</v>
      </c>
      <c r="J210" s="226">
        <v>153880.66196</v>
      </c>
      <c r="K210" s="1205" t="s">
        <v>481</v>
      </c>
      <c r="L210" s="247" t="s">
        <v>34</v>
      </c>
      <c r="M210" s="286">
        <v>16.100000000000001</v>
      </c>
      <c r="N210" s="286">
        <v>16.100000000000001</v>
      </c>
      <c r="O210" s="286"/>
      <c r="P210" s="286"/>
      <c r="Q210" s="286"/>
    </row>
    <row r="211" spans="1:17" s="110" customFormat="1" ht="48.75" customHeight="1" x14ac:dyDescent="0.25">
      <c r="A211" s="403"/>
      <c r="B211" s="360"/>
      <c r="C211" s="322">
        <v>12</v>
      </c>
      <c r="D211" s="292"/>
      <c r="E211" s="350" t="s">
        <v>844</v>
      </c>
      <c r="F211" s="230">
        <v>2185.5</v>
      </c>
      <c r="G211" s="230">
        <v>1523.8</v>
      </c>
      <c r="H211" s="492">
        <v>2713.4</v>
      </c>
      <c r="I211" s="226">
        <v>2749.2168799999999</v>
      </c>
      <c r="J211" s="226">
        <v>2785.5065428160001</v>
      </c>
      <c r="K211" s="1205" t="s">
        <v>944</v>
      </c>
      <c r="L211" s="247" t="s">
        <v>36</v>
      </c>
      <c r="M211" s="247" t="s">
        <v>97</v>
      </c>
      <c r="N211" s="247" t="s">
        <v>98</v>
      </c>
      <c r="O211" s="286"/>
      <c r="P211" s="286"/>
      <c r="Q211" s="286"/>
    </row>
    <row r="212" spans="1:17" s="110" customFormat="1" ht="107.25" customHeight="1" x14ac:dyDescent="0.25">
      <c r="A212" s="423">
        <v>19</v>
      </c>
      <c r="B212" s="440">
        <v>2</v>
      </c>
      <c r="C212" s="52"/>
      <c r="D212" s="292"/>
      <c r="E212" s="57" t="s">
        <v>845</v>
      </c>
      <c r="F212" s="286">
        <v>155103.5</v>
      </c>
      <c r="G212" s="286">
        <v>131038.6</v>
      </c>
      <c r="H212" s="490">
        <f>H213+H214+H215</f>
        <v>106189.3</v>
      </c>
      <c r="I212" s="53">
        <v>107590.99876</v>
      </c>
      <c r="J212" s="53">
        <v>109011.19994363199</v>
      </c>
      <c r="K212" s="1630" t="s">
        <v>945</v>
      </c>
      <c r="L212" s="247"/>
      <c r="M212" s="286" t="s">
        <v>99</v>
      </c>
      <c r="N212" s="286" t="s">
        <v>100</v>
      </c>
      <c r="O212" s="286"/>
      <c r="P212" s="286"/>
      <c r="Q212" s="286"/>
    </row>
    <row r="213" spans="1:17" s="110" customFormat="1" ht="75" x14ac:dyDescent="0.25">
      <c r="A213" s="424"/>
      <c r="B213" s="441"/>
      <c r="C213" s="51" t="s">
        <v>4</v>
      </c>
      <c r="D213" s="292"/>
      <c r="E213" s="56" t="s">
        <v>846</v>
      </c>
      <c r="F213" s="230">
        <v>62041.4</v>
      </c>
      <c r="G213" s="230">
        <v>52415.4</v>
      </c>
      <c r="H213" s="492">
        <v>52138.9</v>
      </c>
      <c r="I213" s="226">
        <v>52827.133480000004</v>
      </c>
      <c r="J213" s="226">
        <v>53524.451641936001</v>
      </c>
      <c r="K213" s="1630"/>
      <c r="L213" s="247"/>
      <c r="M213" s="247" t="s">
        <v>101</v>
      </c>
      <c r="N213" s="247" t="s">
        <v>102</v>
      </c>
      <c r="O213" s="286"/>
      <c r="P213" s="286"/>
      <c r="Q213" s="286"/>
    </row>
    <row r="214" spans="1:17" s="110" customFormat="1" ht="75" x14ac:dyDescent="0.25">
      <c r="A214" s="424"/>
      <c r="B214" s="441"/>
      <c r="C214" s="51" t="s">
        <v>5</v>
      </c>
      <c r="D214" s="292"/>
      <c r="E214" s="56" t="s">
        <v>847</v>
      </c>
      <c r="F214" s="230">
        <v>65143.5</v>
      </c>
      <c r="G214" s="230">
        <v>55036.3</v>
      </c>
      <c r="H214" s="492">
        <v>34830.1</v>
      </c>
      <c r="I214" s="226">
        <v>35289.857319999996</v>
      </c>
      <c r="J214" s="226">
        <v>35755.683436623993</v>
      </c>
      <c r="K214" s="1791" t="s">
        <v>946</v>
      </c>
      <c r="L214" s="247"/>
      <c r="M214" s="247" t="s">
        <v>103</v>
      </c>
      <c r="N214" s="247" t="s">
        <v>104</v>
      </c>
      <c r="O214" s="286"/>
      <c r="P214" s="286"/>
      <c r="Q214" s="286"/>
    </row>
    <row r="215" spans="1:17" s="110" customFormat="1" ht="72" customHeight="1" x14ac:dyDescent="0.25">
      <c r="A215" s="424"/>
      <c r="B215" s="441"/>
      <c r="C215" s="51" t="s">
        <v>7</v>
      </c>
      <c r="D215" s="292"/>
      <c r="E215" s="56" t="s">
        <v>848</v>
      </c>
      <c r="F215" s="230">
        <v>27918.6</v>
      </c>
      <c r="G215" s="230">
        <v>23586.9</v>
      </c>
      <c r="H215" s="492">
        <v>19220.3</v>
      </c>
      <c r="I215" s="226">
        <v>19474.007959999999</v>
      </c>
      <c r="J215" s="226">
        <v>19731.064865072</v>
      </c>
      <c r="K215" s="1630"/>
      <c r="L215" s="247"/>
      <c r="M215" s="247" t="s">
        <v>105</v>
      </c>
      <c r="N215" s="247" t="s">
        <v>106</v>
      </c>
      <c r="O215" s="286"/>
      <c r="P215" s="286"/>
      <c r="Q215" s="286"/>
    </row>
    <row r="216" spans="1:17" s="110" customFormat="1" ht="99.75" x14ac:dyDescent="0.25">
      <c r="A216" s="423">
        <v>19</v>
      </c>
      <c r="B216" s="442">
        <v>3</v>
      </c>
      <c r="C216" s="54"/>
      <c r="D216" s="256"/>
      <c r="E216" s="57" t="s">
        <v>849</v>
      </c>
      <c r="F216" s="227">
        <v>232655.2</v>
      </c>
      <c r="G216" s="227">
        <v>224812.1</v>
      </c>
      <c r="H216" s="490">
        <f>H217+H218+H219+H220</f>
        <v>142131.4</v>
      </c>
      <c r="I216" s="227">
        <v>149721.88116000002</v>
      </c>
      <c r="J216" s="227">
        <v>151698.209991312</v>
      </c>
      <c r="K216" s="1791" t="s">
        <v>949</v>
      </c>
      <c r="L216" s="221"/>
      <c r="M216" s="286" t="s">
        <v>107</v>
      </c>
      <c r="N216" s="286" t="s">
        <v>108</v>
      </c>
      <c r="O216" s="116"/>
      <c r="P216" s="116"/>
      <c r="Q216" s="116"/>
    </row>
    <row r="217" spans="1:17" s="110" customFormat="1" ht="105" x14ac:dyDescent="0.25">
      <c r="A217" s="423"/>
      <c r="B217" s="442"/>
      <c r="C217" s="54" t="s">
        <v>4</v>
      </c>
      <c r="D217" s="244"/>
      <c r="E217" s="56" t="s">
        <v>850</v>
      </c>
      <c r="F217" s="209">
        <v>65143.5</v>
      </c>
      <c r="G217" s="209">
        <v>62947.4</v>
      </c>
      <c r="H217" s="487">
        <v>70608</v>
      </c>
      <c r="I217" s="294">
        <v>72016.229600000006</v>
      </c>
      <c r="J217" s="294">
        <v>72966.843830720012</v>
      </c>
      <c r="K217" s="1791"/>
      <c r="L217" s="221"/>
      <c r="M217" s="247" t="s">
        <v>109</v>
      </c>
      <c r="N217" s="273" t="s">
        <v>110</v>
      </c>
      <c r="O217" s="39"/>
      <c r="P217" s="39"/>
      <c r="Q217" s="39"/>
    </row>
    <row r="218" spans="1:17" s="110" customFormat="1" ht="162" customHeight="1" x14ac:dyDescent="0.25">
      <c r="A218" s="423"/>
      <c r="B218" s="442"/>
      <c r="C218" s="54" t="s">
        <v>5</v>
      </c>
      <c r="D218" s="244"/>
      <c r="E218" s="56" t="s">
        <v>851</v>
      </c>
      <c r="F218" s="228">
        <v>65143.5</v>
      </c>
      <c r="G218" s="228">
        <v>62947.4</v>
      </c>
      <c r="H218" s="487">
        <v>28963.200000000001</v>
      </c>
      <c r="I218" s="294">
        <v>29345.51424</v>
      </c>
      <c r="J218" s="294">
        <v>29732.875027967999</v>
      </c>
      <c r="K218" s="1138" t="s">
        <v>949</v>
      </c>
      <c r="L218" s="221"/>
      <c r="M218" s="247" t="s">
        <v>111</v>
      </c>
      <c r="N218" s="273" t="s">
        <v>112</v>
      </c>
      <c r="O218" s="39"/>
      <c r="P218" s="39"/>
      <c r="Q218" s="39"/>
    </row>
    <row r="219" spans="1:17" s="110" customFormat="1" ht="105" customHeight="1" x14ac:dyDescent="0.25">
      <c r="A219" s="425"/>
      <c r="B219" s="440"/>
      <c r="C219" s="55" t="s">
        <v>7</v>
      </c>
      <c r="D219" s="244"/>
      <c r="E219" s="56" t="s">
        <v>852</v>
      </c>
      <c r="F219" s="209">
        <v>37224.699999999997</v>
      </c>
      <c r="G219" s="209">
        <v>35969.9</v>
      </c>
      <c r="H219" s="487">
        <v>39377.300000000003</v>
      </c>
      <c r="I219" s="294">
        <v>44617.072560000001</v>
      </c>
      <c r="J219" s="294">
        <v>45206.017917792</v>
      </c>
      <c r="K219" s="1791" t="s">
        <v>949</v>
      </c>
      <c r="L219" s="221"/>
      <c r="M219" s="247" t="s">
        <v>113</v>
      </c>
      <c r="N219" s="273" t="s">
        <v>114</v>
      </c>
      <c r="O219" s="39"/>
      <c r="P219" s="39"/>
      <c r="Q219" s="39"/>
    </row>
    <row r="220" spans="1:17" s="110" customFormat="1" ht="78" customHeight="1" x14ac:dyDescent="0.25">
      <c r="A220" s="423"/>
      <c r="B220" s="442"/>
      <c r="C220" s="54" t="s">
        <v>9</v>
      </c>
      <c r="D220" s="244"/>
      <c r="E220" s="56" t="s">
        <v>853</v>
      </c>
      <c r="F220" s="294">
        <v>65143.5</v>
      </c>
      <c r="G220" s="294">
        <v>62947.4</v>
      </c>
      <c r="H220" s="487">
        <v>3182.9</v>
      </c>
      <c r="I220" s="294">
        <v>3743.0647600000002</v>
      </c>
      <c r="J220" s="294">
        <v>3792.4732148320004</v>
      </c>
      <c r="K220" s="1791"/>
      <c r="L220" s="221"/>
      <c r="M220" s="247" t="s">
        <v>115</v>
      </c>
      <c r="N220" s="247" t="s">
        <v>116</v>
      </c>
      <c r="O220" s="116"/>
      <c r="P220" s="116"/>
      <c r="Q220" s="116"/>
    </row>
    <row r="221" spans="1:17" s="110" customFormat="1" ht="102.75" customHeight="1" x14ac:dyDescent="0.25">
      <c r="A221" s="423">
        <v>19</v>
      </c>
      <c r="B221" s="442">
        <v>4</v>
      </c>
      <c r="C221" s="54"/>
      <c r="D221" s="244"/>
      <c r="E221" s="57" t="s">
        <v>854</v>
      </c>
      <c r="F221" s="290">
        <v>98702.1</v>
      </c>
      <c r="G221" s="290">
        <v>82051.8</v>
      </c>
      <c r="H221" s="498">
        <f>H222+H223</f>
        <v>85624.5</v>
      </c>
      <c r="I221" s="157">
        <v>91845.837709999993</v>
      </c>
      <c r="J221" s="157">
        <v>93058.202767771989</v>
      </c>
      <c r="K221" s="1217" t="s">
        <v>950</v>
      </c>
      <c r="L221" s="221"/>
      <c r="M221" s="286" t="s">
        <v>117</v>
      </c>
      <c r="N221" s="227" t="s">
        <v>118</v>
      </c>
      <c r="O221" s="39"/>
      <c r="P221" s="39"/>
      <c r="Q221" s="39"/>
    </row>
    <row r="222" spans="1:17" s="110" customFormat="1" ht="75" x14ac:dyDescent="0.25">
      <c r="A222" s="403"/>
      <c r="B222" s="360"/>
      <c r="C222" s="54" t="s">
        <v>4</v>
      </c>
      <c r="D222" s="244"/>
      <c r="E222" s="1217" t="s">
        <v>855</v>
      </c>
      <c r="F222" s="209">
        <v>51325.1</v>
      </c>
      <c r="G222" s="209">
        <v>42666.9</v>
      </c>
      <c r="H222" s="487">
        <v>31594.400000000001</v>
      </c>
      <c r="I222" s="294">
        <v>37107.943399999996</v>
      </c>
      <c r="J222" s="294">
        <v>37597.76825288</v>
      </c>
      <c r="K222" s="1212" t="s">
        <v>951</v>
      </c>
      <c r="L222" s="221"/>
      <c r="M222" s="247" t="s">
        <v>119</v>
      </c>
      <c r="N222" s="273" t="s">
        <v>120</v>
      </c>
      <c r="O222" s="39"/>
      <c r="P222" s="39"/>
      <c r="Q222" s="39"/>
    </row>
    <row r="223" spans="1:17" s="110" customFormat="1" ht="90" x14ac:dyDescent="0.25">
      <c r="A223" s="403"/>
      <c r="B223" s="360"/>
      <c r="C223" s="54" t="s">
        <v>5</v>
      </c>
      <c r="D223" s="244"/>
      <c r="E223" s="814" t="s">
        <v>856</v>
      </c>
      <c r="F223" s="234">
        <v>47377</v>
      </c>
      <c r="G223" s="209">
        <v>39384.9</v>
      </c>
      <c r="H223" s="487">
        <v>54030.1</v>
      </c>
      <c r="I223" s="294">
        <v>54737.894309999996</v>
      </c>
      <c r="J223" s="294">
        <v>55460.434514891997</v>
      </c>
      <c r="K223" s="1212" t="s">
        <v>952</v>
      </c>
      <c r="L223" s="289"/>
      <c r="M223" s="245" t="s">
        <v>121</v>
      </c>
      <c r="N223" s="246" t="s">
        <v>122</v>
      </c>
      <c r="O223" s="78"/>
      <c r="P223" s="78"/>
      <c r="Q223" s="78"/>
    </row>
    <row r="224" spans="1:17" s="120" customFormat="1" x14ac:dyDescent="0.25">
      <c r="A224" s="1651" t="s">
        <v>857</v>
      </c>
      <c r="B224" s="1651"/>
      <c r="C224" s="1651"/>
      <c r="D224" s="1651"/>
      <c r="E224" s="1652"/>
      <c r="F224" s="42">
        <v>705668.9</v>
      </c>
      <c r="G224" s="42">
        <v>595163.30000000005</v>
      </c>
      <c r="H224" s="42">
        <f>H205+H212+H216+H221</f>
        <v>690808.30099999998</v>
      </c>
      <c r="I224" s="42">
        <v>604438.59175000002</v>
      </c>
      <c r="J224" s="42">
        <v>612436.16119247593</v>
      </c>
      <c r="K224" s="15"/>
      <c r="L224" s="16"/>
      <c r="M224" s="16"/>
      <c r="N224" s="16"/>
      <c r="O224" s="16"/>
      <c r="P224" s="16"/>
      <c r="Q224" s="16"/>
    </row>
    <row r="225" spans="1:17" x14ac:dyDescent="0.25">
      <c r="A225" s="1648" t="s">
        <v>858</v>
      </c>
      <c r="B225" s="1649"/>
      <c r="C225" s="1649"/>
      <c r="D225" s="1649"/>
      <c r="E225" s="1649"/>
      <c r="F225" s="1649"/>
      <c r="G225" s="1649"/>
      <c r="H225" s="1649"/>
      <c r="I225" s="1649"/>
      <c r="J225" s="1649"/>
      <c r="K225" s="1649"/>
      <c r="L225" s="1649"/>
      <c r="M225" s="1649"/>
      <c r="N225" s="1649"/>
      <c r="O225" s="1649"/>
      <c r="P225" s="1649"/>
      <c r="Q225" s="1650"/>
    </row>
    <row r="226" spans="1:17" s="110" customFormat="1" ht="57" x14ac:dyDescent="0.25">
      <c r="A226" s="337">
        <v>20</v>
      </c>
      <c r="B226" s="375">
        <v>1</v>
      </c>
      <c r="C226" s="316"/>
      <c r="D226" s="11"/>
      <c r="E226" s="1195" t="s">
        <v>859</v>
      </c>
      <c r="F226" s="28">
        <v>22927.3</v>
      </c>
      <c r="G226" s="28">
        <v>15537.7</v>
      </c>
      <c r="H226" s="122">
        <f>H227+H228+H229+H230</f>
        <v>20358</v>
      </c>
      <c r="I226" s="28">
        <v>15639</v>
      </c>
      <c r="J226" s="28">
        <v>15741.9</v>
      </c>
      <c r="K226" s="1195" t="s">
        <v>953</v>
      </c>
      <c r="L226" s="286" t="s">
        <v>34</v>
      </c>
      <c r="M226" s="286"/>
      <c r="N226" s="286"/>
      <c r="O226" s="286"/>
      <c r="P226" s="286"/>
      <c r="Q226" s="286"/>
    </row>
    <row r="227" spans="1:17" s="110" customFormat="1" x14ac:dyDescent="0.25">
      <c r="A227" s="337"/>
      <c r="B227" s="375"/>
      <c r="C227" s="316" t="s">
        <v>4</v>
      </c>
      <c r="D227" s="12"/>
      <c r="E227" s="1302" t="s">
        <v>393</v>
      </c>
      <c r="F227" s="217">
        <v>13297.8</v>
      </c>
      <c r="G227" s="217">
        <v>8964.2000000000007</v>
      </c>
      <c r="H227" s="495">
        <v>9306</v>
      </c>
      <c r="I227" s="241">
        <v>8858</v>
      </c>
      <c r="J227" s="241">
        <v>8750.9</v>
      </c>
      <c r="K227" s="1212" t="s">
        <v>954</v>
      </c>
      <c r="L227" s="247" t="s">
        <v>34</v>
      </c>
      <c r="M227" s="247">
        <v>100</v>
      </c>
      <c r="N227" s="247">
        <v>100</v>
      </c>
      <c r="O227" s="247">
        <v>100</v>
      </c>
      <c r="P227" s="247">
        <v>100</v>
      </c>
      <c r="Q227" s="247">
        <v>100</v>
      </c>
    </row>
    <row r="228" spans="1:17" s="110" customFormat="1" x14ac:dyDescent="0.25">
      <c r="A228" s="384"/>
      <c r="B228" s="379"/>
      <c r="C228" s="316" t="s">
        <v>5</v>
      </c>
      <c r="D228" s="12"/>
      <c r="E228" s="1302" t="s">
        <v>860</v>
      </c>
      <c r="F228" s="217">
        <v>3209.8</v>
      </c>
      <c r="G228" s="217">
        <v>2283</v>
      </c>
      <c r="H228" s="495">
        <v>4072</v>
      </c>
      <c r="I228" s="241">
        <v>2383</v>
      </c>
      <c r="J228" s="241">
        <v>2483</v>
      </c>
      <c r="K228" s="1212" t="s">
        <v>515</v>
      </c>
      <c r="L228" s="23" t="s">
        <v>34</v>
      </c>
      <c r="M228" s="247">
        <v>100</v>
      </c>
      <c r="N228" s="247">
        <v>100</v>
      </c>
      <c r="O228" s="247">
        <v>100</v>
      </c>
      <c r="P228" s="247">
        <v>100</v>
      </c>
      <c r="Q228" s="247">
        <v>100</v>
      </c>
    </row>
    <row r="229" spans="1:17" s="110" customFormat="1" x14ac:dyDescent="0.25">
      <c r="A229" s="384"/>
      <c r="B229" s="379"/>
      <c r="C229" s="316" t="s">
        <v>7</v>
      </c>
      <c r="D229" s="12"/>
      <c r="E229" s="1302" t="s">
        <v>395</v>
      </c>
      <c r="F229" s="217">
        <v>5144</v>
      </c>
      <c r="G229" s="217">
        <v>3494.5</v>
      </c>
      <c r="H229" s="495">
        <v>6398</v>
      </c>
      <c r="I229" s="241">
        <v>3602</v>
      </c>
      <c r="J229" s="241">
        <v>3712</v>
      </c>
      <c r="K229" s="1212" t="s">
        <v>955</v>
      </c>
      <c r="L229" s="247" t="s">
        <v>57</v>
      </c>
      <c r="M229" s="247" t="s">
        <v>93</v>
      </c>
      <c r="N229" s="247" t="s">
        <v>93</v>
      </c>
      <c r="O229" s="247" t="s">
        <v>93</v>
      </c>
      <c r="P229" s="247" t="s">
        <v>93</v>
      </c>
      <c r="Q229" s="247" t="s">
        <v>93</v>
      </c>
    </row>
    <row r="230" spans="1:17" s="110" customFormat="1" ht="45" customHeight="1" x14ac:dyDescent="0.25">
      <c r="A230" s="384"/>
      <c r="B230" s="379"/>
      <c r="C230" s="316" t="s">
        <v>23</v>
      </c>
      <c r="D230" s="12"/>
      <c r="E230" s="1302" t="s">
        <v>861</v>
      </c>
      <c r="F230" s="217">
        <v>1275.7</v>
      </c>
      <c r="G230" s="217">
        <v>796</v>
      </c>
      <c r="H230" s="495">
        <v>582</v>
      </c>
      <c r="I230" s="241">
        <v>796</v>
      </c>
      <c r="J230" s="241">
        <v>796</v>
      </c>
      <c r="K230" s="1212" t="s">
        <v>956</v>
      </c>
      <c r="L230" s="247" t="s">
        <v>58</v>
      </c>
      <c r="M230" s="247" t="s">
        <v>93</v>
      </c>
      <c r="N230" s="247" t="s">
        <v>93</v>
      </c>
      <c r="O230" s="247" t="s">
        <v>93</v>
      </c>
      <c r="P230" s="247" t="s">
        <v>93</v>
      </c>
      <c r="Q230" s="247" t="s">
        <v>93</v>
      </c>
    </row>
    <row r="231" spans="1:17" s="110" customFormat="1" ht="15" customHeight="1" x14ac:dyDescent="0.25">
      <c r="A231" s="1680">
        <v>20</v>
      </c>
      <c r="B231" s="2258">
        <v>2</v>
      </c>
      <c r="C231" s="1753"/>
      <c r="D231" s="2263"/>
      <c r="E231" s="1630" t="s">
        <v>862</v>
      </c>
      <c r="F231" s="2260">
        <v>9890.2000000000007</v>
      </c>
      <c r="G231" s="2260">
        <v>6143.8</v>
      </c>
      <c r="H231" s="2268">
        <f>H233+H235+H237</f>
        <v>8143</v>
      </c>
      <c r="I231" s="2260">
        <v>6245.1</v>
      </c>
      <c r="J231" s="2260">
        <v>6348</v>
      </c>
      <c r="K231" s="1630" t="s">
        <v>957</v>
      </c>
      <c r="L231" s="2047"/>
      <c r="M231" s="2047"/>
      <c r="N231" s="217"/>
      <c r="O231" s="217"/>
      <c r="P231" s="217"/>
      <c r="Q231" s="217"/>
    </row>
    <row r="232" spans="1:17" s="110" customFormat="1" x14ac:dyDescent="0.25">
      <c r="A232" s="1680"/>
      <c r="B232" s="1752"/>
      <c r="C232" s="1753"/>
      <c r="D232" s="2263"/>
      <c r="E232" s="1630"/>
      <c r="F232" s="2235"/>
      <c r="G232" s="2235"/>
      <c r="H232" s="2021"/>
      <c r="I232" s="2235"/>
      <c r="J232" s="2235"/>
      <c r="K232" s="1630"/>
      <c r="L232" s="2047"/>
      <c r="M232" s="1911"/>
      <c r="N232" s="217"/>
      <c r="O232" s="217"/>
      <c r="P232" s="217"/>
      <c r="Q232" s="217"/>
    </row>
    <row r="233" spans="1:17" s="110" customFormat="1" ht="15" customHeight="1" x14ac:dyDescent="0.25">
      <c r="A233" s="1910"/>
      <c r="B233" s="2257"/>
      <c r="C233" s="1753" t="s">
        <v>4</v>
      </c>
      <c r="D233" s="2263"/>
      <c r="E233" s="1791" t="s">
        <v>863</v>
      </c>
      <c r="F233" s="2249">
        <v>4154</v>
      </c>
      <c r="G233" s="2249">
        <v>2645.6</v>
      </c>
      <c r="H233" s="1756">
        <v>3132</v>
      </c>
      <c r="I233" s="1660">
        <v>2650</v>
      </c>
      <c r="J233" s="1660">
        <v>2704</v>
      </c>
      <c r="K233" s="1791" t="s">
        <v>958</v>
      </c>
      <c r="L233" s="2047" t="s">
        <v>59</v>
      </c>
      <c r="M233" s="247" t="s">
        <v>93</v>
      </c>
      <c r="N233" s="247" t="s">
        <v>93</v>
      </c>
      <c r="O233" s="247" t="s">
        <v>93</v>
      </c>
      <c r="P233" s="247" t="s">
        <v>93</v>
      </c>
      <c r="Q233" s="247" t="s">
        <v>93</v>
      </c>
    </row>
    <row r="234" spans="1:17" s="110" customFormat="1" x14ac:dyDescent="0.25">
      <c r="A234" s="1910"/>
      <c r="B234" s="1638"/>
      <c r="C234" s="1753"/>
      <c r="D234" s="2263"/>
      <c r="E234" s="1791"/>
      <c r="F234" s="1640"/>
      <c r="G234" s="1640"/>
      <c r="H234" s="1756"/>
      <c r="I234" s="1660"/>
      <c r="J234" s="1660"/>
      <c r="K234" s="1791"/>
      <c r="L234" s="2047"/>
      <c r="M234" s="247"/>
      <c r="N234" s="247"/>
      <c r="O234" s="247"/>
      <c r="P234" s="247"/>
      <c r="Q234" s="247"/>
    </row>
    <row r="235" spans="1:17" s="110" customFormat="1" ht="15" customHeight="1" x14ac:dyDescent="0.25">
      <c r="A235" s="2256"/>
      <c r="B235" s="365"/>
      <c r="C235" s="2259" t="s">
        <v>5</v>
      </c>
      <c r="D235" s="2261"/>
      <c r="E235" s="1791" t="s">
        <v>864</v>
      </c>
      <c r="F235" s="2249">
        <v>3264</v>
      </c>
      <c r="G235" s="2249">
        <v>2067</v>
      </c>
      <c r="H235" s="1756">
        <v>2506</v>
      </c>
      <c r="I235" s="1660">
        <v>2067</v>
      </c>
      <c r="J235" s="1660">
        <v>2072</v>
      </c>
      <c r="K235" s="1791" t="s">
        <v>959</v>
      </c>
      <c r="L235" s="2262" t="s">
        <v>60</v>
      </c>
      <c r="M235" s="247" t="s">
        <v>93</v>
      </c>
      <c r="N235" s="247" t="s">
        <v>93</v>
      </c>
      <c r="O235" s="247" t="s">
        <v>93</v>
      </c>
      <c r="P235" s="247" t="s">
        <v>93</v>
      </c>
      <c r="Q235" s="247" t="s">
        <v>93</v>
      </c>
    </row>
    <row r="236" spans="1:17" s="110" customFormat="1" x14ac:dyDescent="0.25">
      <c r="A236" s="1644"/>
      <c r="B236" s="367"/>
      <c r="C236" s="1670"/>
      <c r="D236" s="1814"/>
      <c r="E236" s="1791"/>
      <c r="F236" s="1640"/>
      <c r="G236" s="1640"/>
      <c r="H236" s="1756"/>
      <c r="I236" s="1660"/>
      <c r="J236" s="1660"/>
      <c r="K236" s="1791"/>
      <c r="L236" s="1773"/>
      <c r="M236" s="247"/>
      <c r="N236" s="247"/>
      <c r="O236" s="247"/>
      <c r="P236" s="247"/>
      <c r="Q236" s="247"/>
    </row>
    <row r="237" spans="1:17" s="110" customFormat="1" ht="15" customHeight="1" x14ac:dyDescent="0.25">
      <c r="A237" s="2256"/>
      <c r="B237" s="365"/>
      <c r="C237" s="2259" t="s">
        <v>7</v>
      </c>
      <c r="D237" s="2261"/>
      <c r="E237" s="1791" t="s">
        <v>865</v>
      </c>
      <c r="F237" s="2249">
        <v>2472.1999999999998</v>
      </c>
      <c r="G237" s="2249">
        <v>1431.2</v>
      </c>
      <c r="H237" s="1756">
        <v>2505</v>
      </c>
      <c r="I237" s="1660">
        <v>1528.1</v>
      </c>
      <c r="J237" s="1660">
        <v>1572</v>
      </c>
      <c r="K237" s="1791" t="s">
        <v>960</v>
      </c>
      <c r="L237" s="2262" t="s">
        <v>58</v>
      </c>
      <c r="M237" s="247" t="s">
        <v>93</v>
      </c>
      <c r="N237" s="247" t="s">
        <v>93</v>
      </c>
      <c r="O237" s="247" t="s">
        <v>93</v>
      </c>
      <c r="P237" s="247" t="s">
        <v>93</v>
      </c>
      <c r="Q237" s="247" t="s">
        <v>93</v>
      </c>
    </row>
    <row r="238" spans="1:17" s="110" customFormat="1" x14ac:dyDescent="0.25">
      <c r="A238" s="1644"/>
      <c r="B238" s="367"/>
      <c r="C238" s="1670"/>
      <c r="D238" s="1814"/>
      <c r="E238" s="1791"/>
      <c r="F238" s="1640"/>
      <c r="G238" s="1640"/>
      <c r="H238" s="1756"/>
      <c r="I238" s="1660"/>
      <c r="J238" s="1660"/>
      <c r="K238" s="1791"/>
      <c r="L238" s="1773"/>
      <c r="M238" s="247"/>
      <c r="N238" s="247"/>
      <c r="O238" s="247"/>
      <c r="P238" s="247"/>
      <c r="Q238" s="247"/>
    </row>
    <row r="239" spans="1:17" s="110" customFormat="1" ht="15" customHeight="1" x14ac:dyDescent="0.25">
      <c r="A239" s="2264">
        <v>20</v>
      </c>
      <c r="B239" s="2258">
        <v>3</v>
      </c>
      <c r="C239" s="2259"/>
      <c r="D239" s="2261"/>
      <c r="E239" s="1630" t="s">
        <v>866</v>
      </c>
      <c r="F239" s="2260">
        <v>7193</v>
      </c>
      <c r="G239" s="2260">
        <v>5226.6000000000004</v>
      </c>
      <c r="H239" s="2268">
        <f>H241+H243</f>
        <v>7328</v>
      </c>
      <c r="I239" s="2260">
        <v>5327.9</v>
      </c>
      <c r="J239" s="2260">
        <v>5430.8</v>
      </c>
      <c r="K239" s="1630" t="s">
        <v>961</v>
      </c>
      <c r="L239" s="2262"/>
      <c r="M239" s="2262"/>
      <c r="N239" s="249"/>
      <c r="O239" s="249"/>
      <c r="P239" s="249"/>
      <c r="Q239" s="249"/>
    </row>
    <row r="240" spans="1:17" s="110" customFormat="1" x14ac:dyDescent="0.25">
      <c r="A240" s="1679"/>
      <c r="B240" s="1752"/>
      <c r="C240" s="1670"/>
      <c r="D240" s="1814"/>
      <c r="E240" s="1630"/>
      <c r="F240" s="2235"/>
      <c r="G240" s="2235"/>
      <c r="H240" s="2021"/>
      <c r="I240" s="2235"/>
      <c r="J240" s="2235"/>
      <c r="K240" s="1630"/>
      <c r="L240" s="1773"/>
      <c r="M240" s="1773"/>
      <c r="N240" s="203"/>
      <c r="O240" s="203"/>
      <c r="P240" s="203"/>
      <c r="Q240" s="203"/>
    </row>
    <row r="241" spans="1:17" s="110" customFormat="1" ht="15" customHeight="1" x14ac:dyDescent="0.25">
      <c r="A241" s="2256"/>
      <c r="B241" s="365"/>
      <c r="C241" s="2259" t="s">
        <v>4</v>
      </c>
      <c r="D241" s="2261"/>
      <c r="E241" s="2265" t="s">
        <v>867</v>
      </c>
      <c r="F241" s="2249">
        <v>4891</v>
      </c>
      <c r="G241" s="2249">
        <v>3522.6</v>
      </c>
      <c r="H241" s="1756">
        <v>3946</v>
      </c>
      <c r="I241" s="1660">
        <v>3536</v>
      </c>
      <c r="J241" s="1660">
        <v>3619.9</v>
      </c>
      <c r="K241" s="1791" t="s">
        <v>962</v>
      </c>
      <c r="L241" s="2262" t="s">
        <v>61</v>
      </c>
      <c r="M241" s="2262" t="s">
        <v>93</v>
      </c>
      <c r="N241" s="2262" t="s">
        <v>93</v>
      </c>
      <c r="O241" s="2262" t="s">
        <v>93</v>
      </c>
      <c r="P241" s="2262" t="s">
        <v>93</v>
      </c>
      <c r="Q241" s="2262" t="s">
        <v>93</v>
      </c>
    </row>
    <row r="242" spans="1:17" s="110" customFormat="1" x14ac:dyDescent="0.25">
      <c r="A242" s="1644"/>
      <c r="B242" s="367"/>
      <c r="C242" s="1670"/>
      <c r="D242" s="1814"/>
      <c r="E242" s="1747"/>
      <c r="F242" s="1640"/>
      <c r="G242" s="1640"/>
      <c r="H242" s="1756"/>
      <c r="I242" s="1660"/>
      <c r="J242" s="1660"/>
      <c r="K242" s="1791"/>
      <c r="L242" s="1773"/>
      <c r="M242" s="1773"/>
      <c r="N242" s="1773"/>
      <c r="O242" s="1773"/>
      <c r="P242" s="1773"/>
      <c r="Q242" s="1773"/>
    </row>
    <row r="243" spans="1:17" s="110" customFormat="1" ht="15" customHeight="1" x14ac:dyDescent="0.25">
      <c r="A243" s="2256"/>
      <c r="B243" s="365"/>
      <c r="C243" s="2259" t="s">
        <v>5</v>
      </c>
      <c r="D243" s="2261"/>
      <c r="E243" s="1791" t="s">
        <v>868</v>
      </c>
      <c r="F243" s="2249">
        <v>2302</v>
      </c>
      <c r="G243" s="2249">
        <v>1704</v>
      </c>
      <c r="H243" s="1756">
        <v>3382</v>
      </c>
      <c r="I243" s="1660">
        <v>1791.9</v>
      </c>
      <c r="J243" s="1660">
        <v>1810.9</v>
      </c>
      <c r="K243" s="1791" t="s">
        <v>963</v>
      </c>
      <c r="L243" s="2262" t="s">
        <v>34</v>
      </c>
      <c r="M243" s="2262">
        <v>100</v>
      </c>
      <c r="N243" s="2291">
        <v>100</v>
      </c>
      <c r="O243" s="2291">
        <v>100</v>
      </c>
      <c r="P243" s="2291">
        <v>100</v>
      </c>
      <c r="Q243" s="2291">
        <v>100</v>
      </c>
    </row>
    <row r="244" spans="1:17" s="110" customFormat="1" x14ac:dyDescent="0.25">
      <c r="A244" s="1644"/>
      <c r="B244" s="367"/>
      <c r="C244" s="1670"/>
      <c r="D244" s="1814"/>
      <c r="E244" s="1791"/>
      <c r="F244" s="1640"/>
      <c r="G244" s="1640"/>
      <c r="H244" s="1756"/>
      <c r="I244" s="1660"/>
      <c r="J244" s="1660"/>
      <c r="K244" s="1791"/>
      <c r="L244" s="1773"/>
      <c r="M244" s="1773"/>
      <c r="N244" s="1775"/>
      <c r="O244" s="1775"/>
      <c r="P244" s="1775"/>
      <c r="Q244" s="1775"/>
    </row>
    <row r="245" spans="1:17" s="110" customFormat="1" ht="15" customHeight="1" x14ac:dyDescent="0.25">
      <c r="A245" s="2190">
        <v>20</v>
      </c>
      <c r="B245" s="2258">
        <v>4</v>
      </c>
      <c r="C245" s="313"/>
      <c r="D245" s="80"/>
      <c r="E245" s="2335" t="s">
        <v>869</v>
      </c>
      <c r="F245" s="2260">
        <v>4945.1000000000004</v>
      </c>
      <c r="G245" s="2260">
        <v>3808.4</v>
      </c>
      <c r="H245" s="2268">
        <f>H247+H249</f>
        <v>4887.5</v>
      </c>
      <c r="I245" s="2260">
        <v>3909.7</v>
      </c>
      <c r="J245" s="2260">
        <v>4012.8</v>
      </c>
      <c r="K245" s="1195" t="s">
        <v>964</v>
      </c>
      <c r="L245" s="2262"/>
      <c r="M245" s="2262"/>
      <c r="N245" s="2291"/>
      <c r="O245" s="2291"/>
      <c r="P245" s="2291"/>
      <c r="Q245" s="2291"/>
    </row>
    <row r="246" spans="1:17" s="110" customFormat="1" x14ac:dyDescent="0.25">
      <c r="A246" s="1679"/>
      <c r="B246" s="1752"/>
      <c r="C246" s="313"/>
      <c r="D246" s="80"/>
      <c r="E246" s="1755"/>
      <c r="F246" s="2235"/>
      <c r="G246" s="2235"/>
      <c r="H246" s="2021"/>
      <c r="I246" s="2235"/>
      <c r="J246" s="2235"/>
      <c r="K246" s="1791" t="s">
        <v>965</v>
      </c>
      <c r="L246" s="1773"/>
      <c r="M246" s="1773"/>
      <c r="N246" s="1775"/>
      <c r="O246" s="1775"/>
      <c r="P246" s="1775"/>
      <c r="Q246" s="1775"/>
    </row>
    <row r="247" spans="1:17" s="110" customFormat="1" ht="30" x14ac:dyDescent="0.25">
      <c r="A247" s="1910"/>
      <c r="B247" s="2257"/>
      <c r="C247" s="1753" t="s">
        <v>4</v>
      </c>
      <c r="D247" s="2263"/>
      <c r="E247" s="1791" t="s">
        <v>870</v>
      </c>
      <c r="F247" s="2249">
        <v>2473</v>
      </c>
      <c r="G247" s="2249">
        <v>1904.7</v>
      </c>
      <c r="H247" s="1756">
        <v>2444</v>
      </c>
      <c r="I247" s="1660">
        <v>1976</v>
      </c>
      <c r="J247" s="1660">
        <v>2005</v>
      </c>
      <c r="K247" s="1791"/>
      <c r="L247" s="247" t="s">
        <v>62</v>
      </c>
      <c r="M247" s="247">
        <v>308</v>
      </c>
      <c r="N247" s="273">
        <v>308</v>
      </c>
      <c r="O247" s="273">
        <v>308</v>
      </c>
      <c r="P247" s="273">
        <v>308</v>
      </c>
      <c r="Q247" s="273">
        <v>308</v>
      </c>
    </row>
    <row r="248" spans="1:17" s="110" customFormat="1" x14ac:dyDescent="0.25">
      <c r="A248" s="1910"/>
      <c r="B248" s="1638"/>
      <c r="C248" s="1753"/>
      <c r="D248" s="2263"/>
      <c r="E248" s="1791"/>
      <c r="F248" s="1640"/>
      <c r="G248" s="1640"/>
      <c r="H248" s="1756"/>
      <c r="I248" s="1660"/>
      <c r="J248" s="1660"/>
      <c r="K248" s="1939" t="s">
        <v>964</v>
      </c>
      <c r="L248" s="247"/>
      <c r="M248" s="247"/>
      <c r="N248" s="273"/>
      <c r="O248" s="273"/>
      <c r="P248" s="273"/>
      <c r="Q248" s="273"/>
    </row>
    <row r="249" spans="1:17" s="110" customFormat="1" ht="60" x14ac:dyDescent="0.25">
      <c r="A249" s="426"/>
      <c r="B249" s="448"/>
      <c r="C249" s="390" t="s">
        <v>5</v>
      </c>
      <c r="D249" s="390"/>
      <c r="E249" s="1099" t="s">
        <v>871</v>
      </c>
      <c r="F249" s="389">
        <v>2472.1</v>
      </c>
      <c r="G249" s="389">
        <v>1903.7</v>
      </c>
      <c r="H249" s="392">
        <v>2443.5</v>
      </c>
      <c r="I249" s="391">
        <v>1933.7</v>
      </c>
      <c r="J249" s="391">
        <v>2007.8</v>
      </c>
      <c r="K249" s="1939"/>
      <c r="L249" s="247" t="s">
        <v>61</v>
      </c>
      <c r="M249" s="247" t="s">
        <v>93</v>
      </c>
      <c r="N249" s="247" t="s">
        <v>93</v>
      </c>
      <c r="O249" s="247" t="s">
        <v>93</v>
      </c>
      <c r="P249" s="247" t="s">
        <v>93</v>
      </c>
      <c r="Q249" s="247" t="s">
        <v>93</v>
      </c>
    </row>
    <row r="250" spans="1:17" s="120" customFormat="1" x14ac:dyDescent="0.25">
      <c r="A250" s="1932" t="s">
        <v>872</v>
      </c>
      <c r="B250" s="1932"/>
      <c r="C250" s="1932"/>
      <c r="D250" s="1932"/>
      <c r="E250" s="1708"/>
      <c r="F250" s="616">
        <v>44955.6</v>
      </c>
      <c r="G250" s="616">
        <v>30716.5</v>
      </c>
      <c r="H250" s="16">
        <f>H226+H231+H239+H245</f>
        <v>40716.5</v>
      </c>
      <c r="I250" s="616">
        <v>31121.7</v>
      </c>
      <c r="J250" s="616">
        <v>31533.5</v>
      </c>
      <c r="K250" s="15"/>
      <c r="L250" s="17"/>
      <c r="M250" s="17"/>
      <c r="N250" s="17"/>
      <c r="O250" s="17"/>
      <c r="P250" s="17"/>
      <c r="Q250" s="17"/>
    </row>
    <row r="251" spans="1:17" ht="15.75" thickBot="1" x14ac:dyDescent="0.3">
      <c r="A251" s="1648" t="s">
        <v>873</v>
      </c>
      <c r="B251" s="1649"/>
      <c r="C251" s="1649"/>
      <c r="D251" s="1649"/>
      <c r="E251" s="1649"/>
      <c r="F251" s="1649"/>
      <c r="G251" s="1649"/>
      <c r="H251" s="1649"/>
      <c r="I251" s="1649"/>
      <c r="J251" s="1649"/>
      <c r="K251" s="1649"/>
      <c r="L251" s="1649"/>
      <c r="M251" s="1649"/>
      <c r="N251" s="1649"/>
      <c r="O251" s="1649"/>
      <c r="P251" s="1649"/>
      <c r="Q251" s="1650"/>
    </row>
    <row r="252" spans="1:17" s="110" customFormat="1" ht="89.25" x14ac:dyDescent="0.25">
      <c r="A252" s="402">
        <v>21</v>
      </c>
      <c r="B252" s="371">
        <v>1</v>
      </c>
      <c r="C252" s="309"/>
      <c r="D252" s="48"/>
      <c r="E252" s="1217" t="s">
        <v>1107</v>
      </c>
      <c r="F252" s="158">
        <v>24733.439999999999</v>
      </c>
      <c r="G252" s="158">
        <v>24342.1</v>
      </c>
      <c r="H252" s="497">
        <f>H253+H254+H255+H256+H257+H258+H259+H260</f>
        <v>38915.5</v>
      </c>
      <c r="I252" s="158">
        <v>24341.8</v>
      </c>
      <c r="J252" s="158">
        <v>24341.8</v>
      </c>
      <c r="K252" s="1195" t="s">
        <v>437</v>
      </c>
      <c r="L252" s="219" t="s">
        <v>34</v>
      </c>
      <c r="M252" s="219"/>
      <c r="N252" s="219"/>
      <c r="O252" s="219"/>
      <c r="P252" s="219"/>
      <c r="Q252" s="219"/>
    </row>
    <row r="253" spans="1:17" s="110" customFormat="1" x14ac:dyDescent="0.25">
      <c r="A253" s="414"/>
      <c r="B253" s="360"/>
      <c r="C253" s="310">
        <v>1</v>
      </c>
      <c r="D253" s="204"/>
      <c r="E253" s="1100" t="s">
        <v>393</v>
      </c>
      <c r="F253" s="247">
        <v>4896.2</v>
      </c>
      <c r="G253" s="247">
        <v>4656.2</v>
      </c>
      <c r="H253" s="493">
        <v>6335</v>
      </c>
      <c r="I253" s="247">
        <v>4656.2</v>
      </c>
      <c r="J253" s="247">
        <v>4656.2</v>
      </c>
      <c r="K253" s="1212" t="s">
        <v>438</v>
      </c>
      <c r="L253" s="247" t="s">
        <v>35</v>
      </c>
      <c r="M253" s="286"/>
      <c r="N253" s="286"/>
      <c r="O253" s="286"/>
      <c r="P253" s="286"/>
      <c r="Q253" s="286"/>
    </row>
    <row r="254" spans="1:17" s="110" customFormat="1" ht="30" x14ac:dyDescent="0.25">
      <c r="A254" s="414"/>
      <c r="B254" s="393"/>
      <c r="C254" s="326">
        <v>2</v>
      </c>
      <c r="D254" s="204"/>
      <c r="E254" s="1302" t="s">
        <v>394</v>
      </c>
      <c r="F254" s="247">
        <v>1410.27</v>
      </c>
      <c r="G254" s="247">
        <v>1510.3</v>
      </c>
      <c r="H254" s="493">
        <v>2629.9</v>
      </c>
      <c r="I254" s="247">
        <v>1510.3</v>
      </c>
      <c r="J254" s="247">
        <v>1510.3</v>
      </c>
      <c r="K254" s="1212" t="s">
        <v>515</v>
      </c>
      <c r="L254" s="247" t="s">
        <v>34</v>
      </c>
      <c r="M254" s="286">
        <v>100</v>
      </c>
      <c r="N254" s="286">
        <v>100</v>
      </c>
      <c r="O254" s="286">
        <v>100</v>
      </c>
      <c r="P254" s="286">
        <v>100</v>
      </c>
      <c r="Q254" s="286">
        <v>100</v>
      </c>
    </row>
    <row r="255" spans="1:17" s="110" customFormat="1" ht="30" x14ac:dyDescent="0.25">
      <c r="A255" s="414"/>
      <c r="B255" s="393"/>
      <c r="C255" s="326">
        <v>3</v>
      </c>
      <c r="D255" s="204"/>
      <c r="E255" s="1302" t="s">
        <v>395</v>
      </c>
      <c r="F255" s="247">
        <v>815.7</v>
      </c>
      <c r="G255" s="247">
        <v>815.7</v>
      </c>
      <c r="H255" s="801">
        <f>3334+23.6</f>
        <v>3357.6</v>
      </c>
      <c r="I255" s="247">
        <v>815.7</v>
      </c>
      <c r="J255" s="247">
        <v>815.7</v>
      </c>
      <c r="K255" s="1212" t="s">
        <v>602</v>
      </c>
      <c r="L255" s="247" t="s">
        <v>34</v>
      </c>
      <c r="M255" s="286">
        <v>91.2</v>
      </c>
      <c r="N255" s="286">
        <v>92.2</v>
      </c>
      <c r="O255" s="286">
        <v>92.3</v>
      </c>
      <c r="P255" s="286">
        <v>93.1</v>
      </c>
      <c r="Q255" s="286">
        <v>93.2</v>
      </c>
    </row>
    <row r="256" spans="1:17" s="110" customFormat="1" ht="30" x14ac:dyDescent="0.25">
      <c r="A256" s="414"/>
      <c r="B256" s="393"/>
      <c r="C256" s="326">
        <v>4</v>
      </c>
      <c r="D256" s="204"/>
      <c r="E256" s="1302" t="s">
        <v>396</v>
      </c>
      <c r="F256" s="247">
        <v>1348.97</v>
      </c>
      <c r="G256" s="77">
        <v>1349</v>
      </c>
      <c r="H256" s="493">
        <v>2468.1999999999998</v>
      </c>
      <c r="I256" s="77">
        <v>1349</v>
      </c>
      <c r="J256" s="77">
        <v>1349</v>
      </c>
      <c r="K256" s="1212" t="s">
        <v>670</v>
      </c>
      <c r="L256" s="247" t="s">
        <v>78</v>
      </c>
      <c r="M256" s="286">
        <v>78.3</v>
      </c>
      <c r="N256" s="286">
        <v>78.400000000000006</v>
      </c>
      <c r="O256" s="286">
        <v>78.5</v>
      </c>
      <c r="P256" s="286">
        <v>78.599999999999994</v>
      </c>
      <c r="Q256" s="286">
        <v>79.099999999999994</v>
      </c>
    </row>
    <row r="257" spans="1:17" s="110" customFormat="1" ht="30" x14ac:dyDescent="0.25">
      <c r="A257" s="414"/>
      <c r="B257" s="393"/>
      <c r="C257" s="326">
        <v>5</v>
      </c>
      <c r="D257" s="204"/>
      <c r="E257" s="1302" t="s">
        <v>533</v>
      </c>
      <c r="F257" s="247">
        <v>1337.2</v>
      </c>
      <c r="G257" s="247">
        <v>1337.3</v>
      </c>
      <c r="H257" s="493">
        <v>2176.6999999999998</v>
      </c>
      <c r="I257" s="247">
        <v>1337.3</v>
      </c>
      <c r="J257" s="247">
        <v>1337.3</v>
      </c>
      <c r="K257" s="1212" t="s">
        <v>637</v>
      </c>
      <c r="L257" s="247" t="s">
        <v>36</v>
      </c>
      <c r="M257" s="286">
        <v>100</v>
      </c>
      <c r="N257" s="286">
        <v>100</v>
      </c>
      <c r="O257" s="286">
        <v>100</v>
      </c>
      <c r="P257" s="286">
        <v>100</v>
      </c>
      <c r="Q257" s="286">
        <v>100</v>
      </c>
    </row>
    <row r="258" spans="1:17" s="110" customFormat="1" ht="45" x14ac:dyDescent="0.25">
      <c r="A258" s="414"/>
      <c r="B258" s="360"/>
      <c r="C258" s="317">
        <v>6</v>
      </c>
      <c r="D258" s="204"/>
      <c r="E258" s="1217" t="s">
        <v>534</v>
      </c>
      <c r="F258" s="272">
        <v>3720</v>
      </c>
      <c r="G258" s="272">
        <v>3720</v>
      </c>
      <c r="H258" s="493">
        <v>3719.7</v>
      </c>
      <c r="I258" s="247">
        <v>3719.7</v>
      </c>
      <c r="J258" s="247">
        <v>3719.7</v>
      </c>
      <c r="K258" s="1212" t="s">
        <v>481</v>
      </c>
      <c r="L258" s="247" t="s">
        <v>34</v>
      </c>
      <c r="M258" s="286">
        <v>7.5</v>
      </c>
      <c r="N258" s="286">
        <v>8.5</v>
      </c>
      <c r="O258" s="286">
        <v>8.9</v>
      </c>
      <c r="P258" s="286">
        <v>9.5</v>
      </c>
      <c r="Q258" s="286">
        <v>9.9</v>
      </c>
    </row>
    <row r="259" spans="1:17" s="110" customFormat="1" ht="45" x14ac:dyDescent="0.25">
      <c r="A259" s="414"/>
      <c r="B259" s="360"/>
      <c r="C259" s="317">
        <v>7</v>
      </c>
      <c r="D259" s="204"/>
      <c r="E259" s="1217" t="s">
        <v>874</v>
      </c>
      <c r="F259" s="247">
        <v>3731.8</v>
      </c>
      <c r="G259" s="247">
        <v>3731.8</v>
      </c>
      <c r="H259" s="493">
        <v>5130</v>
      </c>
      <c r="I259" s="247">
        <v>3731.8</v>
      </c>
      <c r="J259" s="247">
        <v>3731.8</v>
      </c>
      <c r="K259" s="1302" t="s">
        <v>966</v>
      </c>
      <c r="L259" s="247">
        <v>98.9</v>
      </c>
      <c r="M259" s="286">
        <v>99.9</v>
      </c>
      <c r="N259" s="286">
        <v>100</v>
      </c>
      <c r="O259" s="286">
        <v>100</v>
      </c>
      <c r="P259" s="286">
        <v>100</v>
      </c>
      <c r="Q259" s="286">
        <v>100</v>
      </c>
    </row>
    <row r="260" spans="1:17" s="110" customFormat="1" ht="30" x14ac:dyDescent="0.25">
      <c r="A260" s="414"/>
      <c r="B260" s="360"/>
      <c r="C260" s="317">
        <v>8</v>
      </c>
      <c r="D260" s="204"/>
      <c r="E260" s="1217" t="s">
        <v>554</v>
      </c>
      <c r="F260" s="247">
        <v>7473.3</v>
      </c>
      <c r="G260" s="247">
        <v>7221.8</v>
      </c>
      <c r="H260" s="493">
        <v>13098.4</v>
      </c>
      <c r="I260" s="247">
        <v>7221.8</v>
      </c>
      <c r="J260" s="247">
        <v>7221.8</v>
      </c>
      <c r="K260" s="1212" t="s">
        <v>967</v>
      </c>
      <c r="L260" s="247">
        <v>89.2</v>
      </c>
      <c r="M260" s="286">
        <v>89.9</v>
      </c>
      <c r="N260" s="286">
        <v>90</v>
      </c>
      <c r="O260" s="286">
        <v>90.1</v>
      </c>
      <c r="P260" s="286">
        <v>90.6</v>
      </c>
      <c r="Q260" s="286">
        <v>90.7</v>
      </c>
    </row>
    <row r="261" spans="1:17" s="110" customFormat="1" ht="71.25" x14ac:dyDescent="0.25">
      <c r="A261" s="414">
        <v>21</v>
      </c>
      <c r="B261" s="360">
        <v>2</v>
      </c>
      <c r="C261" s="312"/>
      <c r="D261" s="215"/>
      <c r="E261" s="1302" t="s">
        <v>1108</v>
      </c>
      <c r="F261" s="227">
        <v>6813.2999999999993</v>
      </c>
      <c r="G261" s="227">
        <v>7262.3</v>
      </c>
      <c r="H261" s="490">
        <f>H262+H263+H264+H265+H266+H267</f>
        <v>17129.2</v>
      </c>
      <c r="I261" s="227">
        <v>7678.9</v>
      </c>
      <c r="J261" s="227">
        <v>8102.5999999999995</v>
      </c>
      <c r="K261" s="20" t="s">
        <v>968</v>
      </c>
      <c r="L261" s="221">
        <v>88.5</v>
      </c>
      <c r="M261" s="221">
        <v>88.6</v>
      </c>
      <c r="N261" s="263">
        <v>90.1</v>
      </c>
      <c r="O261" s="263">
        <v>90.5</v>
      </c>
      <c r="P261" s="263">
        <v>90.9</v>
      </c>
      <c r="Q261" s="263">
        <v>100</v>
      </c>
    </row>
    <row r="262" spans="1:17" s="110" customFormat="1" ht="30" x14ac:dyDescent="0.25">
      <c r="A262" s="414"/>
      <c r="B262" s="360"/>
      <c r="C262" s="310">
        <v>1</v>
      </c>
      <c r="D262" s="215"/>
      <c r="E262" s="1302" t="s">
        <v>875</v>
      </c>
      <c r="F262" s="274">
        <v>1265</v>
      </c>
      <c r="G262" s="274">
        <v>1247</v>
      </c>
      <c r="H262" s="486">
        <v>2388.6</v>
      </c>
      <c r="I262" s="274">
        <v>1269</v>
      </c>
      <c r="J262" s="274">
        <v>1269</v>
      </c>
      <c r="K262" s="1302" t="s">
        <v>969</v>
      </c>
      <c r="L262" s="221">
        <v>90</v>
      </c>
      <c r="M262" s="221">
        <v>91.2</v>
      </c>
      <c r="N262" s="39">
        <v>92</v>
      </c>
      <c r="O262" s="39">
        <v>93</v>
      </c>
      <c r="P262" s="39">
        <v>95</v>
      </c>
      <c r="Q262" s="39">
        <v>96</v>
      </c>
    </row>
    <row r="263" spans="1:17" s="110" customFormat="1" ht="60" x14ac:dyDescent="0.25">
      <c r="A263" s="414"/>
      <c r="B263" s="393"/>
      <c r="C263" s="326">
        <v>2</v>
      </c>
      <c r="D263" s="215"/>
      <c r="E263" s="1302" t="s">
        <v>876</v>
      </c>
      <c r="F263" s="206">
        <v>1089.3</v>
      </c>
      <c r="G263" s="206">
        <v>1560.2</v>
      </c>
      <c r="H263" s="486">
        <v>2896.7</v>
      </c>
      <c r="I263" s="206">
        <v>1498.4</v>
      </c>
      <c r="J263" s="206">
        <v>1498.4</v>
      </c>
      <c r="K263" s="1302" t="s">
        <v>970</v>
      </c>
      <c r="L263" s="221">
        <v>50.6</v>
      </c>
      <c r="M263" s="221">
        <v>50.7</v>
      </c>
      <c r="N263" s="39">
        <v>50.8</v>
      </c>
      <c r="O263" s="39">
        <v>50.9</v>
      </c>
      <c r="P263" s="39">
        <v>61.2</v>
      </c>
      <c r="Q263" s="39">
        <v>61.3</v>
      </c>
    </row>
    <row r="264" spans="1:17" s="110" customFormat="1" ht="45" x14ac:dyDescent="0.25">
      <c r="A264" s="414"/>
      <c r="B264" s="393"/>
      <c r="C264" s="326">
        <v>3</v>
      </c>
      <c r="D264" s="215"/>
      <c r="E264" s="1302" t="s">
        <v>877</v>
      </c>
      <c r="F264" s="206">
        <v>1156.7</v>
      </c>
      <c r="G264" s="206">
        <v>1508.8</v>
      </c>
      <c r="H264" s="651">
        <f>3174.2+2312</f>
        <v>5486.2</v>
      </c>
      <c r="I264" s="206">
        <v>1495.3</v>
      </c>
      <c r="J264" s="206">
        <v>1919</v>
      </c>
      <c r="K264" s="1036" t="s">
        <v>971</v>
      </c>
      <c r="L264" s="221">
        <v>62.3</v>
      </c>
      <c r="M264" s="221">
        <v>64.7</v>
      </c>
      <c r="N264" s="39">
        <v>64.900000000000006</v>
      </c>
      <c r="O264" s="39">
        <v>65</v>
      </c>
      <c r="P264" s="39">
        <v>65.599999999999994</v>
      </c>
      <c r="Q264" s="39">
        <v>65.900000000000006</v>
      </c>
    </row>
    <row r="265" spans="1:17" s="110" customFormat="1" ht="45" x14ac:dyDescent="0.25">
      <c r="A265" s="414"/>
      <c r="B265" s="393"/>
      <c r="C265" s="326">
        <v>4</v>
      </c>
      <c r="D265" s="215"/>
      <c r="E265" s="1302" t="s">
        <v>878</v>
      </c>
      <c r="F265" s="273">
        <v>1316.4</v>
      </c>
      <c r="G265" s="273">
        <v>1123.4000000000001</v>
      </c>
      <c r="H265" s="493">
        <v>2182.5</v>
      </c>
      <c r="I265" s="273">
        <v>1278.8</v>
      </c>
      <c r="J265" s="273">
        <v>1278.8</v>
      </c>
      <c r="K265" s="1036" t="s">
        <v>972</v>
      </c>
      <c r="L265" s="221">
        <v>48.6</v>
      </c>
      <c r="M265" s="221">
        <v>50.8</v>
      </c>
      <c r="N265" s="10">
        <v>52</v>
      </c>
      <c r="O265" s="10">
        <v>54.8</v>
      </c>
      <c r="P265" s="10">
        <v>55.2</v>
      </c>
      <c r="Q265" s="10">
        <v>59.5</v>
      </c>
    </row>
    <row r="266" spans="1:17" ht="45" x14ac:dyDescent="0.25">
      <c r="A266" s="352"/>
      <c r="B266" s="401"/>
      <c r="C266" s="331">
        <v>5</v>
      </c>
      <c r="D266" s="76"/>
      <c r="E266" s="1302" t="s">
        <v>879</v>
      </c>
      <c r="F266" s="208">
        <v>993.2</v>
      </c>
      <c r="G266" s="208">
        <v>1064.3</v>
      </c>
      <c r="H266" s="491">
        <v>2537.4</v>
      </c>
      <c r="I266" s="208">
        <v>1139.2</v>
      </c>
      <c r="J266" s="208">
        <v>1139.2</v>
      </c>
      <c r="K266" s="1036" t="s">
        <v>973</v>
      </c>
      <c r="L266" s="276">
        <v>50.8</v>
      </c>
      <c r="M266" s="276">
        <v>51.2</v>
      </c>
      <c r="N266" s="34">
        <v>52.4</v>
      </c>
      <c r="O266" s="34">
        <v>53.7</v>
      </c>
      <c r="P266" s="34">
        <v>54.8</v>
      </c>
      <c r="Q266" s="34">
        <v>54.9</v>
      </c>
    </row>
    <row r="267" spans="1:17" x14ac:dyDescent="0.25">
      <c r="A267" s="352"/>
      <c r="B267" s="362"/>
      <c r="C267" s="332">
        <v>6</v>
      </c>
      <c r="D267" s="76"/>
      <c r="E267" s="1302" t="s">
        <v>880</v>
      </c>
      <c r="F267" s="208">
        <v>992.7</v>
      </c>
      <c r="G267" s="306">
        <v>758.6</v>
      </c>
      <c r="H267" s="491">
        <v>1637.8</v>
      </c>
      <c r="I267" s="306">
        <v>998.2</v>
      </c>
      <c r="J267" s="306">
        <v>998.2</v>
      </c>
      <c r="K267" s="1302" t="s">
        <v>974</v>
      </c>
      <c r="L267" s="276">
        <v>100</v>
      </c>
      <c r="M267" s="276">
        <v>100</v>
      </c>
      <c r="N267" s="33">
        <v>100</v>
      </c>
      <c r="O267" s="33">
        <v>100</v>
      </c>
      <c r="P267" s="33">
        <v>100</v>
      </c>
      <c r="Q267" s="33">
        <v>100</v>
      </c>
    </row>
    <row r="268" spans="1:17" s="120" customFormat="1" x14ac:dyDescent="0.25">
      <c r="A268" s="1708" t="s">
        <v>881</v>
      </c>
      <c r="B268" s="1709"/>
      <c r="C268" s="1709"/>
      <c r="D268" s="1709"/>
      <c r="E268" s="1709"/>
      <c r="F268" s="619">
        <v>31546.739999999998</v>
      </c>
      <c r="G268" s="619">
        <v>31604.399999999998</v>
      </c>
      <c r="H268" s="552">
        <f>H252+H261</f>
        <v>56044.7</v>
      </c>
      <c r="I268" s="619">
        <v>32020.699999999997</v>
      </c>
      <c r="J268" s="619">
        <v>32444.399999999998</v>
      </c>
      <c r="K268" s="548"/>
      <c r="L268" s="2121"/>
      <c r="M268" s="2122"/>
      <c r="N268" s="2122"/>
      <c r="O268" s="2122"/>
      <c r="P268" s="2122"/>
      <c r="Q268" s="2123"/>
    </row>
    <row r="269" spans="1:17" x14ac:dyDescent="0.25">
      <c r="A269" s="1648" t="s">
        <v>882</v>
      </c>
      <c r="B269" s="1649"/>
      <c r="C269" s="1649"/>
      <c r="D269" s="1649"/>
      <c r="E269" s="1649"/>
      <c r="F269" s="1649"/>
      <c r="G269" s="1649"/>
      <c r="H269" s="1649"/>
      <c r="I269" s="1649"/>
      <c r="J269" s="1649"/>
      <c r="K269" s="1649"/>
      <c r="L269" s="1649"/>
      <c r="M269" s="1649"/>
      <c r="N269" s="1649"/>
      <c r="O269" s="1649"/>
      <c r="P269" s="1649"/>
      <c r="Q269" s="1650"/>
    </row>
    <row r="270" spans="1:17" s="110" customFormat="1" ht="89.25" x14ac:dyDescent="0.25">
      <c r="A270" s="337">
        <v>22</v>
      </c>
      <c r="B270" s="375">
        <v>1</v>
      </c>
      <c r="C270" s="316"/>
      <c r="D270" s="11"/>
      <c r="E270" s="1138" t="s">
        <v>883</v>
      </c>
      <c r="F270" s="28"/>
      <c r="G270" s="28">
        <v>41492.9</v>
      </c>
      <c r="H270" s="277">
        <f>H271+H272+H273+H275+H279+H280</f>
        <v>62447.899999999994</v>
      </c>
      <c r="I270" s="248">
        <v>54361.826746734914</v>
      </c>
      <c r="J270" s="248">
        <v>54897.274800248699</v>
      </c>
      <c r="K270" s="460" t="s">
        <v>633</v>
      </c>
      <c r="L270" s="286" t="s">
        <v>34</v>
      </c>
      <c r="M270" s="286"/>
      <c r="N270" s="286"/>
      <c r="O270" s="286"/>
      <c r="P270" s="286"/>
      <c r="Q270" s="286"/>
    </row>
    <row r="271" spans="1:17" s="110" customFormat="1" ht="30" x14ac:dyDescent="0.25">
      <c r="A271" s="355"/>
      <c r="B271" s="365"/>
      <c r="C271" s="312" t="s">
        <v>4</v>
      </c>
      <c r="D271" s="204"/>
      <c r="E271" s="795" t="s">
        <v>884</v>
      </c>
      <c r="F271" s="217"/>
      <c r="G271" s="470">
        <v>26615.8</v>
      </c>
      <c r="H271" s="475">
        <f>19007.2+6457.3</f>
        <v>25464.5</v>
      </c>
      <c r="I271" s="469">
        <v>9956.7067424978941</v>
      </c>
      <c r="J271" s="469">
        <v>10046.965223974385</v>
      </c>
      <c r="K271" s="1205" t="s">
        <v>634</v>
      </c>
      <c r="L271" s="247" t="s">
        <v>127</v>
      </c>
      <c r="M271" s="247">
        <v>100</v>
      </c>
      <c r="N271" s="247">
        <v>100</v>
      </c>
      <c r="O271" s="247">
        <v>100</v>
      </c>
      <c r="P271" s="247">
        <v>100</v>
      </c>
      <c r="Q271" s="247">
        <v>100</v>
      </c>
    </row>
    <row r="272" spans="1:17" s="110" customFormat="1" ht="45" x14ac:dyDescent="0.25">
      <c r="A272" s="355"/>
      <c r="B272" s="397"/>
      <c r="C272" s="330" t="s">
        <v>5</v>
      </c>
      <c r="D272" s="204"/>
      <c r="E272" s="1280" t="s">
        <v>885</v>
      </c>
      <c r="F272" s="217"/>
      <c r="G272" s="470">
        <v>2750.8</v>
      </c>
      <c r="H272" s="475">
        <f>5028.4+1437.3</f>
        <v>6465.7</v>
      </c>
      <c r="I272" s="469">
        <v>6590.8247359672714</v>
      </c>
      <c r="J272" s="469">
        <v>6658.2357720675109</v>
      </c>
      <c r="K272" s="1205" t="s">
        <v>515</v>
      </c>
      <c r="L272" s="247" t="s">
        <v>34</v>
      </c>
      <c r="M272" s="247">
        <v>100</v>
      </c>
      <c r="N272" s="247">
        <v>100</v>
      </c>
      <c r="O272" s="247">
        <v>100</v>
      </c>
      <c r="P272" s="247">
        <v>100</v>
      </c>
      <c r="Q272" s="247">
        <v>100</v>
      </c>
    </row>
    <row r="273" spans="1:17" s="110" customFormat="1" ht="63" customHeight="1" x14ac:dyDescent="0.25">
      <c r="A273" s="2230"/>
      <c r="B273" s="2257"/>
      <c r="C273" s="2229" t="s">
        <v>7</v>
      </c>
      <c r="D273" s="2251"/>
      <c r="E273" s="2255" t="s">
        <v>395</v>
      </c>
      <c r="F273" s="2251"/>
      <c r="G273" s="2251">
        <v>3921.3</v>
      </c>
      <c r="H273" s="2252">
        <f>2980.1+996.2</f>
        <v>3976.3</v>
      </c>
      <c r="I273" s="2252">
        <v>3859.46414254518</v>
      </c>
      <c r="J273" s="2252">
        <v>3899.4</v>
      </c>
      <c r="K273" s="1205" t="s">
        <v>602</v>
      </c>
      <c r="L273" s="473" t="s">
        <v>34</v>
      </c>
      <c r="M273" s="473">
        <v>55</v>
      </c>
      <c r="N273" s="473">
        <v>79</v>
      </c>
      <c r="O273" s="473">
        <v>77</v>
      </c>
      <c r="P273" s="473">
        <v>75</v>
      </c>
      <c r="Q273" s="473">
        <v>75</v>
      </c>
    </row>
    <row r="274" spans="1:17" s="110" customFormat="1" ht="32.25" customHeight="1" x14ac:dyDescent="0.25">
      <c r="A274" s="1644"/>
      <c r="B274" s="1638"/>
      <c r="C274" s="1670"/>
      <c r="D274" s="1640"/>
      <c r="E274" s="1698"/>
      <c r="F274" s="1640"/>
      <c r="G274" s="1640"/>
      <c r="H274" s="1656"/>
      <c r="I274" s="1656"/>
      <c r="J274" s="1656"/>
      <c r="K274" s="1205" t="s">
        <v>533</v>
      </c>
      <c r="L274" s="247" t="s">
        <v>81</v>
      </c>
      <c r="M274" s="247" t="s">
        <v>63</v>
      </c>
      <c r="N274" s="247">
        <v>10</v>
      </c>
      <c r="O274" s="247">
        <v>15</v>
      </c>
      <c r="P274" s="247">
        <v>20</v>
      </c>
      <c r="Q274" s="247">
        <v>22</v>
      </c>
    </row>
    <row r="275" spans="1:17" s="110" customFormat="1" ht="30" x14ac:dyDescent="0.25">
      <c r="A275" s="2230"/>
      <c r="B275" s="2257"/>
      <c r="C275" s="2229" t="s">
        <v>11</v>
      </c>
      <c r="D275" s="2251"/>
      <c r="E275" s="2255" t="s">
        <v>533</v>
      </c>
      <c r="F275" s="2251"/>
      <c r="G275" s="2251">
        <v>1801.9</v>
      </c>
      <c r="H275" s="2252">
        <f>5672.4+1909.6</f>
        <v>7582</v>
      </c>
      <c r="I275" s="2252">
        <v>7357.5895534364799</v>
      </c>
      <c r="J275" s="2252">
        <v>7433.6341291435056</v>
      </c>
      <c r="K275" s="1205" t="s">
        <v>637</v>
      </c>
      <c r="L275" s="247" t="s">
        <v>56</v>
      </c>
      <c r="M275" s="247">
        <v>480</v>
      </c>
      <c r="N275" s="247">
        <v>490</v>
      </c>
      <c r="O275" s="247">
        <v>490</v>
      </c>
      <c r="P275" s="247">
        <v>490</v>
      </c>
      <c r="Q275" s="247">
        <v>490</v>
      </c>
    </row>
    <row r="276" spans="1:17" s="110" customFormat="1" ht="90" x14ac:dyDescent="0.25">
      <c r="A276" s="1643"/>
      <c r="B276" s="1641"/>
      <c r="C276" s="1690"/>
      <c r="D276" s="2032"/>
      <c r="E276" s="1689"/>
      <c r="F276" s="2032"/>
      <c r="G276" s="2032"/>
      <c r="H276" s="1659"/>
      <c r="I276" s="1659"/>
      <c r="J276" s="1659"/>
      <c r="K276" s="1205" t="s">
        <v>636</v>
      </c>
      <c r="L276" s="247" t="s">
        <v>128</v>
      </c>
      <c r="M276" s="247">
        <v>6</v>
      </c>
      <c r="N276" s="247">
        <v>6</v>
      </c>
      <c r="O276" s="247">
        <v>6</v>
      </c>
      <c r="P276" s="247">
        <v>6</v>
      </c>
      <c r="Q276" s="247">
        <v>6</v>
      </c>
    </row>
    <row r="277" spans="1:17" s="110" customFormat="1" ht="90" x14ac:dyDescent="0.25">
      <c r="A277" s="1643"/>
      <c r="B277" s="1641"/>
      <c r="C277" s="1690"/>
      <c r="D277" s="2032"/>
      <c r="E277" s="1689"/>
      <c r="F277" s="2032"/>
      <c r="G277" s="2032"/>
      <c r="H277" s="1659"/>
      <c r="I277" s="1659"/>
      <c r="J277" s="1659"/>
      <c r="K277" s="1205" t="s">
        <v>635</v>
      </c>
      <c r="L277" s="247" t="s">
        <v>128</v>
      </c>
      <c r="M277" s="247">
        <v>0</v>
      </c>
      <c r="N277" s="247">
        <v>1</v>
      </c>
      <c r="O277" s="247">
        <v>0</v>
      </c>
      <c r="P277" s="247">
        <v>0</v>
      </c>
      <c r="Q277" s="247">
        <v>0</v>
      </c>
    </row>
    <row r="278" spans="1:17" s="110" customFormat="1" ht="45" x14ac:dyDescent="0.25">
      <c r="A278" s="1644"/>
      <c r="B278" s="1638"/>
      <c r="C278" s="1670"/>
      <c r="D278" s="1640"/>
      <c r="E278" s="1698"/>
      <c r="F278" s="1640"/>
      <c r="G278" s="1640"/>
      <c r="H278" s="1656"/>
      <c r="I278" s="1656"/>
      <c r="J278" s="1656"/>
      <c r="K278" s="1205" t="s">
        <v>638</v>
      </c>
      <c r="L278" s="247" t="s">
        <v>128</v>
      </c>
      <c r="M278" s="247">
        <v>1854</v>
      </c>
      <c r="N278" s="247">
        <v>1500</v>
      </c>
      <c r="O278" s="247">
        <v>1677</v>
      </c>
      <c r="P278" s="247">
        <v>1677</v>
      </c>
      <c r="Q278" s="247">
        <v>1677</v>
      </c>
    </row>
    <row r="279" spans="1:17" s="110" customFormat="1" ht="45" x14ac:dyDescent="0.25">
      <c r="A279" s="355"/>
      <c r="B279" s="397"/>
      <c r="C279" s="330" t="s">
        <v>13</v>
      </c>
      <c r="D279" s="204"/>
      <c r="E279" s="1149" t="s">
        <v>612</v>
      </c>
      <c r="F279" s="217"/>
      <c r="G279" s="470">
        <v>6403.1</v>
      </c>
      <c r="H279" s="475">
        <f>3730.3+1257.4</f>
        <v>4987.7000000000007</v>
      </c>
      <c r="I279" s="469">
        <v>4839.9676385304765</v>
      </c>
      <c r="J279" s="469">
        <v>4889.9764042817033</v>
      </c>
      <c r="K279" s="1205" t="s">
        <v>481</v>
      </c>
      <c r="L279" s="247" t="s">
        <v>34</v>
      </c>
      <c r="M279" s="247">
        <v>21</v>
      </c>
      <c r="N279" s="247">
        <v>21</v>
      </c>
      <c r="O279" s="247">
        <v>21</v>
      </c>
      <c r="P279" s="247">
        <v>21</v>
      </c>
      <c r="Q279" s="247">
        <v>21</v>
      </c>
    </row>
    <row r="280" spans="1:17" s="110" customFormat="1" x14ac:dyDescent="0.25">
      <c r="A280" s="355"/>
      <c r="B280" s="397"/>
      <c r="C280" s="330" t="s">
        <v>16</v>
      </c>
      <c r="D280" s="204"/>
      <c r="E280" s="1149" t="s">
        <v>613</v>
      </c>
      <c r="F280" s="217"/>
      <c r="G280" s="68"/>
      <c r="H280" s="217">
        <f>9171.2+4800.5</f>
        <v>13971.7</v>
      </c>
      <c r="I280" s="471">
        <v>21757.273933757613</v>
      </c>
      <c r="J280" s="469">
        <v>21969.063270781597</v>
      </c>
      <c r="K280" s="1205" t="s">
        <v>639</v>
      </c>
      <c r="L280" s="247" t="s">
        <v>81</v>
      </c>
      <c r="M280" s="247">
        <v>100</v>
      </c>
      <c r="N280" s="247">
        <v>100</v>
      </c>
      <c r="O280" s="247">
        <v>100</v>
      </c>
      <c r="P280" s="247">
        <v>100</v>
      </c>
      <c r="Q280" s="247">
        <v>100</v>
      </c>
    </row>
    <row r="281" spans="1:17" s="110" customFormat="1" ht="117" x14ac:dyDescent="0.25">
      <c r="A281" s="414">
        <v>22</v>
      </c>
      <c r="B281" s="393">
        <v>2</v>
      </c>
      <c r="C281" s="330"/>
      <c r="D281" s="204"/>
      <c r="E281" s="13" t="s">
        <v>614</v>
      </c>
      <c r="F281" s="28"/>
      <c r="G281" s="28">
        <v>21734</v>
      </c>
      <c r="H281" s="122">
        <f>H282+H283+H284</f>
        <v>41605.800000000003</v>
      </c>
      <c r="I281" s="28">
        <v>40559.699999999997</v>
      </c>
      <c r="J281" s="28">
        <v>40967</v>
      </c>
      <c r="K281" s="460" t="s">
        <v>640</v>
      </c>
      <c r="L281" s="247" t="s">
        <v>34</v>
      </c>
      <c r="M281" s="286"/>
      <c r="N281" s="286"/>
      <c r="O281" s="286"/>
      <c r="P281" s="286"/>
      <c r="Q281" s="286"/>
    </row>
    <row r="282" spans="1:17" s="110" customFormat="1" ht="60" x14ac:dyDescent="0.25">
      <c r="A282" s="355"/>
      <c r="B282" s="397"/>
      <c r="C282" s="330" t="s">
        <v>4</v>
      </c>
      <c r="D282" s="204"/>
      <c r="E282" s="1149" t="s">
        <v>615</v>
      </c>
      <c r="F282" s="217"/>
      <c r="G282" s="217">
        <v>10537.1</v>
      </c>
      <c r="H282" s="250">
        <f>12197.6+4210.9</f>
        <v>16408.5</v>
      </c>
      <c r="I282" s="241">
        <v>16062</v>
      </c>
      <c r="J282" s="241">
        <v>16227.5</v>
      </c>
      <c r="K282" s="1205" t="s">
        <v>641</v>
      </c>
      <c r="L282" s="247" t="s">
        <v>49</v>
      </c>
      <c r="M282" s="247"/>
      <c r="N282" s="247"/>
      <c r="O282" s="247"/>
      <c r="P282" s="30"/>
      <c r="Q282" s="30"/>
    </row>
    <row r="283" spans="1:17" s="110" customFormat="1" ht="60" x14ac:dyDescent="0.25">
      <c r="A283" s="355"/>
      <c r="B283" s="397"/>
      <c r="C283" s="330" t="s">
        <v>5</v>
      </c>
      <c r="D283" s="204"/>
      <c r="E283" s="1149" t="s">
        <v>616</v>
      </c>
      <c r="F283" s="217"/>
      <c r="G283" s="217">
        <v>9101.1</v>
      </c>
      <c r="H283" s="241">
        <f>11403.7+3947.6</f>
        <v>15351.300000000001</v>
      </c>
      <c r="I283" s="241">
        <v>15025.7</v>
      </c>
      <c r="J283" s="241">
        <v>15180.5</v>
      </c>
      <c r="K283" s="1205" t="s">
        <v>641</v>
      </c>
      <c r="L283" s="247" t="s">
        <v>49</v>
      </c>
      <c r="M283" s="247"/>
      <c r="N283" s="247"/>
      <c r="O283" s="247"/>
      <c r="P283" s="43"/>
      <c r="Q283" s="247"/>
    </row>
    <row r="284" spans="1:17" s="110" customFormat="1" ht="45" x14ac:dyDescent="0.25">
      <c r="A284" s="355"/>
      <c r="B284" s="365"/>
      <c r="C284" s="312" t="s">
        <v>7</v>
      </c>
      <c r="D284" s="387"/>
      <c r="E284" s="1254" t="s">
        <v>617</v>
      </c>
      <c r="F284" s="202"/>
      <c r="G284" s="2251">
        <v>2095.8000000000002</v>
      </c>
      <c r="H284" s="2252">
        <f>6409+3437</f>
        <v>9846</v>
      </c>
      <c r="I284" s="2252">
        <v>9472</v>
      </c>
      <c r="J284" s="2252">
        <v>9559</v>
      </c>
      <c r="K284" s="1265" t="s">
        <v>642</v>
      </c>
      <c r="L284" s="206" t="s">
        <v>49</v>
      </c>
      <c r="M284" s="224">
        <v>8395</v>
      </c>
      <c r="N284" s="224">
        <v>10670</v>
      </c>
      <c r="O284" s="224">
        <v>10670</v>
      </c>
      <c r="P284" s="224">
        <v>10670</v>
      </c>
      <c r="Q284" s="224">
        <v>10670</v>
      </c>
    </row>
    <row r="285" spans="1:17" s="110" customFormat="1" ht="30" x14ac:dyDescent="0.25">
      <c r="A285" s="355"/>
      <c r="B285" s="397"/>
      <c r="C285" s="330" t="s">
        <v>9</v>
      </c>
      <c r="D285" s="12"/>
      <c r="E285" s="1097" t="s">
        <v>618</v>
      </c>
      <c r="F285" s="217"/>
      <c r="G285" s="1640"/>
      <c r="H285" s="1656"/>
      <c r="I285" s="1656"/>
      <c r="J285" s="1656"/>
      <c r="K285" s="1214" t="s">
        <v>643</v>
      </c>
      <c r="L285" s="247" t="s">
        <v>128</v>
      </c>
      <c r="M285" s="43">
        <v>8643</v>
      </c>
      <c r="N285" s="43">
        <v>12643</v>
      </c>
      <c r="O285" s="43">
        <v>12643</v>
      </c>
      <c r="P285" s="43">
        <v>12643</v>
      </c>
      <c r="Q285" s="43">
        <v>12643</v>
      </c>
    </row>
    <row r="286" spans="1:17" s="110" customFormat="1" ht="99.75" x14ac:dyDescent="0.25">
      <c r="A286" s="414">
        <v>22</v>
      </c>
      <c r="B286" s="393">
        <v>3</v>
      </c>
      <c r="C286" s="330"/>
      <c r="D286" s="204"/>
      <c r="E286" s="13" t="s">
        <v>619</v>
      </c>
      <c r="F286" s="28"/>
      <c r="G286" s="28">
        <v>77636.5</v>
      </c>
      <c r="H286" s="122">
        <f>H287+H289</f>
        <v>45949.569999999992</v>
      </c>
      <c r="I286" s="28">
        <v>55842.600000000006</v>
      </c>
      <c r="J286" s="28">
        <v>56403.5</v>
      </c>
      <c r="K286" s="460" t="s">
        <v>644</v>
      </c>
      <c r="L286" s="247" t="s">
        <v>34</v>
      </c>
      <c r="M286" s="286"/>
      <c r="N286" s="286"/>
      <c r="O286" s="286"/>
      <c r="P286" s="286"/>
      <c r="Q286" s="286"/>
    </row>
    <row r="287" spans="1:17" s="110" customFormat="1" x14ac:dyDescent="0.25">
      <c r="A287" s="2230"/>
      <c r="B287" s="365"/>
      <c r="C287" s="2229" t="s">
        <v>4</v>
      </c>
      <c r="D287" s="2251"/>
      <c r="E287" s="2255" t="s">
        <v>621</v>
      </c>
      <c r="F287" s="2251"/>
      <c r="G287" s="2251">
        <v>77636.5</v>
      </c>
      <c r="H287" s="2252">
        <f>5550+1864.2</f>
        <v>7414.2</v>
      </c>
      <c r="I287" s="2252">
        <v>7264.8</v>
      </c>
      <c r="J287" s="2252">
        <v>7340.1</v>
      </c>
      <c r="K287" s="1205" t="s">
        <v>645</v>
      </c>
      <c r="L287" s="247" t="s">
        <v>49</v>
      </c>
      <c r="M287" s="43">
        <v>6300</v>
      </c>
      <c r="N287" s="43">
        <v>6300</v>
      </c>
      <c r="O287" s="43">
        <v>6300</v>
      </c>
      <c r="P287" s="43">
        <v>6300</v>
      </c>
      <c r="Q287" s="43">
        <v>6300</v>
      </c>
    </row>
    <row r="288" spans="1:17" s="110" customFormat="1" ht="30" x14ac:dyDescent="0.25">
      <c r="A288" s="1644"/>
      <c r="B288" s="367"/>
      <c r="C288" s="1670"/>
      <c r="D288" s="1640"/>
      <c r="E288" s="1698"/>
      <c r="F288" s="1640"/>
      <c r="G288" s="1640"/>
      <c r="H288" s="1656"/>
      <c r="I288" s="1656"/>
      <c r="J288" s="1656"/>
      <c r="K288" s="1205" t="s">
        <v>646</v>
      </c>
      <c r="L288" s="247" t="s">
        <v>128</v>
      </c>
      <c r="M288" s="43">
        <v>6000</v>
      </c>
      <c r="N288" s="43">
        <v>6000</v>
      </c>
      <c r="O288" s="43">
        <v>6000</v>
      </c>
      <c r="P288" s="43">
        <v>6000</v>
      </c>
      <c r="Q288" s="43">
        <v>6000</v>
      </c>
    </row>
    <row r="289" spans="1:17" s="110" customFormat="1" x14ac:dyDescent="0.25">
      <c r="A289" s="384"/>
      <c r="B289" s="379"/>
      <c r="C289" s="316" t="s">
        <v>5</v>
      </c>
      <c r="D289" s="12"/>
      <c r="E289" s="1280" t="s">
        <v>620</v>
      </c>
      <c r="F289" s="217"/>
      <c r="G289" s="217"/>
      <c r="H289" s="241">
        <f>28072.37+10463</f>
        <v>38535.369999999995</v>
      </c>
      <c r="I289" s="241">
        <v>48577.8</v>
      </c>
      <c r="J289" s="241">
        <v>49063.4</v>
      </c>
      <c r="K289" s="1205" t="s">
        <v>647</v>
      </c>
      <c r="L289" s="247" t="s">
        <v>128</v>
      </c>
      <c r="M289" s="43">
        <v>441000</v>
      </c>
      <c r="N289" s="43">
        <v>441100</v>
      </c>
      <c r="O289" s="43">
        <v>441200</v>
      </c>
      <c r="P289" s="43">
        <v>441200</v>
      </c>
      <c r="Q289" s="43">
        <v>441200</v>
      </c>
    </row>
    <row r="290" spans="1:17" s="110" customFormat="1" ht="85.5" x14ac:dyDescent="0.25">
      <c r="A290" s="414">
        <v>22</v>
      </c>
      <c r="B290" s="360">
        <v>4</v>
      </c>
      <c r="C290" s="312"/>
      <c r="D290" s="202"/>
      <c r="E290" s="1118" t="s">
        <v>622</v>
      </c>
      <c r="F290" s="28"/>
      <c r="G290" s="28">
        <v>17383.900000000001</v>
      </c>
      <c r="H290" s="280">
        <f>H291+H301</f>
        <v>30435.199999999997</v>
      </c>
      <c r="I290" s="242">
        <v>10431.4</v>
      </c>
      <c r="J290" s="242">
        <v>10539.4</v>
      </c>
      <c r="K290" s="237" t="s">
        <v>648</v>
      </c>
      <c r="L290" s="206" t="s">
        <v>34</v>
      </c>
      <c r="M290" s="218"/>
      <c r="N290" s="218"/>
      <c r="O290" s="218"/>
      <c r="P290" s="218"/>
      <c r="Q290" s="218"/>
    </row>
    <row r="291" spans="1:17" s="110" customFormat="1" ht="45" x14ac:dyDescent="0.25">
      <c r="A291" s="355"/>
      <c r="B291" s="365"/>
      <c r="C291" s="312" t="s">
        <v>4</v>
      </c>
      <c r="D291" s="215"/>
      <c r="E291" s="1113" t="s">
        <v>623</v>
      </c>
      <c r="F291" s="2251"/>
      <c r="G291" s="2251">
        <v>5367</v>
      </c>
      <c r="H291" s="1660">
        <f>24725.8+1671.5</f>
        <v>26397.3</v>
      </c>
      <c r="I291" s="2252">
        <v>6475.5</v>
      </c>
      <c r="J291" s="2252">
        <v>6542.5</v>
      </c>
      <c r="K291" s="1254" t="s">
        <v>649</v>
      </c>
      <c r="L291" s="206" t="s">
        <v>49</v>
      </c>
      <c r="M291" s="206">
        <v>5300</v>
      </c>
      <c r="N291" s="202">
        <v>5400</v>
      </c>
      <c r="O291" s="202">
        <v>5400</v>
      </c>
      <c r="P291" s="202">
        <v>5400</v>
      </c>
      <c r="Q291" s="202">
        <v>5400</v>
      </c>
    </row>
    <row r="292" spans="1:17" s="110" customFormat="1" ht="45" x14ac:dyDescent="0.25">
      <c r="A292" s="355"/>
      <c r="B292" s="365"/>
      <c r="C292" s="312" t="s">
        <v>5</v>
      </c>
      <c r="D292" s="215"/>
      <c r="E292" s="1113" t="s">
        <v>624</v>
      </c>
      <c r="F292" s="2032"/>
      <c r="G292" s="2032"/>
      <c r="H292" s="1660"/>
      <c r="I292" s="1659"/>
      <c r="J292" s="1659"/>
      <c r="K292" s="1254" t="s">
        <v>650</v>
      </c>
      <c r="L292" s="206" t="s">
        <v>81</v>
      </c>
      <c r="M292" s="206">
        <v>0</v>
      </c>
      <c r="N292" s="202">
        <v>80</v>
      </c>
      <c r="O292" s="202">
        <v>100</v>
      </c>
      <c r="P292" s="202">
        <v>100</v>
      </c>
      <c r="Q292" s="202">
        <v>100</v>
      </c>
    </row>
    <row r="293" spans="1:17" s="110" customFormat="1" ht="75" x14ac:dyDescent="0.25">
      <c r="A293" s="355"/>
      <c r="B293" s="365"/>
      <c r="C293" s="312" t="s">
        <v>7</v>
      </c>
      <c r="D293" s="215"/>
      <c r="E293" s="1113" t="s">
        <v>625</v>
      </c>
      <c r="F293" s="2032"/>
      <c r="G293" s="2032"/>
      <c r="H293" s="1660"/>
      <c r="I293" s="1659"/>
      <c r="J293" s="1659"/>
      <c r="K293" s="1254" t="s">
        <v>651</v>
      </c>
      <c r="L293" s="206" t="s">
        <v>81</v>
      </c>
      <c r="M293" s="206"/>
      <c r="N293" s="202">
        <v>50</v>
      </c>
      <c r="O293" s="202">
        <v>100</v>
      </c>
      <c r="P293" s="202">
        <v>100</v>
      </c>
      <c r="Q293" s="202">
        <v>100</v>
      </c>
    </row>
    <row r="294" spans="1:17" s="110" customFormat="1" ht="60" x14ac:dyDescent="0.25">
      <c r="A294" s="2230"/>
      <c r="B294" s="365"/>
      <c r="C294" s="2229"/>
      <c r="D294" s="2229"/>
      <c r="E294" s="2266" t="s">
        <v>626</v>
      </c>
      <c r="F294" s="2032"/>
      <c r="G294" s="2032"/>
      <c r="H294" s="1660"/>
      <c r="I294" s="1659"/>
      <c r="J294" s="1659"/>
      <c r="K294" s="1138" t="s">
        <v>652</v>
      </c>
      <c r="L294" s="217" t="s">
        <v>128</v>
      </c>
      <c r="M294" s="217"/>
      <c r="N294" s="217">
        <v>1</v>
      </c>
      <c r="O294" s="217">
        <v>1</v>
      </c>
      <c r="P294" s="217">
        <v>1</v>
      </c>
      <c r="Q294" s="217">
        <v>1</v>
      </c>
    </row>
    <row r="295" spans="1:17" s="110" customFormat="1" ht="45" x14ac:dyDescent="0.25">
      <c r="A295" s="1644"/>
      <c r="B295" s="367"/>
      <c r="C295" s="1670"/>
      <c r="D295" s="1670"/>
      <c r="E295" s="1685"/>
      <c r="F295" s="2032"/>
      <c r="G295" s="2032"/>
      <c r="H295" s="1660"/>
      <c r="I295" s="1659"/>
      <c r="J295" s="1659"/>
      <c r="K295" s="1254" t="s">
        <v>653</v>
      </c>
      <c r="L295" s="206" t="s">
        <v>81</v>
      </c>
      <c r="M295" s="206"/>
      <c r="N295" s="224">
        <v>100</v>
      </c>
      <c r="O295" s="224">
        <v>100</v>
      </c>
      <c r="P295" s="224">
        <v>100</v>
      </c>
      <c r="Q295" s="224">
        <v>100</v>
      </c>
    </row>
    <row r="296" spans="1:17" s="110" customFormat="1" ht="75" x14ac:dyDescent="0.25">
      <c r="A296" s="356"/>
      <c r="B296" s="366"/>
      <c r="C296" s="2229" t="s">
        <v>9</v>
      </c>
      <c r="D296" s="205"/>
      <c r="E296" s="1685"/>
      <c r="F296" s="2032"/>
      <c r="G296" s="2032"/>
      <c r="H296" s="1660"/>
      <c r="I296" s="1659"/>
      <c r="J296" s="1659"/>
      <c r="K296" s="1138" t="s">
        <v>654</v>
      </c>
      <c r="L296" s="217" t="s">
        <v>129</v>
      </c>
      <c r="M296" s="217"/>
      <c r="N296" s="217">
        <v>15</v>
      </c>
      <c r="O296" s="217">
        <v>15</v>
      </c>
      <c r="P296" s="217">
        <v>15</v>
      </c>
      <c r="Q296" s="217">
        <v>15</v>
      </c>
    </row>
    <row r="297" spans="1:17" s="110" customFormat="1" ht="45" x14ac:dyDescent="0.25">
      <c r="A297" s="356"/>
      <c r="B297" s="366"/>
      <c r="C297" s="1690"/>
      <c r="D297" s="205"/>
      <c r="E297" s="1685"/>
      <c r="F297" s="2032"/>
      <c r="G297" s="2032"/>
      <c r="H297" s="1660"/>
      <c r="I297" s="1659"/>
      <c r="J297" s="1659"/>
      <c r="K297" s="1254" t="s">
        <v>655</v>
      </c>
      <c r="L297" s="206" t="s">
        <v>128</v>
      </c>
      <c r="M297" s="206"/>
      <c r="N297" s="224">
        <v>8</v>
      </c>
      <c r="O297" s="224">
        <v>8</v>
      </c>
      <c r="P297" s="224">
        <v>8</v>
      </c>
      <c r="Q297" s="224">
        <v>8</v>
      </c>
    </row>
    <row r="298" spans="1:17" s="110" customFormat="1" ht="45" x14ac:dyDescent="0.25">
      <c r="A298" s="356"/>
      <c r="B298" s="366"/>
      <c r="C298" s="1690"/>
      <c r="D298" s="205"/>
      <c r="E298" s="1685"/>
      <c r="F298" s="2032"/>
      <c r="G298" s="2032"/>
      <c r="H298" s="1660"/>
      <c r="I298" s="1659"/>
      <c r="J298" s="1659"/>
      <c r="K298" s="1254" t="s">
        <v>656</v>
      </c>
      <c r="L298" s="206" t="s">
        <v>81</v>
      </c>
      <c r="M298" s="206"/>
      <c r="N298" s="224">
        <v>100</v>
      </c>
      <c r="O298" s="224">
        <v>100</v>
      </c>
      <c r="P298" s="224">
        <v>100</v>
      </c>
      <c r="Q298" s="224">
        <v>100</v>
      </c>
    </row>
    <row r="299" spans="1:17" s="110" customFormat="1" x14ac:dyDescent="0.25">
      <c r="A299" s="356"/>
      <c r="B299" s="366"/>
      <c r="C299" s="1670"/>
      <c r="D299" s="205"/>
      <c r="E299" s="1686"/>
      <c r="F299" s="2032"/>
      <c r="G299" s="2032"/>
      <c r="H299" s="1660"/>
      <c r="I299" s="1659"/>
      <c r="J299" s="1659"/>
      <c r="K299" s="2266" t="s">
        <v>657</v>
      </c>
      <c r="L299" s="2267" t="s">
        <v>81</v>
      </c>
      <c r="M299" s="2267"/>
      <c r="N299" s="2253">
        <v>100</v>
      </c>
      <c r="O299" s="2253">
        <v>100</v>
      </c>
      <c r="P299" s="2253">
        <v>100</v>
      </c>
      <c r="Q299" s="2253">
        <v>100</v>
      </c>
    </row>
    <row r="300" spans="1:17" s="110" customFormat="1" ht="45" x14ac:dyDescent="0.25">
      <c r="A300" s="355"/>
      <c r="B300" s="365"/>
      <c r="C300" s="312" t="s">
        <v>11</v>
      </c>
      <c r="D300" s="215"/>
      <c r="E300" s="1113" t="s">
        <v>627</v>
      </c>
      <c r="F300" s="1640"/>
      <c r="G300" s="1640"/>
      <c r="H300" s="1660"/>
      <c r="I300" s="1656"/>
      <c r="J300" s="1656"/>
      <c r="K300" s="1686"/>
      <c r="L300" s="1773"/>
      <c r="M300" s="1773"/>
      <c r="N300" s="1929"/>
      <c r="O300" s="1929"/>
      <c r="P300" s="1929"/>
      <c r="Q300" s="1929"/>
    </row>
    <row r="301" spans="1:17" s="110" customFormat="1" ht="30" x14ac:dyDescent="0.25">
      <c r="A301" s="355"/>
      <c r="B301" s="365"/>
      <c r="C301" s="312" t="s">
        <v>13</v>
      </c>
      <c r="D301" s="215"/>
      <c r="E301" s="1113" t="s">
        <v>628</v>
      </c>
      <c r="F301" s="202"/>
      <c r="G301" s="202">
        <v>12016.9</v>
      </c>
      <c r="H301" s="267">
        <f>3019.1+1018.8</f>
        <v>4037.8999999999996</v>
      </c>
      <c r="I301" s="213">
        <v>3955.9</v>
      </c>
      <c r="J301" s="213">
        <v>3996.9</v>
      </c>
      <c r="K301" s="1254" t="s">
        <v>658</v>
      </c>
      <c r="L301" s="206" t="s">
        <v>49</v>
      </c>
      <c r="M301" s="206">
        <v>61469</v>
      </c>
      <c r="N301" s="224">
        <v>61550</v>
      </c>
      <c r="O301" s="224">
        <v>61600</v>
      </c>
      <c r="P301" s="224">
        <v>61650</v>
      </c>
      <c r="Q301" s="224">
        <v>61650</v>
      </c>
    </row>
    <row r="302" spans="1:17" s="110" customFormat="1" ht="57" x14ac:dyDescent="0.25">
      <c r="A302" s="414">
        <v>22</v>
      </c>
      <c r="B302" s="360">
        <v>5</v>
      </c>
      <c r="C302" s="312"/>
      <c r="D302" s="215"/>
      <c r="E302" s="1118" t="s">
        <v>629</v>
      </c>
      <c r="F302" s="117"/>
      <c r="G302" s="117">
        <v>29319.5</v>
      </c>
      <c r="H302" s="280">
        <f>H303</f>
        <v>72971.199999999997</v>
      </c>
      <c r="I302" s="242">
        <v>2561.6</v>
      </c>
      <c r="J302" s="242">
        <v>2561.6</v>
      </c>
      <c r="K302" s="1254" t="s">
        <v>659</v>
      </c>
      <c r="L302" s="206"/>
      <c r="M302" s="206"/>
      <c r="N302" s="224"/>
      <c r="O302" s="224"/>
      <c r="P302" s="224"/>
      <c r="Q302" s="224"/>
    </row>
    <row r="303" spans="1:17" s="110" customFormat="1" ht="30" x14ac:dyDescent="0.25">
      <c r="A303" s="355"/>
      <c r="B303" s="365"/>
      <c r="C303" s="312" t="s">
        <v>4</v>
      </c>
      <c r="D303" s="215"/>
      <c r="E303" s="1113" t="s">
        <v>630</v>
      </c>
      <c r="F303" s="202"/>
      <c r="G303" s="202">
        <v>29319.5</v>
      </c>
      <c r="H303" s="267">
        <v>72971.199999999997</v>
      </c>
      <c r="I303" s="213">
        <v>2561.6</v>
      </c>
      <c r="J303" s="213">
        <v>2561.6</v>
      </c>
      <c r="K303" s="1254" t="s">
        <v>660</v>
      </c>
      <c r="L303" s="206" t="s">
        <v>128</v>
      </c>
      <c r="M303" s="206">
        <v>6800</v>
      </c>
      <c r="N303" s="224">
        <v>6850</v>
      </c>
      <c r="O303" s="224">
        <v>6900</v>
      </c>
      <c r="P303" s="224">
        <v>6900</v>
      </c>
      <c r="Q303" s="224">
        <v>6900</v>
      </c>
    </row>
    <row r="304" spans="1:17" s="110" customFormat="1" ht="71.25" x14ac:dyDescent="0.25">
      <c r="A304" s="337">
        <v>22</v>
      </c>
      <c r="B304" s="375">
        <v>6</v>
      </c>
      <c r="C304" s="316"/>
      <c r="D304" s="257"/>
      <c r="E304" s="460" t="s">
        <v>631</v>
      </c>
      <c r="F304" s="28"/>
      <c r="G304" s="28">
        <v>0</v>
      </c>
      <c r="H304" s="248">
        <f>H305</f>
        <v>43384.1</v>
      </c>
      <c r="I304" s="248">
        <v>27632.5</v>
      </c>
      <c r="J304" s="248">
        <v>27990.799999999999</v>
      </c>
      <c r="K304" s="1205" t="s">
        <v>661</v>
      </c>
      <c r="L304" s="247"/>
      <c r="M304" s="247"/>
      <c r="N304" s="217"/>
      <c r="O304" s="217"/>
      <c r="P304" s="217"/>
      <c r="Q304" s="217"/>
    </row>
    <row r="305" spans="1:17" s="110" customFormat="1" ht="30" x14ac:dyDescent="0.25">
      <c r="A305" s="427"/>
      <c r="B305" s="443"/>
      <c r="C305" s="340" t="s">
        <v>4</v>
      </c>
      <c r="D305" s="10"/>
      <c r="E305" s="116" t="s">
        <v>632</v>
      </c>
      <c r="F305" s="217"/>
      <c r="G305" s="217"/>
      <c r="H305" s="217">
        <f>42636.5+747.6</f>
        <v>43384.1</v>
      </c>
      <c r="I305" s="217">
        <v>27632.5</v>
      </c>
      <c r="J305" s="217">
        <v>27990.799999999999</v>
      </c>
      <c r="K305" s="116" t="s">
        <v>662</v>
      </c>
      <c r="L305" s="217" t="s">
        <v>81</v>
      </c>
      <c r="M305" s="217">
        <v>100</v>
      </c>
      <c r="N305" s="217">
        <v>100</v>
      </c>
      <c r="O305" s="217">
        <v>100</v>
      </c>
      <c r="P305" s="217">
        <v>100</v>
      </c>
      <c r="Q305" s="217">
        <v>100</v>
      </c>
    </row>
    <row r="306" spans="1:17" s="120" customFormat="1" x14ac:dyDescent="0.25">
      <c r="A306" s="1652" t="s">
        <v>664</v>
      </c>
      <c r="B306" s="1715"/>
      <c r="C306" s="1715"/>
      <c r="D306" s="1715"/>
      <c r="E306" s="1715"/>
      <c r="F306" s="42">
        <v>0</v>
      </c>
      <c r="G306" s="42">
        <v>187566.8</v>
      </c>
      <c r="H306" s="42">
        <f>H270+H281+H286+H290+H302+H304</f>
        <v>296793.76999999996</v>
      </c>
      <c r="I306" s="42">
        <v>191389.6267467349</v>
      </c>
      <c r="J306" s="42">
        <v>193359.57480024869</v>
      </c>
      <c r="K306" s="15"/>
      <c r="L306" s="2121"/>
      <c r="M306" s="2122"/>
      <c r="N306" s="2122"/>
      <c r="O306" s="2122"/>
      <c r="P306" s="2122"/>
      <c r="Q306" s="2123"/>
    </row>
    <row r="307" spans="1:17" x14ac:dyDescent="0.25">
      <c r="A307" s="1648" t="s">
        <v>665</v>
      </c>
      <c r="B307" s="1649"/>
      <c r="C307" s="1649"/>
      <c r="D307" s="1649"/>
      <c r="E307" s="1649"/>
      <c r="F307" s="1649"/>
      <c r="G307" s="1649"/>
      <c r="H307" s="1649"/>
      <c r="I307" s="1649"/>
      <c r="J307" s="1649"/>
      <c r="K307" s="1649"/>
      <c r="L307" s="1649"/>
      <c r="M307" s="1649"/>
      <c r="N307" s="1649"/>
      <c r="O307" s="1649"/>
      <c r="P307" s="1649"/>
      <c r="Q307" s="1650"/>
    </row>
    <row r="308" spans="1:17" s="110" customFormat="1" ht="85.5" x14ac:dyDescent="0.25">
      <c r="A308" s="337">
        <v>23</v>
      </c>
      <c r="B308" s="375">
        <v>1</v>
      </c>
      <c r="C308" s="316"/>
      <c r="D308" s="4"/>
      <c r="E308" s="646" t="s">
        <v>666</v>
      </c>
      <c r="F308" s="158">
        <v>111043.2</v>
      </c>
      <c r="G308" s="158">
        <v>153301.4</v>
      </c>
      <c r="H308" s="497">
        <f>H309+H310+H311+H312+H313+H314+H315+H316+H317</f>
        <v>414299.10800000001</v>
      </c>
      <c r="I308" s="158">
        <v>192391.49999999997</v>
      </c>
      <c r="J308" s="158">
        <v>195615.2</v>
      </c>
      <c r="K308" s="1208" t="s">
        <v>669</v>
      </c>
      <c r="L308" s="207" t="s">
        <v>34</v>
      </c>
      <c r="M308" s="207">
        <v>11.7</v>
      </c>
      <c r="N308" s="275">
        <v>8.4600000000000009</v>
      </c>
      <c r="O308" s="207">
        <v>7.6</v>
      </c>
      <c r="P308" s="275">
        <v>7.6</v>
      </c>
      <c r="Q308" s="207">
        <v>7.6</v>
      </c>
    </row>
    <row r="309" spans="1:17" s="110" customFormat="1" x14ac:dyDescent="0.25">
      <c r="A309" s="384"/>
      <c r="B309" s="379"/>
      <c r="C309" s="316" t="s">
        <v>4</v>
      </c>
      <c r="D309" s="81"/>
      <c r="E309" s="1097" t="s">
        <v>393</v>
      </c>
      <c r="F309" s="247">
        <v>9362.9</v>
      </c>
      <c r="G309" s="247">
        <v>12625.6</v>
      </c>
      <c r="H309" s="493">
        <f>12648+47376.469</f>
        <v>60024.468999999997</v>
      </c>
      <c r="I309" s="272">
        <v>22569.200000000001</v>
      </c>
      <c r="J309" s="272">
        <v>22990.7</v>
      </c>
      <c r="K309" s="1205" t="s">
        <v>438</v>
      </c>
      <c r="L309" s="247" t="s">
        <v>35</v>
      </c>
      <c r="M309" s="247">
        <v>39.700000000000003</v>
      </c>
      <c r="N309" s="247">
        <v>44.8</v>
      </c>
      <c r="O309" s="247">
        <v>45.3</v>
      </c>
      <c r="P309" s="247">
        <v>46.1</v>
      </c>
      <c r="Q309" s="247">
        <v>47.5</v>
      </c>
    </row>
    <row r="310" spans="1:17" s="110" customFormat="1" ht="30" x14ac:dyDescent="0.25">
      <c r="A310" s="384"/>
      <c r="B310" s="379"/>
      <c r="C310" s="316" t="s">
        <v>5</v>
      </c>
      <c r="D310" s="81"/>
      <c r="E310" s="1097" t="s">
        <v>394</v>
      </c>
      <c r="F310" s="247">
        <v>5461.5</v>
      </c>
      <c r="G310" s="272">
        <v>12565</v>
      </c>
      <c r="H310" s="493">
        <f>4618.9+39795.069</f>
        <v>44413.969000000005</v>
      </c>
      <c r="I310" s="272">
        <v>14786.2</v>
      </c>
      <c r="J310" s="272">
        <v>15115.8</v>
      </c>
      <c r="K310" s="1205" t="s">
        <v>515</v>
      </c>
      <c r="L310" s="247" t="s">
        <v>34</v>
      </c>
      <c r="M310" s="247">
        <v>89</v>
      </c>
      <c r="N310" s="247">
        <v>92</v>
      </c>
      <c r="O310" s="247">
        <v>92</v>
      </c>
      <c r="P310" s="247">
        <v>92</v>
      </c>
      <c r="Q310" s="247">
        <v>92</v>
      </c>
    </row>
    <row r="311" spans="1:17" s="110" customFormat="1" ht="30" x14ac:dyDescent="0.25">
      <c r="A311" s="384"/>
      <c r="B311" s="379"/>
      <c r="C311" s="316" t="s">
        <v>7</v>
      </c>
      <c r="D311" s="81"/>
      <c r="E311" s="1097" t="s">
        <v>395</v>
      </c>
      <c r="F311" s="272">
        <v>5275</v>
      </c>
      <c r="G311" s="247">
        <v>13133.7</v>
      </c>
      <c r="H311" s="493">
        <f>3337.1+38645.569</f>
        <v>41982.669000000002</v>
      </c>
      <c r="I311" s="272">
        <v>12427.5</v>
      </c>
      <c r="J311" s="272">
        <v>12729.2</v>
      </c>
      <c r="K311" s="50" t="s">
        <v>602</v>
      </c>
      <c r="L311" s="247" t="s">
        <v>34</v>
      </c>
      <c r="M311" s="247">
        <v>0</v>
      </c>
      <c r="N311" s="247">
        <v>100</v>
      </c>
      <c r="O311" s="247">
        <v>100</v>
      </c>
      <c r="P311" s="247">
        <v>100</v>
      </c>
      <c r="Q311" s="247">
        <v>100</v>
      </c>
    </row>
    <row r="312" spans="1:17" s="110" customFormat="1" ht="30" x14ac:dyDescent="0.25">
      <c r="A312" s="384"/>
      <c r="B312" s="379"/>
      <c r="C312" s="316" t="s">
        <v>9</v>
      </c>
      <c r="D312" s="81"/>
      <c r="E312" s="1097" t="s">
        <v>396</v>
      </c>
      <c r="F312" s="272">
        <v>5444</v>
      </c>
      <c r="G312" s="247">
        <v>12751.8</v>
      </c>
      <c r="H312" s="493">
        <f>5135.3+42476.869</f>
        <v>47612.169000000002</v>
      </c>
      <c r="I312" s="272">
        <v>16120.6</v>
      </c>
      <c r="J312" s="272">
        <v>16465.900000000001</v>
      </c>
      <c r="K312" s="1205" t="s">
        <v>670</v>
      </c>
      <c r="L312" s="247" t="s">
        <v>78</v>
      </c>
      <c r="M312" s="247">
        <v>0</v>
      </c>
      <c r="N312" s="247">
        <v>100</v>
      </c>
      <c r="O312" s="247">
        <v>100</v>
      </c>
      <c r="P312" s="247">
        <v>100</v>
      </c>
      <c r="Q312" s="247">
        <v>100</v>
      </c>
    </row>
    <row r="313" spans="1:17" s="110" customFormat="1" ht="30" x14ac:dyDescent="0.25">
      <c r="A313" s="384"/>
      <c r="B313" s="379"/>
      <c r="C313" s="316" t="s">
        <v>11</v>
      </c>
      <c r="D313" s="81"/>
      <c r="E313" s="1097" t="s">
        <v>533</v>
      </c>
      <c r="F313" s="247">
        <v>5425.8</v>
      </c>
      <c r="G313" s="247">
        <v>11004.5</v>
      </c>
      <c r="H313" s="493">
        <f>1715.1+38856.969</f>
        <v>40572.068999999996</v>
      </c>
      <c r="I313" s="272">
        <v>12354.3</v>
      </c>
      <c r="J313" s="272">
        <v>12654.5</v>
      </c>
      <c r="K313" s="1205" t="s">
        <v>671</v>
      </c>
      <c r="L313" s="247" t="s">
        <v>36</v>
      </c>
      <c r="M313" s="247">
        <v>0</v>
      </c>
      <c r="N313" s="247">
        <v>270</v>
      </c>
      <c r="O313" s="247">
        <v>278</v>
      </c>
      <c r="P313" s="247">
        <v>286</v>
      </c>
      <c r="Q313" s="247">
        <v>295</v>
      </c>
    </row>
    <row r="314" spans="1:17" s="110" customFormat="1" ht="45" x14ac:dyDescent="0.25">
      <c r="A314" s="384"/>
      <c r="B314" s="379"/>
      <c r="C314" s="316" t="s">
        <v>13</v>
      </c>
      <c r="D314" s="81"/>
      <c r="E314" s="1097" t="s">
        <v>398</v>
      </c>
      <c r="F314" s="247">
        <v>53912.7</v>
      </c>
      <c r="G314" s="247">
        <v>57550.5</v>
      </c>
      <c r="H314" s="493">
        <f>61065.5+43510.794</f>
        <v>104576.29399999999</v>
      </c>
      <c r="I314" s="272">
        <v>74118</v>
      </c>
      <c r="J314" s="272">
        <v>75222</v>
      </c>
      <c r="K314" s="1205" t="s">
        <v>481</v>
      </c>
      <c r="L314" s="247" t="s">
        <v>34</v>
      </c>
      <c r="M314" s="247">
        <v>37</v>
      </c>
      <c r="N314" s="247">
        <v>37</v>
      </c>
      <c r="O314" s="247">
        <v>20.6</v>
      </c>
      <c r="P314" s="247">
        <v>20.6</v>
      </c>
      <c r="Q314" s="247">
        <v>20.6</v>
      </c>
    </row>
    <row r="315" spans="1:17" s="110" customFormat="1" ht="60" x14ac:dyDescent="0.25">
      <c r="A315" s="384"/>
      <c r="B315" s="379"/>
      <c r="C315" s="316" t="s">
        <v>15</v>
      </c>
      <c r="D315" s="81"/>
      <c r="E315" s="1097" t="s">
        <v>667</v>
      </c>
      <c r="F315" s="247">
        <v>5507.8</v>
      </c>
      <c r="G315" s="247">
        <v>10642.2</v>
      </c>
      <c r="H315" s="493">
        <f>4906.4+42225.669</f>
        <v>47132.069000000003</v>
      </c>
      <c r="I315" s="272">
        <v>19004.900000000001</v>
      </c>
      <c r="J315" s="272">
        <v>19383.5</v>
      </c>
      <c r="K315" s="1205" t="s">
        <v>672</v>
      </c>
      <c r="L315" s="247" t="s">
        <v>34</v>
      </c>
      <c r="M315" s="247">
        <v>75</v>
      </c>
      <c r="N315" s="247">
        <v>49.2</v>
      </c>
      <c r="O315" s="247">
        <v>50.7</v>
      </c>
      <c r="P315" s="247">
        <v>52.2</v>
      </c>
      <c r="Q315" s="247">
        <v>53.8</v>
      </c>
    </row>
    <row r="316" spans="1:17" s="110" customFormat="1" x14ac:dyDescent="0.25">
      <c r="A316" s="384"/>
      <c r="B316" s="379"/>
      <c r="C316" s="316" t="s">
        <v>16</v>
      </c>
      <c r="D316" s="81"/>
      <c r="E316" s="1097" t="s">
        <v>554</v>
      </c>
      <c r="F316" s="247"/>
      <c r="G316" s="247"/>
      <c r="H316" s="493"/>
      <c r="I316" s="247"/>
      <c r="J316" s="247"/>
      <c r="K316" s="1205"/>
      <c r="L316" s="247"/>
      <c r="M316" s="247"/>
      <c r="N316" s="247"/>
      <c r="O316" s="247"/>
      <c r="P316" s="247"/>
      <c r="Q316" s="247"/>
    </row>
    <row r="317" spans="1:17" s="110" customFormat="1" ht="45" x14ac:dyDescent="0.25">
      <c r="A317" s="337"/>
      <c r="B317" s="375"/>
      <c r="C317" s="316" t="s">
        <v>24</v>
      </c>
      <c r="D317" s="81"/>
      <c r="E317" s="1150" t="s">
        <v>668</v>
      </c>
      <c r="F317" s="247">
        <v>20653.5</v>
      </c>
      <c r="G317" s="247">
        <v>23028.1</v>
      </c>
      <c r="H317" s="247">
        <f>3557.6+24427.8</f>
        <v>27985.399999999998</v>
      </c>
      <c r="I317" s="272">
        <v>21010.799999999999</v>
      </c>
      <c r="J317" s="247">
        <v>21053.599999999999</v>
      </c>
      <c r="K317" s="1205" t="s">
        <v>673</v>
      </c>
      <c r="L317" s="247" t="s">
        <v>44</v>
      </c>
      <c r="M317" s="247">
        <v>29</v>
      </c>
      <c r="N317" s="247">
        <v>49</v>
      </c>
      <c r="O317" s="247">
        <v>50</v>
      </c>
      <c r="P317" s="247">
        <v>51</v>
      </c>
      <c r="Q317" s="247">
        <v>53</v>
      </c>
    </row>
    <row r="318" spans="1:17" s="110" customFormat="1" ht="99.75" x14ac:dyDescent="0.25">
      <c r="A318" s="403">
        <v>23</v>
      </c>
      <c r="B318" s="360">
        <v>2</v>
      </c>
      <c r="C318" s="318"/>
      <c r="D318" s="388"/>
      <c r="E318" s="118" t="s">
        <v>674</v>
      </c>
      <c r="F318" s="227">
        <v>181542.00000000003</v>
      </c>
      <c r="G318" s="227">
        <v>70708.099999999991</v>
      </c>
      <c r="H318" s="490">
        <f>H319+H320+H321+H322+H323+H324+H325</f>
        <v>325036.283</v>
      </c>
      <c r="I318" s="227">
        <v>116537.4</v>
      </c>
      <c r="J318" s="227">
        <v>118990.20000000001</v>
      </c>
      <c r="K318" s="144" t="s">
        <v>684</v>
      </c>
      <c r="L318" s="221" t="s">
        <v>91</v>
      </c>
      <c r="M318" s="221"/>
      <c r="N318" s="10">
        <v>585</v>
      </c>
      <c r="O318" s="10">
        <v>603</v>
      </c>
      <c r="P318" s="10">
        <v>621</v>
      </c>
      <c r="Q318" s="10">
        <v>640</v>
      </c>
    </row>
    <row r="319" spans="1:17" s="110" customFormat="1" ht="45" x14ac:dyDescent="0.25">
      <c r="A319" s="378"/>
      <c r="B319" s="365"/>
      <c r="C319" s="319">
        <v>1</v>
      </c>
      <c r="D319" s="12"/>
      <c r="E319" s="1128" t="s">
        <v>675</v>
      </c>
      <c r="F319" s="245">
        <v>23326.400000000001</v>
      </c>
      <c r="G319" s="166">
        <v>250.2</v>
      </c>
      <c r="H319" s="273">
        <f>3609+42165.269</f>
        <v>45774.269</v>
      </c>
      <c r="I319" s="273">
        <v>16648.2</v>
      </c>
      <c r="J319" s="273">
        <v>16998.599999999999</v>
      </c>
      <c r="K319" s="1128" t="s">
        <v>685</v>
      </c>
      <c r="L319" s="221" t="s">
        <v>44</v>
      </c>
      <c r="M319" s="221"/>
      <c r="N319" s="39">
        <v>70</v>
      </c>
      <c r="O319" s="39">
        <v>72</v>
      </c>
      <c r="P319" s="39">
        <v>74</v>
      </c>
      <c r="Q319" s="39">
        <v>76</v>
      </c>
    </row>
    <row r="320" spans="1:17" s="110" customFormat="1" ht="90" x14ac:dyDescent="0.25">
      <c r="A320" s="384"/>
      <c r="B320" s="379"/>
      <c r="C320" s="317">
        <v>2</v>
      </c>
      <c r="D320" s="266"/>
      <c r="E320" s="1138" t="s">
        <v>676</v>
      </c>
      <c r="F320" s="247">
        <v>23319.7</v>
      </c>
      <c r="G320" s="167">
        <v>250.2</v>
      </c>
      <c r="H320" s="273">
        <f>3609+42165.169</f>
        <v>45774.169000000002</v>
      </c>
      <c r="I320" s="273">
        <v>16648.2</v>
      </c>
      <c r="J320" s="273">
        <v>16998.599999999999</v>
      </c>
      <c r="K320" s="1138" t="s">
        <v>682</v>
      </c>
      <c r="L320" s="221" t="s">
        <v>44</v>
      </c>
      <c r="M320" s="221">
        <v>39</v>
      </c>
      <c r="N320" s="39">
        <v>26</v>
      </c>
      <c r="O320" s="39">
        <v>40</v>
      </c>
      <c r="P320" s="39">
        <v>41</v>
      </c>
      <c r="Q320" s="39">
        <v>42</v>
      </c>
    </row>
    <row r="321" spans="1:17" s="110" customFormat="1" ht="90" x14ac:dyDescent="0.25">
      <c r="A321" s="378"/>
      <c r="B321" s="365"/>
      <c r="C321" s="317">
        <v>3</v>
      </c>
      <c r="D321" s="266"/>
      <c r="E321" s="1138" t="s">
        <v>677</v>
      </c>
      <c r="F321" s="245">
        <v>19209.8</v>
      </c>
      <c r="G321" s="166">
        <v>250.2</v>
      </c>
      <c r="H321" s="273">
        <f>7529+42862.169</f>
        <v>50391.169000000002</v>
      </c>
      <c r="I321" s="273">
        <v>16648.2</v>
      </c>
      <c r="J321" s="273">
        <v>16998.599999999999</v>
      </c>
      <c r="K321" s="1128" t="s">
        <v>683</v>
      </c>
      <c r="L321" s="221" t="s">
        <v>44</v>
      </c>
      <c r="M321" s="221">
        <v>62</v>
      </c>
      <c r="N321" s="39">
        <v>70</v>
      </c>
      <c r="O321" s="39">
        <v>72</v>
      </c>
      <c r="P321" s="39">
        <v>74</v>
      </c>
      <c r="Q321" s="39">
        <v>76</v>
      </c>
    </row>
    <row r="322" spans="1:17" s="110" customFormat="1" ht="60" x14ac:dyDescent="0.25">
      <c r="A322" s="378"/>
      <c r="B322" s="365"/>
      <c r="C322" s="319">
        <v>4</v>
      </c>
      <c r="D322" s="244"/>
      <c r="E322" s="1138" t="s">
        <v>678</v>
      </c>
      <c r="F322" s="245">
        <v>12816.1</v>
      </c>
      <c r="G322" s="245">
        <v>15712.9</v>
      </c>
      <c r="H322" s="273">
        <f>3609+42165.169</f>
        <v>45774.169000000002</v>
      </c>
      <c r="I322" s="273">
        <v>16648.2</v>
      </c>
      <c r="J322" s="273">
        <v>16998.599999999999</v>
      </c>
      <c r="K322" s="1138" t="s">
        <v>686</v>
      </c>
      <c r="L322" s="221" t="s">
        <v>91</v>
      </c>
      <c r="M322" s="221"/>
      <c r="N322" s="39">
        <v>53</v>
      </c>
      <c r="O322" s="39">
        <v>55</v>
      </c>
      <c r="P322" s="39">
        <v>57</v>
      </c>
      <c r="Q322" s="39">
        <v>59</v>
      </c>
    </row>
    <row r="323" spans="1:17" s="110" customFormat="1" ht="75" x14ac:dyDescent="0.25">
      <c r="A323" s="378"/>
      <c r="B323" s="365"/>
      <c r="C323" s="319">
        <v>5</v>
      </c>
      <c r="D323" s="244"/>
      <c r="E323" s="1138" t="s">
        <v>679</v>
      </c>
      <c r="F323" s="245">
        <v>71558.899999999994</v>
      </c>
      <c r="G323" s="245">
        <v>29332.6</v>
      </c>
      <c r="H323" s="273">
        <f>3609+42165.169</f>
        <v>45774.169000000002</v>
      </c>
      <c r="I323" s="273">
        <v>16648.2</v>
      </c>
      <c r="J323" s="273">
        <v>16998.599999999999</v>
      </c>
      <c r="K323" s="1138" t="s">
        <v>687</v>
      </c>
      <c r="L323" s="221" t="s">
        <v>44</v>
      </c>
      <c r="M323" s="221"/>
      <c r="N323" s="39">
        <v>1</v>
      </c>
      <c r="O323" s="39">
        <v>1</v>
      </c>
      <c r="P323" s="39">
        <v>1</v>
      </c>
      <c r="Q323" s="39">
        <v>1</v>
      </c>
    </row>
    <row r="324" spans="1:17" s="110" customFormat="1" ht="45" x14ac:dyDescent="0.25">
      <c r="A324" s="378"/>
      <c r="B324" s="365"/>
      <c r="C324" s="319">
        <v>6</v>
      </c>
      <c r="D324" s="244"/>
      <c r="E324" s="1138" t="s">
        <v>680</v>
      </c>
      <c r="F324" s="245">
        <v>19864.2</v>
      </c>
      <c r="G324" s="282">
        <v>13465.1</v>
      </c>
      <c r="H324" s="273">
        <f>3609+42165.169</f>
        <v>45774.169000000002</v>
      </c>
      <c r="I324" s="273">
        <v>16648.2</v>
      </c>
      <c r="J324" s="273">
        <v>16998.599999999999</v>
      </c>
      <c r="K324" s="1138" t="s">
        <v>688</v>
      </c>
      <c r="L324" s="221" t="s">
        <v>44</v>
      </c>
      <c r="M324" s="221">
        <v>1249</v>
      </c>
      <c r="N324" s="40">
        <v>1261</v>
      </c>
      <c r="O324" s="40">
        <v>1274</v>
      </c>
      <c r="P324" s="40">
        <v>1287</v>
      </c>
      <c r="Q324" s="40">
        <v>1300</v>
      </c>
    </row>
    <row r="325" spans="1:17" s="110" customFormat="1" ht="45" x14ac:dyDescent="0.25">
      <c r="A325" s="378"/>
      <c r="B325" s="365"/>
      <c r="C325" s="319">
        <v>7</v>
      </c>
      <c r="D325" s="244"/>
      <c r="E325" s="1138" t="s">
        <v>681</v>
      </c>
      <c r="F325" s="245">
        <v>11446.9</v>
      </c>
      <c r="G325" s="245">
        <v>11446.9</v>
      </c>
      <c r="H325" s="273">
        <f>3609+42165.169</f>
        <v>45774.169000000002</v>
      </c>
      <c r="I325" s="273">
        <v>16648.2</v>
      </c>
      <c r="J325" s="273">
        <v>16998.599999999999</v>
      </c>
      <c r="K325" s="1138" t="s">
        <v>689</v>
      </c>
      <c r="L325" s="221" t="s">
        <v>44</v>
      </c>
      <c r="M325" s="221">
        <v>636</v>
      </c>
      <c r="N325" s="39">
        <v>642</v>
      </c>
      <c r="O325" s="39">
        <v>661</v>
      </c>
      <c r="P325" s="39">
        <v>667</v>
      </c>
      <c r="Q325" s="39">
        <v>674</v>
      </c>
    </row>
    <row r="326" spans="1:17" s="110" customFormat="1" ht="99.75" x14ac:dyDescent="0.25">
      <c r="A326" s="403">
        <v>23</v>
      </c>
      <c r="B326" s="360">
        <v>3</v>
      </c>
      <c r="C326" s="318"/>
      <c r="D326" s="256"/>
      <c r="E326" s="118" t="s">
        <v>690</v>
      </c>
      <c r="F326" s="227">
        <v>24256.400000000001</v>
      </c>
      <c r="G326" s="227">
        <v>53253.599999999999</v>
      </c>
      <c r="H326" s="227">
        <f>H327+H328</f>
        <v>83120.138999999996</v>
      </c>
      <c r="I326" s="227">
        <v>33296.199999999997</v>
      </c>
      <c r="J326" s="227">
        <v>33997</v>
      </c>
      <c r="K326" s="144" t="s">
        <v>693</v>
      </c>
      <c r="L326" s="221" t="s">
        <v>44</v>
      </c>
      <c r="M326" s="221">
        <v>8</v>
      </c>
      <c r="N326" s="221">
        <v>9</v>
      </c>
      <c r="O326" s="221">
        <v>10</v>
      </c>
      <c r="P326" s="221">
        <v>11</v>
      </c>
      <c r="Q326" s="221">
        <v>12</v>
      </c>
    </row>
    <row r="327" spans="1:17" s="110" customFormat="1" ht="45" x14ac:dyDescent="0.25">
      <c r="A327" s="378"/>
      <c r="B327" s="365"/>
      <c r="C327" s="318" t="s">
        <v>4</v>
      </c>
      <c r="D327" s="256"/>
      <c r="E327" s="1205" t="s">
        <v>691</v>
      </c>
      <c r="F327" s="245">
        <v>12128.2</v>
      </c>
      <c r="G327" s="245">
        <v>26289.3</v>
      </c>
      <c r="H327" s="273">
        <f>3609+42165.169</f>
        <v>45774.169000000002</v>
      </c>
      <c r="I327" s="282">
        <v>16648.099999999999</v>
      </c>
      <c r="J327" s="282">
        <v>16998.5</v>
      </c>
      <c r="K327" s="149" t="s">
        <v>694</v>
      </c>
      <c r="L327" s="221" t="s">
        <v>44</v>
      </c>
      <c r="M327" s="221">
        <v>2</v>
      </c>
      <c r="N327" s="39">
        <v>2</v>
      </c>
      <c r="O327" s="39">
        <v>3</v>
      </c>
      <c r="P327" s="39">
        <v>3</v>
      </c>
      <c r="Q327" s="39">
        <v>3</v>
      </c>
    </row>
    <row r="328" spans="1:17" s="110" customFormat="1" ht="30" x14ac:dyDescent="0.25">
      <c r="A328" s="378"/>
      <c r="B328" s="365"/>
      <c r="C328" s="318" t="s">
        <v>5</v>
      </c>
      <c r="D328" s="256"/>
      <c r="E328" s="1128" t="s">
        <v>692</v>
      </c>
      <c r="F328" s="245">
        <v>12128.2</v>
      </c>
      <c r="G328" s="166">
        <v>26964.3</v>
      </c>
      <c r="H328" s="273">
        <f>3609+33736.97</f>
        <v>37345.97</v>
      </c>
      <c r="I328" s="282">
        <v>16648.099999999999</v>
      </c>
      <c r="J328" s="282">
        <v>16998.5</v>
      </c>
      <c r="K328" s="1205" t="s">
        <v>695</v>
      </c>
      <c r="L328" s="221" t="s">
        <v>44</v>
      </c>
      <c r="M328" s="221"/>
      <c r="N328" s="39">
        <v>6</v>
      </c>
      <c r="O328" s="39">
        <v>7</v>
      </c>
      <c r="P328" s="39">
        <v>8</v>
      </c>
      <c r="Q328" s="39">
        <v>9</v>
      </c>
    </row>
    <row r="329" spans="1:17" s="110" customFormat="1" ht="99.75" x14ac:dyDescent="0.25">
      <c r="A329" s="403">
        <v>23</v>
      </c>
      <c r="B329" s="360">
        <v>4</v>
      </c>
      <c r="C329" s="318"/>
      <c r="D329" s="256"/>
      <c r="E329" s="118" t="s">
        <v>696</v>
      </c>
      <c r="F329" s="290">
        <v>1011367.8</v>
      </c>
      <c r="G329" s="157">
        <v>926420.9</v>
      </c>
      <c r="H329" s="498">
        <f>H331+H332+H333</f>
        <v>1204521.1000000001</v>
      </c>
      <c r="I329" s="157">
        <v>1187857.7</v>
      </c>
      <c r="J329" s="157">
        <v>1203656.3</v>
      </c>
      <c r="K329" s="144" t="s">
        <v>700</v>
      </c>
      <c r="L329" s="221" t="s">
        <v>44</v>
      </c>
      <c r="M329" s="221">
        <v>3259</v>
      </c>
      <c r="N329" s="39">
        <v>3292</v>
      </c>
      <c r="O329" s="39">
        <v>3325</v>
      </c>
      <c r="P329" s="39">
        <v>3358</v>
      </c>
      <c r="Q329" s="39">
        <v>3392</v>
      </c>
    </row>
    <row r="330" spans="1:17" s="110" customFormat="1" hidden="1" x14ac:dyDescent="0.25">
      <c r="A330" s="378"/>
      <c r="B330" s="365"/>
      <c r="C330" s="318"/>
      <c r="D330" s="256"/>
      <c r="E330" s="1156"/>
      <c r="F330" s="245"/>
      <c r="G330" s="245"/>
      <c r="H330" s="273"/>
      <c r="I330" s="273"/>
      <c r="J330" s="273"/>
      <c r="K330" s="1138"/>
      <c r="L330" s="221"/>
      <c r="M330" s="221"/>
      <c r="N330" s="39"/>
      <c r="O330" s="39"/>
      <c r="P330" s="39"/>
      <c r="Q330" s="39"/>
    </row>
    <row r="331" spans="1:17" s="110" customFormat="1" ht="75" x14ac:dyDescent="0.25">
      <c r="A331" s="378"/>
      <c r="B331" s="365"/>
      <c r="C331" s="318" t="s">
        <v>4</v>
      </c>
      <c r="D331" s="256"/>
      <c r="E331" s="1205" t="s">
        <v>697</v>
      </c>
      <c r="F331" s="282">
        <v>426004.7</v>
      </c>
      <c r="G331" s="282">
        <v>361454.5</v>
      </c>
      <c r="H331" s="273">
        <f>436637.9+100468.5</f>
        <v>537106.4</v>
      </c>
      <c r="I331" s="273">
        <v>574184.69999999995</v>
      </c>
      <c r="J331" s="273">
        <v>581729.1</v>
      </c>
      <c r="K331" s="1138" t="s">
        <v>701</v>
      </c>
      <c r="L331" s="221" t="s">
        <v>44</v>
      </c>
      <c r="M331" s="221">
        <v>202</v>
      </c>
      <c r="N331" s="39">
        <v>202</v>
      </c>
      <c r="O331" s="39">
        <v>202</v>
      </c>
      <c r="P331" s="39">
        <v>208</v>
      </c>
      <c r="Q331" s="39">
        <v>208</v>
      </c>
    </row>
    <row r="332" spans="1:17" s="110" customFormat="1" ht="75" x14ac:dyDescent="0.25">
      <c r="A332" s="378"/>
      <c r="B332" s="365"/>
      <c r="C332" s="318" t="s">
        <v>5</v>
      </c>
      <c r="D332" s="256"/>
      <c r="E332" s="1205" t="s">
        <v>698</v>
      </c>
      <c r="F332" s="245">
        <v>436198.2</v>
      </c>
      <c r="G332" s="282">
        <v>343101.8</v>
      </c>
      <c r="H332" s="273">
        <f>363736.8+104237.7</f>
        <v>467974.5</v>
      </c>
      <c r="I332" s="273">
        <v>407739</v>
      </c>
      <c r="J332" s="273">
        <v>413192.4</v>
      </c>
      <c r="K332" s="1138" t="s">
        <v>702</v>
      </c>
      <c r="L332" s="221" t="s">
        <v>44</v>
      </c>
      <c r="M332" s="221"/>
      <c r="N332" s="39">
        <v>32</v>
      </c>
      <c r="O332" s="39">
        <v>33</v>
      </c>
      <c r="P332" s="39">
        <v>35</v>
      </c>
      <c r="Q332" s="39">
        <v>36</v>
      </c>
    </row>
    <row r="333" spans="1:17" s="110" customFormat="1" ht="75" x14ac:dyDescent="0.25">
      <c r="A333" s="378"/>
      <c r="B333" s="365"/>
      <c r="C333" s="318" t="s">
        <v>7</v>
      </c>
      <c r="D333" s="256"/>
      <c r="E333" s="1205" t="s">
        <v>699</v>
      </c>
      <c r="F333" s="245">
        <v>149164.9</v>
      </c>
      <c r="G333" s="282">
        <v>221864.6</v>
      </c>
      <c r="H333" s="273">
        <f>158202.7+41237.5</f>
        <v>199440.2</v>
      </c>
      <c r="I333" s="273">
        <v>205934</v>
      </c>
      <c r="J333" s="273">
        <v>208734.8</v>
      </c>
      <c r="K333" s="1205" t="s">
        <v>703</v>
      </c>
      <c r="L333" s="221" t="s">
        <v>44</v>
      </c>
      <c r="M333" s="221"/>
      <c r="N333" s="39">
        <v>1220</v>
      </c>
      <c r="O333" s="39">
        <v>1232</v>
      </c>
      <c r="P333" s="39">
        <v>1244</v>
      </c>
      <c r="Q333" s="39">
        <v>1256</v>
      </c>
    </row>
    <row r="334" spans="1:17" s="110" customFormat="1" ht="78.75" customHeight="1" x14ac:dyDescent="0.25">
      <c r="A334" s="337">
        <v>23</v>
      </c>
      <c r="B334" s="375">
        <v>5</v>
      </c>
      <c r="C334" s="316"/>
      <c r="D334" s="257"/>
      <c r="E334" s="118" t="s">
        <v>704</v>
      </c>
      <c r="F334" s="157">
        <v>104270.59999999999</v>
      </c>
      <c r="G334" s="157">
        <v>414717.7</v>
      </c>
      <c r="H334" s="498">
        <f>H335+H336+H339</f>
        <v>475372.17</v>
      </c>
      <c r="I334" s="157">
        <v>255009.19999999998</v>
      </c>
      <c r="J334" s="157">
        <v>258707.5</v>
      </c>
      <c r="K334" s="144" t="s">
        <v>708</v>
      </c>
      <c r="L334" s="221"/>
      <c r="M334" s="221"/>
      <c r="N334" s="39"/>
      <c r="O334" s="39"/>
      <c r="P334" s="39"/>
      <c r="Q334" s="39"/>
    </row>
    <row r="335" spans="1:17" s="110" customFormat="1" ht="60" x14ac:dyDescent="0.25">
      <c r="A335" s="384"/>
      <c r="B335" s="379"/>
      <c r="C335" s="316" t="s">
        <v>4</v>
      </c>
      <c r="D335" s="257"/>
      <c r="E335" s="1205" t="s">
        <v>705</v>
      </c>
      <c r="F335" s="282">
        <v>83497.7</v>
      </c>
      <c r="G335" s="245">
        <v>351180.6</v>
      </c>
      <c r="H335" s="273">
        <f>146626.4+68464.2</f>
        <v>215090.59999999998</v>
      </c>
      <c r="I335" s="273">
        <v>201017.8</v>
      </c>
      <c r="J335" s="273">
        <v>203770</v>
      </c>
      <c r="K335" s="149" t="s">
        <v>709</v>
      </c>
      <c r="L335" s="221" t="s">
        <v>44</v>
      </c>
      <c r="M335" s="221">
        <v>42796</v>
      </c>
      <c r="N335" s="40">
        <v>43224</v>
      </c>
      <c r="O335" s="40">
        <v>44521</v>
      </c>
      <c r="P335" s="40">
        <v>45857</v>
      </c>
      <c r="Q335" s="40">
        <v>47233</v>
      </c>
    </row>
    <row r="336" spans="1:17" s="110" customFormat="1" ht="30" x14ac:dyDescent="0.25">
      <c r="A336" s="2230"/>
      <c r="B336" s="2257"/>
      <c r="C336" s="2229" t="s">
        <v>5</v>
      </c>
      <c r="D336" s="2229"/>
      <c r="E336" s="2312" t="s">
        <v>706</v>
      </c>
      <c r="F336" s="2437">
        <v>16069</v>
      </c>
      <c r="G336" s="2267">
        <v>35951.199999999997</v>
      </c>
      <c r="H336" s="2254">
        <f>18686.3+217665.37</f>
        <v>236351.66999999998</v>
      </c>
      <c r="I336" s="2254">
        <v>38402.400000000001</v>
      </c>
      <c r="J336" s="2254">
        <v>38995.1</v>
      </c>
      <c r="K336" s="119" t="s">
        <v>710</v>
      </c>
      <c r="L336" s="221" t="s">
        <v>44</v>
      </c>
      <c r="M336" s="221">
        <v>18930</v>
      </c>
      <c r="N336" s="40">
        <v>19947</v>
      </c>
      <c r="O336" s="40">
        <v>20545</v>
      </c>
      <c r="P336" s="40">
        <v>21161</v>
      </c>
      <c r="Q336" s="40">
        <v>21796</v>
      </c>
    </row>
    <row r="337" spans="1:17" s="110" customFormat="1" ht="30" x14ac:dyDescent="0.25">
      <c r="A337" s="1643"/>
      <c r="B337" s="1641"/>
      <c r="C337" s="1690"/>
      <c r="D337" s="1690"/>
      <c r="E337" s="1685"/>
      <c r="F337" s="2438"/>
      <c r="G337" s="1926"/>
      <c r="H337" s="1778"/>
      <c r="I337" s="1778"/>
      <c r="J337" s="1778"/>
      <c r="K337" s="119" t="s">
        <v>711</v>
      </c>
      <c r="L337" s="221" t="s">
        <v>44</v>
      </c>
      <c r="M337" s="221">
        <v>44170</v>
      </c>
      <c r="N337" s="40">
        <v>45495</v>
      </c>
      <c r="O337" s="40">
        <v>46860</v>
      </c>
      <c r="P337" s="40">
        <v>48266</v>
      </c>
      <c r="Q337" s="40">
        <v>49714</v>
      </c>
    </row>
    <row r="338" spans="1:17" s="110" customFormat="1" ht="30" x14ac:dyDescent="0.25">
      <c r="A338" s="1644"/>
      <c r="B338" s="1638"/>
      <c r="C338" s="1670"/>
      <c r="D338" s="1670"/>
      <c r="E338" s="1686"/>
      <c r="F338" s="2439"/>
      <c r="G338" s="1773"/>
      <c r="H338" s="1775"/>
      <c r="I338" s="1775"/>
      <c r="J338" s="1775"/>
      <c r="K338" s="1097" t="s">
        <v>712</v>
      </c>
      <c r="L338" s="221" t="s">
        <v>34</v>
      </c>
      <c r="M338" s="221">
        <v>90</v>
      </c>
      <c r="N338" s="39">
        <v>93</v>
      </c>
      <c r="O338" s="39">
        <v>96</v>
      </c>
      <c r="P338" s="39">
        <v>99</v>
      </c>
      <c r="Q338" s="39">
        <v>100</v>
      </c>
    </row>
    <row r="339" spans="1:17" s="110" customFormat="1" ht="30" x14ac:dyDescent="0.25">
      <c r="A339" s="384"/>
      <c r="B339" s="379"/>
      <c r="C339" s="316" t="s">
        <v>7</v>
      </c>
      <c r="D339" s="257"/>
      <c r="E339" s="1205" t="s">
        <v>707</v>
      </c>
      <c r="F339" s="166">
        <v>4703.8999999999996</v>
      </c>
      <c r="G339" s="245">
        <v>27585.9</v>
      </c>
      <c r="H339" s="273">
        <v>23929.9</v>
      </c>
      <c r="I339" s="273">
        <v>15589</v>
      </c>
      <c r="J339" s="273">
        <v>15942.4</v>
      </c>
      <c r="K339" s="1113" t="s">
        <v>713</v>
      </c>
      <c r="L339" s="221" t="s">
        <v>44</v>
      </c>
      <c r="M339" s="221">
        <v>0</v>
      </c>
      <c r="N339" s="39">
        <v>0</v>
      </c>
      <c r="O339" s="39">
        <v>1</v>
      </c>
      <c r="P339" s="39">
        <v>1</v>
      </c>
      <c r="Q339" s="39">
        <v>1</v>
      </c>
    </row>
    <row r="340" spans="1:17" s="120" customFormat="1" ht="15" customHeight="1" x14ac:dyDescent="0.25">
      <c r="A340" s="1652" t="s">
        <v>886</v>
      </c>
      <c r="B340" s="1715"/>
      <c r="C340" s="1715"/>
      <c r="D340" s="1715"/>
      <c r="E340" s="1716"/>
      <c r="F340" s="42">
        <v>1432480.0000000002</v>
      </c>
      <c r="G340" s="42">
        <v>1618401.7</v>
      </c>
      <c r="H340" s="42">
        <f>H308+H318+H326+H329+H334</f>
        <v>2502348.8000000003</v>
      </c>
      <c r="I340" s="42">
        <v>1785091.9999999998</v>
      </c>
      <c r="J340" s="42">
        <v>1810966.2000000002</v>
      </c>
      <c r="K340" s="15"/>
      <c r="L340" s="2185"/>
      <c r="M340" s="2186"/>
      <c r="N340" s="2186"/>
      <c r="O340" s="2186"/>
      <c r="P340" s="2186"/>
      <c r="Q340" s="2187"/>
    </row>
    <row r="341" spans="1:17" s="110" customFormat="1" ht="15" customHeight="1" x14ac:dyDescent="0.25">
      <c r="A341" s="1648" t="s">
        <v>663</v>
      </c>
      <c r="B341" s="1649"/>
      <c r="C341" s="1649"/>
      <c r="D341" s="1649"/>
      <c r="E341" s="1649"/>
      <c r="F341" s="1649"/>
      <c r="G341" s="1649"/>
      <c r="H341" s="1649"/>
      <c r="I341" s="1649"/>
      <c r="J341" s="1649"/>
      <c r="K341" s="1649"/>
      <c r="L341" s="1649"/>
      <c r="M341" s="1649"/>
      <c r="N341" s="1649"/>
      <c r="O341" s="1649"/>
      <c r="P341" s="1649"/>
      <c r="Q341" s="1650"/>
    </row>
    <row r="342" spans="1:17" s="201" customFormat="1" ht="15" customHeight="1" x14ac:dyDescent="0.2">
      <c r="A342" s="459">
        <v>24</v>
      </c>
      <c r="B342" s="468">
        <v>2</v>
      </c>
      <c r="C342" s="144"/>
      <c r="D342" s="144"/>
      <c r="E342" s="144" t="s">
        <v>714</v>
      </c>
      <c r="F342" s="165">
        <v>944837.4</v>
      </c>
      <c r="G342" s="165">
        <v>943222.20000000007</v>
      </c>
      <c r="H342" s="165">
        <f>H343+H344+H345+H346+H347+H348+H349</f>
        <v>1845478.7999999998</v>
      </c>
      <c r="I342" s="165">
        <v>1033571.9000000001</v>
      </c>
      <c r="J342" s="165">
        <v>1037990.6000000001</v>
      </c>
      <c r="K342" s="472"/>
      <c r="L342" s="69"/>
      <c r="M342" s="69"/>
      <c r="N342" s="69"/>
      <c r="O342" s="69"/>
      <c r="P342" s="69"/>
      <c r="Q342" s="69"/>
    </row>
    <row r="343" spans="1:17" s="110" customFormat="1" ht="15" customHeight="1" x14ac:dyDescent="0.25">
      <c r="A343" s="459"/>
      <c r="B343" s="468"/>
      <c r="C343" s="465" t="s">
        <v>4</v>
      </c>
      <c r="D343" s="466"/>
      <c r="E343" s="1138" t="s">
        <v>715</v>
      </c>
      <c r="F343" s="66">
        <v>457104.5</v>
      </c>
      <c r="G343" s="66">
        <v>434400</v>
      </c>
      <c r="H343" s="66">
        <f>621899.2</f>
        <v>621899.19999999995</v>
      </c>
      <c r="I343" s="66">
        <v>440000</v>
      </c>
      <c r="J343" s="66">
        <v>440000</v>
      </c>
      <c r="K343" s="65"/>
      <c r="L343" s="467"/>
      <c r="M343" s="467"/>
      <c r="N343" s="467"/>
      <c r="O343" s="467"/>
      <c r="P343" s="467"/>
      <c r="Q343" s="467"/>
    </row>
    <row r="344" spans="1:17" s="110" customFormat="1" ht="15" customHeight="1" x14ac:dyDescent="0.25">
      <c r="A344" s="459"/>
      <c r="B344" s="468"/>
      <c r="C344" s="465" t="s">
        <v>5</v>
      </c>
      <c r="D344" s="466"/>
      <c r="E344" s="1138" t="s">
        <v>716</v>
      </c>
      <c r="F344" s="66">
        <v>325841.40000000002</v>
      </c>
      <c r="G344" s="66">
        <v>251867.4</v>
      </c>
      <c r="H344" s="66">
        <f>601631.4+7980.6</f>
        <v>609612</v>
      </c>
      <c r="I344" s="66">
        <v>281417.10000000003</v>
      </c>
      <c r="J344" s="66">
        <v>283535.80000000005</v>
      </c>
      <c r="K344" s="65"/>
      <c r="L344" s="467"/>
      <c r="M344" s="467"/>
      <c r="N344" s="467"/>
      <c r="O344" s="467"/>
      <c r="P344" s="467"/>
      <c r="Q344" s="467"/>
    </row>
    <row r="345" spans="1:17" s="110" customFormat="1" ht="15" customHeight="1" x14ac:dyDescent="0.25">
      <c r="A345" s="459"/>
      <c r="B345" s="468"/>
      <c r="C345" s="465" t="s">
        <v>7</v>
      </c>
      <c r="D345" s="466"/>
      <c r="E345" s="1138" t="s">
        <v>717</v>
      </c>
      <c r="F345" s="66">
        <v>101892</v>
      </c>
      <c r="G345" s="66">
        <v>40954.800000000003</v>
      </c>
      <c r="H345" s="66">
        <f>420230.8+1004.7</f>
        <v>421235.5</v>
      </c>
      <c r="I345" s="66">
        <v>96154.8</v>
      </c>
      <c r="J345" s="66">
        <v>98454.8</v>
      </c>
      <c r="K345" s="65"/>
      <c r="L345" s="467"/>
      <c r="M345" s="467"/>
      <c r="N345" s="467"/>
      <c r="O345" s="467"/>
      <c r="P345" s="467"/>
      <c r="Q345" s="467"/>
    </row>
    <row r="346" spans="1:17" s="110" customFormat="1" ht="15" customHeight="1" x14ac:dyDescent="0.25">
      <c r="A346" s="459"/>
      <c r="B346" s="468"/>
      <c r="C346" s="465" t="s">
        <v>9</v>
      </c>
      <c r="D346" s="466"/>
      <c r="E346" s="1138" t="s">
        <v>718</v>
      </c>
      <c r="F346" s="66">
        <v>29999.5</v>
      </c>
      <c r="G346" s="66">
        <v>30000</v>
      </c>
      <c r="H346" s="66">
        <v>30000</v>
      </c>
      <c r="I346" s="66">
        <v>30000</v>
      </c>
      <c r="J346" s="66">
        <v>30000</v>
      </c>
      <c r="K346" s="65"/>
      <c r="L346" s="467"/>
      <c r="M346" s="467"/>
      <c r="N346" s="467"/>
      <c r="O346" s="467"/>
      <c r="P346" s="467"/>
      <c r="Q346" s="467"/>
    </row>
    <row r="347" spans="1:17" s="110" customFormat="1" ht="15" customHeight="1" x14ac:dyDescent="0.25">
      <c r="A347" s="144"/>
      <c r="B347" s="144"/>
      <c r="C347" s="465" t="s">
        <v>11</v>
      </c>
      <c r="D347" s="466"/>
      <c r="E347" s="1138" t="s">
        <v>719</v>
      </c>
      <c r="F347" s="66">
        <v>30000</v>
      </c>
      <c r="G347" s="66">
        <v>30000</v>
      </c>
      <c r="H347" s="66">
        <f>29945.2</f>
        <v>29945.200000000001</v>
      </c>
      <c r="I347" s="66">
        <v>30000</v>
      </c>
      <c r="J347" s="66">
        <v>30000</v>
      </c>
      <c r="K347" s="65"/>
      <c r="L347" s="467"/>
      <c r="M347" s="467"/>
      <c r="N347" s="467"/>
      <c r="O347" s="467"/>
      <c r="P347" s="467"/>
      <c r="Q347" s="467"/>
    </row>
    <row r="348" spans="1:17" s="110" customFormat="1" ht="15" customHeight="1" x14ac:dyDescent="0.25">
      <c r="A348" s="144"/>
      <c r="B348" s="144"/>
      <c r="C348" s="465" t="s">
        <v>13</v>
      </c>
      <c r="D348" s="466"/>
      <c r="E348" s="1138" t="s">
        <v>720</v>
      </c>
      <c r="F348" s="66"/>
      <c r="G348" s="66">
        <v>156000</v>
      </c>
      <c r="H348" s="66">
        <f>130870.4</f>
        <v>130870.39999999999</v>
      </c>
      <c r="I348" s="66">
        <v>156000</v>
      </c>
      <c r="J348" s="66">
        <v>156000</v>
      </c>
      <c r="K348" s="65"/>
      <c r="L348" s="467"/>
      <c r="M348" s="467"/>
      <c r="N348" s="467"/>
      <c r="O348" s="467"/>
      <c r="P348" s="467"/>
      <c r="Q348" s="467"/>
    </row>
    <row r="349" spans="1:17" s="110" customFormat="1" ht="15" customHeight="1" x14ac:dyDescent="0.25">
      <c r="A349" s="144"/>
      <c r="B349" s="118"/>
      <c r="C349" s="496" t="s">
        <v>15</v>
      </c>
      <c r="D349" s="505"/>
      <c r="E349" s="123" t="s">
        <v>721</v>
      </c>
      <c r="F349" s="66"/>
      <c r="G349" s="66"/>
      <c r="H349" s="66">
        <v>1916.5</v>
      </c>
      <c r="I349" s="66"/>
      <c r="J349" s="66"/>
      <c r="K349" s="65"/>
      <c r="L349" s="494"/>
      <c r="M349" s="494"/>
      <c r="N349" s="494"/>
      <c r="O349" s="494"/>
      <c r="P349" s="494"/>
      <c r="Q349" s="494"/>
    </row>
    <row r="350" spans="1:17" s="120" customFormat="1" ht="15" customHeight="1" x14ac:dyDescent="0.25">
      <c r="A350" s="567" t="s">
        <v>140</v>
      </c>
      <c r="B350" s="2415" t="s">
        <v>722</v>
      </c>
      <c r="C350" s="2416"/>
      <c r="D350" s="2416"/>
      <c r="E350" s="2417"/>
      <c r="F350" s="16">
        <f>F342</f>
        <v>944837.4</v>
      </c>
      <c r="G350" s="16">
        <f t="shared" ref="G350:J350" si="0">G342</f>
        <v>943222.20000000007</v>
      </c>
      <c r="H350" s="16">
        <f t="shared" si="0"/>
        <v>1845478.7999999998</v>
      </c>
      <c r="I350" s="16">
        <f t="shared" si="0"/>
        <v>1033571.9000000001</v>
      </c>
      <c r="J350" s="16">
        <f t="shared" si="0"/>
        <v>1037990.6000000001</v>
      </c>
      <c r="K350" s="1110"/>
      <c r="L350" s="571"/>
      <c r="M350" s="571"/>
      <c r="N350" s="571"/>
      <c r="O350" s="571"/>
      <c r="P350" s="571"/>
      <c r="Q350" s="571"/>
    </row>
    <row r="351" spans="1:17" s="120" customFormat="1" x14ac:dyDescent="0.25">
      <c r="A351" s="1648" t="s">
        <v>723</v>
      </c>
      <c r="B351" s="1649"/>
      <c r="C351" s="1649"/>
      <c r="D351" s="1649"/>
      <c r="E351" s="1649"/>
      <c r="F351" s="1649"/>
      <c r="G351" s="1649"/>
      <c r="H351" s="1649"/>
      <c r="I351" s="1649"/>
      <c r="J351" s="1649"/>
      <c r="K351" s="1649"/>
      <c r="L351" s="1649"/>
      <c r="M351" s="1649"/>
      <c r="N351" s="1649"/>
      <c r="O351" s="1649"/>
      <c r="P351" s="1649"/>
      <c r="Q351" s="1650"/>
    </row>
    <row r="352" spans="1:17" s="120" customFormat="1" ht="85.5" x14ac:dyDescent="0.25">
      <c r="A352" s="549">
        <v>25</v>
      </c>
      <c r="B352" s="386">
        <v>1</v>
      </c>
      <c r="C352" s="543"/>
      <c r="D352" s="343"/>
      <c r="E352" s="573" t="s">
        <v>724</v>
      </c>
      <c r="F352" s="159">
        <v>154765.69999999998</v>
      </c>
      <c r="G352" s="159">
        <v>128349.09999999999</v>
      </c>
      <c r="H352" s="159">
        <f>H353+H354+H355+H356+H357+H358+H360</f>
        <v>154183.03000000003</v>
      </c>
      <c r="I352" s="159">
        <v>147013.4</v>
      </c>
      <c r="J352" s="159">
        <v>148348.6</v>
      </c>
      <c r="K352" s="574"/>
      <c r="L352" s="18"/>
      <c r="M352" s="28"/>
      <c r="N352" s="28"/>
      <c r="O352" s="28"/>
      <c r="P352" s="28"/>
      <c r="Q352" s="28"/>
    </row>
    <row r="353" spans="1:17" s="120" customFormat="1" x14ac:dyDescent="0.25">
      <c r="A353" s="422"/>
      <c r="B353" s="252"/>
      <c r="C353" s="562" t="s">
        <v>4</v>
      </c>
      <c r="D353" s="507"/>
      <c r="E353" s="1150" t="s">
        <v>522</v>
      </c>
      <c r="F353" s="559">
        <v>4184.3</v>
      </c>
      <c r="G353" s="559">
        <v>3259.2</v>
      </c>
      <c r="H353" s="559">
        <v>23674.400000000001</v>
      </c>
      <c r="I353" s="559">
        <v>3578</v>
      </c>
      <c r="J353" s="559">
        <v>3610.7</v>
      </c>
      <c r="K353" s="1276" t="s">
        <v>729</v>
      </c>
      <c r="L353" s="575"/>
      <c r="M353" s="575"/>
      <c r="N353" s="575"/>
      <c r="O353" s="575"/>
      <c r="P353" s="575"/>
      <c r="Q353" s="575"/>
    </row>
    <row r="354" spans="1:17" s="120" customFormat="1" ht="30" x14ac:dyDescent="0.25">
      <c r="A354" s="422"/>
      <c r="B354" s="252"/>
      <c r="C354" s="562" t="s">
        <v>5</v>
      </c>
      <c r="D354" s="508"/>
      <c r="E354" s="1150" t="s">
        <v>725</v>
      </c>
      <c r="F354" s="559">
        <v>5021.2</v>
      </c>
      <c r="G354" s="559">
        <v>3911.1</v>
      </c>
      <c r="H354" s="559">
        <v>8965.19</v>
      </c>
      <c r="I354" s="559">
        <v>4293.6000000000004</v>
      </c>
      <c r="J354" s="559">
        <v>4332.8</v>
      </c>
      <c r="K354" s="1212" t="s">
        <v>730</v>
      </c>
      <c r="L354" s="570" t="s">
        <v>34</v>
      </c>
      <c r="M354" s="519">
        <v>99</v>
      </c>
      <c r="N354" s="519">
        <v>99</v>
      </c>
      <c r="O354" s="519">
        <v>99</v>
      </c>
      <c r="P354" s="519">
        <v>99</v>
      </c>
      <c r="Q354" s="519">
        <v>99</v>
      </c>
    </row>
    <row r="355" spans="1:17" s="120" customFormat="1" ht="30" x14ac:dyDescent="0.25">
      <c r="A355" s="539"/>
      <c r="B355" s="374"/>
      <c r="C355" s="528" t="s">
        <v>7</v>
      </c>
      <c r="D355" s="508"/>
      <c r="E355" s="1150" t="s">
        <v>395</v>
      </c>
      <c r="F355" s="559">
        <v>5021.2</v>
      </c>
      <c r="G355" s="559">
        <v>3911.1</v>
      </c>
      <c r="H355" s="559">
        <v>6815.03</v>
      </c>
      <c r="I355" s="559">
        <v>4293.6000000000004</v>
      </c>
      <c r="J355" s="559">
        <v>4332.8</v>
      </c>
      <c r="K355" s="32" t="s">
        <v>731</v>
      </c>
      <c r="L355" s="518" t="s">
        <v>34</v>
      </c>
      <c r="M355" s="519">
        <v>90</v>
      </c>
      <c r="N355" s="519">
        <v>90</v>
      </c>
      <c r="O355" s="519">
        <v>91</v>
      </c>
      <c r="P355" s="519">
        <v>92</v>
      </c>
      <c r="Q355" s="519">
        <v>93</v>
      </c>
    </row>
    <row r="356" spans="1:17" s="120" customFormat="1" ht="30" x14ac:dyDescent="0.25">
      <c r="A356" s="539"/>
      <c r="B356" s="374"/>
      <c r="C356" s="528" t="s">
        <v>9</v>
      </c>
      <c r="D356" s="508"/>
      <c r="E356" s="1150" t="s">
        <v>396</v>
      </c>
      <c r="F356" s="559">
        <v>7531.8</v>
      </c>
      <c r="G356" s="559">
        <v>5866.6</v>
      </c>
      <c r="H356" s="559">
        <v>6593.73</v>
      </c>
      <c r="I356" s="559">
        <v>6440.5</v>
      </c>
      <c r="J356" s="559">
        <v>6499.2</v>
      </c>
      <c r="K356" s="1212" t="s">
        <v>732</v>
      </c>
      <c r="L356" s="518" t="s">
        <v>34</v>
      </c>
      <c r="M356" s="519">
        <v>90</v>
      </c>
      <c r="N356" s="519">
        <v>95</v>
      </c>
      <c r="O356" s="519">
        <v>95</v>
      </c>
      <c r="P356" s="519">
        <v>95</v>
      </c>
      <c r="Q356" s="519">
        <v>95</v>
      </c>
    </row>
    <row r="357" spans="1:17" s="120" customFormat="1" ht="30" x14ac:dyDescent="0.25">
      <c r="A357" s="539"/>
      <c r="B357" s="374"/>
      <c r="C357" s="528" t="s">
        <v>11</v>
      </c>
      <c r="D357" s="508"/>
      <c r="E357" s="1150" t="s">
        <v>726</v>
      </c>
      <c r="F357" s="559">
        <v>1673.7</v>
      </c>
      <c r="G357" s="559">
        <v>1303.7</v>
      </c>
      <c r="H357" s="559">
        <v>1453.63</v>
      </c>
      <c r="I357" s="559">
        <v>1431.2</v>
      </c>
      <c r="J357" s="559">
        <v>1444.2</v>
      </c>
      <c r="K357" s="1212" t="s">
        <v>733</v>
      </c>
      <c r="L357" s="518"/>
      <c r="M357" s="519">
        <v>1420</v>
      </c>
      <c r="N357" s="519">
        <v>1450</v>
      </c>
      <c r="O357" s="519">
        <v>1450</v>
      </c>
      <c r="P357" s="519">
        <v>1500</v>
      </c>
      <c r="Q357" s="519">
        <v>1500</v>
      </c>
    </row>
    <row r="358" spans="1:17" s="120" customFormat="1" x14ac:dyDescent="0.25">
      <c r="A358" s="2375"/>
      <c r="B358" s="398"/>
      <c r="C358" s="2368" t="s">
        <v>13</v>
      </c>
      <c r="D358" s="2240"/>
      <c r="E358" s="2265" t="s">
        <v>727</v>
      </c>
      <c r="F358" s="2372">
        <v>112207.2</v>
      </c>
      <c r="G358" s="2372">
        <v>97465.4</v>
      </c>
      <c r="H358" s="2372">
        <v>90979.91</v>
      </c>
      <c r="I358" s="2372">
        <v>107331.4</v>
      </c>
      <c r="J358" s="2372">
        <v>108469.5</v>
      </c>
      <c r="K358" s="2313" t="s">
        <v>734</v>
      </c>
      <c r="L358" s="2237" t="s">
        <v>34</v>
      </c>
      <c r="M358" s="558">
        <v>16.8</v>
      </c>
      <c r="N358" s="558">
        <v>16.8</v>
      </c>
      <c r="O358" s="558">
        <v>16.8</v>
      </c>
      <c r="P358" s="558">
        <v>16.8</v>
      </c>
      <c r="Q358" s="558">
        <v>16.8</v>
      </c>
    </row>
    <row r="359" spans="1:17" s="120" customFormat="1" x14ac:dyDescent="0.25">
      <c r="A359" s="1654"/>
      <c r="B359" s="374"/>
      <c r="C359" s="1821"/>
      <c r="D359" s="2338"/>
      <c r="E359" s="1747"/>
      <c r="F359" s="1764"/>
      <c r="G359" s="1764"/>
      <c r="H359" s="1764"/>
      <c r="I359" s="1764"/>
      <c r="J359" s="1764"/>
      <c r="K359" s="1696"/>
      <c r="L359" s="2239"/>
      <c r="M359" s="566">
        <v>20.7</v>
      </c>
      <c r="N359" s="566">
        <v>20.7</v>
      </c>
      <c r="O359" s="566">
        <v>20.7</v>
      </c>
      <c r="P359" s="566">
        <v>20.7</v>
      </c>
      <c r="Q359" s="566">
        <v>20.7</v>
      </c>
    </row>
    <row r="360" spans="1:17" s="120" customFormat="1" ht="75" x14ac:dyDescent="0.25">
      <c r="A360" s="422"/>
      <c r="B360" s="252"/>
      <c r="C360" s="562" t="s">
        <v>25</v>
      </c>
      <c r="D360" s="507"/>
      <c r="E360" s="1150" t="s">
        <v>728</v>
      </c>
      <c r="F360" s="559">
        <v>19126.3</v>
      </c>
      <c r="G360" s="559">
        <v>12632</v>
      </c>
      <c r="H360" s="801">
        <f>3321.34+12379.8</f>
        <v>15701.14</v>
      </c>
      <c r="I360" s="559">
        <v>19645.099999999999</v>
      </c>
      <c r="J360" s="559">
        <v>19659.400000000001</v>
      </c>
      <c r="K360" s="1212" t="s">
        <v>735</v>
      </c>
      <c r="L360" s="518" t="s">
        <v>781</v>
      </c>
      <c r="M360" s="558">
        <v>4725</v>
      </c>
      <c r="N360" s="558">
        <v>4950</v>
      </c>
      <c r="O360" s="558">
        <v>5200</v>
      </c>
      <c r="P360" s="558">
        <v>5250</v>
      </c>
      <c r="Q360" s="558"/>
    </row>
    <row r="361" spans="1:17" s="120" customFormat="1" ht="114" x14ac:dyDescent="0.25">
      <c r="A361" s="561">
        <v>25</v>
      </c>
      <c r="B361" s="570">
        <v>2</v>
      </c>
      <c r="C361" s="543"/>
      <c r="D361" s="343"/>
      <c r="E361" s="563" t="s">
        <v>736</v>
      </c>
      <c r="F361" s="159">
        <v>74613.2</v>
      </c>
      <c r="G361" s="159">
        <v>58014.1</v>
      </c>
      <c r="H361" s="159">
        <f>H362+H366+H367+H368</f>
        <v>68012.2</v>
      </c>
      <c r="I361" s="159">
        <v>64404.5</v>
      </c>
      <c r="J361" s="159">
        <v>64991.999999999993</v>
      </c>
      <c r="K361" s="1195" t="s">
        <v>743</v>
      </c>
      <c r="L361" s="228" t="s">
        <v>778</v>
      </c>
      <c r="M361" s="228" t="s">
        <v>778</v>
      </c>
      <c r="N361" s="228" t="s">
        <v>778</v>
      </c>
      <c r="O361" s="228" t="s">
        <v>778</v>
      </c>
      <c r="P361" s="228" t="s">
        <v>778</v>
      </c>
      <c r="Q361" s="228" t="s">
        <v>778</v>
      </c>
    </row>
    <row r="362" spans="1:17" s="120" customFormat="1" ht="45" x14ac:dyDescent="0.25">
      <c r="A362" s="557"/>
      <c r="B362" s="544"/>
      <c r="C362" s="555" t="s">
        <v>4</v>
      </c>
      <c r="D362" s="576"/>
      <c r="E362" s="1279" t="s">
        <v>737</v>
      </c>
      <c r="F362" s="2313">
        <v>44486</v>
      </c>
      <c r="G362" s="2313">
        <v>34547.699999999997</v>
      </c>
      <c r="H362" s="2231">
        <v>41693.1</v>
      </c>
      <c r="I362" s="2231">
        <v>38642.699999999997</v>
      </c>
      <c r="J362" s="2231">
        <v>38995.199999999997</v>
      </c>
      <c r="K362" s="1212" t="s">
        <v>744</v>
      </c>
      <c r="L362" s="566" t="s">
        <v>34</v>
      </c>
      <c r="M362" s="566" t="s">
        <v>779</v>
      </c>
      <c r="N362" s="566" t="s">
        <v>779</v>
      </c>
      <c r="O362" s="566" t="s">
        <v>779</v>
      </c>
      <c r="P362" s="566" t="s">
        <v>779</v>
      </c>
      <c r="Q362" s="566" t="s">
        <v>779</v>
      </c>
    </row>
    <row r="363" spans="1:17" s="120" customFormat="1" ht="30" x14ac:dyDescent="0.25">
      <c r="A363" s="569"/>
      <c r="B363" s="398"/>
      <c r="C363" s="527" t="s">
        <v>5</v>
      </c>
      <c r="D363" s="577"/>
      <c r="E363" s="1150" t="s">
        <v>738</v>
      </c>
      <c r="F363" s="2136"/>
      <c r="G363" s="2136"/>
      <c r="H363" s="2058"/>
      <c r="I363" s="2058"/>
      <c r="J363" s="2058"/>
      <c r="K363" s="1212" t="s">
        <v>745</v>
      </c>
      <c r="L363" s="532" t="s">
        <v>34</v>
      </c>
      <c r="M363" s="532">
        <v>54</v>
      </c>
      <c r="N363" s="532">
        <v>54</v>
      </c>
      <c r="O363" s="532">
        <v>54</v>
      </c>
      <c r="P363" s="532">
        <v>54</v>
      </c>
      <c r="Q363" s="532">
        <v>54</v>
      </c>
    </row>
    <row r="364" spans="1:17" s="120" customFormat="1" ht="45" x14ac:dyDescent="0.25">
      <c r="A364" s="2375"/>
      <c r="B364" s="398"/>
      <c r="C364" s="2368" t="s">
        <v>7</v>
      </c>
      <c r="D364" s="2240"/>
      <c r="E364" s="2287" t="s">
        <v>739</v>
      </c>
      <c r="F364" s="2136"/>
      <c r="G364" s="2136"/>
      <c r="H364" s="2058"/>
      <c r="I364" s="2058"/>
      <c r="J364" s="2058"/>
      <c r="K364" s="1212" t="s">
        <v>746</v>
      </c>
      <c r="L364" s="532"/>
      <c r="M364" s="566" t="s">
        <v>778</v>
      </c>
      <c r="N364" s="566" t="s">
        <v>778</v>
      </c>
      <c r="O364" s="566" t="s">
        <v>778</v>
      </c>
      <c r="P364" s="566" t="s">
        <v>778</v>
      </c>
      <c r="Q364" s="566" t="s">
        <v>778</v>
      </c>
    </row>
    <row r="365" spans="1:17" s="120" customFormat="1" ht="60" x14ac:dyDescent="0.25">
      <c r="A365" s="1936"/>
      <c r="B365" s="538"/>
      <c r="C365" s="1821"/>
      <c r="D365" s="2338"/>
      <c r="E365" s="1739"/>
      <c r="F365" s="1696"/>
      <c r="G365" s="1696"/>
      <c r="H365" s="2050"/>
      <c r="I365" s="2050"/>
      <c r="J365" s="2050"/>
      <c r="K365" s="1212" t="s">
        <v>747</v>
      </c>
      <c r="L365" s="532" t="s">
        <v>780</v>
      </c>
      <c r="M365" s="566">
        <v>20</v>
      </c>
      <c r="N365" s="566">
        <v>20</v>
      </c>
      <c r="O365" s="566">
        <v>20</v>
      </c>
      <c r="P365" s="566">
        <v>20</v>
      </c>
      <c r="Q365" s="566">
        <v>20</v>
      </c>
    </row>
    <row r="366" spans="1:17" s="120" customFormat="1" ht="30" x14ac:dyDescent="0.25">
      <c r="A366" s="422"/>
      <c r="B366" s="252"/>
      <c r="C366" s="562" t="s">
        <v>9</v>
      </c>
      <c r="D366" s="578"/>
      <c r="E366" s="1279" t="s">
        <v>740</v>
      </c>
      <c r="F366" s="533">
        <v>13389.8</v>
      </c>
      <c r="G366" s="533">
        <v>10429.5</v>
      </c>
      <c r="H366" s="515">
        <v>12330.2</v>
      </c>
      <c r="I366" s="515">
        <v>11449.7</v>
      </c>
      <c r="J366" s="515">
        <v>11554.1</v>
      </c>
      <c r="K366" s="1212" t="s">
        <v>748</v>
      </c>
      <c r="L366" s="566" t="s">
        <v>94</v>
      </c>
      <c r="M366" s="559">
        <v>134707.29999999999</v>
      </c>
      <c r="N366" s="559">
        <v>140882.20000000001</v>
      </c>
      <c r="O366" s="559">
        <v>142129.79999999999</v>
      </c>
      <c r="P366" s="559">
        <v>144559</v>
      </c>
      <c r="Q366" s="559">
        <v>164762.70000000001</v>
      </c>
    </row>
    <row r="367" spans="1:17" s="120" customFormat="1" ht="30" x14ac:dyDescent="0.25">
      <c r="A367" s="569"/>
      <c r="B367" s="398"/>
      <c r="C367" s="527" t="s">
        <v>11</v>
      </c>
      <c r="D367" s="579"/>
      <c r="E367" s="1279" t="s">
        <v>741</v>
      </c>
      <c r="F367" s="533">
        <v>3347.5</v>
      </c>
      <c r="G367" s="533">
        <v>2607.4</v>
      </c>
      <c r="H367" s="515">
        <v>3081.2</v>
      </c>
      <c r="I367" s="515">
        <v>2862.4</v>
      </c>
      <c r="J367" s="515">
        <v>2888.6</v>
      </c>
      <c r="K367" s="1212" t="s">
        <v>749</v>
      </c>
      <c r="L367" s="566" t="s">
        <v>91</v>
      </c>
      <c r="M367" s="566">
        <v>99</v>
      </c>
      <c r="N367" s="566">
        <v>60</v>
      </c>
      <c r="O367" s="566">
        <v>60</v>
      </c>
      <c r="P367" s="566">
        <v>60</v>
      </c>
      <c r="Q367" s="566">
        <v>50</v>
      </c>
    </row>
    <row r="368" spans="1:17" s="120" customFormat="1" x14ac:dyDescent="0.25">
      <c r="A368" s="2375"/>
      <c r="B368" s="398"/>
      <c r="C368" s="2368" t="s">
        <v>13</v>
      </c>
      <c r="D368" s="2240"/>
      <c r="E368" s="2242" t="s">
        <v>742</v>
      </c>
      <c r="F368" s="2313">
        <v>13389.9</v>
      </c>
      <c r="G368" s="2313">
        <v>10429.5</v>
      </c>
      <c r="H368" s="2231">
        <v>10907.7</v>
      </c>
      <c r="I368" s="2237">
        <v>11449.7</v>
      </c>
      <c r="J368" s="2237">
        <v>11554.1</v>
      </c>
      <c r="K368" s="1212" t="s">
        <v>750</v>
      </c>
      <c r="L368" s="566" t="s">
        <v>94</v>
      </c>
      <c r="M368" s="566">
        <v>5666.6</v>
      </c>
      <c r="N368" s="566">
        <v>10304.6</v>
      </c>
      <c r="O368" s="566">
        <v>9748.1</v>
      </c>
      <c r="P368" s="566">
        <v>7607.4</v>
      </c>
      <c r="Q368" s="566"/>
    </row>
    <row r="369" spans="1:17" s="120" customFormat="1" ht="30" x14ac:dyDescent="0.25">
      <c r="A369" s="1654"/>
      <c r="B369" s="374"/>
      <c r="C369" s="1821"/>
      <c r="D369" s="2338"/>
      <c r="E369" s="2366"/>
      <c r="F369" s="1696"/>
      <c r="G369" s="1696"/>
      <c r="H369" s="2050"/>
      <c r="I369" s="2239"/>
      <c r="J369" s="2239"/>
      <c r="K369" s="1212" t="s">
        <v>751</v>
      </c>
      <c r="L369" s="566" t="s">
        <v>94</v>
      </c>
      <c r="M369" s="566">
        <v>22222.9</v>
      </c>
      <c r="N369" s="566">
        <v>27336.1</v>
      </c>
      <c r="O369" s="566">
        <v>34278.199999999997</v>
      </c>
      <c r="P369" s="346">
        <v>21034</v>
      </c>
      <c r="Q369" s="566"/>
    </row>
    <row r="370" spans="1:17" s="120" customFormat="1" ht="42.75" x14ac:dyDescent="0.25">
      <c r="A370" s="565">
        <v>25</v>
      </c>
      <c r="B370" s="540">
        <v>3</v>
      </c>
      <c r="C370" s="555"/>
      <c r="D370" s="542"/>
      <c r="E370" s="1167" t="s">
        <v>752</v>
      </c>
      <c r="F370" s="159">
        <v>105751.29999999999</v>
      </c>
      <c r="G370" s="159">
        <v>100558.9</v>
      </c>
      <c r="H370" s="159">
        <f>H371+H374+H375</f>
        <v>109913.5</v>
      </c>
      <c r="I370" s="159">
        <v>111133.9</v>
      </c>
      <c r="J370" s="159">
        <v>112432</v>
      </c>
      <c r="K370" s="1195" t="s">
        <v>756</v>
      </c>
      <c r="L370" s="343" t="s">
        <v>34</v>
      </c>
      <c r="M370" s="343">
        <v>22.5</v>
      </c>
      <c r="N370" s="343">
        <v>22.5</v>
      </c>
      <c r="O370" s="343">
        <v>22.5</v>
      </c>
      <c r="P370" s="343">
        <v>22.5</v>
      </c>
      <c r="Q370" s="343">
        <v>22.5</v>
      </c>
    </row>
    <row r="371" spans="1:17" s="120" customFormat="1" ht="30" x14ac:dyDescent="0.25">
      <c r="A371" s="2375"/>
      <c r="B371" s="398"/>
      <c r="C371" s="2368" t="s">
        <v>4</v>
      </c>
      <c r="D371" s="2363"/>
      <c r="E371" s="2287" t="s">
        <v>753</v>
      </c>
      <c r="F371" s="2313">
        <v>10042.4</v>
      </c>
      <c r="G371" s="2313">
        <v>7822.1</v>
      </c>
      <c r="H371" s="2231">
        <v>8965.5</v>
      </c>
      <c r="I371" s="2237">
        <v>8587.2999999999993</v>
      </c>
      <c r="J371" s="2237">
        <v>8665.6</v>
      </c>
      <c r="K371" s="1212" t="s">
        <v>756</v>
      </c>
      <c r="L371" s="566" t="s">
        <v>34</v>
      </c>
      <c r="M371" s="566">
        <v>22.5</v>
      </c>
      <c r="N371" s="566">
        <v>22.5</v>
      </c>
      <c r="O371" s="566">
        <v>22.5</v>
      </c>
      <c r="P371" s="566">
        <v>22.5</v>
      </c>
      <c r="Q371" s="566">
        <v>22.5</v>
      </c>
    </row>
    <row r="372" spans="1:17" s="120" customFormat="1" ht="60" x14ac:dyDescent="0.25">
      <c r="A372" s="1936"/>
      <c r="B372" s="538"/>
      <c r="C372" s="1972"/>
      <c r="D372" s="2363"/>
      <c r="E372" s="1739"/>
      <c r="F372" s="2136"/>
      <c r="G372" s="2136"/>
      <c r="H372" s="2058"/>
      <c r="I372" s="2238"/>
      <c r="J372" s="2238"/>
      <c r="K372" s="1212" t="s">
        <v>757</v>
      </c>
      <c r="L372" s="566" t="s">
        <v>34</v>
      </c>
      <c r="M372" s="566">
        <v>0.5</v>
      </c>
      <c r="N372" s="566">
        <v>0.5</v>
      </c>
      <c r="O372" s="566">
        <v>0.5</v>
      </c>
      <c r="P372" s="566">
        <v>0.5</v>
      </c>
      <c r="Q372" s="566">
        <v>0.5</v>
      </c>
    </row>
    <row r="373" spans="1:17" s="120" customFormat="1" ht="45" x14ac:dyDescent="0.25">
      <c r="A373" s="569"/>
      <c r="B373" s="398"/>
      <c r="C373" s="562" t="s">
        <v>5</v>
      </c>
      <c r="D373" s="579"/>
      <c r="E373" s="1150" t="s">
        <v>754</v>
      </c>
      <c r="F373" s="1696"/>
      <c r="G373" s="1696"/>
      <c r="H373" s="2050"/>
      <c r="I373" s="2239"/>
      <c r="J373" s="2239"/>
      <c r="K373" s="1212" t="s">
        <v>758</v>
      </c>
      <c r="L373" s="566" t="s">
        <v>782</v>
      </c>
      <c r="M373" s="566">
        <v>2</v>
      </c>
      <c r="N373" s="566">
        <v>3</v>
      </c>
      <c r="O373" s="566">
        <v>4</v>
      </c>
      <c r="P373" s="566">
        <v>5</v>
      </c>
      <c r="Q373" s="566">
        <v>5</v>
      </c>
    </row>
    <row r="374" spans="1:17" s="120" customFormat="1" ht="30" x14ac:dyDescent="0.25">
      <c r="A374" s="569"/>
      <c r="B374" s="398"/>
      <c r="C374" s="562" t="s">
        <v>7</v>
      </c>
      <c r="D374" s="579"/>
      <c r="E374" s="1150" t="s">
        <v>741</v>
      </c>
      <c r="F374" s="533">
        <v>3347.5</v>
      </c>
      <c r="G374" s="525">
        <v>2607.4</v>
      </c>
      <c r="H374" s="515">
        <v>3023.5</v>
      </c>
      <c r="I374" s="515">
        <v>2862.4</v>
      </c>
      <c r="J374" s="515">
        <v>2888.6</v>
      </c>
      <c r="K374" s="1212" t="s">
        <v>759</v>
      </c>
      <c r="L374" s="566" t="s">
        <v>94</v>
      </c>
      <c r="M374" s="559">
        <v>500</v>
      </c>
      <c r="N374" s="559">
        <v>500</v>
      </c>
      <c r="O374" s="559">
        <v>700</v>
      </c>
      <c r="P374" s="559">
        <v>800</v>
      </c>
      <c r="Q374" s="559">
        <v>900</v>
      </c>
    </row>
    <row r="375" spans="1:17" s="120" customFormat="1" ht="60" x14ac:dyDescent="0.25">
      <c r="A375" s="569"/>
      <c r="B375" s="398"/>
      <c r="C375" s="562" t="s">
        <v>9</v>
      </c>
      <c r="D375" s="579"/>
      <c r="E375" s="1150" t="s">
        <v>755</v>
      </c>
      <c r="F375" s="533">
        <v>92361.4</v>
      </c>
      <c r="G375" s="533">
        <v>90129.4</v>
      </c>
      <c r="H375" s="515">
        <v>97924.5</v>
      </c>
      <c r="I375" s="515">
        <v>99684.2</v>
      </c>
      <c r="J375" s="515">
        <v>100877.8</v>
      </c>
      <c r="K375" s="1212" t="s">
        <v>760</v>
      </c>
      <c r="L375" s="566" t="s">
        <v>782</v>
      </c>
      <c r="M375" s="566">
        <v>71</v>
      </c>
      <c r="N375" s="566">
        <v>71</v>
      </c>
      <c r="O375" s="566">
        <v>71</v>
      </c>
      <c r="P375" s="566">
        <v>71</v>
      </c>
      <c r="Q375" s="566">
        <v>71</v>
      </c>
    </row>
    <row r="376" spans="1:17" s="120" customFormat="1" ht="57" x14ac:dyDescent="0.25">
      <c r="A376" s="526">
        <v>25</v>
      </c>
      <c r="B376" s="517">
        <v>4</v>
      </c>
      <c r="C376" s="555"/>
      <c r="D376" s="542"/>
      <c r="E376" s="1167" t="s">
        <v>761</v>
      </c>
      <c r="F376" s="159">
        <v>7531.8</v>
      </c>
      <c r="G376" s="159">
        <v>5866.6</v>
      </c>
      <c r="H376" s="159">
        <f>H377</f>
        <v>6599.6</v>
      </c>
      <c r="I376" s="159">
        <v>6440.5</v>
      </c>
      <c r="J376" s="159">
        <v>6499.2</v>
      </c>
      <c r="K376" s="1195" t="s">
        <v>769</v>
      </c>
      <c r="L376" s="179" t="s">
        <v>34</v>
      </c>
      <c r="M376" s="519" t="s">
        <v>143</v>
      </c>
      <c r="N376" s="519" t="s">
        <v>143</v>
      </c>
      <c r="O376" s="519" t="s">
        <v>143</v>
      </c>
      <c r="P376" s="519" t="s">
        <v>143</v>
      </c>
      <c r="Q376" s="519" t="s">
        <v>143</v>
      </c>
    </row>
    <row r="377" spans="1:17" s="120" customFormat="1" ht="30" x14ac:dyDescent="0.25">
      <c r="A377" s="2375"/>
      <c r="B377" s="398"/>
      <c r="C377" s="2368" t="s">
        <v>4</v>
      </c>
      <c r="D377" s="2240"/>
      <c r="E377" s="2242" t="s">
        <v>762</v>
      </c>
      <c r="F377" s="2313">
        <v>7531.8</v>
      </c>
      <c r="G377" s="2313">
        <v>5866.6</v>
      </c>
      <c r="H377" s="2231">
        <v>6599.6</v>
      </c>
      <c r="I377" s="2237">
        <v>6440.5</v>
      </c>
      <c r="J377" s="2237">
        <v>6499.2</v>
      </c>
      <c r="K377" s="32" t="s">
        <v>770</v>
      </c>
      <c r="L377" s="566" t="s">
        <v>40</v>
      </c>
      <c r="M377" s="566">
        <v>0</v>
      </c>
      <c r="N377" s="566">
        <v>0</v>
      </c>
      <c r="O377" s="566">
        <v>0</v>
      </c>
      <c r="P377" s="566">
        <v>0</v>
      </c>
      <c r="Q377" s="566">
        <v>0</v>
      </c>
    </row>
    <row r="378" spans="1:17" s="120" customFormat="1" ht="30" x14ac:dyDescent="0.25">
      <c r="A378" s="1839"/>
      <c r="B378" s="383"/>
      <c r="C378" s="1840"/>
      <c r="D378" s="2241"/>
      <c r="E378" s="2242"/>
      <c r="F378" s="2136"/>
      <c r="G378" s="2136"/>
      <c r="H378" s="2058"/>
      <c r="I378" s="2238"/>
      <c r="J378" s="2238"/>
      <c r="K378" s="1212" t="s">
        <v>771</v>
      </c>
      <c r="L378" s="566" t="s">
        <v>34</v>
      </c>
      <c r="M378" s="566" t="s">
        <v>144</v>
      </c>
      <c r="N378" s="566" t="s">
        <v>144</v>
      </c>
      <c r="O378" s="566" t="s">
        <v>144</v>
      </c>
      <c r="P378" s="566" t="s">
        <v>144</v>
      </c>
      <c r="Q378" s="566" t="s">
        <v>144</v>
      </c>
    </row>
    <row r="379" spans="1:17" s="120" customFormat="1" ht="30" x14ac:dyDescent="0.25">
      <c r="A379" s="2375"/>
      <c r="B379" s="398"/>
      <c r="C379" s="2368" t="s">
        <v>5</v>
      </c>
      <c r="D379" s="2240"/>
      <c r="E379" s="2365" t="s">
        <v>763</v>
      </c>
      <c r="F379" s="2136"/>
      <c r="G379" s="2136"/>
      <c r="H379" s="2058"/>
      <c r="I379" s="2238"/>
      <c r="J379" s="2238"/>
      <c r="K379" s="1212" t="s">
        <v>772</v>
      </c>
      <c r="L379" s="566" t="s">
        <v>34</v>
      </c>
      <c r="M379" s="566">
        <v>100</v>
      </c>
      <c r="N379" s="566">
        <v>100</v>
      </c>
      <c r="O379" s="566">
        <v>100</v>
      </c>
      <c r="P379" s="566">
        <v>100</v>
      </c>
      <c r="Q379" s="566">
        <v>100</v>
      </c>
    </row>
    <row r="380" spans="1:17" s="120" customFormat="1" ht="75" x14ac:dyDescent="0.25">
      <c r="A380" s="1839"/>
      <c r="B380" s="383"/>
      <c r="C380" s="1840"/>
      <c r="D380" s="2241"/>
      <c r="E380" s="1706"/>
      <c r="F380" s="2136"/>
      <c r="G380" s="2136"/>
      <c r="H380" s="2058"/>
      <c r="I380" s="2238"/>
      <c r="J380" s="2238"/>
      <c r="K380" s="1212" t="s">
        <v>773</v>
      </c>
      <c r="L380" s="566" t="s">
        <v>783</v>
      </c>
      <c r="M380" s="566" t="s">
        <v>784</v>
      </c>
      <c r="N380" s="566" t="s">
        <v>784</v>
      </c>
      <c r="O380" s="566" t="s">
        <v>784</v>
      </c>
      <c r="P380" s="566" t="s">
        <v>784</v>
      </c>
      <c r="Q380" s="566" t="s">
        <v>784</v>
      </c>
    </row>
    <row r="381" spans="1:17" s="120" customFormat="1" ht="30" x14ac:dyDescent="0.25">
      <c r="A381" s="1654"/>
      <c r="B381" s="374"/>
      <c r="C381" s="1821"/>
      <c r="D381" s="2338"/>
      <c r="E381" s="1707"/>
      <c r="F381" s="1696"/>
      <c r="G381" s="2136"/>
      <c r="H381" s="2050"/>
      <c r="I381" s="2238"/>
      <c r="J381" s="2238"/>
      <c r="K381" s="1276" t="s">
        <v>774</v>
      </c>
      <c r="L381" s="524" t="s">
        <v>40</v>
      </c>
      <c r="M381" s="524">
        <v>0</v>
      </c>
      <c r="N381" s="524">
        <v>0</v>
      </c>
      <c r="O381" s="524">
        <v>0</v>
      </c>
      <c r="P381" s="524">
        <v>0</v>
      </c>
      <c r="Q381" s="524">
        <v>0</v>
      </c>
    </row>
    <row r="382" spans="1:17" s="120" customFormat="1" ht="114" x14ac:dyDescent="0.25">
      <c r="A382" s="565">
        <v>25</v>
      </c>
      <c r="B382" s="44">
        <v>5</v>
      </c>
      <c r="C382" s="562"/>
      <c r="D382" s="507"/>
      <c r="E382" s="1038" t="s">
        <v>764</v>
      </c>
      <c r="F382" s="159">
        <v>141831.4</v>
      </c>
      <c r="G382" s="560">
        <v>131647.20000000001</v>
      </c>
      <c r="H382" s="560">
        <f>H383+H389</f>
        <v>143231.5</v>
      </c>
      <c r="I382" s="560">
        <v>143264.70000000001</v>
      </c>
      <c r="J382" s="560">
        <v>144896.5</v>
      </c>
      <c r="K382" s="1195" t="s">
        <v>775</v>
      </c>
      <c r="L382" s="343" t="s">
        <v>34</v>
      </c>
      <c r="M382" s="566">
        <v>100</v>
      </c>
      <c r="N382" s="566">
        <v>100</v>
      </c>
      <c r="O382" s="566">
        <v>100</v>
      </c>
      <c r="P382" s="566">
        <v>100</v>
      </c>
      <c r="Q382" s="566">
        <v>100</v>
      </c>
    </row>
    <row r="383" spans="1:17" s="120" customFormat="1" ht="60" x14ac:dyDescent="0.25">
      <c r="A383" s="2375"/>
      <c r="B383" s="398"/>
      <c r="C383" s="2368" t="s">
        <v>4</v>
      </c>
      <c r="D383" s="2240"/>
      <c r="E383" s="2287" t="s">
        <v>765</v>
      </c>
      <c r="F383" s="2313">
        <v>141831.4</v>
      </c>
      <c r="G383" s="2313">
        <v>131647.20000000001</v>
      </c>
      <c r="H383" s="1865">
        <v>31092.1</v>
      </c>
      <c r="I383" s="2237">
        <v>143264.70000000001</v>
      </c>
      <c r="J383" s="2237">
        <v>144896.5</v>
      </c>
      <c r="K383" s="1212" t="s">
        <v>776</v>
      </c>
      <c r="L383" s="566" t="s">
        <v>34</v>
      </c>
      <c r="M383" s="566">
        <v>100</v>
      </c>
      <c r="N383" s="566">
        <v>100</v>
      </c>
      <c r="O383" s="566">
        <v>100</v>
      </c>
      <c r="P383" s="566">
        <v>100</v>
      </c>
      <c r="Q383" s="566">
        <v>100</v>
      </c>
    </row>
    <row r="384" spans="1:17" s="120" customFormat="1" ht="60" x14ac:dyDescent="0.25">
      <c r="A384" s="1839"/>
      <c r="B384" s="383"/>
      <c r="C384" s="1840"/>
      <c r="D384" s="2241"/>
      <c r="E384" s="2369"/>
      <c r="F384" s="2136"/>
      <c r="G384" s="2136"/>
      <c r="H384" s="1865"/>
      <c r="I384" s="2238"/>
      <c r="J384" s="2238"/>
      <c r="K384" s="1212" t="s">
        <v>777</v>
      </c>
      <c r="L384" s="566" t="s">
        <v>34</v>
      </c>
      <c r="M384" s="566">
        <v>100</v>
      </c>
      <c r="N384" s="566">
        <v>100</v>
      </c>
      <c r="O384" s="566">
        <v>100</v>
      </c>
      <c r="P384" s="566">
        <v>100</v>
      </c>
      <c r="Q384" s="566">
        <v>100</v>
      </c>
    </row>
    <row r="385" spans="1:17" s="120" customFormat="1" ht="60" x14ac:dyDescent="0.25">
      <c r="A385" s="569"/>
      <c r="B385" s="398"/>
      <c r="C385" s="527" t="s">
        <v>5</v>
      </c>
      <c r="D385" s="564"/>
      <c r="E385" s="563" t="s">
        <v>766</v>
      </c>
      <c r="F385" s="2136"/>
      <c r="G385" s="2136"/>
      <c r="H385" s="580"/>
      <c r="I385" s="2238"/>
      <c r="J385" s="2238"/>
      <c r="K385" s="1276" t="s">
        <v>830</v>
      </c>
      <c r="L385" s="566" t="s">
        <v>34</v>
      </c>
      <c r="M385" s="524">
        <v>101</v>
      </c>
      <c r="N385" s="524">
        <v>102</v>
      </c>
      <c r="O385" s="524">
        <v>103</v>
      </c>
      <c r="P385" s="524">
        <v>104</v>
      </c>
      <c r="Q385" s="524">
        <v>104</v>
      </c>
    </row>
    <row r="386" spans="1:17" s="120" customFormat="1" ht="45" x14ac:dyDescent="0.25">
      <c r="A386" s="2375"/>
      <c r="B386" s="398"/>
      <c r="C386" s="2368" t="s">
        <v>7</v>
      </c>
      <c r="D386" s="2240"/>
      <c r="E386" s="2287" t="s">
        <v>767</v>
      </c>
      <c r="F386" s="2136"/>
      <c r="G386" s="2136"/>
      <c r="H386" s="581"/>
      <c r="I386" s="2238"/>
      <c r="J386" s="2238"/>
      <c r="K386" s="1212" t="s">
        <v>829</v>
      </c>
      <c r="L386" s="566" t="s">
        <v>831</v>
      </c>
      <c r="M386" s="582" t="s">
        <v>832</v>
      </c>
      <c r="N386" s="582" t="s">
        <v>832</v>
      </c>
      <c r="O386" s="582" t="s">
        <v>832</v>
      </c>
      <c r="P386" s="582" t="s">
        <v>832</v>
      </c>
      <c r="Q386" s="582" t="s">
        <v>832</v>
      </c>
    </row>
    <row r="387" spans="1:17" s="120" customFormat="1" ht="30" x14ac:dyDescent="0.25">
      <c r="A387" s="1839"/>
      <c r="B387" s="383"/>
      <c r="C387" s="1840"/>
      <c r="D387" s="2241"/>
      <c r="E387" s="2369"/>
      <c r="F387" s="2136"/>
      <c r="G387" s="2136"/>
      <c r="H387" s="581"/>
      <c r="I387" s="2238"/>
      <c r="J387" s="2238"/>
      <c r="K387" s="1212" t="s">
        <v>828</v>
      </c>
      <c r="L387" s="566" t="s">
        <v>831</v>
      </c>
      <c r="M387" s="582" t="s">
        <v>145</v>
      </c>
      <c r="N387" s="582" t="s">
        <v>145</v>
      </c>
      <c r="O387" s="582" t="s">
        <v>145</v>
      </c>
      <c r="P387" s="582" t="s">
        <v>145</v>
      </c>
      <c r="Q387" s="582" t="s">
        <v>145</v>
      </c>
    </row>
    <row r="388" spans="1:17" s="120" customFormat="1" ht="45" x14ac:dyDescent="0.25">
      <c r="A388" s="1654"/>
      <c r="B388" s="374"/>
      <c r="C388" s="1821"/>
      <c r="D388" s="2338"/>
      <c r="E388" s="2331"/>
      <c r="F388" s="2136"/>
      <c r="G388" s="2136"/>
      <c r="H388" s="581"/>
      <c r="I388" s="2238"/>
      <c r="J388" s="2238"/>
      <c r="K388" s="1212" t="s">
        <v>827</v>
      </c>
      <c r="L388" s="566" t="s">
        <v>831</v>
      </c>
      <c r="M388" s="582" t="s">
        <v>146</v>
      </c>
      <c r="N388" s="582" t="s">
        <v>146</v>
      </c>
      <c r="O388" s="582" t="s">
        <v>146</v>
      </c>
      <c r="P388" s="582" t="s">
        <v>146</v>
      </c>
      <c r="Q388" s="582" t="s">
        <v>146</v>
      </c>
    </row>
    <row r="389" spans="1:17" s="120" customFormat="1" ht="105" x14ac:dyDescent="0.25">
      <c r="A389" s="569"/>
      <c r="B389" s="398"/>
      <c r="C389" s="527" t="s">
        <v>9</v>
      </c>
      <c r="D389" s="507"/>
      <c r="E389" s="1150" t="s">
        <v>768</v>
      </c>
      <c r="F389" s="1696"/>
      <c r="G389" s="1696"/>
      <c r="H389" s="515">
        <v>112139.4</v>
      </c>
      <c r="I389" s="2239"/>
      <c r="J389" s="2239"/>
      <c r="K389" s="1212" t="s">
        <v>826</v>
      </c>
      <c r="L389" s="566" t="s">
        <v>34</v>
      </c>
      <c r="M389" s="582">
        <v>100</v>
      </c>
      <c r="N389" s="582">
        <v>100</v>
      </c>
      <c r="O389" s="582">
        <v>100</v>
      </c>
      <c r="P389" s="582">
        <v>100</v>
      </c>
      <c r="Q389" s="582">
        <v>100</v>
      </c>
    </row>
    <row r="390" spans="1:17" s="120" customFormat="1" ht="88.5" x14ac:dyDescent="0.25">
      <c r="A390" s="565">
        <v>25</v>
      </c>
      <c r="B390" s="44">
        <v>6</v>
      </c>
      <c r="C390" s="562"/>
      <c r="D390" s="508"/>
      <c r="E390" s="1173" t="s">
        <v>887</v>
      </c>
      <c r="F390" s="159">
        <v>10575.1</v>
      </c>
      <c r="G390" s="159">
        <v>12590.1</v>
      </c>
      <c r="H390" s="560"/>
      <c r="I390" s="159">
        <v>12653</v>
      </c>
      <c r="J390" s="159">
        <v>12765.2</v>
      </c>
      <c r="K390" s="1195" t="s">
        <v>821</v>
      </c>
      <c r="L390" s="343" t="s">
        <v>34</v>
      </c>
      <c r="M390" s="343">
        <v>100</v>
      </c>
      <c r="N390" s="343">
        <v>100</v>
      </c>
      <c r="O390" s="343">
        <v>100</v>
      </c>
      <c r="P390" s="343">
        <v>100</v>
      </c>
      <c r="Q390" s="343">
        <v>100</v>
      </c>
    </row>
    <row r="391" spans="1:17" s="120" customFormat="1" x14ac:dyDescent="0.25">
      <c r="A391" s="1786"/>
      <c r="B391" s="2294"/>
      <c r="C391" s="1789" t="s">
        <v>4</v>
      </c>
      <c r="D391" s="2370"/>
      <c r="E391" s="2287" t="s">
        <v>785</v>
      </c>
      <c r="F391" s="2313">
        <v>10575.1</v>
      </c>
      <c r="G391" s="2313">
        <v>12590.1</v>
      </c>
      <c r="H391" s="2372"/>
      <c r="I391" s="2237">
        <v>12653</v>
      </c>
      <c r="J391" s="2237">
        <v>12765.2</v>
      </c>
      <c r="K391" s="1217" t="s">
        <v>820</v>
      </c>
      <c r="L391" s="524" t="s">
        <v>36</v>
      </c>
      <c r="M391" s="524">
        <v>436</v>
      </c>
      <c r="N391" s="524">
        <v>438</v>
      </c>
      <c r="O391" s="524">
        <v>440</v>
      </c>
      <c r="P391" s="524">
        <v>440</v>
      </c>
      <c r="Q391" s="524">
        <v>442</v>
      </c>
    </row>
    <row r="392" spans="1:17" s="120" customFormat="1" ht="45" x14ac:dyDescent="0.25">
      <c r="A392" s="1786"/>
      <c r="B392" s="2036"/>
      <c r="C392" s="1789"/>
      <c r="D392" s="2370"/>
      <c r="E392" s="2371"/>
      <c r="F392" s="2136"/>
      <c r="G392" s="2136"/>
      <c r="H392" s="1763"/>
      <c r="I392" s="2238"/>
      <c r="J392" s="2238"/>
      <c r="K392" s="558" t="s">
        <v>819</v>
      </c>
      <c r="L392" s="566" t="s">
        <v>34</v>
      </c>
      <c r="M392" s="566">
        <v>80</v>
      </c>
      <c r="N392" s="566">
        <v>80</v>
      </c>
      <c r="O392" s="566">
        <v>80</v>
      </c>
      <c r="P392" s="566">
        <v>80</v>
      </c>
      <c r="Q392" s="566">
        <v>80</v>
      </c>
    </row>
    <row r="393" spans="1:17" s="120" customFormat="1" x14ac:dyDescent="0.25">
      <c r="A393" s="1786"/>
      <c r="B393" s="1788"/>
      <c r="C393" s="1789"/>
      <c r="D393" s="2370"/>
      <c r="E393" s="1739"/>
      <c r="F393" s="2136"/>
      <c r="G393" s="2136"/>
      <c r="H393" s="1763"/>
      <c r="I393" s="2238"/>
      <c r="J393" s="2238"/>
      <c r="K393" s="558" t="s">
        <v>818</v>
      </c>
      <c r="L393" s="566" t="s">
        <v>823</v>
      </c>
      <c r="M393" s="566">
        <v>1440</v>
      </c>
      <c r="N393" s="566">
        <v>1460</v>
      </c>
      <c r="O393" s="566">
        <v>1480</v>
      </c>
      <c r="P393" s="566">
        <v>1480</v>
      </c>
      <c r="Q393" s="566">
        <v>1500</v>
      </c>
    </row>
    <row r="394" spans="1:17" s="120" customFormat="1" ht="60" x14ac:dyDescent="0.25">
      <c r="A394" s="516"/>
      <c r="B394" s="372"/>
      <c r="C394" s="543" t="s">
        <v>5</v>
      </c>
      <c r="D394" s="583"/>
      <c r="E394" s="1150" t="s">
        <v>786</v>
      </c>
      <c r="F394" s="2136"/>
      <c r="G394" s="2136"/>
      <c r="H394" s="1763"/>
      <c r="I394" s="2238"/>
      <c r="J394" s="2238"/>
      <c r="K394" s="558" t="s">
        <v>817</v>
      </c>
      <c r="L394" s="566" t="s">
        <v>823</v>
      </c>
      <c r="M394" s="566">
        <v>2260</v>
      </c>
      <c r="N394" s="566">
        <v>2300</v>
      </c>
      <c r="O394" s="566">
        <v>2340</v>
      </c>
      <c r="P394" s="566">
        <v>2340</v>
      </c>
      <c r="Q394" s="566">
        <v>2380</v>
      </c>
    </row>
    <row r="395" spans="1:17" s="120" customFormat="1" ht="45" x14ac:dyDescent="0.25">
      <c r="A395" s="537"/>
      <c r="B395" s="536"/>
      <c r="C395" s="556" t="s">
        <v>7</v>
      </c>
      <c r="D395" s="584"/>
      <c r="E395" s="1150" t="s">
        <v>787</v>
      </c>
      <c r="F395" s="1696"/>
      <c r="G395" s="1696"/>
      <c r="H395" s="1764"/>
      <c r="I395" s="2239"/>
      <c r="J395" s="2239"/>
      <c r="K395" s="1217" t="s">
        <v>816</v>
      </c>
      <c r="L395" s="566" t="s">
        <v>34</v>
      </c>
      <c r="M395" s="566">
        <v>100</v>
      </c>
      <c r="N395" s="566">
        <v>100</v>
      </c>
      <c r="O395" s="566">
        <v>100</v>
      </c>
      <c r="P395" s="566">
        <v>100</v>
      </c>
      <c r="Q395" s="566">
        <v>100</v>
      </c>
    </row>
    <row r="396" spans="1:17" s="120" customFormat="1" ht="57" x14ac:dyDescent="0.25">
      <c r="A396" s="565">
        <v>25</v>
      </c>
      <c r="B396" s="541">
        <v>7</v>
      </c>
      <c r="C396" s="528"/>
      <c r="D396" s="508"/>
      <c r="E396" s="1173" t="s">
        <v>788</v>
      </c>
      <c r="F396" s="159">
        <v>24282.3</v>
      </c>
      <c r="G396" s="159">
        <v>23465</v>
      </c>
      <c r="H396" s="159">
        <f>H397+H398+H399+H400</f>
        <v>29661.920000000002</v>
      </c>
      <c r="I396" s="159">
        <v>22343</v>
      </c>
      <c r="J396" s="159">
        <v>23539.4</v>
      </c>
      <c r="K396" s="1212" t="s">
        <v>814</v>
      </c>
      <c r="L396" s="1098" t="s">
        <v>822</v>
      </c>
      <c r="M396" s="566" t="s">
        <v>824</v>
      </c>
      <c r="N396" s="566" t="s">
        <v>824</v>
      </c>
      <c r="O396" s="566" t="s">
        <v>824</v>
      </c>
      <c r="P396" s="566" t="s">
        <v>824</v>
      </c>
      <c r="Q396" s="566" t="s">
        <v>824</v>
      </c>
    </row>
    <row r="397" spans="1:17" s="120" customFormat="1" x14ac:dyDescent="0.25">
      <c r="A397" s="569"/>
      <c r="B397" s="398"/>
      <c r="C397" s="562" t="s">
        <v>4</v>
      </c>
      <c r="D397" s="579"/>
      <c r="E397" s="1279" t="s">
        <v>789</v>
      </c>
      <c r="F397" s="566">
        <v>5021.2</v>
      </c>
      <c r="G397" s="566">
        <v>3911.1</v>
      </c>
      <c r="H397" s="535">
        <v>4579.1000000000004</v>
      </c>
      <c r="I397" s="585">
        <v>4293.6000000000004</v>
      </c>
      <c r="J397" s="585">
        <v>4332.8</v>
      </c>
      <c r="K397" s="1212" t="s">
        <v>815</v>
      </c>
      <c r="L397" s="566" t="s">
        <v>822</v>
      </c>
      <c r="M397" s="566">
        <v>1469</v>
      </c>
      <c r="N397" s="566">
        <v>1508</v>
      </c>
      <c r="O397" s="566">
        <v>1460</v>
      </c>
      <c r="P397" s="566"/>
      <c r="Q397" s="566"/>
    </row>
    <row r="398" spans="1:17" s="120" customFormat="1" ht="45" x14ac:dyDescent="0.25">
      <c r="A398" s="569"/>
      <c r="B398" s="586"/>
      <c r="C398" s="333" t="s">
        <v>5</v>
      </c>
      <c r="D398" s="579"/>
      <c r="E398" s="1279" t="s">
        <v>790</v>
      </c>
      <c r="F398" s="566">
        <v>3347.5</v>
      </c>
      <c r="G398" s="566">
        <v>2607.4</v>
      </c>
      <c r="H398" s="535">
        <v>715.17</v>
      </c>
      <c r="I398" s="585">
        <v>715.6</v>
      </c>
      <c r="J398" s="585">
        <v>722.1</v>
      </c>
      <c r="K398" s="1212" t="s">
        <v>814</v>
      </c>
      <c r="L398" s="566" t="s">
        <v>822</v>
      </c>
      <c r="M398" s="566" t="s">
        <v>824</v>
      </c>
      <c r="N398" s="566" t="s">
        <v>824</v>
      </c>
      <c r="O398" s="566" t="s">
        <v>824</v>
      </c>
      <c r="P398" s="566" t="s">
        <v>824</v>
      </c>
      <c r="Q398" s="566" t="s">
        <v>824</v>
      </c>
    </row>
    <row r="399" spans="1:17" s="120" customFormat="1" ht="60" x14ac:dyDescent="0.25">
      <c r="A399" s="569"/>
      <c r="B399" s="586"/>
      <c r="C399" s="333" t="s">
        <v>7</v>
      </c>
      <c r="D399" s="579"/>
      <c r="E399" s="1279" t="s">
        <v>791</v>
      </c>
      <c r="F399" s="566">
        <v>11729.3</v>
      </c>
      <c r="G399" s="566">
        <v>13687.3</v>
      </c>
      <c r="H399" s="535">
        <v>20600.900000000001</v>
      </c>
      <c r="I399" s="585">
        <v>13755.8</v>
      </c>
      <c r="J399" s="585">
        <v>14873.8</v>
      </c>
      <c r="K399" s="1212" t="s">
        <v>813</v>
      </c>
      <c r="L399" s="566"/>
      <c r="M399" s="566">
        <v>4</v>
      </c>
      <c r="N399" s="566">
        <v>4</v>
      </c>
      <c r="O399" s="566">
        <v>5</v>
      </c>
      <c r="P399" s="566">
        <v>5</v>
      </c>
      <c r="Q399" s="566">
        <v>5</v>
      </c>
    </row>
    <row r="400" spans="1:17" s="120" customFormat="1" ht="45" x14ac:dyDescent="0.25">
      <c r="A400" s="569"/>
      <c r="B400" s="398"/>
      <c r="C400" s="562" t="s">
        <v>9</v>
      </c>
      <c r="D400" s="579"/>
      <c r="E400" s="1279" t="s">
        <v>888</v>
      </c>
      <c r="F400" s="566">
        <v>4184.3</v>
      </c>
      <c r="G400" s="566">
        <v>3259.2</v>
      </c>
      <c r="H400" s="535">
        <v>3766.75</v>
      </c>
      <c r="I400" s="585">
        <v>3578</v>
      </c>
      <c r="J400" s="585">
        <v>3610.7</v>
      </c>
      <c r="K400" s="1212" t="s">
        <v>812</v>
      </c>
      <c r="L400" s="566" t="s">
        <v>825</v>
      </c>
      <c r="M400" s="566">
        <v>17</v>
      </c>
      <c r="N400" s="566">
        <v>17</v>
      </c>
      <c r="O400" s="566">
        <v>11</v>
      </c>
      <c r="P400" s="566">
        <v>11</v>
      </c>
      <c r="Q400" s="566">
        <v>11</v>
      </c>
    </row>
    <row r="401" spans="1:17" s="120" customFormat="1" ht="88.5" x14ac:dyDescent="0.25">
      <c r="A401" s="565">
        <v>25</v>
      </c>
      <c r="B401" s="44">
        <v>8</v>
      </c>
      <c r="C401" s="528"/>
      <c r="D401" s="508"/>
      <c r="E401" s="1167" t="s">
        <v>887</v>
      </c>
      <c r="F401" s="159">
        <v>16887.199999999997</v>
      </c>
      <c r="G401" s="159">
        <v>14340.199999999999</v>
      </c>
      <c r="H401" s="159">
        <f>H402+H403+H405+H410</f>
        <v>17381.169999999998</v>
      </c>
      <c r="I401" s="159">
        <v>15440.600000000002</v>
      </c>
      <c r="J401" s="159">
        <v>15817.599999999999</v>
      </c>
      <c r="K401" s="1195" t="s">
        <v>811</v>
      </c>
      <c r="L401" s="343"/>
      <c r="M401" s="343"/>
      <c r="N401" s="343"/>
      <c r="O401" s="343" t="s">
        <v>147</v>
      </c>
      <c r="P401" s="343" t="s">
        <v>147</v>
      </c>
      <c r="Q401" s="343" t="s">
        <v>147</v>
      </c>
    </row>
    <row r="402" spans="1:17" s="120" customFormat="1" ht="45" x14ac:dyDescent="0.25">
      <c r="A402" s="516"/>
      <c r="B402" s="372"/>
      <c r="C402" s="562" t="s">
        <v>4</v>
      </c>
      <c r="D402" s="577"/>
      <c r="E402" s="1150" t="s">
        <v>792</v>
      </c>
      <c r="F402" s="523">
        <v>2378.5</v>
      </c>
      <c r="G402" s="523">
        <v>1955.5</v>
      </c>
      <c r="H402" s="531">
        <v>2681.1</v>
      </c>
      <c r="I402" s="515">
        <v>2146.8000000000002</v>
      </c>
      <c r="J402" s="515">
        <v>2166.4</v>
      </c>
      <c r="K402" s="1212" t="s">
        <v>148</v>
      </c>
      <c r="L402" s="566" t="s">
        <v>780</v>
      </c>
      <c r="M402" s="566">
        <v>3</v>
      </c>
      <c r="N402" s="566">
        <v>4</v>
      </c>
      <c r="O402" s="566">
        <v>4</v>
      </c>
      <c r="P402" s="566">
        <v>4</v>
      </c>
      <c r="Q402" s="566">
        <v>4</v>
      </c>
    </row>
    <row r="403" spans="1:17" s="120" customFormat="1" x14ac:dyDescent="0.25">
      <c r="A403" s="2427"/>
      <c r="B403" s="544"/>
      <c r="C403" s="2368" t="s">
        <v>5</v>
      </c>
      <c r="D403" s="2240"/>
      <c r="E403" s="2287" t="s">
        <v>794</v>
      </c>
      <c r="F403" s="2364">
        <v>3347.4</v>
      </c>
      <c r="G403" s="2364">
        <v>2607.4</v>
      </c>
      <c r="H403" s="2231">
        <v>3230.6</v>
      </c>
      <c r="I403" s="2231">
        <v>2862.4</v>
      </c>
      <c r="J403" s="2231">
        <v>2888.5</v>
      </c>
      <c r="K403" s="1212" t="s">
        <v>77</v>
      </c>
      <c r="L403" s="566" t="s">
        <v>780</v>
      </c>
      <c r="M403" s="566">
        <v>5</v>
      </c>
      <c r="N403" s="566">
        <v>3</v>
      </c>
      <c r="O403" s="566">
        <v>3</v>
      </c>
      <c r="P403" s="566">
        <v>3</v>
      </c>
      <c r="Q403" s="566">
        <v>3</v>
      </c>
    </row>
    <row r="404" spans="1:17" s="120" customFormat="1" ht="45" x14ac:dyDescent="0.25">
      <c r="A404" s="2035"/>
      <c r="B404" s="536"/>
      <c r="C404" s="1821"/>
      <c r="D404" s="2338"/>
      <c r="E404" s="1739"/>
      <c r="F404" s="1760"/>
      <c r="G404" s="1760"/>
      <c r="H404" s="2050"/>
      <c r="I404" s="2050"/>
      <c r="J404" s="2050"/>
      <c r="K404" s="1109" t="s">
        <v>149</v>
      </c>
      <c r="L404" s="519" t="s">
        <v>34</v>
      </c>
      <c r="M404" s="587">
        <v>1</v>
      </c>
      <c r="N404" s="587">
        <v>1</v>
      </c>
      <c r="O404" s="587">
        <v>1</v>
      </c>
      <c r="P404" s="587">
        <v>1</v>
      </c>
      <c r="Q404" s="587">
        <v>1</v>
      </c>
    </row>
    <row r="405" spans="1:17" s="120" customFormat="1" ht="30" x14ac:dyDescent="0.25">
      <c r="A405" s="516"/>
      <c r="B405" s="372"/>
      <c r="C405" s="562" t="s">
        <v>7</v>
      </c>
      <c r="D405" s="577"/>
      <c r="E405" s="1150" t="s">
        <v>795</v>
      </c>
      <c r="F405" s="2364">
        <v>2792.7</v>
      </c>
      <c r="G405" s="2364">
        <v>3258.9</v>
      </c>
      <c r="H405" s="2231">
        <v>3258.9</v>
      </c>
      <c r="I405" s="2231">
        <v>3275.2</v>
      </c>
      <c r="J405" s="2231">
        <v>3541.4</v>
      </c>
      <c r="K405" s="2265" t="s">
        <v>810</v>
      </c>
      <c r="L405" s="2376"/>
      <c r="M405" s="524" t="s">
        <v>150</v>
      </c>
      <c r="N405" s="524" t="s">
        <v>150</v>
      </c>
      <c r="O405" s="524" t="s">
        <v>150</v>
      </c>
      <c r="P405" s="2313" t="s">
        <v>150</v>
      </c>
      <c r="Q405" s="2313" t="s">
        <v>150</v>
      </c>
    </row>
    <row r="406" spans="1:17" s="120" customFormat="1" ht="30" x14ac:dyDescent="0.25">
      <c r="A406" s="516"/>
      <c r="B406" s="372"/>
      <c r="C406" s="562" t="s">
        <v>9</v>
      </c>
      <c r="D406" s="577"/>
      <c r="E406" s="1235" t="s">
        <v>793</v>
      </c>
      <c r="F406" s="1759"/>
      <c r="G406" s="1759"/>
      <c r="H406" s="2058"/>
      <c r="I406" s="2058"/>
      <c r="J406" s="2058"/>
      <c r="K406" s="1747"/>
      <c r="L406" s="2056"/>
      <c r="M406" s="519"/>
      <c r="N406" s="519"/>
      <c r="O406" s="519"/>
      <c r="P406" s="1696"/>
      <c r="Q406" s="1696"/>
    </row>
    <row r="407" spans="1:17" s="120" customFormat="1" ht="60" x14ac:dyDescent="0.25">
      <c r="A407" s="2427"/>
      <c r="B407" s="544"/>
      <c r="C407" s="2368" t="s">
        <v>11</v>
      </c>
      <c r="D407" s="2240"/>
      <c r="E407" s="2420" t="s">
        <v>796</v>
      </c>
      <c r="F407" s="1759"/>
      <c r="G407" s="1759"/>
      <c r="H407" s="2058"/>
      <c r="I407" s="2058"/>
      <c r="J407" s="2058"/>
      <c r="K407" s="32" t="s">
        <v>809</v>
      </c>
      <c r="L407" s="566"/>
      <c r="M407" s="566" t="s">
        <v>151</v>
      </c>
      <c r="N407" s="566">
        <v>100</v>
      </c>
      <c r="O407" s="566">
        <v>100</v>
      </c>
      <c r="P407" s="566">
        <v>100</v>
      </c>
      <c r="Q407" s="566">
        <v>100</v>
      </c>
    </row>
    <row r="408" spans="1:17" s="120" customFormat="1" ht="75" x14ac:dyDescent="0.25">
      <c r="A408" s="2034"/>
      <c r="B408" s="545"/>
      <c r="C408" s="1840"/>
      <c r="D408" s="2241"/>
      <c r="E408" s="2421"/>
      <c r="F408" s="1759"/>
      <c r="G408" s="1759"/>
      <c r="H408" s="2058"/>
      <c r="I408" s="2058"/>
      <c r="J408" s="2058"/>
      <c r="K408" s="1212" t="s">
        <v>808</v>
      </c>
      <c r="L408" s="566"/>
      <c r="M408" s="566" t="s">
        <v>152</v>
      </c>
      <c r="N408" s="566" t="s">
        <v>153</v>
      </c>
      <c r="O408" s="566" t="s">
        <v>154</v>
      </c>
      <c r="P408" s="566" t="s">
        <v>155</v>
      </c>
      <c r="Q408" s="566" t="s">
        <v>155</v>
      </c>
    </row>
    <row r="409" spans="1:17" s="120" customFormat="1" ht="30" x14ac:dyDescent="0.25">
      <c r="A409" s="2035"/>
      <c r="B409" s="536"/>
      <c r="C409" s="1821"/>
      <c r="D409" s="2338"/>
      <c r="E409" s="2422"/>
      <c r="F409" s="1760"/>
      <c r="G409" s="1760"/>
      <c r="H409" s="2050"/>
      <c r="I409" s="2050"/>
      <c r="J409" s="2050"/>
      <c r="K409" s="1276" t="s">
        <v>807</v>
      </c>
      <c r="L409" s="566"/>
      <c r="M409" s="566" t="s">
        <v>156</v>
      </c>
      <c r="N409" s="566">
        <v>100</v>
      </c>
      <c r="O409" s="566">
        <v>100</v>
      </c>
      <c r="P409" s="566">
        <v>100</v>
      </c>
      <c r="Q409" s="566">
        <v>100</v>
      </c>
    </row>
    <row r="410" spans="1:17" s="120" customFormat="1" ht="90" x14ac:dyDescent="0.25">
      <c r="A410" s="516"/>
      <c r="B410" s="372"/>
      <c r="C410" s="543" t="s">
        <v>13</v>
      </c>
      <c r="D410" s="583"/>
      <c r="E410" s="1269" t="s">
        <v>797</v>
      </c>
      <c r="F410" s="2364">
        <v>8368.6</v>
      </c>
      <c r="G410" s="2364">
        <v>6518.4</v>
      </c>
      <c r="H410" s="2231">
        <v>8210.57</v>
      </c>
      <c r="I410" s="2231">
        <v>7156.2</v>
      </c>
      <c r="J410" s="2231">
        <v>7221.3</v>
      </c>
      <c r="K410" s="588" t="s">
        <v>806</v>
      </c>
      <c r="L410" s="22" t="s">
        <v>37</v>
      </c>
      <c r="M410" s="566">
        <v>40</v>
      </c>
      <c r="N410" s="566">
        <v>40</v>
      </c>
      <c r="O410" s="566">
        <v>40</v>
      </c>
      <c r="P410" s="566">
        <v>40</v>
      </c>
      <c r="Q410" s="566">
        <v>40</v>
      </c>
    </row>
    <row r="411" spans="1:17" s="120" customFormat="1" ht="60" x14ac:dyDescent="0.25">
      <c r="A411" s="557"/>
      <c r="B411" s="544"/>
      <c r="C411" s="555" t="s">
        <v>15</v>
      </c>
      <c r="D411" s="583"/>
      <c r="E411" s="1302" t="s">
        <v>798</v>
      </c>
      <c r="F411" s="1760"/>
      <c r="G411" s="1760"/>
      <c r="H411" s="2050"/>
      <c r="I411" s="2050"/>
      <c r="J411" s="2050"/>
      <c r="K411" s="588" t="s">
        <v>805</v>
      </c>
      <c r="L411" s="22" t="s">
        <v>825</v>
      </c>
      <c r="M411" s="566">
        <v>3</v>
      </c>
      <c r="N411" s="566">
        <v>4</v>
      </c>
      <c r="O411" s="566">
        <v>4</v>
      </c>
      <c r="P411" s="566">
        <v>4</v>
      </c>
      <c r="Q411" s="566">
        <v>4</v>
      </c>
    </row>
    <row r="412" spans="1:17" s="120" customFormat="1" ht="42.75" x14ac:dyDescent="0.25">
      <c r="A412" s="565">
        <v>25</v>
      </c>
      <c r="B412" s="44">
        <v>9</v>
      </c>
      <c r="C412" s="562"/>
      <c r="D412" s="507"/>
      <c r="E412" s="1167" t="s">
        <v>799</v>
      </c>
      <c r="F412" s="159">
        <v>100422.1</v>
      </c>
      <c r="G412" s="159">
        <v>92666.4</v>
      </c>
      <c r="H412" s="159">
        <f>H413</f>
        <v>76688.099999999991</v>
      </c>
      <c r="I412" s="159">
        <v>93129.600000000006</v>
      </c>
      <c r="J412" s="159">
        <v>94028.7</v>
      </c>
      <c r="K412" s="1195"/>
      <c r="L412" s="343"/>
      <c r="M412" s="343"/>
      <c r="N412" s="343"/>
      <c r="O412" s="343"/>
      <c r="P412" s="343"/>
      <c r="Q412" s="343"/>
    </row>
    <row r="413" spans="1:17" s="120" customFormat="1" ht="30" x14ac:dyDescent="0.25">
      <c r="A413" s="516"/>
      <c r="B413" s="544"/>
      <c r="C413" s="527" t="s">
        <v>4</v>
      </c>
      <c r="D413" s="579"/>
      <c r="E413" s="1300" t="s">
        <v>800</v>
      </c>
      <c r="F413" s="533">
        <v>100422.1</v>
      </c>
      <c r="G413" s="533">
        <v>92666.4</v>
      </c>
      <c r="H413" s="1304">
        <f>76663.2+24.9</f>
        <v>76688.099999999991</v>
      </c>
      <c r="I413" s="534">
        <v>93129.600000000006</v>
      </c>
      <c r="J413" s="534">
        <v>94028.7</v>
      </c>
      <c r="K413" s="1212" t="s">
        <v>804</v>
      </c>
      <c r="L413" s="566" t="s">
        <v>94</v>
      </c>
      <c r="M413" s="566">
        <v>3623.1</v>
      </c>
      <c r="N413" s="566">
        <v>3190.8</v>
      </c>
      <c r="O413" s="566">
        <v>3063.8</v>
      </c>
      <c r="P413" s="566">
        <v>3114.5</v>
      </c>
      <c r="Q413" s="566">
        <v>2932.6</v>
      </c>
    </row>
    <row r="414" spans="1:17" s="120" customFormat="1" ht="28.5" x14ac:dyDescent="0.25">
      <c r="A414" s="565">
        <v>25</v>
      </c>
      <c r="B414" s="44">
        <v>10</v>
      </c>
      <c r="C414" s="562"/>
      <c r="D414" s="507"/>
      <c r="E414" s="1167" t="s">
        <v>801</v>
      </c>
      <c r="F414" s="159">
        <v>0</v>
      </c>
      <c r="G414" s="159">
        <v>0</v>
      </c>
      <c r="H414" s="560">
        <f>H415</f>
        <v>351719.8</v>
      </c>
      <c r="I414" s="560">
        <v>1042814.5</v>
      </c>
      <c r="J414" s="560">
        <v>629130.1</v>
      </c>
      <c r="K414" s="1195"/>
      <c r="L414" s="343"/>
      <c r="M414" s="343"/>
      <c r="N414" s="343"/>
      <c r="O414" s="343"/>
      <c r="P414" s="343"/>
      <c r="Q414" s="343"/>
    </row>
    <row r="415" spans="1:17" s="120" customFormat="1" ht="30" x14ac:dyDescent="0.25">
      <c r="A415" s="516"/>
      <c r="B415" s="544"/>
      <c r="C415" s="527" t="s">
        <v>4</v>
      </c>
      <c r="D415" s="579"/>
      <c r="E415" s="1300" t="s">
        <v>802</v>
      </c>
      <c r="F415" s="533"/>
      <c r="G415" s="533"/>
      <c r="H415" s="515">
        <v>351719.8</v>
      </c>
      <c r="I415" s="534">
        <v>1042814.5</v>
      </c>
      <c r="J415" s="534">
        <v>629130.1</v>
      </c>
      <c r="K415" s="1212"/>
      <c r="L415" s="566"/>
      <c r="M415" s="566"/>
      <c r="N415" s="566"/>
      <c r="O415" s="566"/>
      <c r="P415" s="566"/>
      <c r="Q415" s="566"/>
    </row>
    <row r="416" spans="1:17" s="120" customFormat="1" ht="15" customHeight="1" x14ac:dyDescent="0.25">
      <c r="A416" s="1708" t="s">
        <v>803</v>
      </c>
      <c r="B416" s="1709"/>
      <c r="C416" s="1709"/>
      <c r="D416" s="1709"/>
      <c r="E416" s="1709"/>
      <c r="F416" s="42">
        <v>636660.1</v>
      </c>
      <c r="G416" s="42">
        <v>567497.6</v>
      </c>
      <c r="H416" s="42">
        <f>H352+H361+H370+H376+H382+H396+H401+H412+H414</f>
        <v>957390.82000000007</v>
      </c>
      <c r="I416" s="42">
        <v>1658637.7000000002</v>
      </c>
      <c r="J416" s="42">
        <v>1252449.3</v>
      </c>
      <c r="K416" s="15"/>
      <c r="L416" s="17"/>
      <c r="M416" s="21"/>
      <c r="N416" s="21"/>
      <c r="O416" s="21"/>
      <c r="P416" s="21"/>
      <c r="Q416" s="21"/>
    </row>
    <row r="417" spans="1:17" s="120" customFormat="1" ht="15" customHeight="1" x14ac:dyDescent="0.25">
      <c r="A417" s="1648" t="s">
        <v>157</v>
      </c>
      <c r="B417" s="1649"/>
      <c r="C417" s="1649"/>
      <c r="D417" s="1649"/>
      <c r="E417" s="1649"/>
      <c r="F417" s="1649"/>
      <c r="G417" s="1649"/>
      <c r="H417" s="1649"/>
      <c r="I417" s="1649"/>
      <c r="J417" s="1649"/>
      <c r="K417" s="1649"/>
      <c r="L417" s="1649"/>
      <c r="M417" s="1649"/>
      <c r="N417" s="1649"/>
      <c r="O417" s="1649"/>
      <c r="P417" s="1649"/>
      <c r="Q417" s="1650"/>
    </row>
    <row r="418" spans="1:17" s="120" customFormat="1" ht="30" customHeight="1" x14ac:dyDescent="0.25">
      <c r="A418" s="2443">
        <v>26</v>
      </c>
      <c r="B418" s="2432">
        <v>1</v>
      </c>
      <c r="C418" s="2376"/>
      <c r="D418" s="2376"/>
      <c r="E418" s="1699" t="s">
        <v>3098</v>
      </c>
      <c r="F418" s="2423">
        <v>136552.50000000003</v>
      </c>
      <c r="G418" s="2423">
        <v>144000</v>
      </c>
      <c r="H418" s="2423"/>
      <c r="I418" s="2423">
        <v>158000</v>
      </c>
      <c r="J418" s="2423">
        <v>169000</v>
      </c>
      <c r="K418" s="1302" t="s">
        <v>975</v>
      </c>
      <c r="L418" s="72" t="s">
        <v>34</v>
      </c>
      <c r="M418" s="589">
        <v>0.64800000000000002</v>
      </c>
      <c r="N418" s="589">
        <v>0.65</v>
      </c>
      <c r="O418" s="589">
        <v>0.66</v>
      </c>
      <c r="P418" s="589">
        <v>0.67</v>
      </c>
      <c r="Q418" s="589">
        <v>0.68</v>
      </c>
    </row>
    <row r="419" spans="1:17" s="120" customFormat="1" ht="71.25" customHeight="1" x14ac:dyDescent="0.25">
      <c r="A419" s="2041"/>
      <c r="B419" s="1990"/>
      <c r="C419" s="2056"/>
      <c r="D419" s="2056"/>
      <c r="E419" s="1700"/>
      <c r="F419" s="2056"/>
      <c r="G419" s="2056"/>
      <c r="H419" s="2056"/>
      <c r="I419" s="2056"/>
      <c r="J419" s="2056"/>
      <c r="K419" s="1302" t="s">
        <v>976</v>
      </c>
      <c r="L419" s="72" t="s">
        <v>35</v>
      </c>
      <c r="M419" s="589">
        <v>0.35199999999999998</v>
      </c>
      <c r="N419" s="590" t="s">
        <v>158</v>
      </c>
      <c r="O419" s="590" t="s">
        <v>158</v>
      </c>
      <c r="P419" s="590" t="s">
        <v>158</v>
      </c>
      <c r="Q419" s="590" t="s">
        <v>158</v>
      </c>
    </row>
    <row r="420" spans="1:17" s="120" customFormat="1" ht="45" x14ac:dyDescent="0.25">
      <c r="A420" s="521"/>
      <c r="B420" s="522"/>
      <c r="C420" s="520" t="s">
        <v>4</v>
      </c>
      <c r="D420" s="520"/>
      <c r="E420" s="1280" t="s">
        <v>393</v>
      </c>
      <c r="F420" s="591">
        <v>2920.9</v>
      </c>
      <c r="G420" s="591">
        <v>2920.9</v>
      </c>
      <c r="H420" s="591"/>
      <c r="I420" s="591">
        <v>2920.9</v>
      </c>
      <c r="J420" s="591">
        <v>2920.9</v>
      </c>
      <c r="K420" s="1302" t="s">
        <v>977</v>
      </c>
      <c r="L420" s="464" t="s">
        <v>34</v>
      </c>
      <c r="M420" s="592">
        <v>0.72</v>
      </c>
      <c r="N420" s="592" t="s">
        <v>159</v>
      </c>
      <c r="O420" s="592" t="s">
        <v>159</v>
      </c>
      <c r="P420" s="592" t="s">
        <v>159</v>
      </c>
      <c r="Q420" s="592" t="s">
        <v>159</v>
      </c>
    </row>
    <row r="421" spans="1:17" s="120" customFormat="1" ht="45" x14ac:dyDescent="0.25">
      <c r="A421" s="521"/>
      <c r="B421" s="522"/>
      <c r="C421" s="520" t="s">
        <v>13</v>
      </c>
      <c r="D421" s="520"/>
      <c r="E421" s="1280" t="s">
        <v>1036</v>
      </c>
      <c r="F421" s="591">
        <v>14649.2</v>
      </c>
      <c r="G421" s="591">
        <v>18439.099999999999</v>
      </c>
      <c r="H421" s="591"/>
      <c r="I421" s="591">
        <v>27429.200000000001</v>
      </c>
      <c r="J421" s="591">
        <v>37429.199999999997</v>
      </c>
      <c r="K421" s="1302" t="s">
        <v>978</v>
      </c>
      <c r="L421" s="464" t="s">
        <v>34</v>
      </c>
      <c r="M421" s="29">
        <v>0.2</v>
      </c>
      <c r="N421" s="593">
        <v>0.2</v>
      </c>
      <c r="O421" s="593">
        <v>0.2</v>
      </c>
      <c r="P421" s="593">
        <v>0.2</v>
      </c>
      <c r="Q421" s="593">
        <v>0.2</v>
      </c>
    </row>
    <row r="422" spans="1:17" s="120" customFormat="1" ht="30" x14ac:dyDescent="0.25">
      <c r="A422" s="521"/>
      <c r="B422" s="2257"/>
      <c r="C422" s="2229" t="s">
        <v>16</v>
      </c>
      <c r="D422" s="2229"/>
      <c r="E422" s="1697" t="s">
        <v>1037</v>
      </c>
      <c r="F422" s="2339">
        <v>85951.1</v>
      </c>
      <c r="G422" s="2339">
        <v>87271.1</v>
      </c>
      <c r="H422" s="2339"/>
      <c r="I422" s="2339">
        <v>88281</v>
      </c>
      <c r="J422" s="2339">
        <v>88281</v>
      </c>
      <c r="K422" s="1302" t="s">
        <v>979</v>
      </c>
      <c r="L422" s="464" t="s">
        <v>34</v>
      </c>
      <c r="M422" s="594">
        <v>0.37455555555555547</v>
      </c>
      <c r="N422" s="595" t="s">
        <v>158</v>
      </c>
      <c r="O422" s="595" t="s">
        <v>158</v>
      </c>
      <c r="P422" s="595" t="s">
        <v>158</v>
      </c>
      <c r="Q422" s="595" t="s">
        <v>158</v>
      </c>
    </row>
    <row r="423" spans="1:17" s="120" customFormat="1" ht="60" x14ac:dyDescent="0.25">
      <c r="A423" s="521"/>
      <c r="B423" s="1641"/>
      <c r="C423" s="1690"/>
      <c r="D423" s="1690"/>
      <c r="E423" s="1689"/>
      <c r="F423" s="2340"/>
      <c r="G423" s="2340"/>
      <c r="H423" s="2340"/>
      <c r="I423" s="2340"/>
      <c r="J423" s="2340"/>
      <c r="K423" s="1302" t="s">
        <v>980</v>
      </c>
      <c r="L423" s="464" t="s">
        <v>34</v>
      </c>
      <c r="M423" s="594">
        <v>0.79100000000000004</v>
      </c>
      <c r="N423" s="595">
        <v>79.099999999999994</v>
      </c>
      <c r="O423" s="595" t="s">
        <v>159</v>
      </c>
      <c r="P423" s="595" t="s">
        <v>159</v>
      </c>
      <c r="Q423" s="595" t="s">
        <v>159</v>
      </c>
    </row>
    <row r="424" spans="1:17" s="120" customFormat="1" ht="45" x14ac:dyDescent="0.25">
      <c r="A424" s="521"/>
      <c r="B424" s="1638"/>
      <c r="C424" s="1670"/>
      <c r="D424" s="1670"/>
      <c r="E424" s="1698"/>
      <c r="F424" s="2341"/>
      <c r="G424" s="2341"/>
      <c r="H424" s="2341"/>
      <c r="I424" s="2341"/>
      <c r="J424" s="2341"/>
      <c r="K424" s="1302" t="s">
        <v>981</v>
      </c>
      <c r="L424" s="464" t="s">
        <v>34</v>
      </c>
      <c r="M424" s="594">
        <v>0.65400000000000003</v>
      </c>
      <c r="N424" s="595">
        <v>73.7</v>
      </c>
      <c r="O424" s="595" t="s">
        <v>160</v>
      </c>
      <c r="P424" s="595" t="s">
        <v>161</v>
      </c>
      <c r="Q424" s="595" t="s">
        <v>162</v>
      </c>
    </row>
    <row r="425" spans="1:17" s="120" customFormat="1" ht="60" x14ac:dyDescent="0.25">
      <c r="A425" s="521"/>
      <c r="B425" s="522"/>
      <c r="C425" s="520" t="s">
        <v>26</v>
      </c>
      <c r="D425" s="520"/>
      <c r="E425" s="1280" t="s">
        <v>1038</v>
      </c>
      <c r="F425" s="591">
        <v>6756.4</v>
      </c>
      <c r="G425" s="591">
        <v>6756.4</v>
      </c>
      <c r="H425" s="591"/>
      <c r="I425" s="591">
        <v>6756.4</v>
      </c>
      <c r="J425" s="591">
        <v>6756.4</v>
      </c>
      <c r="K425" s="1302" t="s">
        <v>982</v>
      </c>
      <c r="L425" s="464" t="s">
        <v>34</v>
      </c>
      <c r="M425" s="596">
        <v>0.95699999999999996</v>
      </c>
      <c r="N425" s="593" t="s">
        <v>163</v>
      </c>
      <c r="O425" s="593" t="s">
        <v>163</v>
      </c>
      <c r="P425" s="593" t="s">
        <v>163</v>
      </c>
      <c r="Q425" s="593" t="s">
        <v>163</v>
      </c>
    </row>
    <row r="426" spans="1:17" s="120" customFormat="1" ht="30" x14ac:dyDescent="0.25">
      <c r="A426" s="521"/>
      <c r="B426" s="522"/>
      <c r="C426" s="520" t="s">
        <v>27</v>
      </c>
      <c r="D426" s="520"/>
      <c r="E426" s="1572" t="s">
        <v>1039</v>
      </c>
      <c r="F426" s="591">
        <v>1841.6</v>
      </c>
      <c r="G426" s="591">
        <v>1841.6</v>
      </c>
      <c r="H426" s="591"/>
      <c r="I426" s="591">
        <v>1841.6</v>
      </c>
      <c r="J426" s="591">
        <v>1841.6</v>
      </c>
      <c r="K426" s="1302" t="s">
        <v>983</v>
      </c>
      <c r="L426" s="464" t="s">
        <v>34</v>
      </c>
      <c r="M426" s="596">
        <v>0.67</v>
      </c>
      <c r="N426" s="593">
        <v>0.75</v>
      </c>
      <c r="O426" s="593">
        <v>0.8</v>
      </c>
      <c r="P426" s="593">
        <v>0.85</v>
      </c>
      <c r="Q426" s="593">
        <v>0.9</v>
      </c>
    </row>
    <row r="427" spans="1:17" s="120" customFormat="1" ht="60" x14ac:dyDescent="0.25">
      <c r="A427" s="1910"/>
      <c r="B427" s="2257"/>
      <c r="C427" s="1753" t="s">
        <v>28</v>
      </c>
      <c r="D427" s="1753"/>
      <c r="E427" s="1683" t="s">
        <v>1040</v>
      </c>
      <c r="F427" s="2339">
        <v>3254.1</v>
      </c>
      <c r="G427" s="2339">
        <v>3254.1</v>
      </c>
      <c r="H427" s="2339"/>
      <c r="I427" s="2339">
        <v>3254.1</v>
      </c>
      <c r="J427" s="2339">
        <v>3254.1</v>
      </c>
      <c r="K427" s="1302" t="s">
        <v>984</v>
      </c>
      <c r="L427" s="597" t="s">
        <v>34</v>
      </c>
      <c r="M427" s="598">
        <v>7.0000000000000007E-2</v>
      </c>
      <c r="N427" s="598">
        <v>0.95</v>
      </c>
      <c r="O427" s="598">
        <v>1</v>
      </c>
      <c r="P427" s="598">
        <v>1</v>
      </c>
      <c r="Q427" s="598">
        <v>1</v>
      </c>
    </row>
    <row r="428" spans="1:17" s="120" customFormat="1" ht="45" x14ac:dyDescent="0.25">
      <c r="A428" s="1910"/>
      <c r="B428" s="1638"/>
      <c r="C428" s="1753"/>
      <c r="D428" s="1753"/>
      <c r="E428" s="1683"/>
      <c r="F428" s="2341"/>
      <c r="G428" s="2341"/>
      <c r="H428" s="2341"/>
      <c r="I428" s="2341"/>
      <c r="J428" s="2341"/>
      <c r="K428" s="1302" t="s">
        <v>985</v>
      </c>
      <c r="L428" s="464" t="s">
        <v>34</v>
      </c>
      <c r="M428" s="599">
        <v>0</v>
      </c>
      <c r="N428" s="599">
        <v>0.7</v>
      </c>
      <c r="O428" s="599">
        <v>0.75</v>
      </c>
      <c r="P428" s="599">
        <v>0.8</v>
      </c>
      <c r="Q428" s="599">
        <v>0.9</v>
      </c>
    </row>
    <row r="429" spans="1:17" s="120" customFormat="1" ht="60" x14ac:dyDescent="0.25">
      <c r="A429" s="521"/>
      <c r="B429" s="522"/>
      <c r="C429" s="520" t="s">
        <v>29</v>
      </c>
      <c r="D429" s="520"/>
      <c r="E429" s="1280" t="s">
        <v>1041</v>
      </c>
      <c r="F429" s="591">
        <v>4962.7</v>
      </c>
      <c r="G429" s="591">
        <v>4962.7</v>
      </c>
      <c r="H429" s="591"/>
      <c r="I429" s="591">
        <v>4962.7</v>
      </c>
      <c r="J429" s="591">
        <v>4962.7</v>
      </c>
      <c r="K429" s="1302" t="s">
        <v>986</v>
      </c>
      <c r="L429" s="464" t="s">
        <v>34</v>
      </c>
      <c r="M429" s="596">
        <v>0.91800000000000004</v>
      </c>
      <c r="N429" s="593">
        <v>0.9</v>
      </c>
      <c r="O429" s="593">
        <v>0.9</v>
      </c>
      <c r="P429" s="593">
        <v>0.9</v>
      </c>
      <c r="Q429" s="593">
        <v>0.9</v>
      </c>
    </row>
    <row r="430" spans="1:17" s="120" customFormat="1" ht="45" customHeight="1" x14ac:dyDescent="0.25">
      <c r="A430" s="1910"/>
      <c r="B430" s="2257"/>
      <c r="C430" s="1753" t="s">
        <v>30</v>
      </c>
      <c r="D430" s="1753"/>
      <c r="E430" s="1683" t="s">
        <v>1042</v>
      </c>
      <c r="F430" s="2339">
        <v>3824.8</v>
      </c>
      <c r="G430" s="2339">
        <v>3824.8</v>
      </c>
      <c r="H430" s="2339"/>
      <c r="I430" s="2339">
        <v>3824.8</v>
      </c>
      <c r="J430" s="2339">
        <v>3824.8</v>
      </c>
      <c r="K430" s="1302" t="s">
        <v>987</v>
      </c>
      <c r="L430" s="597" t="s">
        <v>36</v>
      </c>
      <c r="M430" s="600">
        <v>1920</v>
      </c>
      <c r="N430" s="600">
        <v>1950</v>
      </c>
      <c r="O430" s="600">
        <v>2000</v>
      </c>
      <c r="P430" s="600">
        <v>2020</v>
      </c>
      <c r="Q430" s="600">
        <v>2050</v>
      </c>
    </row>
    <row r="431" spans="1:17" s="120" customFormat="1" x14ac:dyDescent="0.25">
      <c r="A431" s="1910"/>
      <c r="B431" s="1641"/>
      <c r="C431" s="1753"/>
      <c r="D431" s="1753"/>
      <c r="E431" s="1683"/>
      <c r="F431" s="2340"/>
      <c r="G431" s="2340"/>
      <c r="H431" s="2340"/>
      <c r="I431" s="2340"/>
      <c r="J431" s="2340"/>
      <c r="K431" s="1302" t="s">
        <v>988</v>
      </c>
      <c r="L431" s="597" t="s">
        <v>36</v>
      </c>
      <c r="M431" s="600">
        <v>4000</v>
      </c>
      <c r="N431" s="600">
        <v>5800</v>
      </c>
      <c r="O431" s="600">
        <v>6750</v>
      </c>
      <c r="P431" s="600">
        <v>8700</v>
      </c>
      <c r="Q431" s="600">
        <v>9600</v>
      </c>
    </row>
    <row r="432" spans="1:17" s="120" customFormat="1" x14ac:dyDescent="0.25">
      <c r="A432" s="1910"/>
      <c r="B432" s="1638"/>
      <c r="C432" s="1753"/>
      <c r="D432" s="1753"/>
      <c r="E432" s="1683"/>
      <c r="F432" s="2341"/>
      <c r="G432" s="2341"/>
      <c r="H432" s="2341"/>
      <c r="I432" s="2341"/>
      <c r="J432" s="2341"/>
      <c r="K432" s="1302" t="s">
        <v>989</v>
      </c>
      <c r="L432" s="597" t="s">
        <v>36</v>
      </c>
      <c r="M432" s="601">
        <v>1000</v>
      </c>
      <c r="N432" s="601">
        <v>1200</v>
      </c>
      <c r="O432" s="601">
        <v>1250</v>
      </c>
      <c r="P432" s="601">
        <v>1300</v>
      </c>
      <c r="Q432" s="601">
        <v>1400</v>
      </c>
    </row>
    <row r="433" spans="1:17" s="120" customFormat="1" ht="75" x14ac:dyDescent="0.25">
      <c r="A433" s="521"/>
      <c r="B433" s="522"/>
      <c r="C433" s="520" t="s">
        <v>31</v>
      </c>
      <c r="D433" s="520"/>
      <c r="E433" s="1573" t="s">
        <v>1043</v>
      </c>
      <c r="F433" s="591">
        <v>2729.3</v>
      </c>
      <c r="G433" s="591">
        <v>2729.3</v>
      </c>
      <c r="H433" s="591"/>
      <c r="I433" s="591">
        <v>2729.3</v>
      </c>
      <c r="J433" s="591">
        <v>2729.3</v>
      </c>
      <c r="K433" s="1302" t="s">
        <v>990</v>
      </c>
      <c r="L433" s="464" t="s">
        <v>36</v>
      </c>
      <c r="M433" s="601">
        <v>8</v>
      </c>
      <c r="N433" s="601">
        <v>9</v>
      </c>
      <c r="O433" s="601">
        <v>10</v>
      </c>
      <c r="P433" s="601">
        <v>11</v>
      </c>
      <c r="Q433" s="601">
        <v>12</v>
      </c>
    </row>
    <row r="434" spans="1:17" s="120" customFormat="1" ht="45" x14ac:dyDescent="0.25">
      <c r="A434" s="2230"/>
      <c r="B434" s="512"/>
      <c r="C434" s="2229" t="s">
        <v>32</v>
      </c>
      <c r="D434" s="2229"/>
      <c r="E434" s="1683" t="s">
        <v>1044</v>
      </c>
      <c r="F434" s="2339">
        <v>9662.4</v>
      </c>
      <c r="G434" s="2339">
        <v>12000</v>
      </c>
      <c r="H434" s="2339"/>
      <c r="I434" s="2339">
        <v>16000</v>
      </c>
      <c r="J434" s="2339">
        <v>17000</v>
      </c>
      <c r="K434" s="1302" t="s">
        <v>991</v>
      </c>
      <c r="L434" s="464" t="s">
        <v>34</v>
      </c>
      <c r="M434" s="602">
        <v>0.85</v>
      </c>
      <c r="N434" s="602">
        <v>0.9</v>
      </c>
      <c r="O434" s="602">
        <v>0.95</v>
      </c>
      <c r="P434" s="602">
        <v>0.98</v>
      </c>
      <c r="Q434" s="602">
        <v>1</v>
      </c>
    </row>
    <row r="435" spans="1:17" s="120" customFormat="1" ht="30" x14ac:dyDescent="0.25">
      <c r="A435" s="1644"/>
      <c r="B435" s="514"/>
      <c r="C435" s="1670"/>
      <c r="D435" s="1670"/>
      <c r="E435" s="1683"/>
      <c r="F435" s="2341"/>
      <c r="G435" s="2341"/>
      <c r="H435" s="2341"/>
      <c r="I435" s="2341"/>
      <c r="J435" s="2341"/>
      <c r="K435" s="1302" t="s">
        <v>992</v>
      </c>
      <c r="L435" s="464" t="s">
        <v>34</v>
      </c>
      <c r="M435" s="29">
        <v>0.03</v>
      </c>
      <c r="N435" s="29">
        <v>0.04</v>
      </c>
      <c r="O435" s="29">
        <v>0.05</v>
      </c>
      <c r="P435" s="29">
        <v>0.06</v>
      </c>
      <c r="Q435" s="29">
        <v>7.0000000000000007E-2</v>
      </c>
    </row>
    <row r="436" spans="1:17" s="120" customFormat="1" ht="45" x14ac:dyDescent="0.25">
      <c r="A436" s="2443">
        <v>26</v>
      </c>
      <c r="B436" s="2432">
        <v>2</v>
      </c>
      <c r="C436" s="2376"/>
      <c r="D436" s="2376"/>
      <c r="E436" s="1701" t="s">
        <v>1045</v>
      </c>
      <c r="F436" s="2423">
        <v>4478680.5195000004</v>
      </c>
      <c r="G436" s="2423">
        <v>4619022.8209221205</v>
      </c>
      <c r="H436" s="2423">
        <f>H440</f>
        <v>11129175.1</v>
      </c>
      <c r="I436" s="2423">
        <v>5001161.8</v>
      </c>
      <c r="J436" s="2423">
        <v>5089790.2000000011</v>
      </c>
      <c r="K436" s="1302" t="s">
        <v>993</v>
      </c>
      <c r="L436" s="72" t="s">
        <v>34</v>
      </c>
      <c r="M436" s="589">
        <v>0.34280283535048139</v>
      </c>
      <c r="N436" s="589">
        <v>0.32459008711424486</v>
      </c>
      <c r="O436" s="589">
        <v>0.34117516592638675</v>
      </c>
      <c r="P436" s="589">
        <v>0.34173861964531832</v>
      </c>
      <c r="Q436" s="589">
        <v>0.34125148756414581</v>
      </c>
    </row>
    <row r="437" spans="1:17" s="120" customFormat="1" ht="30" x14ac:dyDescent="0.25">
      <c r="A437" s="2040"/>
      <c r="B437" s="2042"/>
      <c r="C437" s="2057"/>
      <c r="D437" s="2057"/>
      <c r="E437" s="1702"/>
      <c r="F437" s="2057"/>
      <c r="G437" s="2057"/>
      <c r="H437" s="2057"/>
      <c r="I437" s="2057"/>
      <c r="J437" s="2057"/>
      <c r="K437" s="1302" t="s">
        <v>994</v>
      </c>
      <c r="L437" s="72" t="s">
        <v>36</v>
      </c>
      <c r="M437" s="589">
        <v>3.5000000000000003E-2</v>
      </c>
      <c r="N437" s="589">
        <v>3.7999999999999999E-2</v>
      </c>
      <c r="O437" s="589">
        <v>0.04</v>
      </c>
      <c r="P437" s="589">
        <v>4.4999999999999998E-2</v>
      </c>
      <c r="Q437" s="589">
        <v>0.05</v>
      </c>
    </row>
    <row r="438" spans="1:17" s="120" customFormat="1" ht="30" x14ac:dyDescent="0.25">
      <c r="A438" s="2040"/>
      <c r="B438" s="2042"/>
      <c r="C438" s="2057"/>
      <c r="D438" s="2057"/>
      <c r="E438" s="1702"/>
      <c r="F438" s="2057"/>
      <c r="G438" s="2057"/>
      <c r="H438" s="2057"/>
      <c r="I438" s="2057"/>
      <c r="J438" s="2057"/>
      <c r="K438" s="1302" t="s">
        <v>995</v>
      </c>
      <c r="L438" s="72" t="s">
        <v>34</v>
      </c>
      <c r="M438" s="589">
        <v>0.1</v>
      </c>
      <c r="N438" s="589">
        <v>0.15</v>
      </c>
      <c r="O438" s="589">
        <v>0.5</v>
      </c>
      <c r="P438" s="589">
        <v>0.6</v>
      </c>
      <c r="Q438" s="589">
        <v>0.7</v>
      </c>
    </row>
    <row r="439" spans="1:17" s="120" customFormat="1" ht="30" x14ac:dyDescent="0.25">
      <c r="A439" s="2041"/>
      <c r="B439" s="1990"/>
      <c r="C439" s="2056"/>
      <c r="D439" s="2056"/>
      <c r="E439" s="1703"/>
      <c r="F439" s="2056"/>
      <c r="G439" s="2056"/>
      <c r="H439" s="2056"/>
      <c r="I439" s="2056"/>
      <c r="J439" s="2056"/>
      <c r="K439" s="1302" t="s">
        <v>996</v>
      </c>
      <c r="L439" s="72" t="s">
        <v>34</v>
      </c>
      <c r="M439" s="589"/>
      <c r="N439" s="589">
        <v>0.58899999999999997</v>
      </c>
      <c r="O439" s="589">
        <v>0.62</v>
      </c>
      <c r="P439" s="589">
        <v>0.65</v>
      </c>
      <c r="Q439" s="589">
        <v>0.7</v>
      </c>
    </row>
    <row r="440" spans="1:17" s="120" customFormat="1" ht="45" x14ac:dyDescent="0.25">
      <c r="A440" s="2230"/>
      <c r="B440" s="512"/>
      <c r="C440" s="2229" t="s">
        <v>4</v>
      </c>
      <c r="D440" s="2229"/>
      <c r="E440" s="1704" t="s">
        <v>1046</v>
      </c>
      <c r="F440" s="2367">
        <v>439156.3</v>
      </c>
      <c r="G440" s="2367">
        <v>447250</v>
      </c>
      <c r="H440" s="2452">
        <v>11129175.1</v>
      </c>
      <c r="I440" s="2367">
        <v>452984</v>
      </c>
      <c r="J440" s="2367">
        <v>454796</v>
      </c>
      <c r="K440" s="1302" t="s">
        <v>997</v>
      </c>
      <c r="L440" s="464" t="s">
        <v>34</v>
      </c>
      <c r="M440" s="594">
        <v>0.95599999999999996</v>
      </c>
      <c r="N440" s="594">
        <v>0.95599999999999996</v>
      </c>
      <c r="O440" s="594">
        <v>1</v>
      </c>
      <c r="P440" s="594">
        <v>1</v>
      </c>
      <c r="Q440" s="594">
        <v>1</v>
      </c>
    </row>
    <row r="441" spans="1:17" s="120" customFormat="1" ht="45" x14ac:dyDescent="0.25">
      <c r="A441" s="1644"/>
      <c r="B441" s="514"/>
      <c r="C441" s="1670"/>
      <c r="D441" s="1670"/>
      <c r="E441" s="1698"/>
      <c r="F441" s="1925"/>
      <c r="G441" s="1925"/>
      <c r="H441" s="2453"/>
      <c r="I441" s="1925"/>
      <c r="J441" s="1925"/>
      <c r="K441" s="1302" t="s">
        <v>998</v>
      </c>
      <c r="L441" s="73" t="s">
        <v>164</v>
      </c>
      <c r="M441" s="74">
        <v>101.8</v>
      </c>
      <c r="N441" s="74">
        <v>102</v>
      </c>
      <c r="O441" s="74">
        <v>105</v>
      </c>
      <c r="P441" s="74">
        <v>120</v>
      </c>
      <c r="Q441" s="74">
        <v>130</v>
      </c>
    </row>
    <row r="442" spans="1:17" s="120" customFormat="1" ht="75" x14ac:dyDescent="0.25">
      <c r="A442" s="2230"/>
      <c r="B442" s="512"/>
      <c r="C442" s="2229" t="s">
        <v>5</v>
      </c>
      <c r="D442" s="2229"/>
      <c r="E442" s="1683" t="s">
        <v>1047</v>
      </c>
      <c r="F442" s="2367">
        <v>3532949</v>
      </c>
      <c r="G442" s="2367">
        <v>3467193.4209221206</v>
      </c>
      <c r="H442" s="2367"/>
      <c r="I442" s="2367">
        <v>3738015.6</v>
      </c>
      <c r="J442" s="2367">
        <v>3797823.9</v>
      </c>
      <c r="K442" s="1302" t="s">
        <v>999</v>
      </c>
      <c r="L442" s="464" t="s">
        <v>34</v>
      </c>
      <c r="M442" s="594"/>
      <c r="N442" s="29">
        <v>0.7</v>
      </c>
      <c r="O442" s="29">
        <v>0.75</v>
      </c>
      <c r="P442" s="29">
        <v>0.8</v>
      </c>
      <c r="Q442" s="29">
        <v>0.85</v>
      </c>
    </row>
    <row r="443" spans="1:17" s="120" customFormat="1" ht="45" x14ac:dyDescent="0.25">
      <c r="A443" s="1643"/>
      <c r="B443" s="513"/>
      <c r="C443" s="1690"/>
      <c r="D443" s="1690"/>
      <c r="E443" s="1683"/>
      <c r="F443" s="1924"/>
      <c r="G443" s="1924"/>
      <c r="H443" s="1924"/>
      <c r="I443" s="1924"/>
      <c r="J443" s="1924"/>
      <c r="K443" s="1302" t="s">
        <v>1000</v>
      </c>
      <c r="L443" s="464" t="s">
        <v>34</v>
      </c>
      <c r="M443" s="594"/>
      <c r="N443" s="29">
        <v>0.75</v>
      </c>
      <c r="O443" s="29">
        <v>0.85</v>
      </c>
      <c r="P443" s="29">
        <v>0.9</v>
      </c>
      <c r="Q443" s="29">
        <v>0.95</v>
      </c>
    </row>
    <row r="444" spans="1:17" s="120" customFormat="1" ht="45" x14ac:dyDescent="0.25">
      <c r="A444" s="1643"/>
      <c r="B444" s="513"/>
      <c r="C444" s="1690"/>
      <c r="D444" s="1690"/>
      <c r="E444" s="1683"/>
      <c r="F444" s="1924"/>
      <c r="G444" s="1924"/>
      <c r="H444" s="1924"/>
      <c r="I444" s="1924"/>
      <c r="J444" s="1924"/>
      <c r="K444" s="1302" t="s">
        <v>1001</v>
      </c>
      <c r="L444" s="464" t="s">
        <v>34</v>
      </c>
      <c r="M444" s="594">
        <v>0.73</v>
      </c>
      <c r="N444" s="29">
        <v>0.75</v>
      </c>
      <c r="O444" s="29">
        <v>0.8</v>
      </c>
      <c r="P444" s="29">
        <v>0.85</v>
      </c>
      <c r="Q444" s="29">
        <v>0.9</v>
      </c>
    </row>
    <row r="445" spans="1:17" s="120" customFormat="1" ht="30" x14ac:dyDescent="0.25">
      <c r="A445" s="1644"/>
      <c r="B445" s="514"/>
      <c r="C445" s="1670"/>
      <c r="D445" s="1670"/>
      <c r="E445" s="1683"/>
      <c r="F445" s="1925"/>
      <c r="G445" s="1925"/>
      <c r="H445" s="1925"/>
      <c r="I445" s="1925"/>
      <c r="J445" s="1925"/>
      <c r="K445" s="1302" t="s">
        <v>1002</v>
      </c>
      <c r="L445" s="464" t="s">
        <v>164</v>
      </c>
      <c r="M445" s="74">
        <v>678</v>
      </c>
      <c r="N445" s="74">
        <v>700</v>
      </c>
      <c r="O445" s="74">
        <v>750</v>
      </c>
      <c r="P445" s="74">
        <v>800</v>
      </c>
      <c r="Q445" s="74">
        <v>850</v>
      </c>
    </row>
    <row r="446" spans="1:17" s="120" customFormat="1" ht="75" x14ac:dyDescent="0.25">
      <c r="A446" s="511"/>
      <c r="B446" s="512"/>
      <c r="C446" s="510" t="s">
        <v>7</v>
      </c>
      <c r="D446" s="510"/>
      <c r="E446" s="1280" t="s">
        <v>1048</v>
      </c>
      <c r="F446" s="529">
        <v>456</v>
      </c>
      <c r="G446" s="529">
        <v>30000</v>
      </c>
      <c r="H446" s="529"/>
      <c r="I446" s="529">
        <v>35000</v>
      </c>
      <c r="J446" s="529">
        <v>35000</v>
      </c>
      <c r="K446" s="1302" t="s">
        <v>1003</v>
      </c>
      <c r="L446" s="464" t="s">
        <v>36</v>
      </c>
      <c r="M446" s="74"/>
      <c r="N446" s="74">
        <v>2000</v>
      </c>
      <c r="O446" s="74">
        <v>2263</v>
      </c>
      <c r="P446" s="74">
        <v>2300</v>
      </c>
      <c r="Q446" s="74">
        <v>2500</v>
      </c>
    </row>
    <row r="447" spans="1:17" s="120" customFormat="1" ht="105" x14ac:dyDescent="0.25">
      <c r="A447" s="521"/>
      <c r="B447" s="522"/>
      <c r="C447" s="520" t="s">
        <v>9</v>
      </c>
      <c r="D447" s="520"/>
      <c r="E447" s="1280" t="s">
        <v>1049</v>
      </c>
      <c r="F447" s="509">
        <v>35855.599999999999</v>
      </c>
      <c r="G447" s="509">
        <v>55000</v>
      </c>
      <c r="H447" s="509"/>
      <c r="I447" s="509">
        <v>55000</v>
      </c>
      <c r="J447" s="509">
        <v>55000</v>
      </c>
      <c r="K447" s="1302" t="s">
        <v>1004</v>
      </c>
      <c r="L447" s="464" t="s">
        <v>34</v>
      </c>
      <c r="M447" s="594">
        <v>0.94</v>
      </c>
      <c r="N447" s="29" t="s">
        <v>165</v>
      </c>
      <c r="O447" s="29" t="s">
        <v>165</v>
      </c>
      <c r="P447" s="29" t="s">
        <v>165</v>
      </c>
      <c r="Q447" s="29" t="s">
        <v>165</v>
      </c>
    </row>
    <row r="448" spans="1:17" s="120" customFormat="1" ht="45" x14ac:dyDescent="0.25">
      <c r="A448" s="521"/>
      <c r="B448" s="522"/>
      <c r="C448" s="520" t="s">
        <v>11</v>
      </c>
      <c r="D448" s="520"/>
      <c r="E448" s="1280" t="s">
        <v>1050</v>
      </c>
      <c r="F448" s="509">
        <v>228560</v>
      </c>
      <c r="G448" s="509">
        <v>264435.40000000002</v>
      </c>
      <c r="H448" s="509"/>
      <c r="I448" s="509">
        <v>280000</v>
      </c>
      <c r="J448" s="509">
        <v>290000</v>
      </c>
      <c r="K448" s="1302" t="s">
        <v>1005</v>
      </c>
      <c r="L448" s="464" t="s">
        <v>34</v>
      </c>
      <c r="M448" s="594">
        <v>0.57399999999999995</v>
      </c>
      <c r="N448" s="29" t="s">
        <v>166</v>
      </c>
      <c r="O448" s="29" t="s">
        <v>166</v>
      </c>
      <c r="P448" s="29" t="s">
        <v>166</v>
      </c>
      <c r="Q448" s="29" t="s">
        <v>166</v>
      </c>
    </row>
    <row r="449" spans="1:17" s="120" customFormat="1" ht="60" x14ac:dyDescent="0.25">
      <c r="A449" s="521"/>
      <c r="B449" s="522"/>
      <c r="C449" s="520" t="s">
        <v>13</v>
      </c>
      <c r="D449" s="520"/>
      <c r="E449" s="1280" t="s">
        <v>1051</v>
      </c>
      <c r="F449" s="509">
        <v>57196.309500000018</v>
      </c>
      <c r="G449" s="509">
        <v>75538.5</v>
      </c>
      <c r="H449" s="509"/>
      <c r="I449" s="509">
        <v>73280.399999999994</v>
      </c>
      <c r="J449" s="509">
        <v>76944.399999999994</v>
      </c>
      <c r="K449" s="1302" t="s">
        <v>1006</v>
      </c>
      <c r="L449" s="73" t="s">
        <v>34</v>
      </c>
      <c r="M449" s="592">
        <v>0.2</v>
      </c>
      <c r="N449" s="594" t="s">
        <v>167</v>
      </c>
      <c r="O449" s="594" t="s">
        <v>167</v>
      </c>
      <c r="P449" s="594" t="s">
        <v>167</v>
      </c>
      <c r="Q449" s="594" t="s">
        <v>167</v>
      </c>
    </row>
    <row r="450" spans="1:17" s="120" customFormat="1" ht="60" x14ac:dyDescent="0.25">
      <c r="A450" s="521"/>
      <c r="B450" s="522"/>
      <c r="C450" s="520" t="s">
        <v>15</v>
      </c>
      <c r="D450" s="520"/>
      <c r="E450" s="1280" t="s">
        <v>1052</v>
      </c>
      <c r="F450" s="509">
        <v>181007.30999999997</v>
      </c>
      <c r="G450" s="509">
        <v>275105.5</v>
      </c>
      <c r="H450" s="509"/>
      <c r="I450" s="509">
        <v>266881.8</v>
      </c>
      <c r="J450" s="509">
        <v>280225.90000000002</v>
      </c>
      <c r="K450" s="1302" t="s">
        <v>1007</v>
      </c>
      <c r="L450" s="464" t="s">
        <v>34</v>
      </c>
      <c r="M450" s="594">
        <v>0.3</v>
      </c>
      <c r="N450" s="594" t="s">
        <v>167</v>
      </c>
      <c r="O450" s="594" t="s">
        <v>167</v>
      </c>
      <c r="P450" s="594" t="s">
        <v>167</v>
      </c>
      <c r="Q450" s="594" t="s">
        <v>167</v>
      </c>
    </row>
    <row r="451" spans="1:17" s="120" customFormat="1" ht="75" x14ac:dyDescent="0.25">
      <c r="A451" s="521"/>
      <c r="B451" s="522"/>
      <c r="C451" s="520" t="s">
        <v>16</v>
      </c>
      <c r="D451" s="520"/>
      <c r="E451" s="1280" t="s">
        <v>1053</v>
      </c>
      <c r="F451" s="509">
        <v>3500</v>
      </c>
      <c r="G451" s="509">
        <v>4500</v>
      </c>
      <c r="H451" s="509"/>
      <c r="I451" s="509">
        <v>100000</v>
      </c>
      <c r="J451" s="509">
        <v>100000</v>
      </c>
      <c r="K451" s="1302" t="s">
        <v>1008</v>
      </c>
      <c r="L451" s="546" t="s">
        <v>34</v>
      </c>
      <c r="M451" s="603"/>
      <c r="N451" s="603">
        <v>0.85</v>
      </c>
      <c r="O451" s="603">
        <v>0.9</v>
      </c>
      <c r="P451" s="603">
        <v>1</v>
      </c>
      <c r="Q451" s="603">
        <v>1</v>
      </c>
    </row>
    <row r="452" spans="1:17" s="120" customFormat="1" ht="28.5" customHeight="1" x14ac:dyDescent="0.25">
      <c r="A452" s="2433">
        <v>26</v>
      </c>
      <c r="B452" s="2428">
        <v>3</v>
      </c>
      <c r="C452" s="2368"/>
      <c r="D452" s="2368"/>
      <c r="E452" s="1705" t="s">
        <v>1054</v>
      </c>
      <c r="F452" s="2429">
        <v>8260452.8999999985</v>
      </c>
      <c r="G452" s="2429">
        <v>9181303.3790778797</v>
      </c>
      <c r="H452" s="2429"/>
      <c r="I452" s="2429">
        <v>9195303</v>
      </c>
      <c r="J452" s="2429">
        <v>9387280.9000000004</v>
      </c>
      <c r="K452" s="20" t="s">
        <v>1009</v>
      </c>
      <c r="L452" s="72" t="s">
        <v>34</v>
      </c>
      <c r="M452" s="589">
        <v>0.13800000000000001</v>
      </c>
      <c r="N452" s="589" t="s">
        <v>168</v>
      </c>
      <c r="O452" s="589" t="s">
        <v>169</v>
      </c>
      <c r="P452" s="589" t="s">
        <v>170</v>
      </c>
      <c r="Q452" s="589" t="s">
        <v>171</v>
      </c>
    </row>
    <row r="453" spans="1:17" s="120" customFormat="1" ht="28.5" x14ac:dyDescent="0.25">
      <c r="A453" s="1849"/>
      <c r="B453" s="1831"/>
      <c r="C453" s="1840"/>
      <c r="D453" s="1840"/>
      <c r="E453" s="1706"/>
      <c r="F453" s="2430"/>
      <c r="G453" s="2430"/>
      <c r="H453" s="2430"/>
      <c r="I453" s="2430"/>
      <c r="J453" s="2430"/>
      <c r="K453" s="20" t="s">
        <v>1010</v>
      </c>
      <c r="L453" s="589" t="s">
        <v>34</v>
      </c>
      <c r="M453" s="604"/>
      <c r="N453" s="589">
        <v>0.6</v>
      </c>
      <c r="O453" s="589">
        <v>0.65</v>
      </c>
      <c r="P453" s="589">
        <v>0.7</v>
      </c>
      <c r="Q453" s="589">
        <v>0.8</v>
      </c>
    </row>
    <row r="454" spans="1:17" s="120" customFormat="1" x14ac:dyDescent="0.25">
      <c r="A454" s="1849"/>
      <c r="B454" s="1831"/>
      <c r="C454" s="1840"/>
      <c r="D454" s="1840"/>
      <c r="E454" s="1706"/>
      <c r="F454" s="2430"/>
      <c r="G454" s="2430"/>
      <c r="H454" s="2430"/>
      <c r="I454" s="2430"/>
      <c r="J454" s="2430"/>
      <c r="K454" s="20" t="s">
        <v>1011</v>
      </c>
      <c r="L454" s="604"/>
      <c r="M454" s="589"/>
      <c r="N454" s="589"/>
      <c r="O454" s="589"/>
      <c r="P454" s="589"/>
      <c r="Q454" s="589"/>
    </row>
    <row r="455" spans="1:17" s="120" customFormat="1" x14ac:dyDescent="0.25">
      <c r="A455" s="1849"/>
      <c r="B455" s="1831"/>
      <c r="C455" s="1840"/>
      <c r="D455" s="1840"/>
      <c r="E455" s="1706"/>
      <c r="F455" s="2430"/>
      <c r="G455" s="2430"/>
      <c r="H455" s="2430"/>
      <c r="I455" s="2430"/>
      <c r="J455" s="2430"/>
      <c r="K455" s="20" t="s">
        <v>1012</v>
      </c>
      <c r="L455" s="2424" t="s">
        <v>34</v>
      </c>
      <c r="M455" s="589">
        <v>3.6999999999999998E-2</v>
      </c>
      <c r="N455" s="589">
        <v>3.9E-2</v>
      </c>
      <c r="O455" s="589">
        <v>4.1000000000000002E-2</v>
      </c>
      <c r="P455" s="589">
        <v>4.2999999999999997E-2</v>
      </c>
      <c r="Q455" s="589">
        <v>4.4999999999999998E-2</v>
      </c>
    </row>
    <row r="456" spans="1:17" s="120" customFormat="1" x14ac:dyDescent="0.25">
      <c r="A456" s="1819"/>
      <c r="B456" s="1735"/>
      <c r="C456" s="1821"/>
      <c r="D456" s="1821"/>
      <c r="E456" s="1707"/>
      <c r="F456" s="2431"/>
      <c r="G456" s="2431"/>
      <c r="H456" s="2431"/>
      <c r="I456" s="2431"/>
      <c r="J456" s="2431"/>
      <c r="K456" s="20" t="s">
        <v>172</v>
      </c>
      <c r="L456" s="2425"/>
      <c r="M456" s="589">
        <v>3.7999999999999999E-2</v>
      </c>
      <c r="N456" s="589">
        <v>0.04</v>
      </c>
      <c r="O456" s="589">
        <v>4.2999999999999997E-2</v>
      </c>
      <c r="P456" s="589">
        <v>4.4999999999999998E-2</v>
      </c>
      <c r="Q456" s="589">
        <v>4.7E-2</v>
      </c>
    </row>
    <row r="457" spans="1:17" s="120" customFormat="1" ht="31.5" customHeight="1" x14ac:dyDescent="0.25">
      <c r="A457" s="2230"/>
      <c r="B457" s="2257"/>
      <c r="C457" s="2229" t="s">
        <v>4</v>
      </c>
      <c r="D457" s="2229"/>
      <c r="E457" s="1683" t="s">
        <v>1055</v>
      </c>
      <c r="F457" s="2377">
        <v>6156932.1999999993</v>
      </c>
      <c r="G457" s="2377">
        <v>6589132.7239211434</v>
      </c>
      <c r="H457" s="2377"/>
      <c r="I457" s="2377">
        <v>6570871.5999999996</v>
      </c>
      <c r="J457" s="2377">
        <v>6677963.9000000004</v>
      </c>
      <c r="K457" s="1302" t="s">
        <v>1013</v>
      </c>
      <c r="L457" s="605" t="s">
        <v>34</v>
      </c>
      <c r="M457" s="606">
        <v>0.52741307147628025</v>
      </c>
      <c r="N457" s="606" t="s">
        <v>166</v>
      </c>
      <c r="O457" s="606" t="s">
        <v>166</v>
      </c>
      <c r="P457" s="606" t="s">
        <v>166</v>
      </c>
      <c r="Q457" s="606" t="s">
        <v>166</v>
      </c>
    </row>
    <row r="458" spans="1:17" s="120" customFormat="1" ht="45" x14ac:dyDescent="0.25">
      <c r="A458" s="1643"/>
      <c r="B458" s="1641"/>
      <c r="C458" s="1690"/>
      <c r="D458" s="1690"/>
      <c r="E458" s="1683"/>
      <c r="F458" s="2377"/>
      <c r="G458" s="2377"/>
      <c r="H458" s="2377"/>
      <c r="I458" s="2377"/>
      <c r="J458" s="2377"/>
      <c r="K458" s="1302" t="s">
        <v>1014</v>
      </c>
      <c r="L458" s="607" t="s">
        <v>34</v>
      </c>
      <c r="M458" s="606">
        <v>0.21066205334648583</v>
      </c>
      <c r="N458" s="606" t="s">
        <v>173</v>
      </c>
      <c r="O458" s="606" t="s">
        <v>173</v>
      </c>
      <c r="P458" s="606" t="s">
        <v>173</v>
      </c>
      <c r="Q458" s="606" t="s">
        <v>173</v>
      </c>
    </row>
    <row r="459" spans="1:17" s="120" customFormat="1" ht="30" x14ac:dyDescent="0.25">
      <c r="A459" s="1644"/>
      <c r="B459" s="1638"/>
      <c r="C459" s="1670"/>
      <c r="D459" s="1670"/>
      <c r="E459" s="1683"/>
      <c r="F459" s="2377"/>
      <c r="G459" s="2377"/>
      <c r="H459" s="2377"/>
      <c r="I459" s="2377"/>
      <c r="J459" s="2377"/>
      <c r="K459" s="1302" t="s">
        <v>1015</v>
      </c>
      <c r="L459" s="605" t="s">
        <v>34</v>
      </c>
      <c r="M459" s="606">
        <v>1.049372593493151</v>
      </c>
      <c r="N459" s="606">
        <v>1.03</v>
      </c>
      <c r="O459" s="606">
        <v>1.02</v>
      </c>
      <c r="P459" s="606">
        <v>1.01</v>
      </c>
      <c r="Q459" s="606">
        <v>1</v>
      </c>
    </row>
    <row r="460" spans="1:17" s="120" customFormat="1" ht="60" x14ac:dyDescent="0.25">
      <c r="A460" s="521"/>
      <c r="B460" s="522"/>
      <c r="C460" s="520" t="s">
        <v>5</v>
      </c>
      <c r="D460" s="520"/>
      <c r="E460" s="1280" t="s">
        <v>1056</v>
      </c>
      <c r="F460" s="509">
        <v>656719</v>
      </c>
      <c r="G460" s="509">
        <v>706569.37426503911</v>
      </c>
      <c r="H460" s="509"/>
      <c r="I460" s="509">
        <v>705187.5</v>
      </c>
      <c r="J460" s="509">
        <v>716470.5</v>
      </c>
      <c r="K460" s="1302" t="s">
        <v>1015</v>
      </c>
      <c r="L460" s="608" t="s">
        <v>34</v>
      </c>
      <c r="M460" s="609">
        <v>0.94357026587086268</v>
      </c>
      <c r="N460" s="609">
        <v>1</v>
      </c>
      <c r="O460" s="609">
        <v>1</v>
      </c>
      <c r="P460" s="609">
        <v>1</v>
      </c>
      <c r="Q460" s="609">
        <v>1</v>
      </c>
    </row>
    <row r="461" spans="1:17" s="120" customFormat="1" ht="60" x14ac:dyDescent="0.25">
      <c r="A461" s="511"/>
      <c r="B461" s="512"/>
      <c r="C461" s="510" t="s">
        <v>7</v>
      </c>
      <c r="D461" s="510"/>
      <c r="E461" s="1280" t="s">
        <v>1057</v>
      </c>
      <c r="F461" s="509">
        <v>174502.3</v>
      </c>
      <c r="G461" s="509">
        <v>171180.39401429941</v>
      </c>
      <c r="H461" s="509"/>
      <c r="I461" s="509">
        <v>176513.9</v>
      </c>
      <c r="J461" s="509">
        <v>179338.2</v>
      </c>
      <c r="K461" s="1302" t="s">
        <v>1015</v>
      </c>
      <c r="L461" s="608" t="s">
        <v>34</v>
      </c>
      <c r="M461" s="609">
        <v>1.0696800308404009</v>
      </c>
      <c r="N461" s="609">
        <v>1.06</v>
      </c>
      <c r="O461" s="609">
        <v>1.04</v>
      </c>
      <c r="P461" s="609">
        <v>1.02</v>
      </c>
      <c r="Q461" s="609">
        <v>1</v>
      </c>
    </row>
    <row r="462" spans="1:17" s="120" customFormat="1" ht="45" x14ac:dyDescent="0.25">
      <c r="A462" s="511"/>
      <c r="B462" s="512"/>
      <c r="C462" s="510" t="s">
        <v>9</v>
      </c>
      <c r="D462" s="510"/>
      <c r="E462" s="1280" t="s">
        <v>1058</v>
      </c>
      <c r="F462" s="509">
        <v>50287.4</v>
      </c>
      <c r="G462" s="509">
        <v>50610.937109906699</v>
      </c>
      <c r="H462" s="509"/>
      <c r="I462" s="509">
        <v>56318.2</v>
      </c>
      <c r="J462" s="509">
        <v>57219.3</v>
      </c>
      <c r="K462" s="1302" t="s">
        <v>1015</v>
      </c>
      <c r="L462" s="608" t="s">
        <v>34</v>
      </c>
      <c r="M462" s="609">
        <v>0.97793263646922179</v>
      </c>
      <c r="N462" s="609">
        <v>1</v>
      </c>
      <c r="O462" s="609">
        <v>1</v>
      </c>
      <c r="P462" s="609">
        <v>1</v>
      </c>
      <c r="Q462" s="609">
        <v>1</v>
      </c>
    </row>
    <row r="463" spans="1:17" s="120" customFormat="1" ht="45" x14ac:dyDescent="0.25">
      <c r="A463" s="511"/>
      <c r="B463" s="512"/>
      <c r="C463" s="510" t="s">
        <v>11</v>
      </c>
      <c r="D463" s="510"/>
      <c r="E463" s="1280" t="s">
        <v>1059</v>
      </c>
      <c r="F463" s="509">
        <v>277500.5</v>
      </c>
      <c r="G463" s="509">
        <v>314814.04976749048</v>
      </c>
      <c r="H463" s="509"/>
      <c r="I463" s="509">
        <v>277741.2</v>
      </c>
      <c r="J463" s="509">
        <v>282185</v>
      </c>
      <c r="K463" s="1302" t="s">
        <v>1015</v>
      </c>
      <c r="L463" s="608" t="s">
        <v>34</v>
      </c>
      <c r="M463" s="609">
        <v>1.0065547720726984</v>
      </c>
      <c r="N463" s="609">
        <v>1</v>
      </c>
      <c r="O463" s="609">
        <v>1</v>
      </c>
      <c r="P463" s="609">
        <v>1</v>
      </c>
      <c r="Q463" s="609">
        <v>1</v>
      </c>
    </row>
    <row r="464" spans="1:17" s="120" customFormat="1" ht="60" x14ac:dyDescent="0.25">
      <c r="A464" s="521"/>
      <c r="B464" s="522"/>
      <c r="C464" s="520" t="s">
        <v>13</v>
      </c>
      <c r="D464" s="520"/>
      <c r="E464" s="1280" t="s">
        <v>1060</v>
      </c>
      <c r="F464" s="509">
        <v>393852.1</v>
      </c>
      <c r="G464" s="509">
        <v>510900.5</v>
      </c>
      <c r="H464" s="509"/>
      <c r="I464" s="509">
        <v>495628.2</v>
      </c>
      <c r="J464" s="509">
        <v>520409.59999999998</v>
      </c>
      <c r="K464" s="1302" t="s">
        <v>1016</v>
      </c>
      <c r="L464" s="464" t="s">
        <v>34</v>
      </c>
      <c r="M464" s="592">
        <v>0.2</v>
      </c>
      <c r="N464" s="594" t="s">
        <v>167</v>
      </c>
      <c r="O464" s="594" t="s">
        <v>167</v>
      </c>
      <c r="P464" s="594" t="s">
        <v>167</v>
      </c>
      <c r="Q464" s="594" t="s">
        <v>167</v>
      </c>
    </row>
    <row r="465" spans="1:17" s="120" customFormat="1" ht="60" x14ac:dyDescent="0.25">
      <c r="A465" s="521"/>
      <c r="B465" s="522"/>
      <c r="C465" s="520" t="s">
        <v>15</v>
      </c>
      <c r="D465" s="520"/>
      <c r="E465" s="1280" t="s">
        <v>1052</v>
      </c>
      <c r="F465" s="509">
        <v>437998.60000000003</v>
      </c>
      <c r="G465" s="509">
        <v>658095.4</v>
      </c>
      <c r="H465" s="509"/>
      <c r="I465" s="509">
        <v>813042.4</v>
      </c>
      <c r="J465" s="509">
        <v>853694.4</v>
      </c>
      <c r="K465" s="1302" t="s">
        <v>1017</v>
      </c>
      <c r="L465" s="464" t="s">
        <v>34</v>
      </c>
      <c r="M465" s="594">
        <v>0.3</v>
      </c>
      <c r="N465" s="594" t="s">
        <v>167</v>
      </c>
      <c r="O465" s="594" t="s">
        <v>167</v>
      </c>
      <c r="P465" s="594" t="s">
        <v>167</v>
      </c>
      <c r="Q465" s="594" t="s">
        <v>167</v>
      </c>
    </row>
    <row r="466" spans="1:17" s="120" customFormat="1" ht="75" x14ac:dyDescent="0.25">
      <c r="A466" s="521"/>
      <c r="B466" s="522"/>
      <c r="C466" s="520" t="s">
        <v>16</v>
      </c>
      <c r="D466" s="520"/>
      <c r="E466" s="1280" t="s">
        <v>1061</v>
      </c>
      <c r="F466" s="509">
        <v>112660.8</v>
      </c>
      <c r="G466" s="509">
        <v>180000</v>
      </c>
      <c r="H466" s="509"/>
      <c r="I466" s="509">
        <v>100000</v>
      </c>
      <c r="J466" s="509">
        <v>100000</v>
      </c>
      <c r="K466" s="1302" t="s">
        <v>1018</v>
      </c>
      <c r="L466" s="610" t="s">
        <v>34</v>
      </c>
      <c r="M466" s="611">
        <v>0.22</v>
      </c>
      <c r="N466" s="611">
        <v>0.42</v>
      </c>
      <c r="O466" s="611">
        <v>0.61</v>
      </c>
      <c r="P466" s="611">
        <v>0.7</v>
      </c>
      <c r="Q466" s="611">
        <v>0.8</v>
      </c>
    </row>
    <row r="467" spans="1:17" s="120" customFormat="1" ht="132" x14ac:dyDescent="0.25">
      <c r="A467" s="565">
        <v>26</v>
      </c>
      <c r="B467" s="44">
        <v>4</v>
      </c>
      <c r="C467" s="343"/>
      <c r="D467" s="530"/>
      <c r="E467" s="1195" t="s">
        <v>1062</v>
      </c>
      <c r="F467" s="560">
        <v>189201.7</v>
      </c>
      <c r="G467" s="560">
        <v>286000</v>
      </c>
      <c r="H467" s="560"/>
      <c r="I467" s="560">
        <v>286000</v>
      </c>
      <c r="J467" s="560">
        <v>286000</v>
      </c>
      <c r="K467" s="1302" t="s">
        <v>1019</v>
      </c>
      <c r="L467" s="72" t="s">
        <v>34</v>
      </c>
      <c r="M467" s="589">
        <v>0.42694663167104113</v>
      </c>
      <c r="N467" s="589">
        <v>0.52930883639545057</v>
      </c>
      <c r="O467" s="589">
        <v>0.52930883639545057</v>
      </c>
      <c r="P467" s="589">
        <v>0.52930883639545057</v>
      </c>
      <c r="Q467" s="589">
        <v>0.52930883639545057</v>
      </c>
    </row>
    <row r="468" spans="1:17" s="120" customFormat="1" ht="150" x14ac:dyDescent="0.25">
      <c r="A468" s="521"/>
      <c r="B468" s="522"/>
      <c r="C468" s="520" t="s">
        <v>4</v>
      </c>
      <c r="D468" s="520"/>
      <c r="E468" s="1280" t="s">
        <v>1063</v>
      </c>
      <c r="F468" s="509">
        <v>189201.7</v>
      </c>
      <c r="G468" s="509">
        <v>286000</v>
      </c>
      <c r="H468" s="509"/>
      <c r="I468" s="509">
        <v>286000</v>
      </c>
      <c r="J468" s="509">
        <v>286000</v>
      </c>
      <c r="K468" s="1302" t="s">
        <v>1020</v>
      </c>
      <c r="L468" s="464" t="s">
        <v>79</v>
      </c>
      <c r="M468" s="62">
        <v>488</v>
      </c>
      <c r="N468" s="62">
        <v>488</v>
      </c>
      <c r="O468" s="62">
        <v>584</v>
      </c>
      <c r="P468" s="62">
        <v>584</v>
      </c>
      <c r="Q468" s="62">
        <v>584</v>
      </c>
    </row>
    <row r="469" spans="1:17" s="120" customFormat="1" ht="60" x14ac:dyDescent="0.25">
      <c r="A469" s="561">
        <v>26</v>
      </c>
      <c r="B469" s="570">
        <v>5</v>
      </c>
      <c r="C469" s="562"/>
      <c r="D469" s="1"/>
      <c r="E469" s="646" t="s">
        <v>1064</v>
      </c>
      <c r="F469" s="560">
        <v>17560055.199999999</v>
      </c>
      <c r="G469" s="560">
        <v>20381377.912999999</v>
      </c>
      <c r="H469" s="804">
        <f>H470+H471+H472+H473</f>
        <v>21038980.092999998</v>
      </c>
      <c r="I469" s="560">
        <v>22242969.401000001</v>
      </c>
      <c r="J469" s="560">
        <v>23571626.044</v>
      </c>
      <c r="K469" s="1138" t="s">
        <v>1021</v>
      </c>
      <c r="L469" s="566" t="s">
        <v>44</v>
      </c>
      <c r="M469" s="566">
        <v>0</v>
      </c>
      <c r="N469" s="566">
        <v>0</v>
      </c>
      <c r="O469" s="566">
        <v>0</v>
      </c>
      <c r="P469" s="566">
        <v>0</v>
      </c>
      <c r="Q469" s="566">
        <v>0</v>
      </c>
    </row>
    <row r="470" spans="1:17" s="120" customFormat="1" ht="45" x14ac:dyDescent="0.25">
      <c r="A470" s="422"/>
      <c r="B470" s="252"/>
      <c r="C470" s="562" t="s">
        <v>4</v>
      </c>
      <c r="D470" s="1"/>
      <c r="E470" s="1574" t="s">
        <v>1065</v>
      </c>
      <c r="F470" s="559">
        <v>9673937.5999999996</v>
      </c>
      <c r="G470" s="559">
        <v>12100156</v>
      </c>
      <c r="H470" s="801">
        <v>12382200.6</v>
      </c>
      <c r="I470" s="559">
        <v>12978408.040999999</v>
      </c>
      <c r="J470" s="559">
        <v>13622112.173</v>
      </c>
      <c r="K470" s="1138" t="s">
        <v>1022</v>
      </c>
      <c r="L470" s="566" t="s">
        <v>44</v>
      </c>
      <c r="M470" s="566">
        <v>0</v>
      </c>
      <c r="N470" s="566">
        <v>0</v>
      </c>
      <c r="O470" s="566">
        <v>0</v>
      </c>
      <c r="P470" s="566">
        <v>0</v>
      </c>
      <c r="Q470" s="566">
        <v>0</v>
      </c>
    </row>
    <row r="471" spans="1:17" s="120" customFormat="1" ht="45" x14ac:dyDescent="0.25">
      <c r="A471" s="422"/>
      <c r="B471" s="252"/>
      <c r="C471" s="562" t="s">
        <v>5</v>
      </c>
      <c r="D471" s="1"/>
      <c r="E471" s="1149" t="s">
        <v>1066</v>
      </c>
      <c r="F471" s="559">
        <v>1833237.4</v>
      </c>
      <c r="G471" s="559">
        <v>1858396.689</v>
      </c>
      <c r="H471" s="801">
        <v>1882616.2</v>
      </c>
      <c r="I471" s="559">
        <v>1908890.105</v>
      </c>
      <c r="J471" s="559">
        <v>1937525.936</v>
      </c>
      <c r="K471" s="1138" t="s">
        <v>1022</v>
      </c>
      <c r="L471" s="566" t="s">
        <v>44</v>
      </c>
      <c r="M471" s="566">
        <v>0</v>
      </c>
      <c r="N471" s="566">
        <v>0</v>
      </c>
      <c r="O471" s="566">
        <v>0</v>
      </c>
      <c r="P471" s="566">
        <v>0</v>
      </c>
      <c r="Q471" s="566">
        <v>0</v>
      </c>
    </row>
    <row r="472" spans="1:17" s="120" customFormat="1" ht="45" x14ac:dyDescent="0.25">
      <c r="A472" s="422"/>
      <c r="B472" s="252"/>
      <c r="C472" s="562" t="s">
        <v>7</v>
      </c>
      <c r="D472" s="1"/>
      <c r="E472" s="1138" t="s">
        <v>1067</v>
      </c>
      <c r="F472" s="559">
        <v>2311347.6999999997</v>
      </c>
      <c r="G472" s="559">
        <v>2502068.622</v>
      </c>
      <c r="H472" s="801">
        <v>2760914.4</v>
      </c>
      <c r="I472" s="559">
        <v>3202810.0410000002</v>
      </c>
      <c r="J472" s="559">
        <v>3512980.5219999999</v>
      </c>
      <c r="K472" s="1138" t="s">
        <v>1022</v>
      </c>
      <c r="L472" s="566" t="s">
        <v>44</v>
      </c>
      <c r="M472" s="566">
        <v>0</v>
      </c>
      <c r="N472" s="566">
        <v>0</v>
      </c>
      <c r="O472" s="566">
        <v>0</v>
      </c>
      <c r="P472" s="566">
        <v>0</v>
      </c>
      <c r="Q472" s="566">
        <v>0</v>
      </c>
    </row>
    <row r="473" spans="1:17" s="120" customFormat="1" ht="45" x14ac:dyDescent="0.25">
      <c r="A473" s="422"/>
      <c r="B473" s="252"/>
      <c r="C473" s="562" t="s">
        <v>9</v>
      </c>
      <c r="D473" s="1"/>
      <c r="E473" s="1149" t="s">
        <v>1068</v>
      </c>
      <c r="F473" s="559">
        <v>3741532.5</v>
      </c>
      <c r="G473" s="559">
        <v>3920756.602</v>
      </c>
      <c r="H473" s="801">
        <v>4013248.8930000002</v>
      </c>
      <c r="I473" s="559">
        <v>4152861.2140000002</v>
      </c>
      <c r="J473" s="559">
        <v>4499007.4129999997</v>
      </c>
      <c r="K473" s="1138" t="s">
        <v>1022</v>
      </c>
      <c r="L473" s="566" t="s">
        <v>44</v>
      </c>
      <c r="M473" s="566">
        <v>0</v>
      </c>
      <c r="N473" s="566">
        <v>0</v>
      </c>
      <c r="O473" s="566">
        <v>0</v>
      </c>
      <c r="P473" s="566">
        <v>0</v>
      </c>
      <c r="Q473" s="566">
        <v>0</v>
      </c>
    </row>
    <row r="474" spans="1:17" s="120" customFormat="1" x14ac:dyDescent="0.25">
      <c r="A474" s="561">
        <v>26</v>
      </c>
      <c r="B474" s="570">
        <v>6</v>
      </c>
      <c r="C474" s="562"/>
      <c r="D474" s="1"/>
      <c r="E474" s="1195" t="s">
        <v>1069</v>
      </c>
      <c r="F474" s="560">
        <v>9949132.8460000008</v>
      </c>
      <c r="G474" s="560">
        <v>9948427</v>
      </c>
      <c r="H474" s="804">
        <f>H475+H476+H477+H478+H479+H480+H481+H482+H483+H484+H485+H486+H487+H488+H489+H490+H491</f>
        <v>12013156.6</v>
      </c>
      <c r="I474" s="551"/>
      <c r="J474" s="551"/>
      <c r="K474" s="1217"/>
      <c r="L474" s="566"/>
      <c r="M474" s="566"/>
      <c r="N474" s="566"/>
      <c r="O474" s="566"/>
      <c r="P474" s="566"/>
      <c r="Q474" s="566"/>
    </row>
    <row r="475" spans="1:17" s="120" customFormat="1" ht="30" x14ac:dyDescent="0.25">
      <c r="A475" s="422"/>
      <c r="B475" s="252"/>
      <c r="C475" s="562" t="s">
        <v>4</v>
      </c>
      <c r="D475" s="1"/>
      <c r="E475" s="1212" t="s">
        <v>1088</v>
      </c>
      <c r="F475" s="559">
        <v>64100</v>
      </c>
      <c r="G475" s="559">
        <v>100000</v>
      </c>
      <c r="H475" s="801"/>
      <c r="I475" s="550"/>
      <c r="J475" s="550"/>
      <c r="K475" s="1217"/>
      <c r="L475" s="566"/>
      <c r="M475" s="566"/>
      <c r="N475" s="566"/>
      <c r="O475" s="566"/>
      <c r="P475" s="566"/>
      <c r="Q475" s="566"/>
    </row>
    <row r="476" spans="1:17" s="120" customFormat="1" x14ac:dyDescent="0.25">
      <c r="A476" s="422"/>
      <c r="B476" s="252"/>
      <c r="C476" s="562" t="s">
        <v>5</v>
      </c>
      <c r="D476" s="1"/>
      <c r="E476" s="1212" t="s">
        <v>1070</v>
      </c>
      <c r="F476" s="559"/>
      <c r="G476" s="559"/>
      <c r="H476" s="801">
        <v>37868</v>
      </c>
      <c r="I476" s="550"/>
      <c r="J476" s="550"/>
      <c r="K476" s="1217"/>
      <c r="L476" s="566"/>
      <c r="M476" s="566"/>
      <c r="N476" s="566"/>
      <c r="O476" s="566"/>
      <c r="P476" s="566"/>
      <c r="Q476" s="566"/>
    </row>
    <row r="477" spans="1:17" s="120" customFormat="1" ht="45" x14ac:dyDescent="0.25">
      <c r="A477" s="422"/>
      <c r="B477" s="252"/>
      <c r="C477" s="562" t="s">
        <v>7</v>
      </c>
      <c r="D477" s="1"/>
      <c r="E477" s="1212" t="s">
        <v>1071</v>
      </c>
      <c r="F477" s="559"/>
      <c r="G477" s="559"/>
      <c r="H477" s="801">
        <v>0</v>
      </c>
      <c r="I477" s="550"/>
      <c r="J477" s="550"/>
      <c r="K477" s="1217"/>
      <c r="L477" s="566"/>
      <c r="M477" s="566"/>
      <c r="N477" s="566"/>
      <c r="O477" s="566"/>
      <c r="P477" s="566"/>
      <c r="Q477" s="566"/>
    </row>
    <row r="478" spans="1:17" s="120" customFormat="1" x14ac:dyDescent="0.25">
      <c r="A478" s="422"/>
      <c r="B478" s="252"/>
      <c r="C478" s="562" t="s">
        <v>9</v>
      </c>
      <c r="D478" s="1"/>
      <c r="E478" s="1212" t="s">
        <v>1072</v>
      </c>
      <c r="F478" s="559"/>
      <c r="G478" s="559"/>
      <c r="H478" s="801">
        <v>0</v>
      </c>
      <c r="I478" s="550"/>
      <c r="J478" s="550"/>
      <c r="K478" s="1217"/>
      <c r="L478" s="566"/>
      <c r="M478" s="566"/>
      <c r="N478" s="566"/>
      <c r="O478" s="566"/>
      <c r="P478" s="566"/>
      <c r="Q478" s="566"/>
    </row>
    <row r="479" spans="1:17" s="120" customFormat="1" ht="30" x14ac:dyDescent="0.25">
      <c r="A479" s="422"/>
      <c r="B479" s="252"/>
      <c r="C479" s="562" t="s">
        <v>11</v>
      </c>
      <c r="D479" s="1"/>
      <c r="E479" s="1212" t="s">
        <v>1073</v>
      </c>
      <c r="F479" s="559"/>
      <c r="G479" s="559"/>
      <c r="H479" s="1305">
        <v>1000000</v>
      </c>
      <c r="I479" s="550"/>
      <c r="J479" s="550"/>
      <c r="K479" s="1217"/>
      <c r="L479" s="566"/>
      <c r="M479" s="566"/>
      <c r="N479" s="566"/>
      <c r="O479" s="566"/>
      <c r="P479" s="566"/>
      <c r="Q479" s="566"/>
    </row>
    <row r="480" spans="1:17" s="120" customFormat="1" x14ac:dyDescent="0.25">
      <c r="A480" s="422"/>
      <c r="B480" s="252"/>
      <c r="C480" s="562" t="s">
        <v>13</v>
      </c>
      <c r="D480" s="1"/>
      <c r="E480" s="1212" t="s">
        <v>1074</v>
      </c>
      <c r="F480" s="559"/>
      <c r="G480" s="559"/>
      <c r="H480" s="1305">
        <v>0</v>
      </c>
      <c r="I480" s="550"/>
      <c r="J480" s="550"/>
      <c r="K480" s="1217"/>
      <c r="L480" s="566"/>
      <c r="M480" s="566"/>
      <c r="N480" s="566"/>
      <c r="O480" s="566"/>
      <c r="P480" s="566"/>
      <c r="Q480" s="566"/>
    </row>
    <row r="481" spans="1:17" s="120" customFormat="1" x14ac:dyDescent="0.25">
      <c r="A481" s="422"/>
      <c r="B481" s="252"/>
      <c r="C481" s="562" t="s">
        <v>15</v>
      </c>
      <c r="D481" s="1"/>
      <c r="E481" s="1212" t="s">
        <v>3099</v>
      </c>
      <c r="F481" s="559">
        <v>478800</v>
      </c>
      <c r="G481" s="559">
        <v>450000</v>
      </c>
      <c r="H481" s="1305">
        <v>478406.40000000002</v>
      </c>
      <c r="I481" s="550"/>
      <c r="J481" s="550"/>
      <c r="K481" s="1217"/>
      <c r="L481" s="566"/>
      <c r="M481" s="566"/>
      <c r="N481" s="566"/>
      <c r="O481" s="566"/>
      <c r="P481" s="566"/>
      <c r="Q481" s="566"/>
    </row>
    <row r="482" spans="1:17" s="120" customFormat="1" x14ac:dyDescent="0.25">
      <c r="A482" s="422"/>
      <c r="B482" s="252"/>
      <c r="C482" s="562" t="s">
        <v>16</v>
      </c>
      <c r="D482" s="1"/>
      <c r="E482" s="1302" t="s">
        <v>1075</v>
      </c>
      <c r="F482" s="559">
        <v>5867800</v>
      </c>
      <c r="G482" s="559">
        <v>6980264.8000000007</v>
      </c>
      <c r="H482" s="1305">
        <f>4034041.5+4028290.7</f>
        <v>8062332.2000000002</v>
      </c>
      <c r="I482" s="550">
        <v>9236300</v>
      </c>
      <c r="J482" s="550">
        <v>9052400</v>
      </c>
      <c r="K482" s="1217"/>
      <c r="L482" s="566"/>
      <c r="M482" s="566"/>
      <c r="N482" s="566"/>
      <c r="O482" s="566"/>
      <c r="P482" s="566"/>
      <c r="Q482" s="566"/>
    </row>
    <row r="483" spans="1:17" s="120" customFormat="1" x14ac:dyDescent="0.25">
      <c r="A483" s="422"/>
      <c r="B483" s="252"/>
      <c r="C483" s="562" t="s">
        <v>18</v>
      </c>
      <c r="D483" s="1"/>
      <c r="E483" s="1302" t="s">
        <v>1076</v>
      </c>
      <c r="F483" s="559">
        <v>1068400</v>
      </c>
      <c r="G483" s="559">
        <v>500000</v>
      </c>
      <c r="H483" s="1305">
        <v>500000</v>
      </c>
      <c r="I483" s="550">
        <v>500000</v>
      </c>
      <c r="J483" s="550">
        <v>500000</v>
      </c>
      <c r="K483" s="1217"/>
      <c r="L483" s="566"/>
      <c r="M483" s="566"/>
      <c r="N483" s="566"/>
      <c r="O483" s="566"/>
      <c r="P483" s="566"/>
      <c r="Q483" s="566"/>
    </row>
    <row r="484" spans="1:17" s="120" customFormat="1" x14ac:dyDescent="0.25">
      <c r="A484" s="422"/>
      <c r="B484" s="252"/>
      <c r="C484" s="562" t="s">
        <v>20</v>
      </c>
      <c r="D484" s="1"/>
      <c r="E484" s="1302" t="s">
        <v>1077</v>
      </c>
      <c r="F484" s="559">
        <v>190283.1</v>
      </c>
      <c r="G484" s="559">
        <v>190300.79999999999</v>
      </c>
      <c r="H484" s="1305">
        <v>268515.20000000001</v>
      </c>
      <c r="I484" s="550">
        <v>190300.79999999999</v>
      </c>
      <c r="J484" s="550">
        <v>190300.79999999999</v>
      </c>
      <c r="K484" s="1217"/>
      <c r="L484" s="566"/>
      <c r="M484" s="566"/>
      <c r="N484" s="566"/>
      <c r="O484" s="566"/>
      <c r="P484" s="566"/>
      <c r="Q484" s="566"/>
    </row>
    <row r="485" spans="1:17" s="120" customFormat="1" x14ac:dyDescent="0.25">
      <c r="A485" s="422"/>
      <c r="B485" s="252"/>
      <c r="C485" s="562" t="s">
        <v>21</v>
      </c>
      <c r="D485" s="1"/>
      <c r="E485" s="1302" t="s">
        <v>3100</v>
      </c>
      <c r="F485" s="559">
        <v>29449.745999999999</v>
      </c>
      <c r="G485" s="559">
        <v>77861.399999999994</v>
      </c>
      <c r="H485" s="1305">
        <v>32861.4</v>
      </c>
      <c r="I485" s="550">
        <v>77861.399999999994</v>
      </c>
      <c r="J485" s="550">
        <v>77861.399999999994</v>
      </c>
      <c r="K485" s="1217"/>
      <c r="L485" s="566"/>
      <c r="M485" s="566"/>
      <c r="N485" s="566"/>
      <c r="O485" s="566"/>
      <c r="P485" s="566"/>
      <c r="Q485" s="566"/>
    </row>
    <row r="486" spans="1:17" s="120" customFormat="1" ht="30" x14ac:dyDescent="0.25">
      <c r="A486" s="422"/>
      <c r="B486" s="252"/>
      <c r="C486" s="562" t="s">
        <v>22</v>
      </c>
      <c r="D486" s="1"/>
      <c r="E486" s="1302" t="s">
        <v>1078</v>
      </c>
      <c r="F486" s="559"/>
      <c r="G486" s="559"/>
      <c r="H486" s="1305">
        <v>105500</v>
      </c>
      <c r="I486" s="550"/>
      <c r="J486" s="550"/>
      <c r="K486" s="1217"/>
      <c r="L486" s="566"/>
      <c r="M486" s="566"/>
      <c r="N486" s="566"/>
      <c r="O486" s="566"/>
      <c r="P486" s="566"/>
      <c r="Q486" s="566"/>
    </row>
    <row r="487" spans="1:17" s="120" customFormat="1" ht="30" x14ac:dyDescent="0.25">
      <c r="A487" s="422"/>
      <c r="B487" s="252"/>
      <c r="C487" s="562" t="s">
        <v>23</v>
      </c>
      <c r="D487" s="1"/>
      <c r="E487" s="1302" t="s">
        <v>1089</v>
      </c>
      <c r="F487" s="559">
        <v>950300</v>
      </c>
      <c r="G487" s="559">
        <v>1050000</v>
      </c>
      <c r="H487" s="1305">
        <v>984900</v>
      </c>
      <c r="I487" s="550"/>
      <c r="J487" s="550"/>
      <c r="K487" s="1217"/>
      <c r="L487" s="566"/>
      <c r="M487" s="566"/>
      <c r="N487" s="566"/>
      <c r="O487" s="566"/>
      <c r="P487" s="566"/>
      <c r="Q487" s="566"/>
    </row>
    <row r="488" spans="1:17" s="120" customFormat="1" x14ac:dyDescent="0.25">
      <c r="A488" s="422"/>
      <c r="B488" s="252"/>
      <c r="C488" s="562" t="s">
        <v>24</v>
      </c>
      <c r="D488" s="1"/>
      <c r="E488" s="1302" t="s">
        <v>1079</v>
      </c>
      <c r="F488" s="559"/>
      <c r="G488" s="559">
        <v>100000</v>
      </c>
      <c r="H488" s="1305">
        <v>3563</v>
      </c>
      <c r="I488" s="550">
        <v>100000</v>
      </c>
      <c r="J488" s="550">
        <v>100000</v>
      </c>
      <c r="K488" s="1217"/>
      <c r="L488" s="566"/>
      <c r="M488" s="566"/>
      <c r="N488" s="566"/>
      <c r="O488" s="566"/>
      <c r="P488" s="566"/>
      <c r="Q488" s="566"/>
    </row>
    <row r="489" spans="1:17" s="120" customFormat="1" x14ac:dyDescent="0.25">
      <c r="A489" s="422"/>
      <c r="B489" s="252"/>
      <c r="C489" s="562" t="s">
        <v>25</v>
      </c>
      <c r="D489" s="1"/>
      <c r="E489" s="1302" t="s">
        <v>1080</v>
      </c>
      <c r="F489" s="559">
        <v>1300000</v>
      </c>
      <c r="G489" s="559">
        <v>500000</v>
      </c>
      <c r="H489" s="1305">
        <v>500000</v>
      </c>
      <c r="I489" s="550">
        <v>500000</v>
      </c>
      <c r="J489" s="550">
        <v>500000</v>
      </c>
      <c r="K489" s="1217"/>
      <c r="L489" s="566"/>
      <c r="M489" s="566"/>
      <c r="N489" s="566"/>
      <c r="O489" s="566"/>
      <c r="P489" s="566"/>
      <c r="Q489" s="566"/>
    </row>
    <row r="490" spans="1:17" s="120" customFormat="1" x14ac:dyDescent="0.25">
      <c r="A490" s="422"/>
      <c r="B490" s="252"/>
      <c r="C490" s="562" t="s">
        <v>26</v>
      </c>
      <c r="D490" s="1"/>
      <c r="E490" s="1212" t="s">
        <v>1081</v>
      </c>
      <c r="F490" s="559"/>
      <c r="G490" s="559"/>
      <c r="H490" s="1305">
        <v>9861</v>
      </c>
      <c r="I490" s="550"/>
      <c r="J490" s="550"/>
      <c r="K490" s="1217"/>
      <c r="L490" s="566"/>
      <c r="M490" s="566"/>
      <c r="N490" s="566"/>
      <c r="O490" s="566"/>
      <c r="P490" s="566"/>
      <c r="Q490" s="566"/>
    </row>
    <row r="491" spans="1:17" s="120" customFormat="1" ht="30" x14ac:dyDescent="0.25">
      <c r="A491" s="422"/>
      <c r="B491" s="252"/>
      <c r="C491" s="641" t="s">
        <v>27</v>
      </c>
      <c r="D491" s="1"/>
      <c r="E491" s="1212" t="s">
        <v>1082</v>
      </c>
      <c r="F491" s="640"/>
      <c r="G491" s="640"/>
      <c r="H491" s="1305">
        <v>29349.4</v>
      </c>
      <c r="I491" s="644"/>
      <c r="J491" s="644"/>
      <c r="K491" s="1217"/>
      <c r="L491" s="642"/>
      <c r="M491" s="642"/>
      <c r="N491" s="642"/>
      <c r="O491" s="642"/>
      <c r="P491" s="642"/>
      <c r="Q491" s="642"/>
    </row>
    <row r="492" spans="1:17" s="120" customFormat="1" ht="28.5" x14ac:dyDescent="0.25">
      <c r="A492" s="561">
        <v>26</v>
      </c>
      <c r="B492" s="570">
        <v>7</v>
      </c>
      <c r="C492" s="562"/>
      <c r="D492" s="1"/>
      <c r="E492" s="460" t="s">
        <v>1083</v>
      </c>
      <c r="F492" s="560">
        <v>15146089.308999998</v>
      </c>
      <c r="G492" s="560">
        <v>11008584.799999999</v>
      </c>
      <c r="H492" s="1310">
        <f>H493+H494+H495+H496+H497+H498+H499+H500</f>
        <v>10559014.6</v>
      </c>
      <c r="I492" s="551"/>
      <c r="J492" s="551"/>
      <c r="K492" s="1217"/>
      <c r="L492" s="566"/>
      <c r="M492" s="566"/>
      <c r="N492" s="566"/>
      <c r="O492" s="566"/>
      <c r="P492" s="566"/>
      <c r="Q492" s="566"/>
    </row>
    <row r="493" spans="1:17" s="120" customFormat="1" x14ac:dyDescent="0.25">
      <c r="A493" s="561"/>
      <c r="B493" s="570"/>
      <c r="C493" s="562" t="s">
        <v>4</v>
      </c>
      <c r="D493" s="1"/>
      <c r="E493" s="1302" t="s">
        <v>1084</v>
      </c>
      <c r="F493" s="559">
        <v>8703660.9000000004</v>
      </c>
      <c r="G493" s="559">
        <v>2900000</v>
      </c>
      <c r="H493" s="1305">
        <v>6359094.2000000002</v>
      </c>
      <c r="I493" s="550">
        <v>3800000</v>
      </c>
      <c r="J493" s="550">
        <v>9500000</v>
      </c>
      <c r="K493" s="1217"/>
      <c r="L493" s="566"/>
      <c r="M493" s="566"/>
      <c r="N493" s="566"/>
      <c r="O493" s="566"/>
      <c r="P493" s="566"/>
      <c r="Q493" s="566"/>
    </row>
    <row r="494" spans="1:17" s="120" customFormat="1" ht="30" x14ac:dyDescent="0.25">
      <c r="A494" s="561"/>
      <c r="B494" s="570"/>
      <c r="C494" s="562" t="s">
        <v>5</v>
      </c>
      <c r="D494" s="1"/>
      <c r="E494" s="1302" t="s">
        <v>1085</v>
      </c>
      <c r="F494" s="559">
        <v>77800</v>
      </c>
      <c r="G494" s="559">
        <v>350000</v>
      </c>
      <c r="H494" s="1305">
        <v>170090</v>
      </c>
      <c r="I494" s="550">
        <v>350000</v>
      </c>
      <c r="J494" s="550">
        <v>350000</v>
      </c>
      <c r="K494" s="1217"/>
      <c r="L494" s="566"/>
      <c r="M494" s="566"/>
      <c r="N494" s="566"/>
      <c r="O494" s="566"/>
      <c r="P494" s="566"/>
      <c r="Q494" s="566"/>
    </row>
    <row r="495" spans="1:17" s="120" customFormat="1" x14ac:dyDescent="0.25">
      <c r="A495" s="561"/>
      <c r="B495" s="570"/>
      <c r="C495" s="562" t="s">
        <v>7</v>
      </c>
      <c r="D495" s="1"/>
      <c r="E495" s="1302" t="s">
        <v>3101</v>
      </c>
      <c r="F495" s="559"/>
      <c r="G495" s="559">
        <v>2018601.2</v>
      </c>
      <c r="H495" s="1624"/>
      <c r="I495" s="550"/>
      <c r="J495" s="550"/>
      <c r="K495" s="1217"/>
      <c r="L495" s="566"/>
      <c r="M495" s="566"/>
      <c r="N495" s="566"/>
      <c r="O495" s="566"/>
      <c r="P495" s="566"/>
      <c r="Q495" s="566"/>
    </row>
    <row r="496" spans="1:17" s="120" customFormat="1" x14ac:dyDescent="0.25">
      <c r="A496" s="561"/>
      <c r="B496" s="570"/>
      <c r="C496" s="562" t="s">
        <v>9</v>
      </c>
      <c r="D496" s="1"/>
      <c r="E496" s="1302" t="s">
        <v>1090</v>
      </c>
      <c r="F496" s="559">
        <v>1818161.0000000002</v>
      </c>
      <c r="G496" s="559">
        <v>1850000</v>
      </c>
      <c r="H496" s="1305">
        <v>2000300</v>
      </c>
      <c r="I496" s="550">
        <v>1967289.1000000003</v>
      </c>
      <c r="J496" s="550">
        <v>1917384.5</v>
      </c>
      <c r="K496" s="1217"/>
      <c r="L496" s="566"/>
      <c r="M496" s="566"/>
      <c r="N496" s="566"/>
      <c r="O496" s="566"/>
      <c r="P496" s="566"/>
      <c r="Q496" s="566"/>
    </row>
    <row r="497" spans="1:17" s="120" customFormat="1" x14ac:dyDescent="0.25">
      <c r="A497" s="561"/>
      <c r="B497" s="570"/>
      <c r="C497" s="562" t="s">
        <v>11</v>
      </c>
      <c r="D497" s="1"/>
      <c r="E497" s="1302" t="s">
        <v>1091</v>
      </c>
      <c r="F497" s="559">
        <v>3637319.1089999997</v>
      </c>
      <c r="G497" s="559">
        <v>2407000</v>
      </c>
      <c r="H497" s="1305">
        <v>1049583.2</v>
      </c>
      <c r="I497" s="550"/>
      <c r="J497" s="550"/>
      <c r="K497" s="1217"/>
      <c r="L497" s="566"/>
      <c r="M497" s="566"/>
      <c r="N497" s="566"/>
      <c r="O497" s="566"/>
      <c r="P497" s="566"/>
      <c r="Q497" s="566"/>
    </row>
    <row r="498" spans="1:17" s="120" customFormat="1" x14ac:dyDescent="0.25">
      <c r="A498" s="561"/>
      <c r="B498" s="570"/>
      <c r="C498" s="562" t="s">
        <v>13</v>
      </c>
      <c r="D498" s="1"/>
      <c r="E498" s="1302" t="s">
        <v>1092</v>
      </c>
      <c r="F498" s="559">
        <v>370635</v>
      </c>
      <c r="G498" s="559">
        <v>500000</v>
      </c>
      <c r="H498" s="1305">
        <v>420000</v>
      </c>
      <c r="I498" s="550">
        <v>700000</v>
      </c>
      <c r="J498" s="550">
        <v>800000</v>
      </c>
      <c r="K498" s="1217"/>
      <c r="L498" s="566"/>
      <c r="M498" s="566"/>
      <c r="N498" s="566"/>
      <c r="O498" s="566"/>
      <c r="P498" s="566"/>
      <c r="Q498" s="566"/>
    </row>
    <row r="499" spans="1:17" s="120" customFormat="1" ht="30" x14ac:dyDescent="0.25">
      <c r="A499" s="338"/>
      <c r="B499" s="612"/>
      <c r="C499" s="562" t="s">
        <v>15</v>
      </c>
      <c r="D499" s="1"/>
      <c r="E499" s="1280" t="s">
        <v>1086</v>
      </c>
      <c r="F499" s="559">
        <v>176191.2</v>
      </c>
      <c r="G499" s="559">
        <v>174675.4</v>
      </c>
      <c r="H499" s="1305">
        <v>196905.9</v>
      </c>
      <c r="I499" s="550">
        <v>176966.39999999999</v>
      </c>
      <c r="J499" s="550">
        <v>179294.7</v>
      </c>
      <c r="K499" s="1217"/>
      <c r="L499" s="566"/>
      <c r="M499" s="566"/>
      <c r="N499" s="566"/>
      <c r="O499" s="566"/>
      <c r="P499" s="566"/>
      <c r="Q499" s="566"/>
    </row>
    <row r="500" spans="1:17" s="120" customFormat="1" ht="30" x14ac:dyDescent="0.25">
      <c r="A500" s="338"/>
      <c r="B500" s="612"/>
      <c r="C500" s="562" t="s">
        <v>16</v>
      </c>
      <c r="D500" s="1"/>
      <c r="E500" s="1280" t="s">
        <v>1087</v>
      </c>
      <c r="F500" s="559">
        <v>362322.1</v>
      </c>
      <c r="G500" s="559">
        <v>308308.2</v>
      </c>
      <c r="H500" s="1305">
        <v>363041.3</v>
      </c>
      <c r="I500" s="550"/>
      <c r="J500" s="550"/>
      <c r="K500" s="1217"/>
      <c r="L500" s="566"/>
      <c r="M500" s="566"/>
      <c r="N500" s="566"/>
      <c r="O500" s="566"/>
      <c r="P500" s="566"/>
      <c r="Q500" s="566"/>
    </row>
    <row r="501" spans="1:17" s="120" customFormat="1" x14ac:dyDescent="0.25">
      <c r="A501" s="422"/>
      <c r="B501" s="252"/>
      <c r="C501" s="562" t="s">
        <v>18</v>
      </c>
      <c r="D501" s="1"/>
      <c r="E501" s="1280" t="s">
        <v>1093</v>
      </c>
      <c r="F501" s="559"/>
      <c r="G501" s="559">
        <v>500000</v>
      </c>
      <c r="H501" s="1311"/>
      <c r="I501" s="550"/>
      <c r="J501" s="550"/>
      <c r="K501" s="1217"/>
      <c r="L501" s="566"/>
      <c r="M501" s="566"/>
      <c r="N501" s="566"/>
      <c r="O501" s="566"/>
      <c r="P501" s="566"/>
      <c r="Q501" s="566"/>
    </row>
    <row r="502" spans="1:17" s="120" customFormat="1" ht="37.5" customHeight="1" x14ac:dyDescent="0.25">
      <c r="A502" s="1708" t="s">
        <v>1094</v>
      </c>
      <c r="B502" s="1709"/>
      <c r="C502" s="1709"/>
      <c r="D502" s="1709"/>
      <c r="E502" s="1709"/>
      <c r="F502" s="71">
        <v>30624942.819499999</v>
      </c>
      <c r="G502" s="71">
        <v>34611704.112999998</v>
      </c>
      <c r="H502" s="71">
        <f>H492+H474+H469+H467+H452+H436+H418</f>
        <v>54740326.392999999</v>
      </c>
      <c r="I502" s="71">
        <v>36883434.201000005</v>
      </c>
      <c r="J502" s="71">
        <v>38503697.144000001</v>
      </c>
      <c r="K502" s="2434"/>
      <c r="L502" s="2435"/>
      <c r="M502" s="2435"/>
      <c r="N502" s="2435"/>
      <c r="O502" s="2435"/>
      <c r="P502" s="2435"/>
      <c r="Q502" s="2436"/>
    </row>
    <row r="503" spans="1:17" s="120" customFormat="1" ht="42" customHeight="1" x14ac:dyDescent="0.25">
      <c r="A503" s="1710"/>
      <c r="B503" s="1711"/>
      <c r="C503" s="1711"/>
      <c r="D503" s="1711"/>
      <c r="E503" s="1711"/>
      <c r="F503" s="1711"/>
      <c r="G503" s="1711"/>
      <c r="H503" s="1711"/>
      <c r="I503" s="1711"/>
      <c r="J503" s="1711"/>
      <c r="K503" s="1711"/>
      <c r="L503" s="1711"/>
      <c r="M503" s="1711"/>
      <c r="N503" s="1711"/>
      <c r="O503" s="1711"/>
      <c r="P503" s="1711"/>
      <c r="Q503" s="1712"/>
    </row>
    <row r="504" spans="1:17" ht="15" customHeight="1" x14ac:dyDescent="0.25">
      <c r="A504" s="1713" t="s">
        <v>1095</v>
      </c>
      <c r="B504" s="1714"/>
      <c r="C504" s="1649"/>
      <c r="D504" s="1649"/>
      <c r="E504" s="1649"/>
      <c r="F504" s="1649"/>
      <c r="G504" s="1649"/>
      <c r="H504" s="1649"/>
      <c r="I504" s="1649"/>
      <c r="J504" s="1649"/>
      <c r="K504" s="1649"/>
      <c r="L504" s="1649"/>
      <c r="M504" s="1649"/>
      <c r="N504" s="1649"/>
      <c r="O504" s="1649"/>
      <c r="P504" s="1649"/>
      <c r="Q504" s="1650"/>
    </row>
    <row r="505" spans="1:17" s="110" customFormat="1" ht="45" x14ac:dyDescent="0.25">
      <c r="A505" s="435">
        <v>27</v>
      </c>
      <c r="B505" s="447">
        <v>1</v>
      </c>
      <c r="C505" s="450"/>
      <c r="D505" s="451"/>
      <c r="E505" s="1195" t="s">
        <v>1096</v>
      </c>
      <c r="F505" s="300">
        <v>728.59999999999991</v>
      </c>
      <c r="G505" s="300">
        <v>782.7</v>
      </c>
      <c r="H505" s="474">
        <f>H506+H507</f>
        <v>1005.5</v>
      </c>
      <c r="I505" s="300">
        <v>782.7</v>
      </c>
      <c r="J505" s="300">
        <v>782.7</v>
      </c>
      <c r="K505" s="1217" t="s">
        <v>1023</v>
      </c>
      <c r="L505" s="351" t="s">
        <v>34</v>
      </c>
      <c r="M505" s="351">
        <v>6</v>
      </c>
      <c r="N505" s="351">
        <v>6</v>
      </c>
      <c r="O505" s="351">
        <v>6</v>
      </c>
      <c r="P505" s="351">
        <v>6</v>
      </c>
      <c r="Q505" s="351">
        <v>6</v>
      </c>
    </row>
    <row r="506" spans="1:17" s="110" customFormat="1" ht="30" x14ac:dyDescent="0.25">
      <c r="A506" s="476"/>
      <c r="B506" s="447"/>
      <c r="C506" s="450" t="s">
        <v>5</v>
      </c>
      <c r="D506" s="451"/>
      <c r="E506" s="1212" t="s">
        <v>1097</v>
      </c>
      <c r="F506" s="299">
        <v>224.7</v>
      </c>
      <c r="G506" s="299">
        <v>224.7</v>
      </c>
      <c r="H506" s="341">
        <v>916.5</v>
      </c>
      <c r="I506" s="341">
        <v>224.7</v>
      </c>
      <c r="J506" s="341">
        <v>224.7</v>
      </c>
      <c r="K506" s="1217" t="s">
        <v>1024</v>
      </c>
      <c r="L506" s="351" t="s">
        <v>34</v>
      </c>
      <c r="M506" s="351">
        <v>100</v>
      </c>
      <c r="N506" s="351">
        <v>100</v>
      </c>
      <c r="O506" s="351">
        <v>100</v>
      </c>
      <c r="P506" s="351">
        <v>100</v>
      </c>
      <c r="Q506" s="351">
        <v>100</v>
      </c>
    </row>
    <row r="507" spans="1:17" s="110" customFormat="1" ht="30" x14ac:dyDescent="0.25">
      <c r="A507" s="435"/>
      <c r="B507" s="447"/>
      <c r="C507" s="450" t="s">
        <v>15</v>
      </c>
      <c r="D507" s="451"/>
      <c r="E507" s="1217" t="s">
        <v>1098</v>
      </c>
      <c r="F507" s="353">
        <v>503.9</v>
      </c>
      <c r="G507" s="353">
        <v>558</v>
      </c>
      <c r="H507" s="353">
        <f>558-469</f>
        <v>89</v>
      </c>
      <c r="I507" s="353">
        <v>558</v>
      </c>
      <c r="J507" s="353">
        <v>558</v>
      </c>
      <c r="K507" s="1217" t="s">
        <v>1025</v>
      </c>
      <c r="L507" s="351" t="s">
        <v>34</v>
      </c>
      <c r="M507" s="351">
        <v>1</v>
      </c>
      <c r="N507" s="351">
        <v>1</v>
      </c>
      <c r="O507" s="351">
        <v>1</v>
      </c>
      <c r="P507" s="351">
        <v>1</v>
      </c>
      <c r="Q507" s="351">
        <v>1</v>
      </c>
    </row>
    <row r="508" spans="1:17" s="183" customFormat="1" ht="147" customHeight="1" x14ac:dyDescent="0.25">
      <c r="A508" s="449">
        <v>27</v>
      </c>
      <c r="B508" s="399">
        <v>2</v>
      </c>
      <c r="C508" s="334"/>
      <c r="D508" s="181"/>
      <c r="E508" s="178" t="s">
        <v>3102</v>
      </c>
      <c r="F508" s="196">
        <v>953.6</v>
      </c>
      <c r="G508" s="196">
        <v>2006.9</v>
      </c>
      <c r="H508" s="196">
        <f>H509+H510+H511+H512+H513</f>
        <v>692</v>
      </c>
      <c r="I508" s="196">
        <v>1970.9</v>
      </c>
      <c r="J508" s="196">
        <v>1970.9</v>
      </c>
      <c r="K508" s="1195" t="s">
        <v>1026</v>
      </c>
      <c r="L508" s="182" t="s">
        <v>34</v>
      </c>
      <c r="M508" s="182">
        <v>40</v>
      </c>
      <c r="N508" s="182">
        <v>40</v>
      </c>
      <c r="O508" s="182">
        <v>40</v>
      </c>
      <c r="P508" s="182">
        <v>40</v>
      </c>
      <c r="Q508" s="182">
        <v>40</v>
      </c>
    </row>
    <row r="509" spans="1:17" s="183" customFormat="1" ht="53.45" customHeight="1" x14ac:dyDescent="0.25">
      <c r="A509" s="428"/>
      <c r="B509" s="400"/>
      <c r="C509" s="335">
        <v>1</v>
      </c>
      <c r="D509" s="180"/>
      <c r="E509" s="1217" t="s">
        <v>1099</v>
      </c>
      <c r="F509" s="143">
        <v>114.4</v>
      </c>
      <c r="G509" s="143">
        <v>1116.7</v>
      </c>
      <c r="H509" s="143">
        <v>570</v>
      </c>
      <c r="I509" s="143">
        <v>1075.7</v>
      </c>
      <c r="J509" s="143">
        <v>1075.7</v>
      </c>
      <c r="K509" s="1212" t="s">
        <v>1027</v>
      </c>
      <c r="L509" s="143" t="s">
        <v>34</v>
      </c>
      <c r="M509" s="185">
        <v>25</v>
      </c>
      <c r="N509" s="185">
        <v>25</v>
      </c>
      <c r="O509" s="185">
        <v>25</v>
      </c>
      <c r="P509" s="185">
        <v>25</v>
      </c>
      <c r="Q509" s="185">
        <v>25</v>
      </c>
    </row>
    <row r="510" spans="1:17" s="183" customFormat="1" ht="87.75" customHeight="1" x14ac:dyDescent="0.25">
      <c r="A510" s="428"/>
      <c r="B510" s="400"/>
      <c r="C510" s="335">
        <v>2</v>
      </c>
      <c r="D510" s="180"/>
      <c r="E510" s="1217" t="s">
        <v>1100</v>
      </c>
      <c r="F510" s="143">
        <v>266.5</v>
      </c>
      <c r="G510" s="186">
        <v>279.2</v>
      </c>
      <c r="H510" s="186">
        <f>276.2-276.2</f>
        <v>0</v>
      </c>
      <c r="I510" s="186">
        <v>279.2</v>
      </c>
      <c r="J510" s="186">
        <v>279.2</v>
      </c>
      <c r="K510" s="1212" t="s">
        <v>1028</v>
      </c>
      <c r="L510" s="143" t="s">
        <v>36</v>
      </c>
      <c r="M510" s="185">
        <v>188</v>
      </c>
      <c r="N510" s="185">
        <v>190</v>
      </c>
      <c r="O510" s="185">
        <v>192</v>
      </c>
      <c r="P510" s="185">
        <v>194</v>
      </c>
      <c r="Q510" s="185">
        <v>196</v>
      </c>
    </row>
    <row r="511" spans="1:17" s="183" customFormat="1" ht="45" x14ac:dyDescent="0.25">
      <c r="A511" s="429"/>
      <c r="B511" s="444"/>
      <c r="C511" s="311" t="s">
        <v>7</v>
      </c>
      <c r="D511" s="180"/>
      <c r="E511" s="1217" t="s">
        <v>1101</v>
      </c>
      <c r="F511" s="188">
        <v>139.5</v>
      </c>
      <c r="G511" s="189">
        <v>143</v>
      </c>
      <c r="H511" s="141">
        <v>122</v>
      </c>
      <c r="I511" s="141">
        <v>143</v>
      </c>
      <c r="J511" s="141">
        <v>143</v>
      </c>
      <c r="K511" s="1217" t="s">
        <v>1029</v>
      </c>
      <c r="L511" s="184" t="s">
        <v>34</v>
      </c>
      <c r="M511" s="184">
        <v>100</v>
      </c>
      <c r="N511" s="184">
        <v>100</v>
      </c>
      <c r="O511" s="184">
        <v>100</v>
      </c>
      <c r="P511" s="184">
        <v>100</v>
      </c>
      <c r="Q511" s="184">
        <v>100</v>
      </c>
    </row>
    <row r="512" spans="1:17" s="183" customFormat="1" ht="45" x14ac:dyDescent="0.25">
      <c r="A512" s="429"/>
      <c r="B512" s="444"/>
      <c r="C512" s="311" t="s">
        <v>9</v>
      </c>
      <c r="D512" s="180"/>
      <c r="E512" s="1217" t="s">
        <v>1102</v>
      </c>
      <c r="F512" s="188">
        <v>425.3</v>
      </c>
      <c r="G512" s="189">
        <v>438</v>
      </c>
      <c r="H512" s="141">
        <f>40-40</f>
        <v>0</v>
      </c>
      <c r="I512" s="141">
        <v>438</v>
      </c>
      <c r="J512" s="141">
        <v>438</v>
      </c>
      <c r="K512" s="1217" t="s">
        <v>1030</v>
      </c>
      <c r="L512" s="184" t="s">
        <v>36</v>
      </c>
      <c r="M512" s="184">
        <v>0</v>
      </c>
      <c r="N512" s="184">
        <v>0</v>
      </c>
      <c r="O512" s="184">
        <v>0</v>
      </c>
      <c r="P512" s="184">
        <v>0</v>
      </c>
      <c r="Q512" s="184">
        <v>0</v>
      </c>
    </row>
    <row r="513" spans="1:17" s="183" customFormat="1" ht="61.9" customHeight="1" x14ac:dyDescent="0.25">
      <c r="A513" s="428"/>
      <c r="B513" s="400"/>
      <c r="C513" s="335">
        <v>5</v>
      </c>
      <c r="D513" s="180"/>
      <c r="E513" s="1217" t="s">
        <v>1103</v>
      </c>
      <c r="F513" s="143">
        <v>7.9</v>
      </c>
      <c r="G513" s="186">
        <v>30</v>
      </c>
      <c r="H513" s="186">
        <f>29.3-29.3</f>
        <v>0</v>
      </c>
      <c r="I513" s="186">
        <v>35</v>
      </c>
      <c r="J513" s="186">
        <v>35</v>
      </c>
      <c r="K513" s="1212" t="s">
        <v>1031</v>
      </c>
      <c r="L513" s="143" t="s">
        <v>36</v>
      </c>
      <c r="M513" s="185">
        <v>2</v>
      </c>
      <c r="N513" s="185">
        <v>2</v>
      </c>
      <c r="O513" s="185">
        <v>2</v>
      </c>
      <c r="P513" s="185">
        <v>2</v>
      </c>
      <c r="Q513" s="185">
        <v>2</v>
      </c>
    </row>
    <row r="514" spans="1:17" s="183" customFormat="1" ht="147" x14ac:dyDescent="0.25">
      <c r="A514" s="429">
        <v>27</v>
      </c>
      <c r="B514" s="444">
        <v>3</v>
      </c>
      <c r="C514" s="311"/>
      <c r="D514" s="187"/>
      <c r="E514" s="1195" t="s">
        <v>3103</v>
      </c>
      <c r="F514" s="190">
        <v>45</v>
      </c>
      <c r="G514" s="190">
        <v>110</v>
      </c>
      <c r="H514" s="190">
        <f>H516+H517</f>
        <v>0</v>
      </c>
      <c r="I514" s="190">
        <v>125</v>
      </c>
      <c r="J514" s="190">
        <v>125</v>
      </c>
      <c r="K514" s="178" t="s">
        <v>1032</v>
      </c>
      <c r="L514" s="184" t="s">
        <v>36</v>
      </c>
      <c r="M514" s="184">
        <v>280</v>
      </c>
      <c r="N514" s="184">
        <v>282</v>
      </c>
      <c r="O514" s="184">
        <v>284</v>
      </c>
      <c r="P514" s="184">
        <v>286</v>
      </c>
      <c r="Q514" s="184">
        <v>288</v>
      </c>
    </row>
    <row r="515" spans="1:17" s="183" customFormat="1" ht="30" x14ac:dyDescent="0.25">
      <c r="A515" s="429"/>
      <c r="B515" s="444"/>
      <c r="C515" s="311" t="s">
        <v>4</v>
      </c>
      <c r="D515" s="191"/>
      <c r="E515" s="1217" t="s">
        <v>1104</v>
      </c>
      <c r="F515" s="192"/>
      <c r="G515" s="192"/>
      <c r="H515" s="141"/>
      <c r="I515" s="141"/>
      <c r="J515" s="141"/>
      <c r="K515" s="1217" t="s">
        <v>1033</v>
      </c>
      <c r="L515" s="184" t="s">
        <v>36</v>
      </c>
      <c r="M515" s="184">
        <v>2</v>
      </c>
      <c r="N515" s="184">
        <v>2</v>
      </c>
      <c r="O515" s="184">
        <v>2</v>
      </c>
      <c r="P515" s="184">
        <v>2</v>
      </c>
      <c r="Q515" s="184">
        <v>2</v>
      </c>
    </row>
    <row r="516" spans="1:17" s="183" customFormat="1" ht="54.75" customHeight="1" x14ac:dyDescent="0.25">
      <c r="A516" s="429"/>
      <c r="B516" s="444"/>
      <c r="C516" s="311" t="s">
        <v>5</v>
      </c>
      <c r="D516" s="180"/>
      <c r="E516" s="1217" t="s">
        <v>1105</v>
      </c>
      <c r="F516" s="143">
        <v>27.3</v>
      </c>
      <c r="G516" s="186">
        <v>70</v>
      </c>
      <c r="H516" s="141">
        <f>70-70</f>
        <v>0</v>
      </c>
      <c r="I516" s="141">
        <v>80</v>
      </c>
      <c r="J516" s="141">
        <v>80</v>
      </c>
      <c r="K516" s="1217" t="s">
        <v>1034</v>
      </c>
      <c r="L516" s="184" t="s">
        <v>36</v>
      </c>
      <c r="M516" s="184">
        <v>280</v>
      </c>
      <c r="N516" s="184">
        <v>282</v>
      </c>
      <c r="O516" s="184">
        <v>284</v>
      </c>
      <c r="P516" s="184">
        <v>286</v>
      </c>
      <c r="Q516" s="184">
        <v>288</v>
      </c>
    </row>
    <row r="517" spans="1:17" s="183" customFormat="1" ht="45" x14ac:dyDescent="0.25">
      <c r="A517" s="429"/>
      <c r="B517" s="444"/>
      <c r="C517" s="311" t="s">
        <v>7</v>
      </c>
      <c r="D517" s="180"/>
      <c r="E517" s="1217" t="s">
        <v>1106</v>
      </c>
      <c r="F517" s="188">
        <v>17.7</v>
      </c>
      <c r="G517" s="189">
        <v>40</v>
      </c>
      <c r="H517" s="141">
        <f>435-435</f>
        <v>0</v>
      </c>
      <c r="I517" s="141">
        <v>45</v>
      </c>
      <c r="J517" s="141">
        <v>45</v>
      </c>
      <c r="K517" s="1217" t="s">
        <v>1030</v>
      </c>
      <c r="L517" s="184" t="s">
        <v>36</v>
      </c>
      <c r="M517" s="184">
        <v>0</v>
      </c>
      <c r="N517" s="184">
        <v>0</v>
      </c>
      <c r="O517" s="184">
        <v>0</v>
      </c>
      <c r="P517" s="184">
        <v>0</v>
      </c>
      <c r="Q517" s="184">
        <v>0</v>
      </c>
    </row>
    <row r="518" spans="1:17" s="183" customFormat="1" ht="58.5" x14ac:dyDescent="0.25">
      <c r="A518" s="429">
        <v>27</v>
      </c>
      <c r="B518" s="444">
        <v>4</v>
      </c>
      <c r="C518" s="311"/>
      <c r="D518" s="180"/>
      <c r="E518" s="1217" t="s">
        <v>3104</v>
      </c>
      <c r="F518" s="194">
        <v>237</v>
      </c>
      <c r="G518" s="194">
        <v>447</v>
      </c>
      <c r="H518" s="194">
        <f>H519</f>
        <v>0</v>
      </c>
      <c r="I518" s="194">
        <v>468</v>
      </c>
      <c r="J518" s="194">
        <v>468</v>
      </c>
      <c r="K518" s="1217" t="s">
        <v>1035</v>
      </c>
      <c r="L518" s="184" t="s">
        <v>34</v>
      </c>
      <c r="M518" s="184">
        <v>100</v>
      </c>
      <c r="N518" s="184">
        <v>100</v>
      </c>
      <c r="O518" s="184">
        <v>100</v>
      </c>
      <c r="P518" s="184">
        <v>100</v>
      </c>
      <c r="Q518" s="184">
        <v>100</v>
      </c>
    </row>
    <row r="519" spans="1:17" s="183" customFormat="1" ht="64.5" customHeight="1" x14ac:dyDescent="0.25">
      <c r="A519" s="429"/>
      <c r="B519" s="1568"/>
      <c r="C519" s="1569" t="s">
        <v>4</v>
      </c>
      <c r="D519" s="1570"/>
      <c r="E519" s="1129" t="s">
        <v>1113</v>
      </c>
      <c r="F519" s="1571">
        <v>237</v>
      </c>
      <c r="G519" s="1571">
        <v>447</v>
      </c>
      <c r="H519" s="1226">
        <f>352-352</f>
        <v>0</v>
      </c>
      <c r="I519" s="141">
        <v>468</v>
      </c>
      <c r="J519" s="141">
        <v>468</v>
      </c>
      <c r="K519" s="1217" t="s">
        <v>1035</v>
      </c>
      <c r="L519" s="184" t="s">
        <v>34</v>
      </c>
      <c r="M519" s="184">
        <v>100</v>
      </c>
      <c r="N519" s="184">
        <v>100</v>
      </c>
      <c r="O519" s="184">
        <v>100</v>
      </c>
      <c r="P519" s="184">
        <v>100</v>
      </c>
      <c r="Q519" s="184">
        <v>100</v>
      </c>
    </row>
    <row r="520" spans="1:17" ht="235.5" x14ac:dyDescent="0.25">
      <c r="A520" s="1312">
        <v>27</v>
      </c>
      <c r="B520" s="1313">
        <v>5</v>
      </c>
      <c r="C520" s="1314"/>
      <c r="D520" s="180"/>
      <c r="E520" s="1195" t="s">
        <v>3105</v>
      </c>
      <c r="F520" s="190">
        <v>2799.5</v>
      </c>
      <c r="G520" s="190">
        <v>3654.1000000000004</v>
      </c>
      <c r="H520" s="190">
        <f>H521+H522+H523+H524+H525</f>
        <v>0</v>
      </c>
      <c r="I520" s="190">
        <v>3654.1000000000004</v>
      </c>
      <c r="J520" s="190">
        <v>3654.1000000000004</v>
      </c>
      <c r="K520" s="1217" t="s">
        <v>1114</v>
      </c>
      <c r="L520" s="299" t="s">
        <v>34</v>
      </c>
      <c r="M520" s="184">
        <v>99</v>
      </c>
      <c r="N520" s="195">
        <v>99</v>
      </c>
      <c r="O520" s="184">
        <v>99</v>
      </c>
      <c r="P520" s="184">
        <v>99</v>
      </c>
      <c r="Q520" s="184">
        <v>99</v>
      </c>
    </row>
    <row r="521" spans="1:17" ht="45" x14ac:dyDescent="0.25">
      <c r="A521" s="1312"/>
      <c r="B521" s="1313"/>
      <c r="C521" s="1314" t="s">
        <v>4</v>
      </c>
      <c r="D521" s="180"/>
      <c r="E521" s="1217" t="s">
        <v>1115</v>
      </c>
      <c r="F521" s="1315">
        <v>1008</v>
      </c>
      <c r="G521" s="1316">
        <v>1180.8</v>
      </c>
      <c r="H521" s="141"/>
      <c r="I521" s="141">
        <v>1180.8</v>
      </c>
      <c r="J521" s="141">
        <v>1180.8</v>
      </c>
      <c r="K521" s="1217" t="s">
        <v>1114</v>
      </c>
      <c r="L521" s="299" t="s">
        <v>34</v>
      </c>
      <c r="M521" s="184">
        <v>99</v>
      </c>
      <c r="N521" s="184">
        <v>99</v>
      </c>
      <c r="O521" s="184">
        <v>99</v>
      </c>
      <c r="P521" s="193"/>
      <c r="Q521" s="193"/>
    </row>
    <row r="522" spans="1:17" ht="60" x14ac:dyDescent="0.25">
      <c r="A522" s="1312"/>
      <c r="B522" s="1313"/>
      <c r="C522" s="1314" t="s">
        <v>5</v>
      </c>
      <c r="D522" s="180"/>
      <c r="E522" s="1217" t="s">
        <v>1116</v>
      </c>
      <c r="F522" s="1315">
        <v>840</v>
      </c>
      <c r="G522" s="1315">
        <v>984</v>
      </c>
      <c r="H522" s="141">
        <f>885.3-885.3</f>
        <v>0</v>
      </c>
      <c r="I522" s="141">
        <v>984</v>
      </c>
      <c r="J522" s="141">
        <v>984</v>
      </c>
      <c r="K522" s="1217" t="s">
        <v>1117</v>
      </c>
      <c r="L522" s="299" t="s">
        <v>780</v>
      </c>
      <c r="M522" s="184">
        <v>2</v>
      </c>
      <c r="N522" s="184">
        <v>3</v>
      </c>
      <c r="O522" s="184">
        <v>4</v>
      </c>
      <c r="P522" s="184">
        <v>5</v>
      </c>
      <c r="Q522" s="184">
        <v>6</v>
      </c>
    </row>
    <row r="523" spans="1:17" ht="45" x14ac:dyDescent="0.25">
      <c r="A523" s="1312"/>
      <c r="B523" s="1313"/>
      <c r="C523" s="1314" t="s">
        <v>7</v>
      </c>
      <c r="D523" s="180"/>
      <c r="E523" s="1217" t="s">
        <v>1118</v>
      </c>
      <c r="F523" s="1315">
        <v>714</v>
      </c>
      <c r="G523" s="1316">
        <v>836.4</v>
      </c>
      <c r="H523" s="141"/>
      <c r="I523" s="141">
        <v>836.4</v>
      </c>
      <c r="J523" s="141">
        <v>836.4</v>
      </c>
      <c r="K523" s="1217" t="s">
        <v>1119</v>
      </c>
      <c r="L523" s="299" t="s">
        <v>780</v>
      </c>
      <c r="M523" s="184">
        <v>0</v>
      </c>
      <c r="N523" s="184">
        <v>1</v>
      </c>
      <c r="O523" s="184">
        <v>2</v>
      </c>
      <c r="P523" s="184">
        <v>3</v>
      </c>
      <c r="Q523" s="184">
        <v>4</v>
      </c>
    </row>
    <row r="524" spans="1:17" ht="45" x14ac:dyDescent="0.25">
      <c r="A524" s="1312"/>
      <c r="B524" s="1313"/>
      <c r="C524" s="1314" t="s">
        <v>9</v>
      </c>
      <c r="D524" s="180"/>
      <c r="E524" s="1217" t="s">
        <v>1120</v>
      </c>
      <c r="F524" s="1315"/>
      <c r="G524" s="1316">
        <v>183.9</v>
      </c>
      <c r="H524" s="141">
        <f>175.8-175.8</f>
        <v>0</v>
      </c>
      <c r="I524" s="141">
        <v>183.9</v>
      </c>
      <c r="J524" s="141">
        <v>183.9</v>
      </c>
      <c r="K524" s="1212" t="s">
        <v>1121</v>
      </c>
      <c r="L524" s="299" t="s">
        <v>780</v>
      </c>
      <c r="M524" s="184">
        <v>2</v>
      </c>
      <c r="N524" s="184">
        <v>2</v>
      </c>
      <c r="O524" s="184">
        <v>2</v>
      </c>
      <c r="P524" s="193"/>
      <c r="Q524" s="193"/>
    </row>
    <row r="525" spans="1:17" ht="75" x14ac:dyDescent="0.25">
      <c r="A525" s="1312"/>
      <c r="B525" s="1313"/>
      <c r="C525" s="1314" t="s">
        <v>11</v>
      </c>
      <c r="D525" s="180"/>
      <c r="E525" s="1217" t="s">
        <v>1122</v>
      </c>
      <c r="F525" s="1315">
        <v>237.5</v>
      </c>
      <c r="G525" s="1316">
        <v>469</v>
      </c>
      <c r="H525" s="141"/>
      <c r="I525" s="141">
        <v>469</v>
      </c>
      <c r="J525" s="141">
        <v>469</v>
      </c>
      <c r="K525" s="1217" t="s">
        <v>1123</v>
      </c>
      <c r="L525" s="299" t="s">
        <v>780</v>
      </c>
      <c r="M525" s="184">
        <v>20</v>
      </c>
      <c r="N525" s="184">
        <v>20</v>
      </c>
      <c r="O525" s="184">
        <v>20</v>
      </c>
      <c r="P525" s="184">
        <v>20</v>
      </c>
      <c r="Q525" s="184">
        <v>20</v>
      </c>
    </row>
    <row r="526" spans="1:17" x14ac:dyDescent="0.25">
      <c r="A526" s="1708" t="s">
        <v>1124</v>
      </c>
      <c r="B526" s="1709"/>
      <c r="C526" s="1709"/>
      <c r="D526" s="1709"/>
      <c r="E526" s="2250"/>
      <c r="F526" s="16">
        <v>4763.7</v>
      </c>
      <c r="G526" s="16">
        <v>7000.7000000000007</v>
      </c>
      <c r="H526" s="16">
        <f>H505+H508+H514+H518+H520</f>
        <v>1697.5</v>
      </c>
      <c r="I526" s="16">
        <v>7000.7000000000007</v>
      </c>
      <c r="J526" s="16">
        <v>7000.7000000000007</v>
      </c>
      <c r="K526" s="1178"/>
      <c r="L526" s="619"/>
      <c r="M526" s="619"/>
      <c r="N526" s="619"/>
      <c r="O526" s="619"/>
      <c r="P526" s="619"/>
      <c r="Q526" s="619"/>
    </row>
    <row r="527" spans="1:17" x14ac:dyDescent="0.25">
      <c r="A527" s="1625" t="s">
        <v>1125</v>
      </c>
      <c r="B527" s="1625"/>
      <c r="C527" s="1625"/>
      <c r="D527" s="2191"/>
      <c r="E527" s="1625"/>
      <c r="F527" s="1625"/>
      <c r="G527" s="1625"/>
      <c r="H527" s="1625"/>
      <c r="I527" s="1625"/>
      <c r="J527" s="1625"/>
      <c r="K527" s="1625"/>
      <c r="L527" s="1625"/>
      <c r="M527" s="1625"/>
      <c r="N527" s="1625"/>
      <c r="O527" s="1625"/>
      <c r="P527" s="1625"/>
      <c r="Q527" s="931"/>
    </row>
    <row r="528" spans="1:17" ht="57" x14ac:dyDescent="0.25">
      <c r="A528" s="2190">
        <v>28</v>
      </c>
      <c r="B528" s="2258">
        <v>1</v>
      </c>
      <c r="C528" s="2229"/>
      <c r="D528" s="2449"/>
      <c r="E528" s="454" t="s">
        <v>1126</v>
      </c>
      <c r="F528" s="2188">
        <v>52470.899999999994</v>
      </c>
      <c r="G528" s="1655">
        <v>57804.100000000006</v>
      </c>
      <c r="H528" s="1655">
        <f>H530+H531+H533+H540+H543+H545+H546</f>
        <v>72982.7</v>
      </c>
      <c r="I528" s="1655">
        <v>63005</v>
      </c>
      <c r="J528" s="1655">
        <v>65187.6</v>
      </c>
      <c r="K528" s="1655"/>
      <c r="L528" s="1655"/>
      <c r="M528" s="1655"/>
      <c r="N528" s="1655"/>
      <c r="O528" s="1655"/>
      <c r="P528" s="1655"/>
      <c r="Q528" s="1655"/>
    </row>
    <row r="529" spans="1:17" ht="105" x14ac:dyDescent="0.25">
      <c r="A529" s="1679"/>
      <c r="B529" s="1752"/>
      <c r="C529" s="1670"/>
      <c r="D529" s="2450"/>
      <c r="E529" s="462" t="s">
        <v>1127</v>
      </c>
      <c r="F529" s="2189"/>
      <c r="G529" s="1682"/>
      <c r="H529" s="1682"/>
      <c r="I529" s="1682"/>
      <c r="J529" s="1682"/>
      <c r="K529" s="1682"/>
      <c r="L529" s="1682"/>
      <c r="M529" s="1682"/>
      <c r="N529" s="1682"/>
      <c r="O529" s="1682"/>
      <c r="P529" s="1682"/>
      <c r="Q529" s="1682"/>
    </row>
    <row r="530" spans="1:17" ht="30" x14ac:dyDescent="0.25">
      <c r="A530" s="1184"/>
      <c r="B530" s="1191"/>
      <c r="C530" s="1317" t="s">
        <v>4</v>
      </c>
      <c r="D530" s="1318"/>
      <c r="E530" s="1575" t="s">
        <v>393</v>
      </c>
      <c r="F530" s="1319">
        <v>5300</v>
      </c>
      <c r="G530" s="1319">
        <v>5463.1</v>
      </c>
      <c r="H530" s="1319">
        <v>5463.1</v>
      </c>
      <c r="I530" s="1319">
        <v>5463.1</v>
      </c>
      <c r="J530" s="1319">
        <v>5463.1</v>
      </c>
      <c r="K530" s="1205" t="s">
        <v>438</v>
      </c>
      <c r="L530" s="1294" t="s">
        <v>35</v>
      </c>
      <c r="M530" s="1294" t="s">
        <v>1128</v>
      </c>
      <c r="N530" s="1294" t="s">
        <v>1129</v>
      </c>
      <c r="O530" s="1294" t="s">
        <v>1130</v>
      </c>
      <c r="P530" s="1294" t="s">
        <v>1130</v>
      </c>
      <c r="Q530" s="1294" t="s">
        <v>1130</v>
      </c>
    </row>
    <row r="531" spans="1:17" x14ac:dyDescent="0.25">
      <c r="A531" s="1184"/>
      <c r="B531" s="1320"/>
      <c r="C531" s="1669" t="s">
        <v>5</v>
      </c>
      <c r="D531" s="1691"/>
      <c r="E531" s="1688" t="s">
        <v>1131</v>
      </c>
      <c r="F531" s="1658">
        <v>13306.5</v>
      </c>
      <c r="G531" s="1658">
        <v>13306.5</v>
      </c>
      <c r="H531" s="1658">
        <v>13306.5</v>
      </c>
      <c r="I531" s="1658">
        <v>13154.3</v>
      </c>
      <c r="J531" s="1658">
        <v>13025.7</v>
      </c>
      <c r="K531" s="1205" t="s">
        <v>1132</v>
      </c>
      <c r="L531" s="1214" t="s">
        <v>34</v>
      </c>
      <c r="M531" s="1214">
        <v>100</v>
      </c>
      <c r="N531" s="1214">
        <v>100</v>
      </c>
      <c r="O531" s="1214">
        <v>100</v>
      </c>
      <c r="P531" s="1214">
        <v>100</v>
      </c>
      <c r="Q531" s="1171">
        <v>100</v>
      </c>
    </row>
    <row r="532" spans="1:17" ht="45" x14ac:dyDescent="0.25">
      <c r="A532" s="1184"/>
      <c r="B532" s="1260"/>
      <c r="C532" s="1670"/>
      <c r="D532" s="1692"/>
      <c r="E532" s="1698"/>
      <c r="F532" s="1656"/>
      <c r="G532" s="1656"/>
      <c r="H532" s="1656"/>
      <c r="I532" s="1656"/>
      <c r="J532" s="1656"/>
      <c r="K532" s="1205" t="s">
        <v>1133</v>
      </c>
      <c r="L532" s="1214" t="s">
        <v>34</v>
      </c>
      <c r="M532" s="1214">
        <v>100</v>
      </c>
      <c r="N532" s="1214">
        <v>100</v>
      </c>
      <c r="O532" s="1214">
        <v>100</v>
      </c>
      <c r="P532" s="1171">
        <v>100</v>
      </c>
      <c r="Q532" s="1171">
        <v>100</v>
      </c>
    </row>
    <row r="533" spans="1:17" x14ac:dyDescent="0.25">
      <c r="A533" s="1184"/>
      <c r="B533" s="1320"/>
      <c r="C533" s="1669" t="s">
        <v>9</v>
      </c>
      <c r="D533" s="1691"/>
      <c r="E533" s="1688" t="s">
        <v>1134</v>
      </c>
      <c r="F533" s="1658">
        <v>2100</v>
      </c>
      <c r="G533" s="1658">
        <v>2000</v>
      </c>
      <c r="H533" s="1658">
        <v>2000</v>
      </c>
      <c r="I533" s="1658">
        <v>2000</v>
      </c>
      <c r="J533" s="1658">
        <v>2000</v>
      </c>
      <c r="K533" s="1205" t="s">
        <v>1135</v>
      </c>
      <c r="L533" s="82" t="s">
        <v>34</v>
      </c>
      <c r="M533" s="1176">
        <v>100</v>
      </c>
      <c r="N533" s="1176">
        <v>100</v>
      </c>
      <c r="O533" s="1176">
        <v>100</v>
      </c>
      <c r="P533" s="1176">
        <v>100</v>
      </c>
      <c r="Q533" s="1210">
        <v>100</v>
      </c>
    </row>
    <row r="534" spans="1:17" ht="30" x14ac:dyDescent="0.25">
      <c r="A534" s="1184"/>
      <c r="B534" s="1259"/>
      <c r="C534" s="1690"/>
      <c r="D534" s="2448"/>
      <c r="E534" s="1689"/>
      <c r="F534" s="1659"/>
      <c r="G534" s="1659"/>
      <c r="H534" s="1659"/>
      <c r="I534" s="1659"/>
      <c r="J534" s="1659"/>
      <c r="K534" s="1183" t="s">
        <v>1136</v>
      </c>
      <c r="L534" s="83" t="s">
        <v>34</v>
      </c>
      <c r="M534" s="1214">
        <v>80</v>
      </c>
      <c r="N534" s="1214">
        <v>80</v>
      </c>
      <c r="O534" s="1214">
        <v>80</v>
      </c>
      <c r="P534" s="1214">
        <v>80</v>
      </c>
      <c r="Q534" s="1171">
        <v>80</v>
      </c>
    </row>
    <row r="535" spans="1:17" ht="30" x14ac:dyDescent="0.25">
      <c r="A535" s="1184"/>
      <c r="B535" s="1259"/>
      <c r="C535" s="1690"/>
      <c r="D535" s="2448"/>
      <c r="E535" s="1689"/>
      <c r="F535" s="1659"/>
      <c r="G535" s="1659"/>
      <c r="H535" s="1659"/>
      <c r="I535" s="1659"/>
      <c r="J535" s="1659"/>
      <c r="K535" s="1183" t="s">
        <v>1137</v>
      </c>
      <c r="L535" s="1321" t="s">
        <v>34</v>
      </c>
      <c r="M535" s="1322">
        <v>100</v>
      </c>
      <c r="N535" s="1322">
        <v>100</v>
      </c>
      <c r="O535" s="1322">
        <v>100</v>
      </c>
      <c r="P535" s="1322">
        <v>100</v>
      </c>
      <c r="Q535" s="1323">
        <v>100</v>
      </c>
    </row>
    <row r="536" spans="1:17" ht="30" x14ac:dyDescent="0.25">
      <c r="A536" s="1184"/>
      <c r="B536" s="1259"/>
      <c r="C536" s="1690"/>
      <c r="D536" s="2448"/>
      <c r="E536" s="1689"/>
      <c r="F536" s="1659"/>
      <c r="G536" s="1659"/>
      <c r="H536" s="1659"/>
      <c r="I536" s="1659"/>
      <c r="J536" s="1659"/>
      <c r="K536" s="1183" t="s">
        <v>1138</v>
      </c>
      <c r="L536" s="1321" t="s">
        <v>34</v>
      </c>
      <c r="M536" s="1322">
        <v>100</v>
      </c>
      <c r="N536" s="1322">
        <v>100</v>
      </c>
      <c r="O536" s="1322">
        <v>100</v>
      </c>
      <c r="P536" s="1322">
        <v>100</v>
      </c>
      <c r="Q536" s="1323">
        <v>100</v>
      </c>
    </row>
    <row r="537" spans="1:17" ht="30" x14ac:dyDescent="0.25">
      <c r="A537" s="1184"/>
      <c r="B537" s="1259"/>
      <c r="C537" s="1690"/>
      <c r="D537" s="2448"/>
      <c r="E537" s="1689"/>
      <c r="F537" s="1659"/>
      <c r="G537" s="1659"/>
      <c r="H537" s="1659"/>
      <c r="I537" s="1659"/>
      <c r="J537" s="1659"/>
      <c r="K537" s="1183" t="s">
        <v>1139</v>
      </c>
      <c r="L537" s="1321" t="s">
        <v>34</v>
      </c>
      <c r="M537" s="1322">
        <v>100</v>
      </c>
      <c r="N537" s="1322">
        <v>100</v>
      </c>
      <c r="O537" s="1322">
        <v>100</v>
      </c>
      <c r="P537" s="1322">
        <v>100</v>
      </c>
      <c r="Q537" s="1323">
        <v>100</v>
      </c>
    </row>
    <row r="538" spans="1:17" ht="30" x14ac:dyDescent="0.25">
      <c r="A538" s="1184"/>
      <c r="B538" s="1259"/>
      <c r="C538" s="1690"/>
      <c r="D538" s="2448"/>
      <c r="E538" s="1689"/>
      <c r="F538" s="1659"/>
      <c r="G538" s="1659"/>
      <c r="H538" s="1659"/>
      <c r="I538" s="1659"/>
      <c r="J538" s="1659"/>
      <c r="K538" s="1183" t="s">
        <v>1140</v>
      </c>
      <c r="L538" s="1321" t="s">
        <v>34</v>
      </c>
      <c r="M538" s="1322">
        <v>100</v>
      </c>
      <c r="N538" s="1322">
        <v>100</v>
      </c>
      <c r="O538" s="1322">
        <v>100</v>
      </c>
      <c r="P538" s="1322">
        <v>100</v>
      </c>
      <c r="Q538" s="1323">
        <v>100</v>
      </c>
    </row>
    <row r="539" spans="1:17" ht="45" x14ac:dyDescent="0.25">
      <c r="A539" s="1184"/>
      <c r="B539" s="1259"/>
      <c r="C539" s="1690"/>
      <c r="D539" s="2448"/>
      <c r="E539" s="1689"/>
      <c r="F539" s="1659"/>
      <c r="G539" s="1659"/>
      <c r="H539" s="1659"/>
      <c r="I539" s="1659"/>
      <c r="J539" s="1659"/>
      <c r="K539" s="1183" t="s">
        <v>1141</v>
      </c>
      <c r="L539" s="1214" t="s">
        <v>34</v>
      </c>
      <c r="M539" s="1214">
        <v>100</v>
      </c>
      <c r="N539" s="1214">
        <v>100</v>
      </c>
      <c r="O539" s="1214">
        <v>100</v>
      </c>
      <c r="P539" s="1214">
        <v>100</v>
      </c>
      <c r="Q539" s="1171">
        <v>100</v>
      </c>
    </row>
    <row r="540" spans="1:17" ht="30" x14ac:dyDescent="0.25">
      <c r="A540" s="1184"/>
      <c r="B540" s="1320"/>
      <c r="C540" s="1669" t="s">
        <v>11</v>
      </c>
      <c r="D540" s="1691"/>
      <c r="E540" s="1683" t="s">
        <v>1142</v>
      </c>
      <c r="F540" s="1658">
        <v>1000</v>
      </c>
      <c r="G540" s="1658">
        <v>1100</v>
      </c>
      <c r="H540" s="1658">
        <v>1012.3</v>
      </c>
      <c r="I540" s="1658">
        <v>1100</v>
      </c>
      <c r="J540" s="1658">
        <v>1100</v>
      </c>
      <c r="K540" s="1205" t="s">
        <v>1143</v>
      </c>
      <c r="L540" s="1214" t="s">
        <v>780</v>
      </c>
      <c r="M540" s="1214">
        <v>3720</v>
      </c>
      <c r="N540" s="1214">
        <v>3700</v>
      </c>
      <c r="O540" s="1214">
        <v>3700</v>
      </c>
      <c r="P540" s="1214">
        <v>3700</v>
      </c>
      <c r="Q540" s="1171">
        <v>3700</v>
      </c>
    </row>
    <row r="541" spans="1:17" ht="30" x14ac:dyDescent="0.25">
      <c r="A541" s="1184"/>
      <c r="B541" s="1259"/>
      <c r="C541" s="1690"/>
      <c r="D541" s="2448"/>
      <c r="E541" s="1683"/>
      <c r="F541" s="1659"/>
      <c r="G541" s="1659"/>
      <c r="H541" s="1659"/>
      <c r="I541" s="1659"/>
      <c r="J541" s="1659"/>
      <c r="K541" s="1205" t="s">
        <v>1144</v>
      </c>
      <c r="L541" s="1214" t="s">
        <v>780</v>
      </c>
      <c r="M541" s="1214">
        <v>2</v>
      </c>
      <c r="N541" s="1214">
        <v>1</v>
      </c>
      <c r="O541" s="1214">
        <v>1</v>
      </c>
      <c r="P541" s="1171">
        <v>1</v>
      </c>
      <c r="Q541" s="1171">
        <v>1</v>
      </c>
    </row>
    <row r="542" spans="1:17" x14ac:dyDescent="0.25">
      <c r="A542" s="1184"/>
      <c r="B542" s="1260"/>
      <c r="C542" s="1670"/>
      <c r="D542" s="1692"/>
      <c r="E542" s="1683"/>
      <c r="F542" s="1659"/>
      <c r="G542" s="1659"/>
      <c r="H542" s="1659"/>
      <c r="I542" s="1659"/>
      <c r="J542" s="1659"/>
      <c r="K542" s="1205" t="s">
        <v>1145</v>
      </c>
      <c r="L542" s="1214" t="s">
        <v>780</v>
      </c>
      <c r="M542" s="1214">
        <v>4</v>
      </c>
      <c r="N542" s="1214">
        <v>4</v>
      </c>
      <c r="O542" s="1214">
        <v>4</v>
      </c>
      <c r="P542" s="1214">
        <v>4</v>
      </c>
      <c r="Q542" s="1171">
        <v>4</v>
      </c>
    </row>
    <row r="543" spans="1:17" ht="60" x14ac:dyDescent="0.25">
      <c r="A543" s="1184"/>
      <c r="B543" s="1320"/>
      <c r="C543" s="1669" t="s">
        <v>13</v>
      </c>
      <c r="D543" s="1691"/>
      <c r="E543" s="1631" t="s">
        <v>534</v>
      </c>
      <c r="F543" s="1658">
        <v>29198.799999999999</v>
      </c>
      <c r="G543" s="1658">
        <v>34368.9</v>
      </c>
      <c r="H543" s="1658">
        <v>49635.199999999997</v>
      </c>
      <c r="I543" s="1658">
        <v>39722</v>
      </c>
      <c r="J543" s="1658">
        <v>42033.2</v>
      </c>
      <c r="K543" s="1205" t="s">
        <v>1146</v>
      </c>
      <c r="L543" s="1214" t="s">
        <v>34</v>
      </c>
      <c r="M543" s="1214">
        <v>100</v>
      </c>
      <c r="N543" s="1214">
        <v>100</v>
      </c>
      <c r="O543" s="1214">
        <v>100</v>
      </c>
      <c r="P543" s="1171">
        <v>100</v>
      </c>
      <c r="Q543" s="1171">
        <v>100</v>
      </c>
    </row>
    <row r="544" spans="1:17" ht="60" x14ac:dyDescent="0.25">
      <c r="A544" s="1184"/>
      <c r="B544" s="1260"/>
      <c r="C544" s="1670"/>
      <c r="D544" s="1692"/>
      <c r="E544" s="1631"/>
      <c r="F544" s="1656"/>
      <c r="G544" s="1656"/>
      <c r="H544" s="1656"/>
      <c r="I544" s="1656"/>
      <c r="J544" s="1656"/>
      <c r="K544" s="1205" t="s">
        <v>1147</v>
      </c>
      <c r="L544" s="1171" t="s">
        <v>34</v>
      </c>
      <c r="M544" s="1171">
        <v>100</v>
      </c>
      <c r="N544" s="1171">
        <v>100</v>
      </c>
      <c r="O544" s="1171">
        <v>100</v>
      </c>
      <c r="P544" s="1171">
        <v>100</v>
      </c>
      <c r="Q544" s="1171">
        <v>100</v>
      </c>
    </row>
    <row r="545" spans="1:17" ht="60" x14ac:dyDescent="0.25">
      <c r="A545" s="1324"/>
      <c r="B545" s="1325"/>
      <c r="C545" s="1317" t="s">
        <v>136</v>
      </c>
      <c r="D545" s="1318"/>
      <c r="E545" s="831" t="s">
        <v>1148</v>
      </c>
      <c r="F545" s="1319">
        <v>565.6</v>
      </c>
      <c r="G545" s="1319">
        <v>565.6</v>
      </c>
      <c r="H545" s="1319">
        <v>565.6</v>
      </c>
      <c r="I545" s="1319">
        <v>565.6</v>
      </c>
      <c r="J545" s="1319">
        <v>565.6</v>
      </c>
      <c r="K545" s="1205" t="s">
        <v>1149</v>
      </c>
      <c r="L545" s="1214" t="s">
        <v>34</v>
      </c>
      <c r="M545" s="1171">
        <v>0</v>
      </c>
      <c r="N545" s="1171">
        <v>64</v>
      </c>
      <c r="O545" s="1171">
        <v>36</v>
      </c>
      <c r="P545" s="1171" t="s">
        <v>63</v>
      </c>
      <c r="Q545" s="1171" t="s">
        <v>63</v>
      </c>
    </row>
    <row r="546" spans="1:17" ht="30" x14ac:dyDescent="0.25">
      <c r="A546" s="1262"/>
      <c r="B546" s="377"/>
      <c r="C546" s="1117" t="s">
        <v>142</v>
      </c>
      <c r="D546" s="461"/>
      <c r="E546" s="1183" t="s">
        <v>1150</v>
      </c>
      <c r="F546" s="1121">
        <v>1000</v>
      </c>
      <c r="G546" s="1121">
        <v>1000</v>
      </c>
      <c r="H546" s="1121">
        <v>1000</v>
      </c>
      <c r="I546" s="1121">
        <v>1000</v>
      </c>
      <c r="J546" s="1121">
        <v>1000</v>
      </c>
      <c r="K546" s="1205" t="s">
        <v>1151</v>
      </c>
      <c r="L546" s="1214" t="s">
        <v>34</v>
      </c>
      <c r="M546" s="29">
        <v>0.5</v>
      </c>
      <c r="N546" s="29">
        <v>0.5</v>
      </c>
      <c r="O546" s="29">
        <v>0.5</v>
      </c>
      <c r="P546" s="29">
        <v>0.5</v>
      </c>
      <c r="Q546" s="41">
        <v>0.5</v>
      </c>
    </row>
    <row r="547" spans="1:17" ht="42.75" x14ac:dyDescent="0.25">
      <c r="A547" s="1678">
        <v>28</v>
      </c>
      <c r="B547" s="1751">
        <v>2</v>
      </c>
      <c r="C547" s="1669"/>
      <c r="D547" s="1671"/>
      <c r="E547" s="1326" t="s">
        <v>1152</v>
      </c>
      <c r="F547" s="2188">
        <v>31048.2</v>
      </c>
      <c r="G547" s="1655">
        <v>33385.699999999997</v>
      </c>
      <c r="H547" s="1655">
        <f>H549+H550+H551+H552+H553+H554+H555+H556</f>
        <v>30855.5</v>
      </c>
      <c r="I547" s="1655">
        <v>33473.9</v>
      </c>
      <c r="J547" s="1655">
        <v>33562.5</v>
      </c>
      <c r="K547" s="1655"/>
      <c r="L547" s="1655"/>
      <c r="M547" s="1655"/>
      <c r="N547" s="1655"/>
      <c r="O547" s="1655"/>
      <c r="P547" s="1655"/>
      <c r="Q547" s="1655"/>
    </row>
    <row r="548" spans="1:17" ht="105" x14ac:dyDescent="0.25">
      <c r="A548" s="1679"/>
      <c r="B548" s="1752"/>
      <c r="C548" s="1670"/>
      <c r="D548" s="1672"/>
      <c r="E548" s="462" t="s">
        <v>1153</v>
      </c>
      <c r="F548" s="2189"/>
      <c r="G548" s="1682"/>
      <c r="H548" s="1682"/>
      <c r="I548" s="1682"/>
      <c r="J548" s="1682"/>
      <c r="K548" s="1682"/>
      <c r="L548" s="1682"/>
      <c r="M548" s="1682"/>
      <c r="N548" s="1682"/>
      <c r="O548" s="1682"/>
      <c r="P548" s="1682"/>
      <c r="Q548" s="1682"/>
    </row>
    <row r="549" spans="1:17" ht="45" x14ac:dyDescent="0.25">
      <c r="A549" s="1262"/>
      <c r="B549" s="445"/>
      <c r="C549" s="170" t="s">
        <v>4</v>
      </c>
      <c r="D549" s="84"/>
      <c r="E549" s="1206" t="s">
        <v>1154</v>
      </c>
      <c r="F549" s="1319">
        <v>4000</v>
      </c>
      <c r="G549" s="1319">
        <v>4000</v>
      </c>
      <c r="H549" s="1319">
        <v>4000</v>
      </c>
      <c r="I549" s="1319">
        <v>4000</v>
      </c>
      <c r="J549" s="1319">
        <v>4000</v>
      </c>
      <c r="K549" s="1183" t="s">
        <v>1155</v>
      </c>
      <c r="L549" s="1183" t="s">
        <v>780</v>
      </c>
      <c r="M549" s="1183">
        <v>14</v>
      </c>
      <c r="N549" s="1183">
        <v>14</v>
      </c>
      <c r="O549" s="1183">
        <v>14</v>
      </c>
      <c r="P549" s="1183">
        <v>14</v>
      </c>
      <c r="Q549" s="1183">
        <v>14</v>
      </c>
    </row>
    <row r="550" spans="1:17" ht="45" x14ac:dyDescent="0.25">
      <c r="A550" s="1262"/>
      <c r="B550" s="445"/>
      <c r="C550" s="170" t="s">
        <v>5</v>
      </c>
      <c r="D550" s="84"/>
      <c r="E550" s="1183" t="s">
        <v>1156</v>
      </c>
      <c r="F550" s="1319">
        <v>3800</v>
      </c>
      <c r="G550" s="1319">
        <v>3800</v>
      </c>
      <c r="H550" s="1319">
        <f>3800</f>
        <v>3800</v>
      </c>
      <c r="I550" s="1319">
        <v>3800</v>
      </c>
      <c r="J550" s="1319">
        <v>3800</v>
      </c>
      <c r="K550" s="1183" t="s">
        <v>1157</v>
      </c>
      <c r="L550" s="1183" t="s">
        <v>780</v>
      </c>
      <c r="M550" s="1183">
        <v>6</v>
      </c>
      <c r="N550" s="1183">
        <v>6</v>
      </c>
      <c r="O550" s="1183">
        <v>6</v>
      </c>
      <c r="P550" s="1183">
        <v>6</v>
      </c>
      <c r="Q550" s="1183">
        <v>6</v>
      </c>
    </row>
    <row r="551" spans="1:17" ht="60" x14ac:dyDescent="0.25">
      <c r="A551" s="1262"/>
      <c r="B551" s="445"/>
      <c r="C551" s="170" t="s">
        <v>7</v>
      </c>
      <c r="D551" s="84"/>
      <c r="E551" s="1183" t="s">
        <v>1158</v>
      </c>
      <c r="F551" s="1319">
        <v>2300</v>
      </c>
      <c r="G551" s="1319">
        <v>2350</v>
      </c>
      <c r="H551" s="1319">
        <v>2350</v>
      </c>
      <c r="I551" s="1319">
        <v>2350</v>
      </c>
      <c r="J551" s="1319">
        <v>2350</v>
      </c>
      <c r="K551" s="1183" t="s">
        <v>1159</v>
      </c>
      <c r="L551" s="1183" t="s">
        <v>1160</v>
      </c>
      <c r="M551" s="1183">
        <v>3</v>
      </c>
      <c r="N551" s="1183">
        <v>3</v>
      </c>
      <c r="O551" s="1183">
        <v>3</v>
      </c>
      <c r="P551" s="1183">
        <v>3</v>
      </c>
      <c r="Q551" s="1183">
        <v>3</v>
      </c>
    </row>
    <row r="552" spans="1:17" ht="45" x14ac:dyDescent="0.25">
      <c r="A552" s="1262"/>
      <c r="B552" s="445"/>
      <c r="C552" s="170" t="s">
        <v>9</v>
      </c>
      <c r="D552" s="84"/>
      <c r="E552" s="1183" t="s">
        <v>1161</v>
      </c>
      <c r="F552" s="1319">
        <v>2200.4</v>
      </c>
      <c r="G552" s="1319">
        <v>2300</v>
      </c>
      <c r="H552" s="1319">
        <v>1320</v>
      </c>
      <c r="I552" s="1319">
        <v>2300</v>
      </c>
      <c r="J552" s="1319">
        <v>2300</v>
      </c>
      <c r="K552" s="1183" t="s">
        <v>1162</v>
      </c>
      <c r="L552" s="1183" t="s">
        <v>780</v>
      </c>
      <c r="M552" s="1183" t="s">
        <v>86</v>
      </c>
      <c r="N552" s="1183" t="s">
        <v>64</v>
      </c>
      <c r="O552" s="1183" t="s">
        <v>64</v>
      </c>
      <c r="P552" s="1183" t="s">
        <v>64</v>
      </c>
      <c r="Q552" s="1183" t="s">
        <v>86</v>
      </c>
    </row>
    <row r="553" spans="1:17" ht="45" x14ac:dyDescent="0.25">
      <c r="A553" s="1262"/>
      <c r="B553" s="445"/>
      <c r="C553" s="170" t="s">
        <v>11</v>
      </c>
      <c r="D553" s="84"/>
      <c r="E553" s="831" t="s">
        <v>1163</v>
      </c>
      <c r="F553" s="1319">
        <v>4412.1000000000004</v>
      </c>
      <c r="G553" s="1319">
        <v>4500</v>
      </c>
      <c r="H553" s="1319">
        <v>4500</v>
      </c>
      <c r="I553" s="1319">
        <v>4500</v>
      </c>
      <c r="J553" s="1319">
        <v>4500</v>
      </c>
      <c r="K553" s="1183" t="s">
        <v>1164</v>
      </c>
      <c r="L553" s="1183" t="s">
        <v>780</v>
      </c>
      <c r="M553" s="1183">
        <v>4</v>
      </c>
      <c r="N553" s="1183">
        <v>4</v>
      </c>
      <c r="O553" s="1183">
        <v>4</v>
      </c>
      <c r="P553" s="1183">
        <v>4</v>
      </c>
      <c r="Q553" s="1183">
        <v>4</v>
      </c>
    </row>
    <row r="554" spans="1:17" ht="45" x14ac:dyDescent="0.25">
      <c r="A554" s="1327"/>
      <c r="B554" s="1328"/>
      <c r="C554" s="170" t="s">
        <v>13</v>
      </c>
      <c r="D554" s="84"/>
      <c r="E554" s="1183" t="s">
        <v>1165</v>
      </c>
      <c r="F554" s="1319">
        <v>4300</v>
      </c>
      <c r="G554" s="1319">
        <v>6400</v>
      </c>
      <c r="H554" s="1319">
        <v>6401</v>
      </c>
      <c r="I554" s="1319">
        <v>6402</v>
      </c>
      <c r="J554" s="1319">
        <v>6403</v>
      </c>
      <c r="K554" s="1183" t="s">
        <v>1166</v>
      </c>
      <c r="L554" s="1183" t="s">
        <v>780</v>
      </c>
      <c r="M554" s="1183">
        <v>2</v>
      </c>
      <c r="N554" s="1183">
        <v>1</v>
      </c>
      <c r="O554" s="1183">
        <v>1</v>
      </c>
      <c r="P554" s="1183">
        <v>1</v>
      </c>
      <c r="Q554" s="1183">
        <v>1</v>
      </c>
    </row>
    <row r="555" spans="1:17" ht="45" x14ac:dyDescent="0.25">
      <c r="A555" s="1262"/>
      <c r="B555" s="445"/>
      <c r="C555" s="170" t="s">
        <v>15</v>
      </c>
      <c r="D555" s="84"/>
      <c r="E555" s="1183" t="s">
        <v>1167</v>
      </c>
      <c r="F555" s="1319">
        <v>6535.7</v>
      </c>
      <c r="G555" s="1319">
        <v>6535.7</v>
      </c>
      <c r="H555" s="1319">
        <v>6259.9</v>
      </c>
      <c r="I555" s="1319">
        <v>6621.9</v>
      </c>
      <c r="J555" s="1319">
        <v>6709.5</v>
      </c>
      <c r="K555" s="1183" t="s">
        <v>1168</v>
      </c>
      <c r="L555" s="1183" t="s">
        <v>780</v>
      </c>
      <c r="M555" s="1183" t="s">
        <v>63</v>
      </c>
      <c r="N555" s="1183">
        <v>9</v>
      </c>
      <c r="O555" s="1183">
        <v>9</v>
      </c>
      <c r="P555" s="1183">
        <v>11</v>
      </c>
      <c r="Q555" s="1183">
        <v>15</v>
      </c>
    </row>
    <row r="556" spans="1:17" ht="45" x14ac:dyDescent="0.25">
      <c r="A556" s="1261"/>
      <c r="B556" s="446"/>
      <c r="C556" s="170" t="s">
        <v>16</v>
      </c>
      <c r="D556" s="84"/>
      <c r="E556" s="1329" t="s">
        <v>1169</v>
      </c>
      <c r="F556" s="1319">
        <v>3500</v>
      </c>
      <c r="G556" s="1319">
        <v>3500</v>
      </c>
      <c r="H556" s="1319">
        <v>2224.6</v>
      </c>
      <c r="I556" s="1319">
        <v>3500</v>
      </c>
      <c r="J556" s="1319">
        <v>3500</v>
      </c>
      <c r="K556" s="1183" t="s">
        <v>1170</v>
      </c>
      <c r="L556" s="1183" t="s">
        <v>780</v>
      </c>
      <c r="M556" s="1183">
        <v>0</v>
      </c>
      <c r="N556" s="1183">
        <v>1</v>
      </c>
      <c r="O556" s="1183">
        <v>1</v>
      </c>
      <c r="P556" s="1183">
        <v>1</v>
      </c>
      <c r="Q556" s="1183">
        <v>1</v>
      </c>
    </row>
    <row r="557" spans="1:17" ht="42.75" x14ac:dyDescent="0.25">
      <c r="A557" s="1678">
        <v>28</v>
      </c>
      <c r="B557" s="1751">
        <v>3</v>
      </c>
      <c r="C557" s="1669"/>
      <c r="D557" s="1671"/>
      <c r="E557" s="1326" t="s">
        <v>1171</v>
      </c>
      <c r="F557" s="1687">
        <v>61923.5</v>
      </c>
      <c r="G557" s="1657">
        <v>57154.799999999996</v>
      </c>
      <c r="H557" s="1657">
        <f>H559+H562+H563+H569+H573+H575+H577+H578+H579+H580</f>
        <v>59417.299999999996</v>
      </c>
      <c r="I557" s="1657">
        <v>57515.5</v>
      </c>
      <c r="J557" s="1657">
        <v>57881.1</v>
      </c>
      <c r="K557" s="1657"/>
      <c r="L557" s="1657"/>
      <c r="M557" s="1657"/>
      <c r="N557" s="1657"/>
      <c r="O557" s="1657"/>
      <c r="P557" s="1657"/>
      <c r="Q557" s="1657"/>
    </row>
    <row r="558" spans="1:17" ht="135" x14ac:dyDescent="0.25">
      <c r="A558" s="1679"/>
      <c r="B558" s="1752"/>
      <c r="C558" s="1670"/>
      <c r="D558" s="1672"/>
      <c r="E558" s="462" t="s">
        <v>1172</v>
      </c>
      <c r="F558" s="1687"/>
      <c r="G558" s="1657"/>
      <c r="H558" s="1657"/>
      <c r="I558" s="1657"/>
      <c r="J558" s="1657"/>
      <c r="K558" s="1657"/>
      <c r="L558" s="1657"/>
      <c r="M558" s="1657"/>
      <c r="N558" s="1657"/>
      <c r="O558" s="1657"/>
      <c r="P558" s="1657"/>
      <c r="Q558" s="1657"/>
    </row>
    <row r="559" spans="1:17" x14ac:dyDescent="0.25">
      <c r="A559" s="2196"/>
      <c r="B559" s="2193"/>
      <c r="C559" s="1901" t="s">
        <v>4</v>
      </c>
      <c r="D559" s="2200"/>
      <c r="E559" s="1684" t="s">
        <v>1173</v>
      </c>
      <c r="F559" s="1658">
        <v>3550.1</v>
      </c>
      <c r="G559" s="1658">
        <v>4600</v>
      </c>
      <c r="H559" s="1658">
        <f>5639</f>
        <v>5639</v>
      </c>
      <c r="I559" s="1658">
        <v>4600</v>
      </c>
      <c r="J559" s="1658">
        <v>4600</v>
      </c>
      <c r="K559" s="149" t="s">
        <v>1174</v>
      </c>
      <c r="L559" s="1322" t="s">
        <v>65</v>
      </c>
      <c r="M559" s="1322">
        <v>617</v>
      </c>
      <c r="N559" s="1323">
        <v>650</v>
      </c>
      <c r="O559" s="1323">
        <v>750</v>
      </c>
      <c r="P559" s="1323">
        <v>850</v>
      </c>
      <c r="Q559" s="1323">
        <v>950</v>
      </c>
    </row>
    <row r="560" spans="1:17" ht="45" x14ac:dyDescent="0.25">
      <c r="A560" s="2197"/>
      <c r="B560" s="2194"/>
      <c r="C560" s="1926"/>
      <c r="D560" s="2208"/>
      <c r="E560" s="1685"/>
      <c r="F560" s="1659"/>
      <c r="G560" s="1659"/>
      <c r="H560" s="1659"/>
      <c r="I560" s="1659"/>
      <c r="J560" s="1659"/>
      <c r="K560" s="149" t="s">
        <v>1175</v>
      </c>
      <c r="L560" s="1214" t="s">
        <v>780</v>
      </c>
      <c r="M560" s="43">
        <v>5</v>
      </c>
      <c r="N560" s="43">
        <v>3</v>
      </c>
      <c r="O560" s="43">
        <v>5</v>
      </c>
      <c r="P560" s="1171">
        <v>5</v>
      </c>
      <c r="Q560" s="1171">
        <v>6</v>
      </c>
    </row>
    <row r="561" spans="1:17" x14ac:dyDescent="0.25">
      <c r="A561" s="2198"/>
      <c r="B561" s="2195"/>
      <c r="C561" s="1773"/>
      <c r="D561" s="2201"/>
      <c r="E561" s="1686"/>
      <c r="F561" s="1656"/>
      <c r="G561" s="1656"/>
      <c r="H561" s="1656"/>
      <c r="I561" s="1656"/>
      <c r="J561" s="1656"/>
      <c r="K561" s="149" t="s">
        <v>1176</v>
      </c>
      <c r="L561" s="1214" t="s">
        <v>780</v>
      </c>
      <c r="M561" s="43">
        <v>10</v>
      </c>
      <c r="N561" s="43">
        <v>5</v>
      </c>
      <c r="O561" s="43">
        <v>8</v>
      </c>
      <c r="P561" s="43">
        <v>8</v>
      </c>
      <c r="Q561" s="1171">
        <v>10</v>
      </c>
    </row>
    <row r="562" spans="1:17" ht="30" x14ac:dyDescent="0.25">
      <c r="A562" s="1262"/>
      <c r="B562" s="445"/>
      <c r="C562" s="170" t="s">
        <v>5</v>
      </c>
      <c r="D562" s="84"/>
      <c r="E562" s="1183" t="s">
        <v>1177</v>
      </c>
      <c r="F562" s="85">
        <v>5300</v>
      </c>
      <c r="G562" s="1121">
        <v>4500</v>
      </c>
      <c r="H562" s="1121">
        <v>4500</v>
      </c>
      <c r="I562" s="1121">
        <v>4500</v>
      </c>
      <c r="J562" s="1121">
        <v>4500</v>
      </c>
      <c r="K562" s="149" t="s">
        <v>1178</v>
      </c>
      <c r="L562" s="1214" t="s">
        <v>780</v>
      </c>
      <c r="M562" s="1171">
        <v>1</v>
      </c>
      <c r="N562" s="1171">
        <v>1</v>
      </c>
      <c r="O562" s="1171">
        <v>1</v>
      </c>
      <c r="P562" s="1171">
        <v>1</v>
      </c>
      <c r="Q562" s="1171">
        <v>1</v>
      </c>
    </row>
    <row r="563" spans="1:17" ht="45" x14ac:dyDescent="0.25">
      <c r="A563" s="1262"/>
      <c r="B563" s="445"/>
      <c r="C563" s="170" t="s">
        <v>7</v>
      </c>
      <c r="D563" s="84"/>
      <c r="E563" s="1183" t="s">
        <v>1179</v>
      </c>
      <c r="F563" s="1121">
        <v>3651.3</v>
      </c>
      <c r="G563" s="1659">
        <v>3187.9</v>
      </c>
      <c r="H563" s="1659">
        <v>3188.9</v>
      </c>
      <c r="I563" s="1659">
        <v>3188.9</v>
      </c>
      <c r="J563" s="1659">
        <v>3188.9</v>
      </c>
      <c r="K563" s="149" t="s">
        <v>1180</v>
      </c>
      <c r="L563" s="1214" t="s">
        <v>1181</v>
      </c>
      <c r="M563" s="1171">
        <v>77</v>
      </c>
      <c r="N563" s="1171">
        <v>74</v>
      </c>
      <c r="O563" s="1171">
        <v>71</v>
      </c>
      <c r="P563" s="1171">
        <v>68</v>
      </c>
      <c r="Q563" s="1171">
        <v>65</v>
      </c>
    </row>
    <row r="564" spans="1:17" ht="45" x14ac:dyDescent="0.25">
      <c r="A564" s="1330"/>
      <c r="B564" s="1331"/>
      <c r="C564" s="170" t="s">
        <v>9</v>
      </c>
      <c r="D564" s="84"/>
      <c r="E564" s="1183" t="s">
        <v>1182</v>
      </c>
      <c r="F564" s="1658">
        <v>3450</v>
      </c>
      <c r="G564" s="1659"/>
      <c r="H564" s="1659"/>
      <c r="I564" s="1659"/>
      <c r="J564" s="1659"/>
      <c r="K564" s="149" t="s">
        <v>1183</v>
      </c>
      <c r="L564" s="1214" t="s">
        <v>780</v>
      </c>
      <c r="M564" s="1171">
        <v>2</v>
      </c>
      <c r="N564" s="1171">
        <v>2</v>
      </c>
      <c r="O564" s="1171">
        <v>2</v>
      </c>
      <c r="P564" s="1171">
        <v>2</v>
      </c>
      <c r="Q564" s="1171">
        <v>2</v>
      </c>
    </row>
    <row r="565" spans="1:17" ht="30" x14ac:dyDescent="0.25">
      <c r="A565" s="1262"/>
      <c r="B565" s="445"/>
      <c r="C565" s="170" t="s">
        <v>11</v>
      </c>
      <c r="D565" s="84"/>
      <c r="E565" s="1183" t="s">
        <v>1184</v>
      </c>
      <c r="F565" s="1659"/>
      <c r="G565" s="1659"/>
      <c r="H565" s="1659"/>
      <c r="I565" s="1659"/>
      <c r="J565" s="1659"/>
      <c r="K565" s="1332" t="s">
        <v>1185</v>
      </c>
      <c r="L565" s="1214" t="s">
        <v>1186</v>
      </c>
      <c r="M565" s="1171">
        <v>2</v>
      </c>
      <c r="N565" s="1171">
        <v>2</v>
      </c>
      <c r="O565" s="1171">
        <v>2</v>
      </c>
      <c r="P565" s="1171">
        <v>2</v>
      </c>
      <c r="Q565" s="1171">
        <v>2</v>
      </c>
    </row>
    <row r="566" spans="1:17" ht="45" x14ac:dyDescent="0.25">
      <c r="A566" s="1262"/>
      <c r="B566" s="445"/>
      <c r="C566" s="170" t="s">
        <v>13</v>
      </c>
      <c r="D566" s="84"/>
      <c r="E566" s="1183" t="s">
        <v>1187</v>
      </c>
      <c r="F566" s="1659"/>
      <c r="G566" s="1659"/>
      <c r="H566" s="1659"/>
      <c r="I566" s="1659"/>
      <c r="J566" s="1659"/>
      <c r="K566" s="149" t="s">
        <v>1188</v>
      </c>
      <c r="L566" s="1214" t="s">
        <v>1186</v>
      </c>
      <c r="M566" s="1171">
        <v>15</v>
      </c>
      <c r="N566" s="1171">
        <v>0</v>
      </c>
      <c r="O566" s="1171">
        <v>0</v>
      </c>
      <c r="P566" s="1171">
        <v>0</v>
      </c>
      <c r="Q566" s="1171">
        <v>0</v>
      </c>
    </row>
    <row r="567" spans="1:17" ht="60" x14ac:dyDescent="0.25">
      <c r="A567" s="1262"/>
      <c r="B567" s="445"/>
      <c r="C567" s="170" t="s">
        <v>15</v>
      </c>
      <c r="D567" s="84"/>
      <c r="E567" s="1183" t="s">
        <v>1189</v>
      </c>
      <c r="F567" s="1659"/>
      <c r="G567" s="1659"/>
      <c r="H567" s="1659"/>
      <c r="I567" s="1659"/>
      <c r="J567" s="1659"/>
      <c r="K567" s="149" t="s">
        <v>1190</v>
      </c>
      <c r="L567" s="1214" t="s">
        <v>1186</v>
      </c>
      <c r="M567" s="1171">
        <v>1</v>
      </c>
      <c r="N567" s="1171">
        <v>1</v>
      </c>
      <c r="O567" s="1171">
        <v>1</v>
      </c>
      <c r="P567" s="1171">
        <v>1</v>
      </c>
      <c r="Q567" s="1171">
        <v>1</v>
      </c>
    </row>
    <row r="568" spans="1:17" ht="45" x14ac:dyDescent="0.25">
      <c r="A568" s="1262"/>
      <c r="B568" s="445"/>
      <c r="C568" s="170" t="s">
        <v>16</v>
      </c>
      <c r="D568" s="84"/>
      <c r="E568" s="1183" t="s">
        <v>1191</v>
      </c>
      <c r="F568" s="1656"/>
      <c r="G568" s="1656"/>
      <c r="H568" s="1656"/>
      <c r="I568" s="1656"/>
      <c r="J568" s="1656"/>
      <c r="K568" s="149" t="s">
        <v>1192</v>
      </c>
      <c r="L568" s="1214" t="s">
        <v>1186</v>
      </c>
      <c r="M568" s="43">
        <v>1</v>
      </c>
      <c r="N568" s="43">
        <v>1</v>
      </c>
      <c r="O568" s="43">
        <v>1</v>
      </c>
      <c r="P568" s="43">
        <v>1</v>
      </c>
      <c r="Q568" s="43">
        <v>1</v>
      </c>
    </row>
    <row r="569" spans="1:17" ht="30" x14ac:dyDescent="0.25">
      <c r="A569" s="2199"/>
      <c r="B569" s="2193"/>
      <c r="C569" s="1901" t="s">
        <v>18</v>
      </c>
      <c r="D569" s="2200"/>
      <c r="E569" s="1684" t="s">
        <v>1193</v>
      </c>
      <c r="F569" s="1658">
        <v>3554</v>
      </c>
      <c r="G569" s="1658">
        <v>1585.2</v>
      </c>
      <c r="H569" s="1658">
        <f>4996.7</f>
        <v>4996.7</v>
      </c>
      <c r="I569" s="1658">
        <v>1585.2</v>
      </c>
      <c r="J569" s="1658">
        <v>1585.2</v>
      </c>
      <c r="K569" s="149" t="s">
        <v>1194</v>
      </c>
      <c r="L569" s="1214" t="s">
        <v>65</v>
      </c>
      <c r="M569" s="43">
        <v>70</v>
      </c>
      <c r="N569" s="43">
        <v>70</v>
      </c>
      <c r="O569" s="43">
        <v>70</v>
      </c>
      <c r="P569" s="43">
        <v>70</v>
      </c>
      <c r="Q569" s="1171">
        <v>70</v>
      </c>
    </row>
    <row r="570" spans="1:17" x14ac:dyDescent="0.25">
      <c r="A570" s="2199"/>
      <c r="B570" s="2194"/>
      <c r="C570" s="1926"/>
      <c r="D570" s="2208"/>
      <c r="E570" s="1685"/>
      <c r="F570" s="1659"/>
      <c r="G570" s="1659"/>
      <c r="H570" s="1659"/>
      <c r="I570" s="1659"/>
      <c r="J570" s="1659"/>
      <c r="K570" s="149" t="s">
        <v>1195</v>
      </c>
      <c r="L570" s="1214" t="s">
        <v>780</v>
      </c>
      <c r="M570" s="43">
        <v>10</v>
      </c>
      <c r="N570" s="43">
        <v>10</v>
      </c>
      <c r="O570" s="43">
        <v>10</v>
      </c>
      <c r="P570" s="43">
        <v>10</v>
      </c>
      <c r="Q570" s="1171">
        <v>10</v>
      </c>
    </row>
    <row r="571" spans="1:17" ht="30" x14ac:dyDescent="0.25">
      <c r="A571" s="2199"/>
      <c r="B571" s="2194"/>
      <c r="C571" s="1926"/>
      <c r="D571" s="2208"/>
      <c r="E571" s="1685"/>
      <c r="F571" s="1659"/>
      <c r="G571" s="1659"/>
      <c r="H571" s="1659"/>
      <c r="I571" s="1659"/>
      <c r="J571" s="1659"/>
      <c r="K571" s="149" t="s">
        <v>1196</v>
      </c>
      <c r="L571" s="1214" t="s">
        <v>780</v>
      </c>
      <c r="M571" s="43">
        <v>2</v>
      </c>
      <c r="N571" s="43">
        <v>2</v>
      </c>
      <c r="O571" s="43">
        <v>2</v>
      </c>
      <c r="P571" s="43">
        <v>2</v>
      </c>
      <c r="Q571" s="1171">
        <v>2</v>
      </c>
    </row>
    <row r="572" spans="1:17" ht="45" x14ac:dyDescent="0.25">
      <c r="A572" s="2199"/>
      <c r="B572" s="2195"/>
      <c r="C572" s="1773"/>
      <c r="D572" s="2201"/>
      <c r="E572" s="1686"/>
      <c r="F572" s="1656"/>
      <c r="G572" s="1656"/>
      <c r="H572" s="1656"/>
      <c r="I572" s="1656"/>
      <c r="J572" s="1656"/>
      <c r="K572" s="149" t="s">
        <v>1197</v>
      </c>
      <c r="L572" s="1214" t="s">
        <v>780</v>
      </c>
      <c r="M572" s="43">
        <v>1</v>
      </c>
      <c r="N572" s="43">
        <v>1</v>
      </c>
      <c r="O572" s="43">
        <v>1</v>
      </c>
      <c r="P572" s="43">
        <v>1</v>
      </c>
      <c r="Q572" s="1171">
        <v>1</v>
      </c>
    </row>
    <row r="573" spans="1:17" ht="45" x14ac:dyDescent="0.25">
      <c r="A573" s="1262"/>
      <c r="B573" s="445"/>
      <c r="C573" s="170" t="s">
        <v>20</v>
      </c>
      <c r="D573" s="84"/>
      <c r="E573" s="1183" t="s">
        <v>1198</v>
      </c>
      <c r="F573" s="1658">
        <v>3500</v>
      </c>
      <c r="G573" s="1658">
        <v>3600</v>
      </c>
      <c r="H573" s="1658">
        <v>3600</v>
      </c>
      <c r="I573" s="1658">
        <v>3600</v>
      </c>
      <c r="J573" s="1658">
        <v>3600</v>
      </c>
      <c r="K573" s="149" t="s">
        <v>1199</v>
      </c>
      <c r="L573" s="1214" t="s">
        <v>66</v>
      </c>
      <c r="M573" s="1214">
        <v>1.1000000000000001</v>
      </c>
      <c r="N573" s="1214" t="s">
        <v>67</v>
      </c>
      <c r="O573" s="1214" t="s">
        <v>67</v>
      </c>
      <c r="P573" s="1214" t="s">
        <v>67</v>
      </c>
      <c r="Q573" s="1214" t="s">
        <v>67</v>
      </c>
    </row>
    <row r="574" spans="1:17" ht="120" x14ac:dyDescent="0.25">
      <c r="A574" s="1262"/>
      <c r="B574" s="445"/>
      <c r="C574" s="170" t="s">
        <v>21</v>
      </c>
      <c r="D574" s="84"/>
      <c r="E574" s="1183" t="s">
        <v>1200</v>
      </c>
      <c r="F574" s="1656"/>
      <c r="G574" s="1656"/>
      <c r="H574" s="1656"/>
      <c r="I574" s="1656"/>
      <c r="J574" s="1656"/>
      <c r="K574" s="149" t="s">
        <v>1201</v>
      </c>
      <c r="L574" s="86" t="s">
        <v>780</v>
      </c>
      <c r="M574" s="1171" t="s">
        <v>87</v>
      </c>
      <c r="N574" s="86">
        <v>2</v>
      </c>
      <c r="O574" s="86">
        <v>1</v>
      </c>
      <c r="P574" s="86">
        <v>0</v>
      </c>
      <c r="Q574" s="1210">
        <v>0</v>
      </c>
    </row>
    <row r="575" spans="1:17" ht="30" x14ac:dyDescent="0.25">
      <c r="A575" s="1330"/>
      <c r="B575" s="1331"/>
      <c r="C575" s="170" t="s">
        <v>22</v>
      </c>
      <c r="D575" s="84"/>
      <c r="E575" s="1183" t="s">
        <v>1202</v>
      </c>
      <c r="F575" s="1658">
        <v>946.4</v>
      </c>
      <c r="G575" s="1658">
        <v>3800</v>
      </c>
      <c r="H575" s="1658">
        <v>3800</v>
      </c>
      <c r="I575" s="1658">
        <v>3800</v>
      </c>
      <c r="J575" s="1658">
        <v>3800</v>
      </c>
      <c r="K575" s="149" t="s">
        <v>1203</v>
      </c>
      <c r="L575" s="86" t="s">
        <v>780</v>
      </c>
      <c r="M575" s="43">
        <v>2</v>
      </c>
      <c r="N575" s="43">
        <v>2</v>
      </c>
      <c r="O575" s="43">
        <v>1</v>
      </c>
      <c r="P575" s="43">
        <v>1</v>
      </c>
      <c r="Q575" s="1171">
        <v>1</v>
      </c>
    </row>
    <row r="576" spans="1:17" ht="45" x14ac:dyDescent="0.25">
      <c r="A576" s="1330"/>
      <c r="B576" s="1331"/>
      <c r="C576" s="170" t="s">
        <v>23</v>
      </c>
      <c r="D576" s="84"/>
      <c r="E576" s="1183" t="s">
        <v>1204</v>
      </c>
      <c r="F576" s="1656"/>
      <c r="G576" s="1656"/>
      <c r="H576" s="1656"/>
      <c r="I576" s="1656"/>
      <c r="J576" s="1656"/>
      <c r="K576" s="149" t="s">
        <v>1203</v>
      </c>
      <c r="L576" s="86" t="s">
        <v>780</v>
      </c>
      <c r="M576" s="43">
        <v>1</v>
      </c>
      <c r="N576" s="43">
        <v>1</v>
      </c>
      <c r="O576" s="43">
        <v>1</v>
      </c>
      <c r="P576" s="43">
        <v>1</v>
      </c>
      <c r="Q576" s="1171">
        <v>1</v>
      </c>
    </row>
    <row r="577" spans="1:17" ht="105" x14ac:dyDescent="0.25">
      <c r="A577" s="1262"/>
      <c r="B577" s="445"/>
      <c r="C577" s="170" t="s">
        <v>24</v>
      </c>
      <c r="D577" s="84"/>
      <c r="E577" s="1183" t="s">
        <v>1205</v>
      </c>
      <c r="F577" s="1319">
        <v>3790</v>
      </c>
      <c r="G577" s="1319">
        <v>1700</v>
      </c>
      <c r="H577" s="1319">
        <v>1700</v>
      </c>
      <c r="I577" s="1319">
        <v>1700</v>
      </c>
      <c r="J577" s="1319">
        <v>1700</v>
      </c>
      <c r="K577" s="149" t="s">
        <v>1206</v>
      </c>
      <c r="L577" s="86" t="s">
        <v>780</v>
      </c>
      <c r="M577" s="1333">
        <v>3</v>
      </c>
      <c r="N577" s="1333">
        <v>3</v>
      </c>
      <c r="O577" s="1333">
        <v>3</v>
      </c>
      <c r="P577" s="1333">
        <v>3</v>
      </c>
      <c r="Q577" s="1323">
        <v>3</v>
      </c>
    </row>
    <row r="578" spans="1:17" ht="75" x14ac:dyDescent="0.25">
      <c r="A578" s="1262"/>
      <c r="B578" s="445"/>
      <c r="C578" s="170" t="s">
        <v>25</v>
      </c>
      <c r="D578" s="84"/>
      <c r="E578" s="1183" t="s">
        <v>1207</v>
      </c>
      <c r="F578" s="1334">
        <v>4400</v>
      </c>
      <c r="G578" s="1334">
        <v>4400</v>
      </c>
      <c r="H578" s="1334">
        <v>4400</v>
      </c>
      <c r="I578" s="1334">
        <v>4400</v>
      </c>
      <c r="J578" s="1334">
        <v>4400</v>
      </c>
      <c r="K578" s="149" t="s">
        <v>1206</v>
      </c>
      <c r="L578" s="86" t="s">
        <v>780</v>
      </c>
      <c r="M578" s="1323">
        <v>7</v>
      </c>
      <c r="N578" s="1323">
        <v>6</v>
      </c>
      <c r="O578" s="1323">
        <v>5</v>
      </c>
      <c r="P578" s="1323">
        <v>5</v>
      </c>
      <c r="Q578" s="1323">
        <v>5</v>
      </c>
    </row>
    <row r="579" spans="1:17" ht="45" x14ac:dyDescent="0.25">
      <c r="A579" s="1262"/>
      <c r="B579" s="445"/>
      <c r="C579" s="170" t="s">
        <v>26</v>
      </c>
      <c r="D579" s="84"/>
      <c r="E579" s="1183" t="s">
        <v>1208</v>
      </c>
      <c r="F579" s="1252">
        <v>27271.599999999999</v>
      </c>
      <c r="G579" s="1252">
        <v>27271.599999999999</v>
      </c>
      <c r="H579" s="1252">
        <v>25082.6</v>
      </c>
      <c r="I579" s="1252">
        <v>27631.3</v>
      </c>
      <c r="J579" s="1252">
        <v>27996.9</v>
      </c>
      <c r="K579" s="149" t="s">
        <v>1209</v>
      </c>
      <c r="L579" s="86" t="s">
        <v>780</v>
      </c>
      <c r="M579" s="1333">
        <v>2</v>
      </c>
      <c r="N579" s="1333">
        <v>2</v>
      </c>
      <c r="O579" s="1333">
        <v>1</v>
      </c>
      <c r="P579" s="1333">
        <v>1</v>
      </c>
      <c r="Q579" s="1323">
        <v>1</v>
      </c>
    </row>
    <row r="580" spans="1:17" ht="30" x14ac:dyDescent="0.25">
      <c r="A580" s="2196"/>
      <c r="B580" s="2193"/>
      <c r="C580" s="1901" t="s">
        <v>27</v>
      </c>
      <c r="D580" s="2200"/>
      <c r="E580" s="1684" t="s">
        <v>1210</v>
      </c>
      <c r="F580" s="1658">
        <v>2510.1</v>
      </c>
      <c r="G580" s="1658">
        <v>2510.1</v>
      </c>
      <c r="H580" s="1658">
        <v>2510.1</v>
      </c>
      <c r="I580" s="1658">
        <v>2510.1</v>
      </c>
      <c r="J580" s="1658">
        <v>2510.1</v>
      </c>
      <c r="K580" s="1183" t="s">
        <v>1211</v>
      </c>
      <c r="L580" s="86" t="s">
        <v>780</v>
      </c>
      <c r="M580" s="43">
        <v>2</v>
      </c>
      <c r="N580" s="43">
        <v>2</v>
      </c>
      <c r="O580" s="43">
        <v>2</v>
      </c>
      <c r="P580" s="43">
        <v>2</v>
      </c>
      <c r="Q580" s="1171">
        <v>2</v>
      </c>
    </row>
    <row r="581" spans="1:17" ht="30" x14ac:dyDescent="0.25">
      <c r="A581" s="2198"/>
      <c r="B581" s="2195"/>
      <c r="C581" s="1773"/>
      <c r="D581" s="2201"/>
      <c r="E581" s="1686"/>
      <c r="F581" s="1656"/>
      <c r="G581" s="1656"/>
      <c r="H581" s="1656"/>
      <c r="I581" s="1656"/>
      <c r="J581" s="1656"/>
      <c r="K581" s="1183" t="s">
        <v>1212</v>
      </c>
      <c r="L581" s="1214" t="s">
        <v>34</v>
      </c>
      <c r="M581" s="43">
        <v>84</v>
      </c>
      <c r="N581" s="43">
        <v>100</v>
      </c>
      <c r="O581" s="43">
        <v>100</v>
      </c>
      <c r="P581" s="43">
        <v>100</v>
      </c>
      <c r="Q581" s="43">
        <v>100</v>
      </c>
    </row>
    <row r="582" spans="1:17" ht="71.25" x14ac:dyDescent="0.25">
      <c r="A582" s="1678">
        <v>28</v>
      </c>
      <c r="B582" s="1751">
        <v>4</v>
      </c>
      <c r="C582" s="1669"/>
      <c r="D582" s="1671"/>
      <c r="E582" s="1326" t="s">
        <v>1213</v>
      </c>
      <c r="F582" s="1687">
        <v>90083.500000000015</v>
      </c>
      <c r="G582" s="1657">
        <v>96355.599999999991</v>
      </c>
      <c r="H582" s="1657">
        <f>H584+H585+H587+H588+H589+H592+H593+H594+H595+H597</f>
        <v>98455.5</v>
      </c>
      <c r="I582" s="1657">
        <v>93521.700000000012</v>
      </c>
      <c r="J582" s="1657">
        <v>94284.800000000003</v>
      </c>
      <c r="K582" s="1657"/>
      <c r="L582" s="1657"/>
      <c r="M582" s="1657"/>
      <c r="N582" s="1657"/>
      <c r="O582" s="1657"/>
      <c r="P582" s="1657"/>
      <c r="Q582" s="1657"/>
    </row>
    <row r="583" spans="1:17" ht="45" x14ac:dyDescent="0.25">
      <c r="A583" s="1679"/>
      <c r="B583" s="1752"/>
      <c r="C583" s="1670"/>
      <c r="D583" s="1672"/>
      <c r="E583" s="462" t="s">
        <v>1214</v>
      </c>
      <c r="F583" s="1687"/>
      <c r="G583" s="1657"/>
      <c r="H583" s="1657"/>
      <c r="I583" s="1657"/>
      <c r="J583" s="1657"/>
      <c r="K583" s="1657"/>
      <c r="L583" s="1657"/>
      <c r="M583" s="1657"/>
      <c r="N583" s="1657"/>
      <c r="O583" s="1657"/>
      <c r="P583" s="1657"/>
      <c r="Q583" s="1657"/>
    </row>
    <row r="584" spans="1:17" ht="90" x14ac:dyDescent="0.25">
      <c r="A584" s="1262"/>
      <c r="B584" s="377"/>
      <c r="C584" s="1117" t="s">
        <v>4</v>
      </c>
      <c r="D584" s="1182"/>
      <c r="E584" s="1206" t="s">
        <v>1215</v>
      </c>
      <c r="F584" s="1121">
        <v>3840</v>
      </c>
      <c r="G584" s="1121">
        <v>4100.7</v>
      </c>
      <c r="H584" s="1121">
        <v>0</v>
      </c>
      <c r="I584" s="1121">
        <v>0</v>
      </c>
      <c r="J584" s="1121">
        <v>0</v>
      </c>
      <c r="K584" s="149" t="s">
        <v>1216</v>
      </c>
      <c r="L584" s="1214" t="s">
        <v>780</v>
      </c>
      <c r="M584" s="1214" t="s">
        <v>68</v>
      </c>
      <c r="N584" s="1214" t="s">
        <v>68</v>
      </c>
      <c r="O584" s="1214" t="s">
        <v>68</v>
      </c>
      <c r="P584" s="70" t="s">
        <v>68</v>
      </c>
      <c r="Q584" s="1214" t="s">
        <v>68</v>
      </c>
    </row>
    <row r="585" spans="1:17" ht="30" x14ac:dyDescent="0.25">
      <c r="A585" s="2196"/>
      <c r="B585" s="2193"/>
      <c r="C585" s="1669" t="s">
        <v>5</v>
      </c>
      <c r="D585" s="1675"/>
      <c r="E585" s="2202" t="s">
        <v>1217</v>
      </c>
      <c r="F585" s="1660">
        <v>19665.5</v>
      </c>
      <c r="G585" s="1660">
        <v>19665.5</v>
      </c>
      <c r="H585" s="1658">
        <v>18815.400000000001</v>
      </c>
      <c r="I585" s="1658">
        <v>19925.900000000001</v>
      </c>
      <c r="J585" s="1658">
        <v>20189.599999999999</v>
      </c>
      <c r="K585" s="149" t="s">
        <v>1218</v>
      </c>
      <c r="L585" s="1214" t="s">
        <v>780</v>
      </c>
      <c r="M585" s="1322" t="s">
        <v>88</v>
      </c>
      <c r="N585" s="1322" t="s">
        <v>88</v>
      </c>
      <c r="O585" s="1322" t="s">
        <v>88</v>
      </c>
      <c r="P585" s="1214" t="s">
        <v>88</v>
      </c>
      <c r="Q585" s="1322" t="s">
        <v>88</v>
      </c>
    </row>
    <row r="586" spans="1:17" ht="45" x14ac:dyDescent="0.25">
      <c r="A586" s="2198"/>
      <c r="B586" s="2195"/>
      <c r="C586" s="1670"/>
      <c r="D586" s="1677"/>
      <c r="E586" s="2203"/>
      <c r="F586" s="1660"/>
      <c r="G586" s="1660"/>
      <c r="H586" s="1656"/>
      <c r="I586" s="1656"/>
      <c r="J586" s="1656"/>
      <c r="K586" s="149" t="s">
        <v>1219</v>
      </c>
      <c r="L586" s="1214" t="s">
        <v>780</v>
      </c>
      <c r="M586" s="1322" t="s">
        <v>89</v>
      </c>
      <c r="N586" s="1322" t="s">
        <v>89</v>
      </c>
      <c r="O586" s="1322" t="s">
        <v>89</v>
      </c>
      <c r="P586" s="1322" t="s">
        <v>89</v>
      </c>
      <c r="Q586" s="1322" t="s">
        <v>89</v>
      </c>
    </row>
    <row r="587" spans="1:17" ht="30" x14ac:dyDescent="0.25">
      <c r="A587" s="1330"/>
      <c r="B587" s="1320"/>
      <c r="C587" s="1117" t="s">
        <v>7</v>
      </c>
      <c r="D587" s="1182"/>
      <c r="E587" s="1183" t="s">
        <v>1220</v>
      </c>
      <c r="F587" s="1121">
        <v>2194.5</v>
      </c>
      <c r="G587" s="1121">
        <v>2194.5</v>
      </c>
      <c r="H587" s="1121">
        <v>2194.5</v>
      </c>
      <c r="I587" s="1121">
        <v>2194.5</v>
      </c>
      <c r="J587" s="1121">
        <v>2194.5</v>
      </c>
      <c r="K587" s="149" t="s">
        <v>1221</v>
      </c>
      <c r="L587" s="1322" t="s">
        <v>34</v>
      </c>
      <c r="M587" s="1335">
        <v>105.9</v>
      </c>
      <c r="N587" s="1335">
        <v>104.8</v>
      </c>
      <c r="O587" s="1335">
        <v>105.3</v>
      </c>
      <c r="P587" s="1335">
        <v>105.4</v>
      </c>
      <c r="Q587" s="1323">
        <v>105.3</v>
      </c>
    </row>
    <row r="588" spans="1:17" ht="30" x14ac:dyDescent="0.25">
      <c r="A588" s="1262"/>
      <c r="B588" s="377"/>
      <c r="C588" s="1117" t="s">
        <v>9</v>
      </c>
      <c r="D588" s="1182"/>
      <c r="E588" s="1183" t="s">
        <v>1222</v>
      </c>
      <c r="F588" s="1121">
        <v>2900</v>
      </c>
      <c r="G588" s="1121">
        <v>2900</v>
      </c>
      <c r="H588" s="1121">
        <v>2900</v>
      </c>
      <c r="I588" s="1121">
        <v>2900</v>
      </c>
      <c r="J588" s="1121">
        <v>2900</v>
      </c>
      <c r="K588" s="1138" t="s">
        <v>1223</v>
      </c>
      <c r="L588" s="1171" t="s">
        <v>34</v>
      </c>
      <c r="M588" s="1171">
        <v>113.8</v>
      </c>
      <c r="N588" s="1171">
        <v>106.1</v>
      </c>
      <c r="O588" s="1171">
        <v>105.3</v>
      </c>
      <c r="P588" s="85">
        <v>105</v>
      </c>
      <c r="Q588" s="1171">
        <v>104.8</v>
      </c>
    </row>
    <row r="589" spans="1:17" ht="45" x14ac:dyDescent="0.25">
      <c r="A589" s="2196"/>
      <c r="B589" s="2193"/>
      <c r="C589" s="1669" t="s">
        <v>11</v>
      </c>
      <c r="D589" s="1675"/>
      <c r="E589" s="2202" t="s">
        <v>1224</v>
      </c>
      <c r="F589" s="1658"/>
      <c r="G589" s="1658">
        <v>4500.3999999999996</v>
      </c>
      <c r="H589" s="1658">
        <v>5200.3999999999996</v>
      </c>
      <c r="I589" s="1658">
        <v>4500.3999999999996</v>
      </c>
      <c r="J589" s="1658">
        <v>4500.3999999999996</v>
      </c>
      <c r="K589" s="149" t="s">
        <v>1225</v>
      </c>
      <c r="L589" s="1214" t="s">
        <v>825</v>
      </c>
      <c r="M589" s="43">
        <v>8</v>
      </c>
      <c r="N589" s="43">
        <v>6</v>
      </c>
      <c r="O589" s="43">
        <v>6</v>
      </c>
      <c r="P589" s="1171">
        <v>6</v>
      </c>
      <c r="Q589" s="1171">
        <v>6</v>
      </c>
    </row>
    <row r="590" spans="1:17" ht="30" x14ac:dyDescent="0.25">
      <c r="A590" s="2197"/>
      <c r="B590" s="2194"/>
      <c r="C590" s="1690"/>
      <c r="D590" s="1676"/>
      <c r="E590" s="2228"/>
      <c r="F590" s="1659"/>
      <c r="G590" s="1659"/>
      <c r="H590" s="1659"/>
      <c r="I590" s="1659"/>
      <c r="J590" s="1659"/>
      <c r="K590" s="149" t="s">
        <v>1226</v>
      </c>
      <c r="L590" s="1214" t="s">
        <v>825</v>
      </c>
      <c r="M590" s="43">
        <v>4</v>
      </c>
      <c r="N590" s="43">
        <v>2</v>
      </c>
      <c r="O590" s="43"/>
      <c r="P590" s="1171">
        <v>2</v>
      </c>
      <c r="Q590" s="1171">
        <v>1</v>
      </c>
    </row>
    <row r="591" spans="1:17" ht="30" x14ac:dyDescent="0.25">
      <c r="A591" s="2198"/>
      <c r="B591" s="2195"/>
      <c r="C591" s="1670"/>
      <c r="D591" s="1677"/>
      <c r="E591" s="2203"/>
      <c r="F591" s="1656"/>
      <c r="G591" s="1656"/>
      <c r="H591" s="1656"/>
      <c r="I591" s="1656"/>
      <c r="J591" s="1656"/>
      <c r="K591" s="149" t="s">
        <v>1227</v>
      </c>
      <c r="L591" s="1214" t="s">
        <v>34</v>
      </c>
      <c r="M591" s="43">
        <v>40</v>
      </c>
      <c r="N591" s="43" t="s">
        <v>90</v>
      </c>
      <c r="O591" s="43">
        <v>40</v>
      </c>
      <c r="P591" s="1171">
        <v>40</v>
      </c>
      <c r="Q591" s="1171">
        <v>40</v>
      </c>
    </row>
    <row r="592" spans="1:17" ht="60" x14ac:dyDescent="0.25">
      <c r="A592" s="1262"/>
      <c r="B592" s="377"/>
      <c r="C592" s="1117" t="s">
        <v>13</v>
      </c>
      <c r="D592" s="1182"/>
      <c r="E592" s="1183" t="s">
        <v>1228</v>
      </c>
      <c r="F592" s="1121">
        <v>6874.8</v>
      </c>
      <c r="G592" s="1121">
        <v>8900.7999999999993</v>
      </c>
      <c r="H592" s="1121">
        <v>5332</v>
      </c>
      <c r="I592" s="1121">
        <v>8900.7999999999993</v>
      </c>
      <c r="J592" s="1121">
        <v>8900.7999999999993</v>
      </c>
      <c r="K592" s="149" t="s">
        <v>1229</v>
      </c>
      <c r="L592" s="1214" t="s">
        <v>780</v>
      </c>
      <c r="M592" s="43">
        <v>6</v>
      </c>
      <c r="N592" s="43">
        <v>6</v>
      </c>
      <c r="O592" s="43">
        <v>6</v>
      </c>
      <c r="P592" s="43">
        <v>6</v>
      </c>
      <c r="Q592" s="1171">
        <v>6</v>
      </c>
    </row>
    <row r="593" spans="1:17" ht="75" x14ac:dyDescent="0.25">
      <c r="A593" s="458"/>
      <c r="B593" s="1325"/>
      <c r="C593" s="1117" t="s">
        <v>15</v>
      </c>
      <c r="D593" s="1182"/>
      <c r="E593" s="1183" t="s">
        <v>1230</v>
      </c>
      <c r="F593" s="1121">
        <v>2150</v>
      </c>
      <c r="G593" s="1121">
        <v>1635</v>
      </c>
      <c r="H593" s="1121">
        <v>1333.9</v>
      </c>
      <c r="I593" s="1121">
        <v>2150</v>
      </c>
      <c r="J593" s="1121">
        <v>2150</v>
      </c>
      <c r="K593" s="87" t="s">
        <v>1231</v>
      </c>
      <c r="L593" s="1214" t="s">
        <v>780</v>
      </c>
      <c r="M593" s="43">
        <v>4</v>
      </c>
      <c r="N593" s="43">
        <v>3</v>
      </c>
      <c r="O593" s="43">
        <v>3</v>
      </c>
      <c r="P593" s="1171">
        <v>3</v>
      </c>
      <c r="Q593" s="1171">
        <v>3</v>
      </c>
    </row>
    <row r="594" spans="1:17" ht="75" x14ac:dyDescent="0.25">
      <c r="A594" s="457"/>
      <c r="B594" s="1297"/>
      <c r="C594" s="1117" t="s">
        <v>16</v>
      </c>
      <c r="D594" s="1182"/>
      <c r="E594" s="1183" t="s">
        <v>1232</v>
      </c>
      <c r="F594" s="1121">
        <v>15207.3</v>
      </c>
      <c r="G594" s="1121">
        <v>15207.3</v>
      </c>
      <c r="H594" s="1121">
        <v>8652</v>
      </c>
      <c r="I594" s="1121">
        <v>15207.3</v>
      </c>
      <c r="J594" s="1121">
        <v>15207.3</v>
      </c>
      <c r="K594" s="149" t="s">
        <v>1233</v>
      </c>
      <c r="L594" s="1214" t="s">
        <v>34</v>
      </c>
      <c r="M594" s="43">
        <v>15</v>
      </c>
      <c r="N594" s="43">
        <v>20</v>
      </c>
      <c r="O594" s="43">
        <v>30</v>
      </c>
      <c r="P594" s="1171">
        <v>40</v>
      </c>
      <c r="Q594" s="1171">
        <v>50</v>
      </c>
    </row>
    <row r="595" spans="1:17" ht="90" x14ac:dyDescent="0.25">
      <c r="A595" s="2196"/>
      <c r="B595" s="2193"/>
      <c r="C595" s="1669" t="s">
        <v>18</v>
      </c>
      <c r="D595" s="1675"/>
      <c r="E595" s="1684" t="s">
        <v>1234</v>
      </c>
      <c r="F595" s="1658">
        <v>26540.1</v>
      </c>
      <c r="G595" s="1658">
        <v>26540.1</v>
      </c>
      <c r="H595" s="1658">
        <f>25385.5+7507.6</f>
        <v>32893.1</v>
      </c>
      <c r="I595" s="1658">
        <v>26890.2</v>
      </c>
      <c r="J595" s="1658">
        <v>27246</v>
      </c>
      <c r="K595" s="831" t="s">
        <v>1235</v>
      </c>
      <c r="L595" s="1322" t="s">
        <v>34</v>
      </c>
      <c r="M595" s="1336" t="s">
        <v>1236</v>
      </c>
      <c r="N595" s="1336" t="s">
        <v>1236</v>
      </c>
      <c r="O595" s="1336" t="s">
        <v>1236</v>
      </c>
      <c r="P595" s="1336" t="s">
        <v>1236</v>
      </c>
      <c r="Q595" s="1336" t="s">
        <v>1236</v>
      </c>
    </row>
    <row r="596" spans="1:17" ht="30" x14ac:dyDescent="0.25">
      <c r="A596" s="2198"/>
      <c r="B596" s="2195"/>
      <c r="C596" s="1670"/>
      <c r="D596" s="1677"/>
      <c r="E596" s="1686"/>
      <c r="F596" s="1656"/>
      <c r="G596" s="1656"/>
      <c r="H596" s="1656"/>
      <c r="I596" s="1656"/>
      <c r="J596" s="1656"/>
      <c r="K596" s="149" t="s">
        <v>1237</v>
      </c>
      <c r="L596" s="1322" t="s">
        <v>34</v>
      </c>
      <c r="M596" s="1337">
        <v>54</v>
      </c>
      <c r="N596" s="1337">
        <v>56</v>
      </c>
      <c r="O596" s="1337">
        <v>57</v>
      </c>
      <c r="P596" s="1337">
        <v>58</v>
      </c>
      <c r="Q596" s="1337">
        <v>59</v>
      </c>
    </row>
    <row r="597" spans="1:17" ht="60" x14ac:dyDescent="0.25">
      <c r="A597" s="455"/>
      <c r="B597" s="2193"/>
      <c r="C597" s="1753" t="s">
        <v>20</v>
      </c>
      <c r="D597" s="1681"/>
      <c r="E597" s="1684" t="s">
        <v>1238</v>
      </c>
      <c r="F597" s="1660">
        <v>10711.3</v>
      </c>
      <c r="G597" s="1660">
        <v>10711.3</v>
      </c>
      <c r="H597" s="1660">
        <f>11690.9+9443.3</f>
        <v>21134.199999999997</v>
      </c>
      <c r="I597" s="1660">
        <v>10852.6</v>
      </c>
      <c r="J597" s="1660">
        <v>10996.2</v>
      </c>
      <c r="K597" s="149" t="s">
        <v>1239</v>
      </c>
      <c r="L597" s="1214" t="s">
        <v>825</v>
      </c>
      <c r="M597" s="43">
        <v>92</v>
      </c>
      <c r="N597" s="43">
        <v>93</v>
      </c>
      <c r="O597" s="43">
        <v>93</v>
      </c>
      <c r="P597" s="1171">
        <v>94</v>
      </c>
      <c r="Q597" s="1171">
        <v>94</v>
      </c>
    </row>
    <row r="598" spans="1:17" ht="105" x14ac:dyDescent="0.25">
      <c r="A598" s="456"/>
      <c r="B598" s="2195"/>
      <c r="C598" s="1753"/>
      <c r="D598" s="1681"/>
      <c r="E598" s="1686"/>
      <c r="F598" s="1660"/>
      <c r="G598" s="1660"/>
      <c r="H598" s="1660"/>
      <c r="I598" s="1660"/>
      <c r="J598" s="1660"/>
      <c r="K598" s="831" t="s">
        <v>1240</v>
      </c>
      <c r="L598" s="1214" t="s">
        <v>825</v>
      </c>
      <c r="M598" s="43">
        <v>33</v>
      </c>
      <c r="N598" s="43">
        <v>35</v>
      </c>
      <c r="O598" s="43">
        <v>35</v>
      </c>
      <c r="P598" s="1171">
        <v>36</v>
      </c>
      <c r="Q598" s="1171">
        <v>36</v>
      </c>
    </row>
    <row r="599" spans="1:17" ht="42.75" x14ac:dyDescent="0.25">
      <c r="A599" s="1678">
        <v>28</v>
      </c>
      <c r="B599" s="1751">
        <v>5</v>
      </c>
      <c r="C599" s="1669"/>
      <c r="D599" s="1681"/>
      <c r="E599" s="1338" t="s">
        <v>1241</v>
      </c>
      <c r="F599" s="1657">
        <v>3645</v>
      </c>
      <c r="G599" s="1657">
        <v>6089.9</v>
      </c>
      <c r="H599" s="1657">
        <f>H601+H605</f>
        <v>6089.9</v>
      </c>
      <c r="I599" s="1657">
        <v>6089.9</v>
      </c>
      <c r="J599" s="1657">
        <v>6089.9</v>
      </c>
      <c r="K599" s="1657"/>
      <c r="L599" s="1657"/>
      <c r="M599" s="1657"/>
      <c r="N599" s="1657"/>
      <c r="O599" s="1657"/>
      <c r="P599" s="1657"/>
      <c r="Q599" s="1657"/>
    </row>
    <row r="600" spans="1:17" ht="90" x14ac:dyDescent="0.25">
      <c r="A600" s="1679"/>
      <c r="B600" s="1752"/>
      <c r="C600" s="1670"/>
      <c r="D600" s="1681"/>
      <c r="E600" s="462" t="s">
        <v>1242</v>
      </c>
      <c r="F600" s="1657"/>
      <c r="G600" s="1657"/>
      <c r="H600" s="1657"/>
      <c r="I600" s="1657"/>
      <c r="J600" s="1657"/>
      <c r="K600" s="1657"/>
      <c r="L600" s="1657"/>
      <c r="M600" s="1657"/>
      <c r="N600" s="1657"/>
      <c r="O600" s="1657"/>
      <c r="P600" s="1657"/>
      <c r="Q600" s="1657"/>
    </row>
    <row r="601" spans="1:17" ht="75" x14ac:dyDescent="0.25">
      <c r="A601" s="2196"/>
      <c r="B601" s="2193"/>
      <c r="C601" s="1753" t="s">
        <v>4</v>
      </c>
      <c r="D601" s="1681"/>
      <c r="E601" s="1685" t="s">
        <v>1243</v>
      </c>
      <c r="F601" s="1660">
        <v>2321.8000000000002</v>
      </c>
      <c r="G601" s="1660">
        <v>4525.2</v>
      </c>
      <c r="H601" s="1660">
        <v>4525.2</v>
      </c>
      <c r="I601" s="1660">
        <v>4525.2</v>
      </c>
      <c r="J601" s="1660">
        <v>4525.2</v>
      </c>
      <c r="K601" s="348" t="s">
        <v>1244</v>
      </c>
      <c r="L601" s="1214" t="s">
        <v>780</v>
      </c>
      <c r="M601" s="43">
        <v>4</v>
      </c>
      <c r="N601" s="43">
        <v>3</v>
      </c>
      <c r="O601" s="43">
        <v>2</v>
      </c>
      <c r="P601" s="43">
        <v>2</v>
      </c>
      <c r="Q601" s="1171">
        <v>2</v>
      </c>
    </row>
    <row r="602" spans="1:17" ht="60" x14ac:dyDescent="0.25">
      <c r="A602" s="2197"/>
      <c r="B602" s="2194"/>
      <c r="C602" s="1753"/>
      <c r="D602" s="1681"/>
      <c r="E602" s="1685"/>
      <c r="F602" s="1660"/>
      <c r="G602" s="1660"/>
      <c r="H602" s="1660"/>
      <c r="I602" s="1660"/>
      <c r="J602" s="1660"/>
      <c r="K602" s="348" t="s">
        <v>1245</v>
      </c>
      <c r="L602" s="1214" t="s">
        <v>780</v>
      </c>
      <c r="M602" s="43">
        <v>4</v>
      </c>
      <c r="N602" s="43">
        <v>4</v>
      </c>
      <c r="O602" s="43">
        <v>4</v>
      </c>
      <c r="P602" s="1171">
        <v>4</v>
      </c>
      <c r="Q602" s="1171">
        <v>4</v>
      </c>
    </row>
    <row r="603" spans="1:17" ht="75" x14ac:dyDescent="0.25">
      <c r="A603" s="2197"/>
      <c r="B603" s="2194"/>
      <c r="C603" s="1753"/>
      <c r="D603" s="1681"/>
      <c r="E603" s="1685"/>
      <c r="F603" s="1660"/>
      <c r="G603" s="1660"/>
      <c r="H603" s="1660"/>
      <c r="I603" s="1660"/>
      <c r="J603" s="1660"/>
      <c r="K603" s="348" t="s">
        <v>1246</v>
      </c>
      <c r="L603" s="1214" t="s">
        <v>780</v>
      </c>
      <c r="M603" s="43"/>
      <c r="N603" s="43">
        <v>3</v>
      </c>
      <c r="O603" s="43">
        <v>2</v>
      </c>
      <c r="P603" s="1171">
        <v>2</v>
      </c>
      <c r="Q603" s="1171">
        <v>2</v>
      </c>
    </row>
    <row r="604" spans="1:17" ht="90.75" thickBot="1" x14ac:dyDescent="0.3">
      <c r="A604" s="2198"/>
      <c r="B604" s="2195"/>
      <c r="C604" s="1753"/>
      <c r="D604" s="1681"/>
      <c r="E604" s="1686"/>
      <c r="F604" s="1658"/>
      <c r="G604" s="1661"/>
      <c r="H604" s="1661"/>
      <c r="I604" s="1661"/>
      <c r="J604" s="1661"/>
      <c r="K604" s="348" t="s">
        <v>1247</v>
      </c>
      <c r="L604" s="1214" t="s">
        <v>780</v>
      </c>
      <c r="M604" s="89">
        <v>4</v>
      </c>
      <c r="N604" s="89">
        <v>5</v>
      </c>
      <c r="O604" s="89">
        <v>5</v>
      </c>
      <c r="P604" s="90">
        <v>5</v>
      </c>
      <c r="Q604" s="90">
        <v>5</v>
      </c>
    </row>
    <row r="605" spans="1:17" ht="45" x14ac:dyDescent="0.25">
      <c r="A605" s="2196"/>
      <c r="B605" s="1320"/>
      <c r="C605" s="1669" t="s">
        <v>5</v>
      </c>
      <c r="D605" s="1675"/>
      <c r="E605" s="1684" t="s">
        <v>1248</v>
      </c>
      <c r="F605" s="1658">
        <v>1323.2</v>
      </c>
      <c r="G605" s="2211">
        <v>1564.7</v>
      </c>
      <c r="H605" s="2211">
        <v>1564.7</v>
      </c>
      <c r="I605" s="2211">
        <v>1564.7</v>
      </c>
      <c r="J605" s="2211">
        <v>1564.7</v>
      </c>
      <c r="K605" s="348" t="s">
        <v>1249</v>
      </c>
      <c r="L605" s="1214" t="s">
        <v>780</v>
      </c>
      <c r="M605" s="1114">
        <v>1</v>
      </c>
      <c r="N605" s="1114">
        <v>1</v>
      </c>
      <c r="O605" s="1114">
        <v>1</v>
      </c>
      <c r="P605" s="1114">
        <v>1</v>
      </c>
      <c r="Q605" s="1114">
        <v>1</v>
      </c>
    </row>
    <row r="606" spans="1:17" ht="75" x14ac:dyDescent="0.25">
      <c r="A606" s="2197"/>
      <c r="B606" s="1259"/>
      <c r="C606" s="1690"/>
      <c r="D606" s="1676"/>
      <c r="E606" s="1685"/>
      <c r="F606" s="1659"/>
      <c r="G606" s="1659"/>
      <c r="H606" s="1659"/>
      <c r="I606" s="1659"/>
      <c r="J606" s="1659"/>
      <c r="K606" s="348" t="s">
        <v>1250</v>
      </c>
      <c r="L606" s="1214" t="s">
        <v>780</v>
      </c>
      <c r="M606" s="1323">
        <v>2</v>
      </c>
      <c r="N606" s="1323">
        <v>2</v>
      </c>
      <c r="O606" s="1323">
        <v>2</v>
      </c>
      <c r="P606" s="1323">
        <v>2</v>
      </c>
      <c r="Q606" s="1171">
        <v>2</v>
      </c>
    </row>
    <row r="607" spans="1:17" ht="120" x14ac:dyDescent="0.25">
      <c r="A607" s="2198"/>
      <c r="B607" s="1259"/>
      <c r="C607" s="1670"/>
      <c r="D607" s="1677"/>
      <c r="E607" s="1685"/>
      <c r="F607" s="1656"/>
      <c r="G607" s="1656"/>
      <c r="H607" s="1656"/>
      <c r="I607" s="1656"/>
      <c r="J607" s="1656"/>
      <c r="K607" s="348" t="s">
        <v>1251</v>
      </c>
      <c r="L607" s="1214" t="s">
        <v>780</v>
      </c>
      <c r="M607" s="1323">
        <v>0</v>
      </c>
      <c r="N607" s="1323">
        <v>0</v>
      </c>
      <c r="O607" s="1323">
        <v>1</v>
      </c>
      <c r="P607" s="1323">
        <v>1</v>
      </c>
      <c r="Q607" s="1171">
        <v>1</v>
      </c>
    </row>
    <row r="608" spans="1:17" ht="85.5" x14ac:dyDescent="0.25">
      <c r="A608" s="1678">
        <v>28</v>
      </c>
      <c r="B608" s="1751">
        <v>6</v>
      </c>
      <c r="C608" s="1669"/>
      <c r="D608" s="1681"/>
      <c r="E608" s="1338" t="s">
        <v>1252</v>
      </c>
      <c r="F608" s="1657">
        <v>19341.099999999999</v>
      </c>
      <c r="G608" s="1655">
        <v>2815.5</v>
      </c>
      <c r="H608" s="1655">
        <f>H610</f>
        <v>3344.9</v>
      </c>
      <c r="I608" s="1655">
        <v>3344.9</v>
      </c>
      <c r="J608" s="1655">
        <v>3344.9</v>
      </c>
      <c r="K608" s="1655"/>
      <c r="L608" s="1655"/>
      <c r="M608" s="1655"/>
      <c r="N608" s="1655"/>
      <c r="O608" s="1655"/>
      <c r="P608" s="1655"/>
      <c r="Q608" s="1655"/>
    </row>
    <row r="609" spans="1:17" ht="90" x14ac:dyDescent="0.25">
      <c r="A609" s="1679"/>
      <c r="B609" s="1752"/>
      <c r="C609" s="1670"/>
      <c r="D609" s="1681"/>
      <c r="E609" s="1339" t="s">
        <v>1253</v>
      </c>
      <c r="F609" s="1660"/>
      <c r="G609" s="1656"/>
      <c r="H609" s="1656"/>
      <c r="I609" s="1656"/>
      <c r="J609" s="1656"/>
      <c r="K609" s="1656"/>
      <c r="L609" s="1656"/>
      <c r="M609" s="1656"/>
      <c r="N609" s="1656"/>
      <c r="O609" s="1656"/>
      <c r="P609" s="1656"/>
      <c r="Q609" s="1656"/>
    </row>
    <row r="610" spans="1:17" ht="45" x14ac:dyDescent="0.25">
      <c r="A610" s="1262"/>
      <c r="B610" s="1320"/>
      <c r="C610" s="1317" t="s">
        <v>4</v>
      </c>
      <c r="D610" s="1318"/>
      <c r="E610" s="1206" t="s">
        <v>1254</v>
      </c>
      <c r="F610" s="1121">
        <v>4100.7</v>
      </c>
      <c r="G610" s="1658">
        <v>2815.5</v>
      </c>
      <c r="H610" s="1658">
        <v>3344.9</v>
      </c>
      <c r="I610" s="1658">
        <v>3344.9</v>
      </c>
      <c r="J610" s="1658">
        <v>3344.9</v>
      </c>
      <c r="K610" s="149" t="s">
        <v>1255</v>
      </c>
      <c r="L610" s="1214" t="s">
        <v>34</v>
      </c>
      <c r="M610" s="1214">
        <v>1</v>
      </c>
      <c r="N610" s="1214">
        <v>1</v>
      </c>
      <c r="O610" s="1214">
        <v>1</v>
      </c>
      <c r="P610" s="1214">
        <v>1</v>
      </c>
      <c r="Q610" s="1214">
        <v>1</v>
      </c>
    </row>
    <row r="611" spans="1:17" ht="75" x14ac:dyDescent="0.25">
      <c r="A611" s="1262"/>
      <c r="B611" s="1320"/>
      <c r="C611" s="1317" t="s">
        <v>5</v>
      </c>
      <c r="D611" s="1340"/>
      <c r="E611" s="1183" t="s">
        <v>1256</v>
      </c>
      <c r="F611" s="1121">
        <v>4900</v>
      </c>
      <c r="G611" s="1659"/>
      <c r="H611" s="1659"/>
      <c r="I611" s="1659"/>
      <c r="J611" s="1659"/>
      <c r="K611" s="149" t="s">
        <v>1257</v>
      </c>
      <c r="L611" s="1171" t="s">
        <v>780</v>
      </c>
      <c r="M611" s="1214">
        <v>8</v>
      </c>
      <c r="N611" s="1214">
        <v>3</v>
      </c>
      <c r="O611" s="1214">
        <v>2</v>
      </c>
      <c r="P611" s="1171">
        <v>2</v>
      </c>
      <c r="Q611" s="1171">
        <v>2</v>
      </c>
    </row>
    <row r="612" spans="1:17" ht="45" x14ac:dyDescent="0.25">
      <c r="A612" s="1262"/>
      <c r="B612" s="1320"/>
      <c r="C612" s="1317" t="s">
        <v>7</v>
      </c>
      <c r="D612" s="91"/>
      <c r="E612" s="1183" t="s">
        <v>1258</v>
      </c>
      <c r="F612" s="1121">
        <v>4840</v>
      </c>
      <c r="G612" s="1659"/>
      <c r="H612" s="1659"/>
      <c r="I612" s="1659"/>
      <c r="J612" s="1659"/>
      <c r="K612" s="149" t="s">
        <v>1259</v>
      </c>
      <c r="L612" s="1171" t="s">
        <v>780</v>
      </c>
      <c r="M612" s="1214">
        <v>200</v>
      </c>
      <c r="N612" s="1214">
        <v>200</v>
      </c>
      <c r="O612" s="1214">
        <v>200</v>
      </c>
      <c r="P612" s="1214">
        <v>200</v>
      </c>
      <c r="Q612" s="1214">
        <v>200</v>
      </c>
    </row>
    <row r="613" spans="1:17" ht="60" x14ac:dyDescent="0.25">
      <c r="A613" s="1330"/>
      <c r="B613" s="1320"/>
      <c r="C613" s="1317" t="s">
        <v>9</v>
      </c>
      <c r="D613" s="1318"/>
      <c r="E613" s="1183" t="s">
        <v>1260</v>
      </c>
      <c r="F613" s="1319">
        <v>5500.4</v>
      </c>
      <c r="G613" s="1659"/>
      <c r="H613" s="1659"/>
      <c r="I613" s="1659"/>
      <c r="J613" s="1659"/>
      <c r="K613" s="149" t="s">
        <v>1261</v>
      </c>
      <c r="L613" s="1171" t="s">
        <v>780</v>
      </c>
      <c r="M613" s="1322">
        <v>10</v>
      </c>
      <c r="N613" s="1322">
        <v>12</v>
      </c>
      <c r="O613" s="1322">
        <v>14</v>
      </c>
      <c r="P613" s="1323">
        <v>15</v>
      </c>
      <c r="Q613" s="1323">
        <v>15</v>
      </c>
    </row>
    <row r="614" spans="1:17" ht="28.5" x14ac:dyDescent="0.25">
      <c r="A614" s="1262">
        <v>28</v>
      </c>
      <c r="B614" s="377">
        <v>7</v>
      </c>
      <c r="C614" s="1117"/>
      <c r="D614" s="461"/>
      <c r="E614" s="460" t="s">
        <v>801</v>
      </c>
      <c r="F614" s="1119">
        <v>0</v>
      </c>
      <c r="G614" s="1119">
        <v>0</v>
      </c>
      <c r="H614" s="1119">
        <f>H615</f>
        <v>85016.4</v>
      </c>
      <c r="I614" s="1119">
        <v>0</v>
      </c>
      <c r="J614" s="1119">
        <v>0</v>
      </c>
      <c r="K614" s="1138"/>
      <c r="L614" s="1214"/>
      <c r="M614" s="1214"/>
      <c r="N614" s="1214"/>
      <c r="O614" s="1214"/>
      <c r="P614" s="1171"/>
      <c r="Q614" s="1171"/>
    </row>
    <row r="615" spans="1:17" ht="30" x14ac:dyDescent="0.25">
      <c r="A615" s="1262"/>
      <c r="B615" s="377"/>
      <c r="C615" s="1117" t="s">
        <v>4</v>
      </c>
      <c r="D615" s="461"/>
      <c r="E615" s="1183" t="s">
        <v>1262</v>
      </c>
      <c r="F615" s="1121"/>
      <c r="G615" s="1121"/>
      <c r="H615" s="1121">
        <v>85016.4</v>
      </c>
      <c r="I615" s="1121"/>
      <c r="J615" s="1121"/>
      <c r="K615" s="1138"/>
      <c r="L615" s="1214"/>
      <c r="M615" s="1214"/>
      <c r="N615" s="1214"/>
      <c r="O615" s="1214"/>
      <c r="P615" s="1171"/>
      <c r="Q615" s="1171"/>
    </row>
    <row r="616" spans="1:17" x14ac:dyDescent="0.25">
      <c r="A616" s="1652" t="s">
        <v>1263</v>
      </c>
      <c r="B616" s="1715"/>
      <c r="C616" s="1715"/>
      <c r="D616" s="1715"/>
      <c r="E616" s="1715"/>
      <c r="F616" s="632">
        <v>258512.19999999998</v>
      </c>
      <c r="G616" s="71">
        <v>253605.6</v>
      </c>
      <c r="H616" s="71">
        <f>H528+H547+H557+H582+H599+H608+H614</f>
        <v>356162.20000000007</v>
      </c>
      <c r="I616" s="71">
        <v>256950.9</v>
      </c>
      <c r="J616" s="71">
        <v>260350.8</v>
      </c>
      <c r="K616" s="633"/>
      <c r="L616" s="552"/>
      <c r="M616" s="634"/>
      <c r="N616" s="634"/>
      <c r="O616" s="634"/>
      <c r="P616" s="634"/>
      <c r="Q616" s="634"/>
    </row>
    <row r="617" spans="1:17" x14ac:dyDescent="0.25">
      <c r="A617" s="2209" t="s">
        <v>1264</v>
      </c>
      <c r="B617" s="2210"/>
      <c r="C617" s="2210"/>
      <c r="D617" s="2210"/>
      <c r="E617" s="2210"/>
      <c r="F617" s="2210"/>
      <c r="G617" s="2210"/>
      <c r="H617" s="2210"/>
      <c r="I617" s="2210"/>
      <c r="J617" s="2210"/>
      <c r="K617" s="2210"/>
      <c r="L617" s="2210"/>
      <c r="M617" s="2210"/>
      <c r="N617" s="2210"/>
      <c r="O617" s="2210"/>
      <c r="P617" s="2210"/>
      <c r="Q617" s="931"/>
    </row>
    <row r="618" spans="1:17" ht="28.5" x14ac:dyDescent="0.25">
      <c r="A618" s="503"/>
      <c r="B618" s="386">
        <v>1</v>
      </c>
      <c r="C618" s="390"/>
      <c r="D618" s="5"/>
      <c r="E618" s="1195" t="s">
        <v>1265</v>
      </c>
      <c r="F618" s="1202"/>
      <c r="G618" s="1202"/>
      <c r="H618" s="1202">
        <f>H619</f>
        <v>7803.9</v>
      </c>
      <c r="I618" s="1202"/>
      <c r="J618" s="1202"/>
      <c r="K618" s="463"/>
      <c r="L618" s="1213"/>
      <c r="M618" s="504"/>
      <c r="N618" s="504"/>
      <c r="O618" s="504"/>
      <c r="P618" s="504"/>
      <c r="Q618" s="504"/>
    </row>
    <row r="619" spans="1:17" x14ac:dyDescent="0.25">
      <c r="A619" s="503"/>
      <c r="B619" s="382"/>
      <c r="C619" s="1146" t="s">
        <v>13</v>
      </c>
      <c r="D619" s="2"/>
      <c r="E619" s="1341" t="s">
        <v>1266</v>
      </c>
      <c r="F619" s="1202"/>
      <c r="G619" s="1202"/>
      <c r="H619" s="1152">
        <f>7803.9</f>
        <v>7803.9</v>
      </c>
      <c r="I619" s="1202"/>
      <c r="J619" s="1202"/>
      <c r="K619" s="463"/>
      <c r="L619" s="1213"/>
      <c r="M619" s="504"/>
      <c r="N619" s="504"/>
      <c r="O619" s="504"/>
      <c r="P619" s="504"/>
      <c r="Q619" s="504"/>
    </row>
    <row r="620" spans="1:17" ht="57" x14ac:dyDescent="0.25">
      <c r="A620" s="503"/>
      <c r="B620" s="386">
        <v>2</v>
      </c>
      <c r="C620" s="178"/>
      <c r="D620" s="178"/>
      <c r="E620" s="178" t="s">
        <v>1267</v>
      </c>
      <c r="F620" s="1202"/>
      <c r="G620" s="1202"/>
      <c r="H620" s="1202">
        <f>H621+H622</f>
        <v>15263.800000000001</v>
      </c>
      <c r="I620" s="1202"/>
      <c r="J620" s="1202"/>
      <c r="K620" s="463"/>
      <c r="L620" s="1213"/>
      <c r="M620" s="504"/>
      <c r="N620" s="504"/>
      <c r="O620" s="504"/>
      <c r="P620" s="504"/>
      <c r="Q620" s="504"/>
    </row>
    <row r="621" spans="1:17" ht="30" x14ac:dyDescent="0.25">
      <c r="A621" s="503"/>
      <c r="B621" s="178"/>
      <c r="C621" s="1146" t="s">
        <v>4</v>
      </c>
      <c r="D621" s="178"/>
      <c r="E621" s="1217" t="s">
        <v>1268</v>
      </c>
      <c r="F621" s="1202"/>
      <c r="G621" s="1202"/>
      <c r="H621" s="1152">
        <f>1590.7+4511.2</f>
        <v>6101.9</v>
      </c>
      <c r="I621" s="1202"/>
      <c r="J621" s="1202"/>
      <c r="K621" s="463"/>
      <c r="L621" s="1213"/>
      <c r="M621" s="504"/>
      <c r="N621" s="504"/>
      <c r="O621" s="504"/>
      <c r="P621" s="504"/>
      <c r="Q621" s="504"/>
    </row>
    <row r="622" spans="1:17" x14ac:dyDescent="0.25">
      <c r="A622" s="503"/>
      <c r="B622" s="178"/>
      <c r="C622" s="1146" t="s">
        <v>5</v>
      </c>
      <c r="D622" s="178"/>
      <c r="E622" s="1217" t="s">
        <v>1269</v>
      </c>
      <c r="F622" s="1202"/>
      <c r="G622" s="1202"/>
      <c r="H622" s="1152">
        <f>6784.1+2377.8</f>
        <v>9161.9000000000015</v>
      </c>
      <c r="I622" s="1202"/>
      <c r="J622" s="1202"/>
      <c r="K622" s="463"/>
      <c r="L622" s="1213"/>
      <c r="M622" s="504"/>
      <c r="N622" s="504"/>
      <c r="O622" s="504"/>
      <c r="P622" s="504"/>
      <c r="Q622" s="504"/>
    </row>
    <row r="623" spans="1:17" ht="28.5" x14ac:dyDescent="0.25">
      <c r="A623" s="503"/>
      <c r="B623" s="386">
        <v>3</v>
      </c>
      <c r="C623" s="1146"/>
      <c r="D623" s="178"/>
      <c r="E623" s="178" t="s">
        <v>1270</v>
      </c>
      <c r="F623" s="1202"/>
      <c r="G623" s="1202"/>
      <c r="H623" s="1202">
        <f>H624</f>
        <v>19872.199999999997</v>
      </c>
      <c r="I623" s="1202"/>
      <c r="J623" s="1202"/>
      <c r="K623" s="463"/>
      <c r="L623" s="1213"/>
      <c r="M623" s="504"/>
      <c r="N623" s="504"/>
      <c r="O623" s="504"/>
      <c r="P623" s="504"/>
      <c r="Q623" s="504"/>
    </row>
    <row r="624" spans="1:17" ht="45" x14ac:dyDescent="0.25">
      <c r="A624" s="503"/>
      <c r="B624" s="178"/>
      <c r="C624" s="1146" t="s">
        <v>4</v>
      </c>
      <c r="D624" s="178"/>
      <c r="E624" s="1217" t="s">
        <v>1271</v>
      </c>
      <c r="F624" s="1202"/>
      <c r="G624" s="1202"/>
      <c r="H624" s="1152">
        <f>977.9+13894.3+5000</f>
        <v>19872.199999999997</v>
      </c>
      <c r="I624" s="1202"/>
      <c r="J624" s="1202"/>
      <c r="K624" s="463"/>
      <c r="L624" s="1213"/>
      <c r="M624" s="504"/>
      <c r="N624" s="504"/>
      <c r="O624" s="504"/>
      <c r="P624" s="504"/>
      <c r="Q624" s="504"/>
    </row>
    <row r="625" spans="1:17" ht="28.5" x14ac:dyDescent="0.25">
      <c r="A625" s="503"/>
      <c r="B625" s="386">
        <v>4</v>
      </c>
      <c r="C625" s="178"/>
      <c r="D625" s="178"/>
      <c r="E625" s="178" t="s">
        <v>1272</v>
      </c>
      <c r="F625" s="1202"/>
      <c r="G625" s="1202"/>
      <c r="H625" s="1202">
        <f>H626+H627</f>
        <v>13360.7</v>
      </c>
      <c r="I625" s="1202"/>
      <c r="J625" s="1202"/>
      <c r="K625" s="463"/>
      <c r="L625" s="1213"/>
      <c r="M625" s="504"/>
      <c r="N625" s="504"/>
      <c r="O625" s="504"/>
      <c r="P625" s="504"/>
      <c r="Q625" s="504"/>
    </row>
    <row r="626" spans="1:17" ht="30" x14ac:dyDescent="0.25">
      <c r="A626" s="503"/>
      <c r="B626" s="178"/>
      <c r="C626" s="1146" t="s">
        <v>4</v>
      </c>
      <c r="D626" s="178"/>
      <c r="E626" s="1217" t="s">
        <v>1273</v>
      </c>
      <c r="F626" s="1202"/>
      <c r="G626" s="1202"/>
      <c r="H626" s="1152">
        <f>8476.4</f>
        <v>8476.4</v>
      </c>
      <c r="I626" s="1202"/>
      <c r="J626" s="1202"/>
      <c r="K626" s="463"/>
      <c r="L626" s="1213"/>
      <c r="M626" s="504"/>
      <c r="N626" s="504"/>
      <c r="O626" s="504"/>
      <c r="P626" s="504"/>
      <c r="Q626" s="504"/>
    </row>
    <row r="627" spans="1:17" ht="30" x14ac:dyDescent="0.25">
      <c r="A627" s="503"/>
      <c r="B627" s="178"/>
      <c r="C627" s="1146" t="s">
        <v>5</v>
      </c>
      <c r="D627" s="178"/>
      <c r="E627" s="1217" t="s">
        <v>1274</v>
      </c>
      <c r="F627" s="1202"/>
      <c r="G627" s="1202"/>
      <c r="H627" s="1152">
        <f>4884.3</f>
        <v>4884.3</v>
      </c>
      <c r="I627" s="1202"/>
      <c r="J627" s="1202"/>
      <c r="K627" s="463"/>
      <c r="L627" s="1213"/>
      <c r="M627" s="504"/>
      <c r="N627" s="504"/>
      <c r="O627" s="504"/>
      <c r="P627" s="504"/>
      <c r="Q627" s="504"/>
    </row>
    <row r="628" spans="1:17" x14ac:dyDescent="0.25">
      <c r="A628" s="503"/>
      <c r="B628" s="1708" t="s">
        <v>1275</v>
      </c>
      <c r="C628" s="1709"/>
      <c r="D628" s="1709"/>
      <c r="E628" s="1709"/>
      <c r="F628" s="1709"/>
      <c r="G628" s="620"/>
      <c r="H628" s="71">
        <f>H618+H620+H623+H625</f>
        <v>56300.599999999991</v>
      </c>
      <c r="I628" s="620"/>
      <c r="J628" s="620"/>
      <c r="K628" s="621"/>
      <c r="L628" s="622"/>
      <c r="M628" s="623"/>
      <c r="N628" s="623"/>
      <c r="O628" s="623"/>
      <c r="P628" s="623"/>
      <c r="Q628" s="624"/>
    </row>
    <row r="629" spans="1:17" x14ac:dyDescent="0.25">
      <c r="A629" s="1625" t="s">
        <v>1276</v>
      </c>
      <c r="B629" s="1625"/>
      <c r="C629" s="1625"/>
      <c r="D629" s="1625"/>
      <c r="E629" s="1625"/>
      <c r="F629" s="1625"/>
      <c r="G629" s="1625"/>
      <c r="H629" s="1625"/>
      <c r="I629" s="1625"/>
      <c r="J629" s="1625"/>
      <c r="K629" s="1625"/>
      <c r="L629" s="1625"/>
      <c r="M629" s="1625"/>
      <c r="N629" s="1625"/>
      <c r="O629" s="1625"/>
      <c r="P629" s="1625"/>
      <c r="Q629" s="931"/>
    </row>
    <row r="630" spans="1:17" ht="60" x14ac:dyDescent="0.25">
      <c r="A630" s="1232">
        <v>32</v>
      </c>
      <c r="B630" s="386">
        <v>1</v>
      </c>
      <c r="C630" s="390"/>
      <c r="D630" s="5"/>
      <c r="E630" s="1195" t="s">
        <v>1277</v>
      </c>
      <c r="F630" s="18">
        <v>134675.29999999999</v>
      </c>
      <c r="G630" s="18">
        <v>108791</v>
      </c>
      <c r="H630" s="1292">
        <f>H631+H632</f>
        <v>113580.20000000001</v>
      </c>
      <c r="I630" s="1278">
        <v>115791</v>
      </c>
      <c r="J630" s="1278">
        <v>118194.8</v>
      </c>
      <c r="K630" s="1212" t="s">
        <v>1278</v>
      </c>
      <c r="L630" s="19" t="s">
        <v>34</v>
      </c>
      <c r="M630" s="19"/>
      <c r="N630" s="19"/>
      <c r="O630" s="19"/>
      <c r="P630" s="19"/>
      <c r="Q630" s="19"/>
    </row>
    <row r="631" spans="1:17" ht="60" x14ac:dyDescent="0.25">
      <c r="A631" s="1122"/>
      <c r="B631" s="382"/>
      <c r="C631" s="1146" t="s">
        <v>4</v>
      </c>
      <c r="D631" s="3"/>
      <c r="E631" s="1100" t="s">
        <v>1279</v>
      </c>
      <c r="F631" s="184">
        <v>58304.4</v>
      </c>
      <c r="G631" s="298">
        <v>53500</v>
      </c>
      <c r="H631" s="186">
        <v>54327.4</v>
      </c>
      <c r="I631" s="186">
        <v>56500</v>
      </c>
      <c r="J631" s="186">
        <v>56500</v>
      </c>
      <c r="K631" s="1212" t="s">
        <v>1280</v>
      </c>
      <c r="L631" s="1289" t="s">
        <v>34</v>
      </c>
      <c r="M631" s="1289">
        <v>100</v>
      </c>
      <c r="N631" s="1289">
        <v>100</v>
      </c>
      <c r="O631" s="1289">
        <v>100</v>
      </c>
      <c r="P631" s="1289">
        <v>100</v>
      </c>
      <c r="Q631" s="1289">
        <v>100</v>
      </c>
    </row>
    <row r="632" spans="1:17" ht="45" x14ac:dyDescent="0.25">
      <c r="A632" s="1122"/>
      <c r="B632" s="382"/>
      <c r="C632" s="1146" t="s">
        <v>13</v>
      </c>
      <c r="D632" s="3"/>
      <c r="E632" s="1302" t="s">
        <v>1281</v>
      </c>
      <c r="F632" s="184">
        <v>76370.899999999994</v>
      </c>
      <c r="G632" s="298">
        <v>55291</v>
      </c>
      <c r="H632" s="186">
        <v>59252.800000000003</v>
      </c>
      <c r="I632" s="186">
        <v>59291</v>
      </c>
      <c r="J632" s="186">
        <v>61694.8</v>
      </c>
      <c r="K632" s="1212" t="s">
        <v>1282</v>
      </c>
      <c r="L632" s="1289" t="s">
        <v>34</v>
      </c>
      <c r="M632" s="1289">
        <v>60</v>
      </c>
      <c r="N632" s="1289">
        <v>70</v>
      </c>
      <c r="O632" s="1289">
        <v>80</v>
      </c>
      <c r="P632" s="1289">
        <v>90</v>
      </c>
      <c r="Q632" s="1289">
        <v>100</v>
      </c>
    </row>
    <row r="633" spans="1:17" ht="30" x14ac:dyDescent="0.25">
      <c r="A633" s="2373">
        <v>32</v>
      </c>
      <c r="B633" s="1933">
        <v>2</v>
      </c>
      <c r="C633" s="1758"/>
      <c r="D633" s="1665"/>
      <c r="E633" s="2212" t="s">
        <v>1283</v>
      </c>
      <c r="F633" s="1633">
        <v>728693.29999999993</v>
      </c>
      <c r="G633" s="1633">
        <v>796983.50000000012</v>
      </c>
      <c r="H633" s="1655">
        <f>H635+H636+H637</f>
        <v>1091542.2</v>
      </c>
      <c r="I633" s="1655">
        <v>1032789.2000000001</v>
      </c>
      <c r="J633" s="1655">
        <v>1036229.3</v>
      </c>
      <c r="K633" s="1212" t="s">
        <v>1284</v>
      </c>
      <c r="L633" s="1289"/>
      <c r="M633" s="1289"/>
      <c r="N633" s="1289"/>
      <c r="O633" s="1289"/>
      <c r="P633" s="1289"/>
      <c r="Q633" s="1289"/>
    </row>
    <row r="634" spans="1:17" ht="60" x14ac:dyDescent="0.25">
      <c r="A634" s="2374"/>
      <c r="B634" s="1934"/>
      <c r="C634" s="1972"/>
      <c r="D634" s="1666"/>
      <c r="E634" s="2212"/>
      <c r="F634" s="1634"/>
      <c r="G634" s="1634"/>
      <c r="H634" s="1682"/>
      <c r="I634" s="1682"/>
      <c r="J634" s="1682"/>
      <c r="K634" s="1212" t="s">
        <v>1285</v>
      </c>
      <c r="L634" s="1289" t="s">
        <v>81</v>
      </c>
      <c r="M634" s="1289">
        <v>60</v>
      </c>
      <c r="N634" s="1289">
        <v>70</v>
      </c>
      <c r="O634" s="1289">
        <v>80</v>
      </c>
      <c r="P634" s="1289">
        <v>90</v>
      </c>
      <c r="Q634" s="1289">
        <v>100</v>
      </c>
    </row>
    <row r="635" spans="1:17" ht="30" x14ac:dyDescent="0.25">
      <c r="A635" s="1232"/>
      <c r="B635" s="386"/>
      <c r="C635" s="1146" t="s">
        <v>4</v>
      </c>
      <c r="D635" s="3"/>
      <c r="E635" s="1302" t="s">
        <v>1286</v>
      </c>
      <c r="F635" s="184">
        <v>477578.7</v>
      </c>
      <c r="G635" s="184">
        <v>502033.30000000005</v>
      </c>
      <c r="H635" s="186">
        <f>664390.2+55000.2</f>
        <v>719390.39999999991</v>
      </c>
      <c r="I635" s="186">
        <v>680074.4</v>
      </c>
      <c r="J635" s="186">
        <v>680074.4</v>
      </c>
      <c r="K635" s="1212" t="s">
        <v>1287</v>
      </c>
      <c r="L635" s="1289" t="s">
        <v>81</v>
      </c>
      <c r="M635" s="1289">
        <v>80</v>
      </c>
      <c r="N635" s="1289">
        <v>70</v>
      </c>
      <c r="O635" s="1289">
        <v>60</v>
      </c>
      <c r="P635" s="1289">
        <v>50</v>
      </c>
      <c r="Q635" s="1289">
        <v>40</v>
      </c>
    </row>
    <row r="636" spans="1:17" ht="30" x14ac:dyDescent="0.25">
      <c r="A636" s="1122"/>
      <c r="B636" s="382"/>
      <c r="C636" s="1146" t="s">
        <v>5</v>
      </c>
      <c r="D636" s="2"/>
      <c r="E636" s="1280" t="s">
        <v>1288</v>
      </c>
      <c r="F636" s="298">
        <v>74650</v>
      </c>
      <c r="G636" s="184">
        <v>86199.3</v>
      </c>
      <c r="H636" s="143">
        <f>135398.9</f>
        <v>135398.9</v>
      </c>
      <c r="I636" s="143">
        <v>137963.9</v>
      </c>
      <c r="J636" s="143">
        <v>139163.9</v>
      </c>
      <c r="K636" s="1212" t="s">
        <v>1289</v>
      </c>
      <c r="L636" s="1289" t="s">
        <v>34</v>
      </c>
      <c r="M636" s="1289">
        <v>40</v>
      </c>
      <c r="N636" s="1289">
        <v>50</v>
      </c>
      <c r="O636" s="1289">
        <v>60</v>
      </c>
      <c r="P636" s="1289">
        <v>70</v>
      </c>
      <c r="Q636" s="1289">
        <v>80</v>
      </c>
    </row>
    <row r="637" spans="1:17" ht="30" x14ac:dyDescent="0.25">
      <c r="A637" s="1122"/>
      <c r="B637" s="382"/>
      <c r="C637" s="1146" t="s">
        <v>7</v>
      </c>
      <c r="D637" s="2"/>
      <c r="E637" s="1280" t="s">
        <v>1290</v>
      </c>
      <c r="F637" s="184">
        <v>176464.6</v>
      </c>
      <c r="G637" s="184">
        <v>208750.9</v>
      </c>
      <c r="H637" s="186">
        <f>236752.9</f>
        <v>236752.9</v>
      </c>
      <c r="I637" s="186">
        <v>214750.9</v>
      </c>
      <c r="J637" s="186">
        <v>216991</v>
      </c>
      <c r="K637" s="1212" t="s">
        <v>1291</v>
      </c>
      <c r="L637" s="1289" t="s">
        <v>34</v>
      </c>
      <c r="M637" s="1289">
        <v>50</v>
      </c>
      <c r="N637" s="1289">
        <v>60</v>
      </c>
      <c r="O637" s="1289">
        <v>70</v>
      </c>
      <c r="P637" s="1289">
        <v>80</v>
      </c>
      <c r="Q637" s="1289">
        <v>90</v>
      </c>
    </row>
    <row r="638" spans="1:17" x14ac:dyDescent="0.25">
      <c r="A638" s="2206">
        <v>32</v>
      </c>
      <c r="B638" s="2180">
        <v>3</v>
      </c>
      <c r="C638" s="2204"/>
      <c r="D638" s="2354"/>
      <c r="E638" s="2350" t="s">
        <v>1292</v>
      </c>
      <c r="F638" s="1633">
        <v>115696.7</v>
      </c>
      <c r="G638" s="1633">
        <v>83477.299999999988</v>
      </c>
      <c r="H638" s="1904">
        <f>H640+H641+H642</f>
        <v>86479.1</v>
      </c>
      <c r="I638" s="1633">
        <v>85703.299999999988</v>
      </c>
      <c r="J638" s="1633">
        <v>86003.299999999988</v>
      </c>
      <c r="K638" s="1791" t="s">
        <v>1293</v>
      </c>
      <c r="L638" s="2246" t="s">
        <v>34</v>
      </c>
      <c r="M638" s="2213"/>
      <c r="N638" s="1665"/>
      <c r="O638" s="1665"/>
      <c r="P638" s="1665"/>
      <c r="Q638" s="1665"/>
    </row>
    <row r="639" spans="1:17" x14ac:dyDescent="0.25">
      <c r="A639" s="2207"/>
      <c r="B639" s="2181"/>
      <c r="C639" s="2205"/>
      <c r="D639" s="2355"/>
      <c r="E639" s="2350"/>
      <c r="F639" s="1634"/>
      <c r="G639" s="1634"/>
      <c r="H639" s="1634"/>
      <c r="I639" s="1634"/>
      <c r="J639" s="1634"/>
      <c r="K639" s="1791"/>
      <c r="L639" s="2247"/>
      <c r="M639" s="2214"/>
      <c r="N639" s="1666"/>
      <c r="O639" s="1666"/>
      <c r="P639" s="1666"/>
      <c r="Q639" s="1666"/>
    </row>
    <row r="640" spans="1:17" ht="30" x14ac:dyDescent="0.25">
      <c r="A640" s="1342"/>
      <c r="B640" s="1343"/>
      <c r="C640" s="1344" t="s">
        <v>4</v>
      </c>
      <c r="D640" s="1345"/>
      <c r="E640" s="1212" t="s">
        <v>1294</v>
      </c>
      <c r="F640" s="1316">
        <v>94048.6</v>
      </c>
      <c r="G640" s="1315">
        <v>60841</v>
      </c>
      <c r="H640" s="141">
        <f>85952.8+100.3</f>
        <v>86053.1</v>
      </c>
      <c r="I640" s="193">
        <v>62367</v>
      </c>
      <c r="J640" s="193">
        <v>62367</v>
      </c>
      <c r="K640" s="1212" t="s">
        <v>1295</v>
      </c>
      <c r="L640" s="1289" t="s">
        <v>34</v>
      </c>
      <c r="M640" s="1289">
        <v>60</v>
      </c>
      <c r="N640" s="278">
        <v>70</v>
      </c>
      <c r="O640" s="278">
        <v>80</v>
      </c>
      <c r="P640" s="278">
        <v>90</v>
      </c>
      <c r="Q640" s="278">
        <v>100</v>
      </c>
    </row>
    <row r="641" spans="1:17" ht="30" x14ac:dyDescent="0.25">
      <c r="A641" s="1342"/>
      <c r="B641" s="1343"/>
      <c r="C641" s="1344" t="s">
        <v>5</v>
      </c>
      <c r="D641" s="1345"/>
      <c r="E641" s="1138" t="s">
        <v>1296</v>
      </c>
      <c r="F641" s="1316">
        <v>18510.900000000001</v>
      </c>
      <c r="G641" s="1315">
        <v>19006.400000000001</v>
      </c>
      <c r="H641" s="141">
        <v>0</v>
      </c>
      <c r="I641" s="193">
        <v>19506.400000000001</v>
      </c>
      <c r="J641" s="193">
        <v>19806.400000000001</v>
      </c>
      <c r="K641" s="1212" t="s">
        <v>1297</v>
      </c>
      <c r="L641" s="1289" t="s">
        <v>34</v>
      </c>
      <c r="M641" s="1289">
        <v>50</v>
      </c>
      <c r="N641" s="1289">
        <v>60</v>
      </c>
      <c r="O641" s="1289">
        <v>70</v>
      </c>
      <c r="P641" s="1289">
        <v>80</v>
      </c>
      <c r="Q641" s="1289">
        <v>90</v>
      </c>
    </row>
    <row r="642" spans="1:17" ht="45" x14ac:dyDescent="0.25">
      <c r="A642" s="1342"/>
      <c r="B642" s="1343"/>
      <c r="C642" s="1344" t="s">
        <v>7</v>
      </c>
      <c r="D642" s="1345"/>
      <c r="E642" s="1212" t="s">
        <v>1298</v>
      </c>
      <c r="F642" s="1316">
        <v>3137.2</v>
      </c>
      <c r="G642" s="1316">
        <v>3629.9</v>
      </c>
      <c r="H642" s="141">
        <v>426</v>
      </c>
      <c r="I642" s="193">
        <v>3829.9</v>
      </c>
      <c r="J642" s="193">
        <v>3829.9</v>
      </c>
      <c r="K642" s="1212" t="s">
        <v>1299</v>
      </c>
      <c r="L642" s="1289" t="s">
        <v>34</v>
      </c>
      <c r="M642" s="1289">
        <v>30</v>
      </c>
      <c r="N642" s="1289">
        <v>40</v>
      </c>
      <c r="O642" s="1289">
        <v>50</v>
      </c>
      <c r="P642" s="1289">
        <v>60</v>
      </c>
      <c r="Q642" s="1289">
        <v>70</v>
      </c>
    </row>
    <row r="643" spans="1:17" x14ac:dyDescent="0.25">
      <c r="A643" s="2206">
        <v>32</v>
      </c>
      <c r="B643" s="2180">
        <v>4</v>
      </c>
      <c r="C643" s="2204"/>
      <c r="D643" s="2354"/>
      <c r="E643" s="1630" t="s">
        <v>1300</v>
      </c>
      <c r="F643" s="1633">
        <v>5405.9</v>
      </c>
      <c r="G643" s="1633">
        <v>4206.6000000000004</v>
      </c>
      <c r="H643" s="2351">
        <f>H645+H646+H647</f>
        <v>6268.8359999999993</v>
      </c>
      <c r="I643" s="2359">
        <v>6786.8</v>
      </c>
      <c r="J643" s="2359">
        <v>6844.8</v>
      </c>
      <c r="K643" s="1630" t="s">
        <v>1301</v>
      </c>
      <c r="L643" s="2225" t="s">
        <v>34</v>
      </c>
      <c r="M643" s="2225"/>
      <c r="N643" s="1635"/>
      <c r="O643" s="1635"/>
      <c r="P643" s="1635"/>
      <c r="Q643" s="1635"/>
    </row>
    <row r="644" spans="1:17" x14ac:dyDescent="0.25">
      <c r="A644" s="2207"/>
      <c r="B644" s="2181"/>
      <c r="C644" s="2205"/>
      <c r="D644" s="2355"/>
      <c r="E644" s="1630"/>
      <c r="F644" s="1634"/>
      <c r="G644" s="1634"/>
      <c r="H644" s="2352"/>
      <c r="I644" s="2297"/>
      <c r="J644" s="2297"/>
      <c r="K644" s="1630"/>
      <c r="L644" s="2225"/>
      <c r="M644" s="2225"/>
      <c r="N644" s="1635"/>
      <c r="O644" s="1635"/>
      <c r="P644" s="1635"/>
      <c r="Q644" s="1635"/>
    </row>
    <row r="645" spans="1:17" ht="30" x14ac:dyDescent="0.25">
      <c r="A645" s="1342"/>
      <c r="B645" s="1343"/>
      <c r="C645" s="1344" t="s">
        <v>4</v>
      </c>
      <c r="D645" s="1345"/>
      <c r="E645" s="1138" t="s">
        <v>1302</v>
      </c>
      <c r="F645" s="1316">
        <v>3203.9</v>
      </c>
      <c r="G645" s="1315">
        <v>1203.9000000000001</v>
      </c>
      <c r="H645" s="141">
        <f>5033.236+183.9</f>
        <v>5217.1359999999995</v>
      </c>
      <c r="I645" s="193">
        <v>3292.1</v>
      </c>
      <c r="J645" s="193">
        <v>3292.1</v>
      </c>
      <c r="K645" s="1212" t="s">
        <v>1303</v>
      </c>
      <c r="L645" s="1289" t="s">
        <v>34</v>
      </c>
      <c r="M645" s="1346">
        <v>60</v>
      </c>
      <c r="N645" s="1347">
        <v>70</v>
      </c>
      <c r="O645" s="1347">
        <v>80</v>
      </c>
      <c r="P645" s="1347">
        <v>90</v>
      </c>
      <c r="Q645" s="1347">
        <v>100</v>
      </c>
    </row>
    <row r="646" spans="1:17" ht="30" x14ac:dyDescent="0.25">
      <c r="A646" s="1342"/>
      <c r="B646" s="1343"/>
      <c r="C646" s="1344" t="s">
        <v>5</v>
      </c>
      <c r="D646" s="1345"/>
      <c r="E646" s="1138" t="s">
        <v>1304</v>
      </c>
      <c r="F646" s="1316">
        <v>1307.8</v>
      </c>
      <c r="G646" s="1315">
        <v>1108.5</v>
      </c>
      <c r="H646" s="141">
        <v>204.4</v>
      </c>
      <c r="I646" s="193">
        <v>1575.5</v>
      </c>
      <c r="J646" s="193">
        <v>1633.5</v>
      </c>
      <c r="K646" s="1212" t="s">
        <v>1305</v>
      </c>
      <c r="L646" s="1289" t="s">
        <v>34</v>
      </c>
      <c r="M646" s="1346">
        <v>50</v>
      </c>
      <c r="N646" s="1347">
        <v>60</v>
      </c>
      <c r="O646" s="1347">
        <v>70</v>
      </c>
      <c r="P646" s="1347">
        <v>80</v>
      </c>
      <c r="Q646" s="1347">
        <v>90</v>
      </c>
    </row>
    <row r="647" spans="1:17" ht="45" x14ac:dyDescent="0.25">
      <c r="A647" s="1342"/>
      <c r="B647" s="1343"/>
      <c r="C647" s="1344" t="s">
        <v>7</v>
      </c>
      <c r="D647" s="1345"/>
      <c r="E647" s="1138" t="s">
        <v>1306</v>
      </c>
      <c r="F647" s="1316">
        <v>894.2</v>
      </c>
      <c r="G647" s="1315">
        <v>1894.2</v>
      </c>
      <c r="H647" s="141">
        <v>847.3</v>
      </c>
      <c r="I647" s="193">
        <v>1919.2</v>
      </c>
      <c r="J647" s="193">
        <v>1919.2</v>
      </c>
      <c r="K647" s="1212" t="s">
        <v>1307</v>
      </c>
      <c r="L647" s="1289" t="s">
        <v>34</v>
      </c>
      <c r="M647" s="1346">
        <v>40</v>
      </c>
      <c r="N647" s="1347">
        <v>50</v>
      </c>
      <c r="O647" s="1347">
        <v>60</v>
      </c>
      <c r="P647" s="1347">
        <v>70</v>
      </c>
      <c r="Q647" s="1347">
        <v>80</v>
      </c>
    </row>
    <row r="648" spans="1:17" x14ac:dyDescent="0.25">
      <c r="A648" s="1652" t="s">
        <v>1308</v>
      </c>
      <c r="B648" s="1715"/>
      <c r="C648" s="1715"/>
      <c r="D648" s="1715"/>
      <c r="E648" s="1715"/>
      <c r="F648" s="42">
        <v>984471.2</v>
      </c>
      <c r="G648" s="42">
        <v>993458.40000000014</v>
      </c>
      <c r="H648" s="42">
        <f>H630+H633+H638+H643</f>
        <v>1297870.3359999999</v>
      </c>
      <c r="I648" s="42">
        <v>1241070.3</v>
      </c>
      <c r="J648" s="42">
        <v>1247272.2000000002</v>
      </c>
      <c r="K648" s="15"/>
      <c r="L648" s="1636"/>
      <c r="M648" s="1636"/>
      <c r="N648" s="1636"/>
      <c r="O648" s="1636"/>
      <c r="P648" s="1636"/>
      <c r="Q648" s="1636"/>
    </row>
    <row r="649" spans="1:17" x14ac:dyDescent="0.25">
      <c r="A649" s="1629"/>
      <c r="B649" s="1629"/>
      <c r="C649" s="1629"/>
      <c r="D649" s="1629"/>
      <c r="E649" s="1629"/>
      <c r="F649" s="1629"/>
      <c r="G649" s="1629"/>
      <c r="H649" s="1629"/>
      <c r="I649" s="1629"/>
      <c r="J649" s="1629"/>
      <c r="K649" s="1629"/>
      <c r="L649" s="1629"/>
      <c r="M649" s="1629"/>
      <c r="N649" s="1629"/>
      <c r="O649" s="1629"/>
      <c r="P649" s="1629"/>
      <c r="Q649" s="931"/>
    </row>
    <row r="650" spans="1:17" x14ac:dyDescent="0.25">
      <c r="A650" s="1625" t="s">
        <v>1309</v>
      </c>
      <c r="B650" s="1625"/>
      <c r="C650" s="1625"/>
      <c r="D650" s="1625"/>
      <c r="E650" s="1625"/>
      <c r="F650" s="1625"/>
      <c r="G650" s="1625"/>
      <c r="H650" s="1625"/>
      <c r="I650" s="1625"/>
      <c r="J650" s="1625"/>
      <c r="K650" s="1625"/>
      <c r="L650" s="1625"/>
      <c r="M650" s="1625"/>
      <c r="N650" s="1625"/>
      <c r="O650" s="1625"/>
      <c r="P650" s="1625"/>
      <c r="Q650" s="931"/>
    </row>
    <row r="651" spans="1:17" ht="88.5" x14ac:dyDescent="0.25">
      <c r="A651" s="1348">
        <v>32</v>
      </c>
      <c r="B651" s="1349">
        <v>5</v>
      </c>
      <c r="C651" s="1350"/>
      <c r="D651" s="1351"/>
      <c r="E651" s="1212" t="s">
        <v>1310</v>
      </c>
      <c r="F651" s="485">
        <v>205546.09999999998</v>
      </c>
      <c r="G651" s="1352">
        <v>194296.8</v>
      </c>
      <c r="H651" s="1352">
        <f>H652+H653+H654</f>
        <v>216296.8</v>
      </c>
      <c r="I651" s="1353">
        <v>195445.40000000002</v>
      </c>
      <c r="J651" s="1353">
        <v>196224.1</v>
      </c>
      <c r="K651" s="1354"/>
      <c r="L651" s="1355"/>
      <c r="M651" s="1355"/>
      <c r="N651" s="1356"/>
      <c r="O651" s="1356"/>
      <c r="P651" s="1357"/>
      <c r="Q651" s="1357"/>
    </row>
    <row r="652" spans="1:17" ht="75" x14ac:dyDescent="0.25">
      <c r="A652" s="1358"/>
      <c r="B652" s="1359"/>
      <c r="C652" s="1350" t="s">
        <v>4</v>
      </c>
      <c r="D652" s="1350"/>
      <c r="E652" s="1217" t="s">
        <v>1311</v>
      </c>
      <c r="F652" s="184">
        <v>93453.8</v>
      </c>
      <c r="G652" s="141">
        <v>89703.9</v>
      </c>
      <c r="H652" s="141">
        <f>89703.9+5000+368</f>
        <v>95071.9</v>
      </c>
      <c r="I652" s="141">
        <v>90265.8</v>
      </c>
      <c r="J652" s="141">
        <v>90924.4</v>
      </c>
      <c r="K652" s="1212" t="s">
        <v>1312</v>
      </c>
      <c r="L652" s="1196" t="s">
        <v>35</v>
      </c>
      <c r="M652" s="142" t="s">
        <v>69</v>
      </c>
      <c r="N652" s="142" t="s">
        <v>70</v>
      </c>
      <c r="O652" s="142" t="s">
        <v>70</v>
      </c>
      <c r="P652" s="142" t="s">
        <v>70</v>
      </c>
      <c r="Q652" s="142" t="s">
        <v>70</v>
      </c>
    </row>
    <row r="653" spans="1:17" ht="30" x14ac:dyDescent="0.25">
      <c r="A653" s="1358"/>
      <c r="B653" s="1359"/>
      <c r="C653" s="1350" t="s">
        <v>5</v>
      </c>
      <c r="D653" s="1350"/>
      <c r="E653" s="1217" t="s">
        <v>1313</v>
      </c>
      <c r="F653" s="184">
        <v>62748.5</v>
      </c>
      <c r="G653" s="141">
        <v>58999</v>
      </c>
      <c r="H653" s="141">
        <f>58999+5000+6632</f>
        <v>70631</v>
      </c>
      <c r="I653" s="141">
        <v>59568.3</v>
      </c>
      <c r="J653" s="141">
        <v>60226.200000000004</v>
      </c>
      <c r="K653" s="1212" t="s">
        <v>1314</v>
      </c>
      <c r="L653" s="1196" t="s">
        <v>34</v>
      </c>
      <c r="M653" s="143" t="s">
        <v>71</v>
      </c>
      <c r="N653" s="143" t="s">
        <v>72</v>
      </c>
      <c r="O653" s="143" t="s">
        <v>72</v>
      </c>
      <c r="P653" s="143" t="s">
        <v>72</v>
      </c>
      <c r="Q653" s="143" t="s">
        <v>72</v>
      </c>
    </row>
    <row r="654" spans="1:17" ht="75" x14ac:dyDescent="0.25">
      <c r="A654" s="1358"/>
      <c r="B654" s="1359"/>
      <c r="C654" s="1350" t="s">
        <v>7</v>
      </c>
      <c r="D654" s="1350"/>
      <c r="E654" s="1217" t="s">
        <v>1315</v>
      </c>
      <c r="F654" s="184">
        <v>49343.8</v>
      </c>
      <c r="G654" s="141">
        <v>45593.9</v>
      </c>
      <c r="H654" s="141">
        <f>45593.9+5000</f>
        <v>50593.9</v>
      </c>
      <c r="I654" s="141">
        <v>46452</v>
      </c>
      <c r="J654" s="141">
        <v>47128</v>
      </c>
      <c r="K654" s="1212" t="s">
        <v>1316</v>
      </c>
      <c r="L654" s="1196" t="s">
        <v>34</v>
      </c>
      <c r="M654" s="143" t="s">
        <v>73</v>
      </c>
      <c r="N654" s="143" t="s">
        <v>74</v>
      </c>
      <c r="O654" s="143" t="s">
        <v>74</v>
      </c>
      <c r="P654" s="143" t="s">
        <v>74</v>
      </c>
      <c r="Q654" s="143" t="s">
        <v>74</v>
      </c>
    </row>
    <row r="655" spans="1:17" ht="15.75" thickBot="1" x14ac:dyDescent="0.3">
      <c r="A655" s="1652" t="s">
        <v>1317</v>
      </c>
      <c r="B655" s="1715"/>
      <c r="C655" s="1715"/>
      <c r="D655" s="1715"/>
      <c r="E655" s="1715"/>
      <c r="F655" s="42">
        <v>205546.09999999998</v>
      </c>
      <c r="G655" s="625">
        <v>194296.8</v>
      </c>
      <c r="H655" s="625">
        <f>H651</f>
        <v>216296.8</v>
      </c>
      <c r="I655" s="625">
        <v>195445.40000000002</v>
      </c>
      <c r="J655" s="625">
        <v>196224.1</v>
      </c>
      <c r="K655" s="15"/>
      <c r="L655" s="2243"/>
      <c r="M655" s="2244"/>
      <c r="N655" s="2244"/>
      <c r="O655" s="2244"/>
      <c r="P655" s="2244"/>
      <c r="Q655" s="2245"/>
    </row>
    <row r="656" spans="1:17" x14ac:dyDescent="0.25">
      <c r="A656" s="1625" t="s">
        <v>1318</v>
      </c>
      <c r="B656" s="1625"/>
      <c r="C656" s="1625"/>
      <c r="D656" s="1625"/>
      <c r="E656" s="1625"/>
      <c r="F656" s="1625"/>
      <c r="G656" s="1625"/>
      <c r="H656" s="1625"/>
      <c r="I656" s="1625"/>
      <c r="J656" s="1625"/>
      <c r="K656" s="1625"/>
      <c r="L656" s="1625"/>
      <c r="M656" s="1625"/>
      <c r="N656" s="1625"/>
      <c r="O656" s="1625"/>
      <c r="P656" s="1625"/>
      <c r="Q656" s="931"/>
    </row>
    <row r="657" spans="1:17" ht="73.5" x14ac:dyDescent="0.25">
      <c r="A657" s="1115">
        <v>34</v>
      </c>
      <c r="B657" s="1297">
        <v>1</v>
      </c>
      <c r="C657" s="1117"/>
      <c r="D657" s="10"/>
      <c r="E657" s="1360" t="s">
        <v>1319</v>
      </c>
      <c r="F657" s="1119">
        <v>52901.4</v>
      </c>
      <c r="G657" s="1119">
        <v>63969.8</v>
      </c>
      <c r="H657" s="1119">
        <f>H658+H659</f>
        <v>552101.29999999993</v>
      </c>
      <c r="I657" s="1119">
        <v>64801.4</v>
      </c>
      <c r="J657" s="1119">
        <v>65643.899999999994</v>
      </c>
      <c r="K657" s="967" t="s">
        <v>1320</v>
      </c>
      <c r="L657" s="92" t="s">
        <v>34</v>
      </c>
      <c r="M657" s="92">
        <v>1.3</v>
      </c>
      <c r="N657" s="93">
        <v>1.3</v>
      </c>
      <c r="O657" s="94">
        <v>1.3</v>
      </c>
      <c r="P657" s="93">
        <v>1.3</v>
      </c>
      <c r="Q657" s="93">
        <v>1.3</v>
      </c>
    </row>
    <row r="658" spans="1:17" ht="45" x14ac:dyDescent="0.25">
      <c r="A658" s="1324"/>
      <c r="B658" s="1361"/>
      <c r="C658" s="1317" t="s">
        <v>16</v>
      </c>
      <c r="D658" s="1362"/>
      <c r="E658" s="1212" t="s">
        <v>1321</v>
      </c>
      <c r="F658" s="1363">
        <v>418067</v>
      </c>
      <c r="G658" s="1363">
        <v>395821.2</v>
      </c>
      <c r="H658" s="1363">
        <f>501461.1+6326.1</f>
        <v>507787.19999999995</v>
      </c>
      <c r="I658" s="1363">
        <v>401529.1</v>
      </c>
      <c r="J658" s="1363">
        <v>406742.1</v>
      </c>
      <c r="K658" s="974" t="s">
        <v>1322</v>
      </c>
      <c r="L658" s="95" t="s">
        <v>34</v>
      </c>
      <c r="M658" s="92"/>
      <c r="N658" s="92" t="s">
        <v>1323</v>
      </c>
      <c r="O658" s="92" t="s">
        <v>1323</v>
      </c>
      <c r="P658" s="92" t="s">
        <v>1323</v>
      </c>
      <c r="Q658" s="92" t="s">
        <v>1323</v>
      </c>
    </row>
    <row r="659" spans="1:17" ht="30" x14ac:dyDescent="0.25">
      <c r="A659" s="1642"/>
      <c r="B659" s="1361"/>
      <c r="C659" s="1669" t="s">
        <v>141</v>
      </c>
      <c r="D659" s="1364"/>
      <c r="E659" s="2345" t="s">
        <v>1324</v>
      </c>
      <c r="F659" s="2182">
        <v>52901.4</v>
      </c>
      <c r="G659" s="2360">
        <v>63969.8</v>
      </c>
      <c r="H659" s="2360">
        <f>43399.1+915</f>
        <v>44314.1</v>
      </c>
      <c r="I659" s="2360">
        <v>64801.4</v>
      </c>
      <c r="J659" s="2360">
        <v>65643.899999999994</v>
      </c>
      <c r="K659" s="1212" t="s">
        <v>438</v>
      </c>
      <c r="L659" s="1214" t="s">
        <v>35</v>
      </c>
      <c r="M659" s="92">
        <v>29.8</v>
      </c>
      <c r="N659" s="92" t="s">
        <v>1323</v>
      </c>
      <c r="O659" s="92" t="s">
        <v>1323</v>
      </c>
      <c r="P659" s="92" t="s">
        <v>1323</v>
      </c>
      <c r="Q659" s="92" t="s">
        <v>1323</v>
      </c>
    </row>
    <row r="660" spans="1:17" x14ac:dyDescent="0.25">
      <c r="A660" s="1643"/>
      <c r="B660" s="1191"/>
      <c r="C660" s="1690">
        <v>2</v>
      </c>
      <c r="D660" s="1250"/>
      <c r="E660" s="2346" t="s">
        <v>6</v>
      </c>
      <c r="F660" s="2183"/>
      <c r="G660" s="2361"/>
      <c r="H660" s="2361"/>
      <c r="I660" s="2361"/>
      <c r="J660" s="2361"/>
      <c r="K660" s="1212" t="s">
        <v>1325</v>
      </c>
      <c r="L660" s="1214" t="s">
        <v>34</v>
      </c>
      <c r="M660" s="92">
        <v>70</v>
      </c>
      <c r="N660" s="93">
        <v>80</v>
      </c>
      <c r="O660" s="94">
        <v>80</v>
      </c>
      <c r="P660" s="93">
        <v>80</v>
      </c>
      <c r="Q660" s="93">
        <v>80</v>
      </c>
    </row>
    <row r="661" spans="1:17" ht="30" x14ac:dyDescent="0.25">
      <c r="A661" s="1643"/>
      <c r="B661" s="1191"/>
      <c r="C661" s="1690">
        <v>3</v>
      </c>
      <c r="D661" s="1250"/>
      <c r="E661" s="2346" t="s">
        <v>8</v>
      </c>
      <c r="F661" s="2183"/>
      <c r="G661" s="2361"/>
      <c r="H661" s="2361"/>
      <c r="I661" s="2361"/>
      <c r="J661" s="2361"/>
      <c r="K661" s="1212" t="s">
        <v>1326</v>
      </c>
      <c r="L661" s="1214" t="s">
        <v>34</v>
      </c>
      <c r="M661" s="92">
        <v>56</v>
      </c>
      <c r="N661" s="93" t="s">
        <v>1323</v>
      </c>
      <c r="O661" s="93" t="s">
        <v>1323</v>
      </c>
      <c r="P661" s="93" t="s">
        <v>1323</v>
      </c>
      <c r="Q661" s="93" t="s">
        <v>1323</v>
      </c>
    </row>
    <row r="662" spans="1:17" ht="30" x14ac:dyDescent="0.25">
      <c r="A662" s="1643"/>
      <c r="B662" s="1191"/>
      <c r="C662" s="1690">
        <v>4</v>
      </c>
      <c r="D662" s="1250"/>
      <c r="E662" s="2346" t="s">
        <v>10</v>
      </c>
      <c r="F662" s="2183"/>
      <c r="G662" s="2361"/>
      <c r="H662" s="2361"/>
      <c r="I662" s="2361"/>
      <c r="J662" s="2361"/>
      <c r="K662" s="1212" t="s">
        <v>1327</v>
      </c>
      <c r="L662" s="1214" t="s">
        <v>780</v>
      </c>
      <c r="M662" s="92" t="s">
        <v>76</v>
      </c>
      <c r="N662" s="93" t="s">
        <v>1323</v>
      </c>
      <c r="O662" s="93" t="s">
        <v>1323</v>
      </c>
      <c r="P662" s="93" t="s">
        <v>1323</v>
      </c>
      <c r="Q662" s="93" t="s">
        <v>1323</v>
      </c>
    </row>
    <row r="663" spans="1:17" ht="30" x14ac:dyDescent="0.25">
      <c r="A663" s="1643"/>
      <c r="B663" s="1191"/>
      <c r="C663" s="1690">
        <v>5</v>
      </c>
      <c r="D663" s="1250"/>
      <c r="E663" s="2346" t="s">
        <v>12</v>
      </c>
      <c r="F663" s="2183"/>
      <c r="G663" s="2361"/>
      <c r="H663" s="2361"/>
      <c r="I663" s="2361"/>
      <c r="J663" s="2361"/>
      <c r="K663" s="1212" t="s">
        <v>1328</v>
      </c>
      <c r="L663" s="1214" t="s">
        <v>780</v>
      </c>
      <c r="M663" s="92">
        <v>128</v>
      </c>
      <c r="N663" s="93" t="s">
        <v>1323</v>
      </c>
      <c r="O663" s="93" t="s">
        <v>1323</v>
      </c>
      <c r="P663" s="93" t="s">
        <v>1323</v>
      </c>
      <c r="Q663" s="93" t="s">
        <v>1323</v>
      </c>
    </row>
    <row r="664" spans="1:17" ht="45" x14ac:dyDescent="0.25">
      <c r="A664" s="1644"/>
      <c r="B664" s="1191"/>
      <c r="C664" s="1690">
        <v>6</v>
      </c>
      <c r="D664" s="1250"/>
      <c r="E664" s="2346" t="s">
        <v>19</v>
      </c>
      <c r="F664" s="2184"/>
      <c r="G664" s="2362"/>
      <c r="H664" s="2362"/>
      <c r="I664" s="2362"/>
      <c r="J664" s="2362"/>
      <c r="K664" s="1212" t="s">
        <v>1329</v>
      </c>
      <c r="L664" s="1214" t="s">
        <v>34</v>
      </c>
      <c r="M664" s="92">
        <v>18</v>
      </c>
      <c r="N664" s="93" t="s">
        <v>1323</v>
      </c>
      <c r="O664" s="93" t="s">
        <v>1323</v>
      </c>
      <c r="P664" s="93" t="s">
        <v>1323</v>
      </c>
      <c r="Q664" s="93" t="s">
        <v>1323</v>
      </c>
    </row>
    <row r="665" spans="1:17" ht="132" x14ac:dyDescent="0.25">
      <c r="A665" s="1324">
        <v>34</v>
      </c>
      <c r="B665" s="1325">
        <v>2</v>
      </c>
      <c r="C665" s="1117"/>
      <c r="D665" s="10"/>
      <c r="E665" s="1365" t="s">
        <v>1330</v>
      </c>
      <c r="F665" s="28">
        <v>19936614</v>
      </c>
      <c r="G665" s="28">
        <v>20541167.799999997</v>
      </c>
      <c r="H665" s="1264">
        <f>H666+H679+H681</f>
        <v>21441484.870000001</v>
      </c>
      <c r="I665" s="1119">
        <v>20070992</v>
      </c>
      <c r="J665" s="1119">
        <v>20129520.199999999</v>
      </c>
      <c r="K665" s="967" t="s">
        <v>1331</v>
      </c>
      <c r="L665" s="92" t="s">
        <v>34</v>
      </c>
      <c r="M665" s="97">
        <v>100</v>
      </c>
      <c r="N665" s="97">
        <v>100</v>
      </c>
      <c r="O665" s="97">
        <v>100</v>
      </c>
      <c r="P665" s="97">
        <v>100</v>
      </c>
      <c r="Q665" s="97">
        <v>100</v>
      </c>
    </row>
    <row r="666" spans="1:17" x14ac:dyDescent="0.25">
      <c r="A666" s="2222"/>
      <c r="B666" s="1366"/>
      <c r="C666" s="1669" t="s">
        <v>4</v>
      </c>
      <c r="D666" s="1362"/>
      <c r="E666" s="1824" t="s">
        <v>1332</v>
      </c>
      <c r="F666" s="2356">
        <v>2812064.5</v>
      </c>
      <c r="G666" s="2226">
        <v>2503467.4</v>
      </c>
      <c r="H666" s="2226">
        <f>1314+3123300.5+25847.8</f>
        <v>3150462.3</v>
      </c>
      <c r="I666" s="2226">
        <v>2792637</v>
      </c>
      <c r="J666" s="2226">
        <v>2825577.3000000003</v>
      </c>
      <c r="K666" s="2215" t="s">
        <v>1333</v>
      </c>
      <c r="L666" s="2218" t="s">
        <v>1334</v>
      </c>
      <c r="M666" s="2232">
        <v>137951</v>
      </c>
      <c r="N666" s="2232">
        <v>118000</v>
      </c>
      <c r="O666" s="2232" t="s">
        <v>1335</v>
      </c>
      <c r="P666" s="2232" t="s">
        <v>1335</v>
      </c>
      <c r="Q666" s="2232" t="s">
        <v>1335</v>
      </c>
    </row>
    <row r="667" spans="1:17" x14ac:dyDescent="0.25">
      <c r="A667" s="2223"/>
      <c r="B667" s="358"/>
      <c r="C667" s="1690"/>
      <c r="D667" s="1250"/>
      <c r="E667" s="1824"/>
      <c r="F667" s="2357"/>
      <c r="G667" s="2353"/>
      <c r="H667" s="2353"/>
      <c r="I667" s="2353"/>
      <c r="J667" s="2353"/>
      <c r="K667" s="2215"/>
      <c r="L667" s="2219"/>
      <c r="M667" s="2233"/>
      <c r="N667" s="2233"/>
      <c r="O667" s="2233"/>
      <c r="P667" s="2233"/>
      <c r="Q667" s="2233"/>
    </row>
    <row r="668" spans="1:17" ht="60" x14ac:dyDescent="0.25">
      <c r="A668" s="2223"/>
      <c r="B668" s="358"/>
      <c r="C668" s="1690"/>
      <c r="D668" s="1250"/>
      <c r="E668" s="1824"/>
      <c r="F668" s="2357"/>
      <c r="G668" s="2353"/>
      <c r="H668" s="2353"/>
      <c r="I668" s="2353"/>
      <c r="J668" s="2353"/>
      <c r="K668" s="974" t="s">
        <v>1336</v>
      </c>
      <c r="L668" s="92" t="s">
        <v>780</v>
      </c>
      <c r="M668" s="92">
        <v>3053</v>
      </c>
      <c r="N668" s="92">
        <v>4000</v>
      </c>
      <c r="O668" s="92">
        <v>4000</v>
      </c>
      <c r="P668" s="92">
        <v>4000</v>
      </c>
      <c r="Q668" s="92">
        <v>4000</v>
      </c>
    </row>
    <row r="669" spans="1:17" ht="30" x14ac:dyDescent="0.25">
      <c r="A669" s="2223"/>
      <c r="B669" s="358"/>
      <c r="C669" s="1690"/>
      <c r="D669" s="1250"/>
      <c r="E669" s="1824"/>
      <c r="F669" s="2357"/>
      <c r="G669" s="2353"/>
      <c r="H669" s="2353"/>
      <c r="I669" s="2353"/>
      <c r="J669" s="2353"/>
      <c r="K669" s="974" t="s">
        <v>1337</v>
      </c>
      <c r="L669" s="92" t="s">
        <v>34</v>
      </c>
      <c r="M669" s="98">
        <v>84.8</v>
      </c>
      <c r="N669" s="98">
        <v>84.8</v>
      </c>
      <c r="O669" s="98">
        <v>84.8</v>
      </c>
      <c r="P669" s="98">
        <v>84.8</v>
      </c>
      <c r="Q669" s="98">
        <v>84.8</v>
      </c>
    </row>
    <row r="670" spans="1:17" ht="30" x14ac:dyDescent="0.25">
      <c r="A670" s="2223"/>
      <c r="B670" s="358"/>
      <c r="C670" s="1690"/>
      <c r="D670" s="1250"/>
      <c r="E670" s="1791"/>
      <c r="F670" s="2357"/>
      <c r="G670" s="2138"/>
      <c r="H670" s="2138"/>
      <c r="I670" s="2138"/>
      <c r="J670" s="2138"/>
      <c r="K670" s="974" t="s">
        <v>1338</v>
      </c>
      <c r="L670" s="92" t="s">
        <v>780</v>
      </c>
      <c r="M670" s="99">
        <v>1186</v>
      </c>
      <c r="N670" s="99">
        <v>1296</v>
      </c>
      <c r="O670" s="99">
        <v>1310</v>
      </c>
      <c r="P670" s="99">
        <v>1390</v>
      </c>
      <c r="Q670" s="99">
        <v>1400</v>
      </c>
    </row>
    <row r="671" spans="1:17" x14ac:dyDescent="0.25">
      <c r="A671" s="2223"/>
      <c r="B671" s="358"/>
      <c r="C671" s="1690"/>
      <c r="D671" s="1250"/>
      <c r="E671" s="1791"/>
      <c r="F671" s="2357"/>
      <c r="G671" s="2138"/>
      <c r="H671" s="2138"/>
      <c r="I671" s="2138"/>
      <c r="J671" s="2138"/>
      <c r="K671" s="967" t="s">
        <v>1339</v>
      </c>
      <c r="L671" s="92" t="s">
        <v>34</v>
      </c>
      <c r="M671" s="92">
        <v>89.8</v>
      </c>
      <c r="N671" s="92">
        <v>90</v>
      </c>
      <c r="O671" s="92">
        <v>95</v>
      </c>
      <c r="P671" s="92">
        <v>100</v>
      </c>
      <c r="Q671" s="92">
        <v>100</v>
      </c>
    </row>
    <row r="672" spans="1:17" x14ac:dyDescent="0.25">
      <c r="A672" s="2223"/>
      <c r="B672" s="358"/>
      <c r="C672" s="1690"/>
      <c r="D672" s="1250"/>
      <c r="E672" s="1791"/>
      <c r="F672" s="2357"/>
      <c r="G672" s="2138"/>
      <c r="H672" s="2138"/>
      <c r="I672" s="2138"/>
      <c r="J672" s="2138"/>
      <c r="K672" s="2215" t="s">
        <v>1340</v>
      </c>
      <c r="L672" s="2218" t="s">
        <v>1334</v>
      </c>
      <c r="M672" s="2218">
        <v>3546</v>
      </c>
      <c r="N672" s="2218">
        <v>175</v>
      </c>
      <c r="O672" s="2218">
        <v>175</v>
      </c>
      <c r="P672" s="2218">
        <v>175</v>
      </c>
      <c r="Q672" s="2218">
        <v>175</v>
      </c>
    </row>
    <row r="673" spans="1:17" x14ac:dyDescent="0.25">
      <c r="A673" s="2224"/>
      <c r="B673" s="359"/>
      <c r="C673" s="1670"/>
      <c r="D673" s="1251"/>
      <c r="E673" s="1791"/>
      <c r="F673" s="2358"/>
      <c r="G673" s="2139"/>
      <c r="H673" s="2139"/>
      <c r="I673" s="2139"/>
      <c r="J673" s="2139"/>
      <c r="K673" s="2215"/>
      <c r="L673" s="2219"/>
      <c r="M673" s="2219"/>
      <c r="N673" s="2219"/>
      <c r="O673" s="2219"/>
      <c r="P673" s="2219"/>
      <c r="Q673" s="2219"/>
    </row>
    <row r="674" spans="1:17" x14ac:dyDescent="0.25">
      <c r="A674" s="2222"/>
      <c r="B674" s="1366"/>
      <c r="C674" s="1669" t="s">
        <v>5</v>
      </c>
      <c r="D674" s="1362"/>
      <c r="E674" s="1824" t="s">
        <v>1341</v>
      </c>
      <c r="F674" s="2356">
        <v>11367</v>
      </c>
      <c r="G674" s="2226"/>
      <c r="H674" s="2226"/>
      <c r="I674" s="2226">
        <v>0</v>
      </c>
      <c r="J674" s="2226">
        <v>0</v>
      </c>
      <c r="K674" s="2347" t="s">
        <v>1342</v>
      </c>
      <c r="L674" s="2218" t="s">
        <v>780</v>
      </c>
      <c r="M674" s="2218">
        <v>130</v>
      </c>
      <c r="N674" s="2218">
        <v>140</v>
      </c>
      <c r="O674" s="2218" t="s">
        <v>1343</v>
      </c>
      <c r="P674" s="2218" t="s">
        <v>1343</v>
      </c>
      <c r="Q674" s="2218" t="s">
        <v>1343</v>
      </c>
    </row>
    <row r="675" spans="1:17" x14ac:dyDescent="0.25">
      <c r="A675" s="2223"/>
      <c r="B675" s="358"/>
      <c r="C675" s="1690"/>
      <c r="D675" s="1250"/>
      <c r="E675" s="1824"/>
      <c r="F675" s="2357"/>
      <c r="G675" s="2353"/>
      <c r="H675" s="2353"/>
      <c r="I675" s="2353"/>
      <c r="J675" s="2353"/>
      <c r="K675" s="2348"/>
      <c r="L675" s="2023"/>
      <c r="M675" s="2023"/>
      <c r="N675" s="2023"/>
      <c r="O675" s="2023"/>
      <c r="P675" s="2023"/>
      <c r="Q675" s="2023"/>
    </row>
    <row r="676" spans="1:17" x14ac:dyDescent="0.25">
      <c r="A676" s="2223"/>
      <c r="B676" s="358"/>
      <c r="C676" s="1690"/>
      <c r="D676" s="1250"/>
      <c r="E676" s="1791"/>
      <c r="F676" s="2357"/>
      <c r="G676" s="2138"/>
      <c r="H676" s="2138"/>
      <c r="I676" s="2138"/>
      <c r="J676" s="2138"/>
      <c r="K676" s="2349"/>
      <c r="L676" s="2014" t="s">
        <v>36</v>
      </c>
      <c r="M676" s="2014">
        <v>130</v>
      </c>
      <c r="N676" s="2014">
        <v>140</v>
      </c>
      <c r="O676" s="2014" t="s">
        <v>75</v>
      </c>
      <c r="P676" s="2014" t="s">
        <v>75</v>
      </c>
      <c r="Q676" s="2014" t="s">
        <v>75</v>
      </c>
    </row>
    <row r="677" spans="1:17" ht="30" x14ac:dyDescent="0.25">
      <c r="A677" s="2224"/>
      <c r="B677" s="358"/>
      <c r="C677" s="1690"/>
      <c r="D677" s="1250"/>
      <c r="E677" s="1791"/>
      <c r="F677" s="2358"/>
      <c r="G677" s="2139"/>
      <c r="H677" s="2139"/>
      <c r="I677" s="2139"/>
      <c r="J677" s="2139"/>
      <c r="K677" s="967" t="s">
        <v>1344</v>
      </c>
      <c r="L677" s="100"/>
      <c r="M677" s="92">
        <v>19.899999999999999</v>
      </c>
      <c r="N677" s="92">
        <v>22.4</v>
      </c>
      <c r="O677" s="92">
        <v>22.4</v>
      </c>
      <c r="P677" s="92" t="s">
        <v>1323</v>
      </c>
      <c r="Q677" s="92" t="s">
        <v>1343</v>
      </c>
    </row>
    <row r="678" spans="1:17" ht="45" x14ac:dyDescent="0.25">
      <c r="A678" s="1368"/>
      <c r="B678" s="1297"/>
      <c r="C678" s="1117" t="s">
        <v>7</v>
      </c>
      <c r="D678" s="101"/>
      <c r="E678" s="974" t="s">
        <v>1345</v>
      </c>
      <c r="F678" s="171"/>
      <c r="G678" s="172"/>
      <c r="H678" s="172"/>
      <c r="I678" s="173"/>
      <c r="J678" s="173"/>
      <c r="K678" s="967" t="s">
        <v>1346</v>
      </c>
      <c r="L678" s="92" t="s">
        <v>34</v>
      </c>
      <c r="M678" s="92" t="s">
        <v>1347</v>
      </c>
      <c r="N678" s="92" t="s">
        <v>1347</v>
      </c>
      <c r="O678" s="92" t="s">
        <v>1347</v>
      </c>
      <c r="P678" s="92" t="s">
        <v>1347</v>
      </c>
      <c r="Q678" s="92" t="s">
        <v>1347</v>
      </c>
    </row>
    <row r="679" spans="1:17" ht="45" x14ac:dyDescent="0.25">
      <c r="A679" s="1369"/>
      <c r="B679" s="1366"/>
      <c r="C679" s="1317" t="s">
        <v>9</v>
      </c>
      <c r="D679" s="1370"/>
      <c r="E679" s="1371" t="s">
        <v>1348</v>
      </c>
      <c r="F679" s="1372">
        <v>16437571.300000001</v>
      </c>
      <c r="G679" s="1363">
        <v>16852648.699999999</v>
      </c>
      <c r="H679" s="1367">
        <f>18067266.27+121683.8</f>
        <v>18188950.07</v>
      </c>
      <c r="I679" s="1363">
        <v>17077220</v>
      </c>
      <c r="J679" s="1363">
        <v>17303942.899999999</v>
      </c>
      <c r="K679" s="1373" t="s">
        <v>1349</v>
      </c>
      <c r="L679" s="1374" t="s">
        <v>34</v>
      </c>
      <c r="M679" s="1374">
        <v>67</v>
      </c>
      <c r="N679" s="1374">
        <v>69</v>
      </c>
      <c r="O679" s="1374">
        <v>71</v>
      </c>
      <c r="P679" s="1374">
        <v>71</v>
      </c>
      <c r="Q679" s="1374">
        <v>71</v>
      </c>
    </row>
    <row r="680" spans="1:17" ht="45" x14ac:dyDescent="0.25">
      <c r="A680" s="1170"/>
      <c r="B680" s="1375"/>
      <c r="C680" s="1117" t="s">
        <v>11</v>
      </c>
      <c r="D680" s="101"/>
      <c r="E680" s="974" t="s">
        <v>1350</v>
      </c>
      <c r="F680" s="1372">
        <v>59311.200000000004</v>
      </c>
      <c r="G680" s="1363"/>
      <c r="H680" s="1367"/>
      <c r="I680" s="1363">
        <v>0</v>
      </c>
      <c r="J680" s="1363">
        <v>0</v>
      </c>
      <c r="K680" s="967" t="s">
        <v>1351</v>
      </c>
      <c r="L680" s="92" t="s">
        <v>780</v>
      </c>
      <c r="M680" s="102">
        <v>2</v>
      </c>
      <c r="N680" s="102">
        <v>2</v>
      </c>
      <c r="O680" s="103">
        <v>2</v>
      </c>
      <c r="P680" s="102"/>
      <c r="Q680" s="102"/>
    </row>
    <row r="681" spans="1:17" ht="45" x14ac:dyDescent="0.25">
      <c r="A681" s="1642"/>
      <c r="B681" s="1361"/>
      <c r="C681" s="1753" t="s">
        <v>13</v>
      </c>
      <c r="D681" s="1642"/>
      <c r="E681" s="1824" t="s">
        <v>1352</v>
      </c>
      <c r="F681" s="2356">
        <v>589300</v>
      </c>
      <c r="G681" s="2226">
        <v>1170409.3999999999</v>
      </c>
      <c r="H681" s="2226">
        <f>17600+84472.5</f>
        <v>102072.5</v>
      </c>
      <c r="I681" s="2226">
        <v>201135</v>
      </c>
      <c r="J681" s="2226">
        <v>0</v>
      </c>
      <c r="K681" s="967" t="s">
        <v>1353</v>
      </c>
      <c r="L681" s="92" t="s">
        <v>34</v>
      </c>
      <c r="M681" s="104">
        <v>70</v>
      </c>
      <c r="N681" s="104">
        <v>75</v>
      </c>
      <c r="O681" s="105">
        <v>80</v>
      </c>
      <c r="P681" s="104">
        <v>100</v>
      </c>
      <c r="Q681" s="104">
        <v>100</v>
      </c>
    </row>
    <row r="682" spans="1:17" x14ac:dyDescent="0.25">
      <c r="A682" s="1643"/>
      <c r="B682" s="1191"/>
      <c r="C682" s="1753"/>
      <c r="D682" s="1643"/>
      <c r="E682" s="1824"/>
      <c r="F682" s="2357"/>
      <c r="G682" s="2353"/>
      <c r="H682" s="2353"/>
      <c r="I682" s="2353"/>
      <c r="J682" s="2353"/>
      <c r="K682" s="1824" t="s">
        <v>1354</v>
      </c>
      <c r="L682" s="2218" t="s">
        <v>34</v>
      </c>
      <c r="M682" s="2218">
        <v>60</v>
      </c>
      <c r="N682" s="2218" t="s">
        <v>1323</v>
      </c>
      <c r="O682" s="2218" t="s">
        <v>1323</v>
      </c>
      <c r="P682" s="2218">
        <v>100</v>
      </c>
      <c r="Q682" s="2218">
        <v>100</v>
      </c>
    </row>
    <row r="683" spans="1:17" x14ac:dyDescent="0.25">
      <c r="A683" s="1643"/>
      <c r="B683" s="1191"/>
      <c r="C683" s="1753"/>
      <c r="D683" s="1643"/>
      <c r="E683" s="1824"/>
      <c r="F683" s="2357"/>
      <c r="G683" s="2353"/>
      <c r="H683" s="2353"/>
      <c r="I683" s="2353"/>
      <c r="J683" s="2353"/>
      <c r="K683" s="1791"/>
      <c r="L683" s="1926"/>
      <c r="M683" s="1926"/>
      <c r="N683" s="1926"/>
      <c r="O683" s="1926"/>
      <c r="P683" s="1926"/>
      <c r="Q683" s="1926"/>
    </row>
    <row r="684" spans="1:17" x14ac:dyDescent="0.25">
      <c r="A684" s="1644"/>
      <c r="B684" s="1159"/>
      <c r="C684" s="1753"/>
      <c r="D684" s="1644"/>
      <c r="E684" s="1824"/>
      <c r="F684" s="2358"/>
      <c r="G684" s="2227"/>
      <c r="H684" s="2227"/>
      <c r="I684" s="2227"/>
      <c r="J684" s="2227"/>
      <c r="K684" s="1791"/>
      <c r="L684" s="1773"/>
      <c r="M684" s="1773"/>
      <c r="N684" s="1773"/>
      <c r="O684" s="1773"/>
      <c r="P684" s="1773"/>
      <c r="Q684" s="1773"/>
    </row>
    <row r="685" spans="1:17" x14ac:dyDescent="0.25">
      <c r="A685" s="1642"/>
      <c r="B685" s="1361"/>
      <c r="C685" s="1753" t="s">
        <v>15</v>
      </c>
      <c r="D685" s="1642"/>
      <c r="E685" s="1824" t="s">
        <v>1355</v>
      </c>
      <c r="F685" s="2192"/>
      <c r="G685" s="2137"/>
      <c r="H685" s="2226"/>
      <c r="I685" s="2137"/>
      <c r="J685" s="2137"/>
      <c r="K685" s="2236" t="s">
        <v>1356</v>
      </c>
      <c r="L685" s="2218" t="s">
        <v>780</v>
      </c>
      <c r="M685" s="2218">
        <v>30</v>
      </c>
      <c r="N685" s="2342" t="s">
        <v>1343</v>
      </c>
      <c r="O685" s="2342" t="s">
        <v>1343</v>
      </c>
      <c r="P685" s="2342" t="s">
        <v>1343</v>
      </c>
      <c r="Q685" s="2342" t="s">
        <v>1343</v>
      </c>
    </row>
    <row r="686" spans="1:17" x14ac:dyDescent="0.25">
      <c r="A686" s="1644"/>
      <c r="B686" s="1159"/>
      <c r="C686" s="1753"/>
      <c r="D686" s="1644"/>
      <c r="E686" s="1824"/>
      <c r="F686" s="2192"/>
      <c r="G686" s="2139"/>
      <c r="H686" s="2227"/>
      <c r="I686" s="2139"/>
      <c r="J686" s="2139"/>
      <c r="K686" s="1976"/>
      <c r="L686" s="1773"/>
      <c r="M686" s="1773"/>
      <c r="N686" s="1640"/>
      <c r="O686" s="1640"/>
      <c r="P686" s="1640"/>
      <c r="Q686" s="1640"/>
    </row>
    <row r="687" spans="1:17" ht="75" x14ac:dyDescent="0.25">
      <c r="A687" s="1170"/>
      <c r="B687" s="1248"/>
      <c r="C687" s="1117" t="s">
        <v>16</v>
      </c>
      <c r="D687" s="101"/>
      <c r="E687" s="967" t="s">
        <v>1357</v>
      </c>
      <c r="F687" s="197">
        <v>27000</v>
      </c>
      <c r="G687" s="174">
        <v>14642.3</v>
      </c>
      <c r="H687" s="174"/>
      <c r="I687" s="174"/>
      <c r="J687" s="174"/>
      <c r="K687" s="967" t="s">
        <v>1358</v>
      </c>
      <c r="L687" s="92" t="s">
        <v>34</v>
      </c>
      <c r="M687" s="92">
        <v>96.5</v>
      </c>
      <c r="N687" s="92">
        <v>96.5</v>
      </c>
      <c r="O687" s="99" t="s">
        <v>1343</v>
      </c>
      <c r="P687" s="99" t="s">
        <v>1343</v>
      </c>
      <c r="Q687" s="99" t="s">
        <v>1343</v>
      </c>
    </row>
    <row r="688" spans="1:17" ht="30" x14ac:dyDescent="0.25">
      <c r="A688" s="1678">
        <v>34</v>
      </c>
      <c r="B688" s="1751">
        <v>3</v>
      </c>
      <c r="C688" s="2128"/>
      <c r="D688" s="1751"/>
      <c r="E688" s="1824" t="s">
        <v>1359</v>
      </c>
      <c r="F688" s="2234">
        <v>1601298.2</v>
      </c>
      <c r="G688" s="2234">
        <v>2186631.9</v>
      </c>
      <c r="H688" s="1687">
        <f>H690+H692+H693+H694+H695</f>
        <v>2043734.7</v>
      </c>
      <c r="I688" s="1657">
        <v>1679454.04</v>
      </c>
      <c r="J688" s="1657">
        <v>1700253.3144</v>
      </c>
      <c r="K688" s="1212" t="s">
        <v>1360</v>
      </c>
      <c r="L688" s="92" t="s">
        <v>34</v>
      </c>
      <c r="M688" s="92">
        <v>5</v>
      </c>
      <c r="N688" s="92">
        <v>15</v>
      </c>
      <c r="O688" s="92">
        <v>30</v>
      </c>
      <c r="P688" s="92">
        <v>50</v>
      </c>
      <c r="Q688" s="92">
        <v>50</v>
      </c>
    </row>
    <row r="689" spans="1:17" ht="60" x14ac:dyDescent="0.25">
      <c r="A689" s="1644"/>
      <c r="B689" s="1752"/>
      <c r="C689" s="1670"/>
      <c r="D689" s="1640"/>
      <c r="E689" s="1824"/>
      <c r="F689" s="2235"/>
      <c r="G689" s="2235"/>
      <c r="H689" s="1687"/>
      <c r="I689" s="1657"/>
      <c r="J689" s="1657"/>
      <c r="K689" s="967" t="s">
        <v>1361</v>
      </c>
      <c r="L689" s="92" t="s">
        <v>34</v>
      </c>
      <c r="M689" s="92">
        <v>60</v>
      </c>
      <c r="N689" s="92">
        <v>61</v>
      </c>
      <c r="O689" s="99">
        <v>62</v>
      </c>
      <c r="P689" s="92">
        <v>63</v>
      </c>
      <c r="Q689" s="92">
        <v>65</v>
      </c>
    </row>
    <row r="690" spans="1:17" ht="105" x14ac:dyDescent="0.25">
      <c r="A690" s="1642"/>
      <c r="B690" s="1637"/>
      <c r="C690" s="1669" t="s">
        <v>4</v>
      </c>
      <c r="D690" s="1639"/>
      <c r="E690" s="2215" t="s">
        <v>1362</v>
      </c>
      <c r="F690" s="2216">
        <v>1196380</v>
      </c>
      <c r="G690" s="2216">
        <v>1230511.2</v>
      </c>
      <c r="H690" s="2216">
        <f>1131058.7+169669.7</f>
        <v>1300728.3999999999</v>
      </c>
      <c r="I690" s="2216">
        <v>1245952.6000000001</v>
      </c>
      <c r="J690" s="2216">
        <v>1261787</v>
      </c>
      <c r="K690" s="967" t="s">
        <v>1363</v>
      </c>
      <c r="L690" s="92" t="s">
        <v>1364</v>
      </c>
      <c r="M690" s="92">
        <v>20</v>
      </c>
      <c r="N690" s="92">
        <v>40</v>
      </c>
      <c r="O690" s="99">
        <v>50</v>
      </c>
      <c r="P690" s="92">
        <v>60</v>
      </c>
      <c r="Q690" s="92">
        <v>60</v>
      </c>
    </row>
    <row r="691" spans="1:17" ht="45" x14ac:dyDescent="0.25">
      <c r="A691" s="1644"/>
      <c r="B691" s="1638"/>
      <c r="C691" s="1670"/>
      <c r="D691" s="1640"/>
      <c r="E691" s="2215"/>
      <c r="F691" s="2217"/>
      <c r="G691" s="2217"/>
      <c r="H691" s="2217"/>
      <c r="I691" s="2217"/>
      <c r="J691" s="2217"/>
      <c r="K691" s="967" t="s">
        <v>1365</v>
      </c>
      <c r="L691" s="92" t="s">
        <v>1186</v>
      </c>
      <c r="M691" s="92">
        <v>5</v>
      </c>
      <c r="N691" s="92">
        <v>10</v>
      </c>
      <c r="O691" s="99">
        <v>12</v>
      </c>
      <c r="P691" s="92">
        <v>15</v>
      </c>
      <c r="Q691" s="92">
        <v>15</v>
      </c>
    </row>
    <row r="692" spans="1:17" ht="60" x14ac:dyDescent="0.25">
      <c r="A692" s="1158"/>
      <c r="B692" s="1159"/>
      <c r="C692" s="1112" t="s">
        <v>5</v>
      </c>
      <c r="D692" s="1171"/>
      <c r="E692" s="967" t="s">
        <v>1366</v>
      </c>
      <c r="F692" s="198">
        <v>17769.3</v>
      </c>
      <c r="G692" s="198">
        <v>405936.2</v>
      </c>
      <c r="H692" s="198"/>
      <c r="I692" s="198">
        <v>0</v>
      </c>
      <c r="J692" s="199">
        <v>0</v>
      </c>
      <c r="K692" s="967" t="s">
        <v>1367</v>
      </c>
      <c r="L692" s="92" t="s">
        <v>1368</v>
      </c>
      <c r="M692" s="92">
        <v>6500</v>
      </c>
      <c r="N692" s="92">
        <v>6500</v>
      </c>
      <c r="O692" s="99">
        <v>6500</v>
      </c>
      <c r="P692" s="92">
        <v>6500</v>
      </c>
      <c r="Q692" s="92">
        <v>6500</v>
      </c>
    </row>
    <row r="693" spans="1:17" ht="60" x14ac:dyDescent="0.25">
      <c r="A693" s="1158"/>
      <c r="B693" s="1159"/>
      <c r="C693" s="1112" t="s">
        <v>7</v>
      </c>
      <c r="D693" s="1323"/>
      <c r="E693" s="967" t="s">
        <v>1369</v>
      </c>
      <c r="F693" s="198">
        <v>11598.4</v>
      </c>
      <c r="G693" s="198">
        <v>123817.8</v>
      </c>
      <c r="H693" s="198">
        <f>15000</f>
        <v>15000</v>
      </c>
      <c r="I693" s="198">
        <v>0</v>
      </c>
      <c r="J693" s="198">
        <v>0</v>
      </c>
      <c r="K693" s="967" t="s">
        <v>1370</v>
      </c>
      <c r="L693" s="92" t="s">
        <v>1368</v>
      </c>
      <c r="M693" s="92">
        <v>600</v>
      </c>
      <c r="N693" s="92">
        <v>600</v>
      </c>
      <c r="O693" s="99">
        <v>600</v>
      </c>
      <c r="P693" s="92">
        <v>600</v>
      </c>
      <c r="Q693" s="92">
        <v>600</v>
      </c>
    </row>
    <row r="694" spans="1:17" ht="60" x14ac:dyDescent="0.25">
      <c r="A694" s="1376"/>
      <c r="B694" s="1248"/>
      <c r="C694" s="1117" t="s">
        <v>9</v>
      </c>
      <c r="D694" s="101"/>
      <c r="E694" s="967" t="s">
        <v>1371</v>
      </c>
      <c r="F694" s="506">
        <v>204392</v>
      </c>
      <c r="G694" s="506">
        <v>207249.8</v>
      </c>
      <c r="H694" s="506">
        <f>221992.3</f>
        <v>221992.3</v>
      </c>
      <c r="I694" s="506">
        <v>209944</v>
      </c>
      <c r="J694" s="506">
        <v>212673.3</v>
      </c>
      <c r="K694" s="974" t="s">
        <v>1372</v>
      </c>
      <c r="L694" s="92" t="s">
        <v>34</v>
      </c>
      <c r="M694" s="106">
        <v>0.42</v>
      </c>
      <c r="N694" s="106">
        <v>0.42</v>
      </c>
      <c r="O694" s="107">
        <v>0.45</v>
      </c>
      <c r="P694" s="106">
        <v>0.45</v>
      </c>
      <c r="Q694" s="106">
        <v>0.45</v>
      </c>
    </row>
    <row r="695" spans="1:17" ht="30" x14ac:dyDescent="0.25">
      <c r="A695" s="2222"/>
      <c r="B695" s="1637"/>
      <c r="C695" s="1669" t="s">
        <v>11</v>
      </c>
      <c r="D695" s="1642"/>
      <c r="E695" s="2343" t="s">
        <v>1373</v>
      </c>
      <c r="F695" s="2226">
        <v>171158.5</v>
      </c>
      <c r="G695" s="2226">
        <v>219116.9</v>
      </c>
      <c r="H695" s="2356">
        <f>253897.3+252116.7</f>
        <v>506014</v>
      </c>
      <c r="I695" s="2226">
        <v>223557.44</v>
      </c>
      <c r="J695" s="2226">
        <v>225793.01440000001</v>
      </c>
      <c r="K695" s="974" t="s">
        <v>1374</v>
      </c>
      <c r="L695" s="92" t="s">
        <v>34</v>
      </c>
      <c r="M695" s="106">
        <v>0.16</v>
      </c>
      <c r="N695" s="106">
        <v>0.16</v>
      </c>
      <c r="O695" s="106">
        <v>0.16</v>
      </c>
      <c r="P695" s="106">
        <v>0.16</v>
      </c>
      <c r="Q695" s="106">
        <v>0.16</v>
      </c>
    </row>
    <row r="696" spans="1:17" ht="45" x14ac:dyDescent="0.25">
      <c r="A696" s="2223"/>
      <c r="B696" s="1641"/>
      <c r="C696" s="1690"/>
      <c r="D696" s="1643"/>
      <c r="E696" s="2426"/>
      <c r="F696" s="2353"/>
      <c r="G696" s="2353"/>
      <c r="H696" s="2357"/>
      <c r="I696" s="2353"/>
      <c r="J696" s="2353"/>
      <c r="K696" s="974" t="s">
        <v>1375</v>
      </c>
      <c r="L696" s="92" t="s">
        <v>34</v>
      </c>
      <c r="M696" s="106">
        <v>0.3</v>
      </c>
      <c r="N696" s="106">
        <v>0.3</v>
      </c>
      <c r="O696" s="106">
        <v>0.3</v>
      </c>
      <c r="P696" s="106">
        <v>0.4</v>
      </c>
      <c r="Q696" s="106">
        <v>0.5</v>
      </c>
    </row>
    <row r="697" spans="1:17" ht="30" x14ac:dyDescent="0.25">
      <c r="A697" s="2223"/>
      <c r="B697" s="1641"/>
      <c r="C697" s="1690"/>
      <c r="D697" s="1643"/>
      <c r="E697" s="2426"/>
      <c r="F697" s="2138"/>
      <c r="G697" s="2138"/>
      <c r="H697" s="2411"/>
      <c r="I697" s="2138"/>
      <c r="J697" s="2138"/>
      <c r="K697" s="967" t="s">
        <v>1376</v>
      </c>
      <c r="L697" s="92" t="s">
        <v>34</v>
      </c>
      <c r="M697" s="106">
        <v>0.4</v>
      </c>
      <c r="N697" s="106">
        <v>0.4</v>
      </c>
      <c r="O697" s="107">
        <v>0.4</v>
      </c>
      <c r="P697" s="106">
        <v>0.5</v>
      </c>
      <c r="Q697" s="106">
        <v>0.6</v>
      </c>
    </row>
    <row r="698" spans="1:17" x14ac:dyDescent="0.25">
      <c r="A698" s="2223"/>
      <c r="B698" s="1641"/>
      <c r="C698" s="1690"/>
      <c r="D698" s="1643"/>
      <c r="E698" s="2426"/>
      <c r="F698" s="2138"/>
      <c r="G698" s="2138"/>
      <c r="H698" s="2411"/>
      <c r="I698" s="2138"/>
      <c r="J698" s="2138"/>
      <c r="K698" s="2343"/>
      <c r="L698" s="2218"/>
      <c r="M698" s="2218"/>
      <c r="N698" s="2218"/>
      <c r="O698" s="2218"/>
      <c r="P698" s="2218"/>
      <c r="Q698" s="2218"/>
    </row>
    <row r="699" spans="1:17" x14ac:dyDescent="0.25">
      <c r="A699" s="2224"/>
      <c r="B699" s="1638"/>
      <c r="C699" s="1670"/>
      <c r="D699" s="1644"/>
      <c r="E699" s="2344"/>
      <c r="F699" s="2139"/>
      <c r="G699" s="2139"/>
      <c r="H699" s="2412"/>
      <c r="I699" s="2139"/>
      <c r="J699" s="2139"/>
      <c r="K699" s="2344"/>
      <c r="L699" s="2219"/>
      <c r="M699" s="2219"/>
      <c r="N699" s="2219"/>
      <c r="O699" s="2219"/>
      <c r="P699" s="2219"/>
      <c r="Q699" s="2219"/>
    </row>
    <row r="700" spans="1:17" ht="60" x14ac:dyDescent="0.25">
      <c r="A700" s="1680">
        <v>34</v>
      </c>
      <c r="B700" s="2413">
        <v>4</v>
      </c>
      <c r="C700" s="1669"/>
      <c r="D700" s="1642"/>
      <c r="E700" s="2248" t="s">
        <v>1377</v>
      </c>
      <c r="F700" s="2234">
        <v>3834901.0999999996</v>
      </c>
      <c r="G700" s="2234">
        <v>4285148.4000000004</v>
      </c>
      <c r="H700" s="2188">
        <f>H702+H704</f>
        <v>5734391.5</v>
      </c>
      <c r="I700" s="1655">
        <v>4473450.9000000004</v>
      </c>
      <c r="J700" s="1655">
        <v>4519912.71</v>
      </c>
      <c r="K700" s="974" t="s">
        <v>1378</v>
      </c>
      <c r="L700" s="108" t="s">
        <v>34</v>
      </c>
      <c r="M700" s="93">
        <v>72</v>
      </c>
      <c r="N700" s="93">
        <v>75</v>
      </c>
      <c r="O700" s="94">
        <v>78</v>
      </c>
      <c r="P700" s="93">
        <v>80</v>
      </c>
      <c r="Q700" s="93">
        <v>80</v>
      </c>
    </row>
    <row r="701" spans="1:17" ht="45" x14ac:dyDescent="0.25">
      <c r="A701" s="1680"/>
      <c r="B701" s="2413"/>
      <c r="C701" s="1670"/>
      <c r="D701" s="1644"/>
      <c r="E701" s="1627"/>
      <c r="F701" s="2235"/>
      <c r="G701" s="2235"/>
      <c r="H701" s="2189"/>
      <c r="I701" s="1682"/>
      <c r="J701" s="1682"/>
      <c r="K701" s="974" t="s">
        <v>1379</v>
      </c>
      <c r="L701" s="92" t="s">
        <v>34</v>
      </c>
      <c r="M701" s="93">
        <v>75</v>
      </c>
      <c r="N701" s="93">
        <v>76</v>
      </c>
      <c r="O701" s="94">
        <v>77</v>
      </c>
      <c r="P701" s="93">
        <v>78</v>
      </c>
      <c r="Q701" s="93">
        <v>79</v>
      </c>
    </row>
    <row r="702" spans="1:17" ht="75" x14ac:dyDescent="0.25">
      <c r="A702" s="1910"/>
      <c r="B702" s="1637"/>
      <c r="C702" s="1669" t="s">
        <v>4</v>
      </c>
      <c r="D702" s="1642"/>
      <c r="E702" s="1824" t="s">
        <v>1380</v>
      </c>
      <c r="F702" s="2226">
        <v>3159141.4</v>
      </c>
      <c r="G702" s="2226">
        <v>3716777.4</v>
      </c>
      <c r="H702" s="2226">
        <f>5183139.3</f>
        <v>5183139.3</v>
      </c>
      <c r="I702" s="2226">
        <v>3897691</v>
      </c>
      <c r="J702" s="2226">
        <v>3936667.91</v>
      </c>
      <c r="K702" s="974" t="s">
        <v>1381</v>
      </c>
      <c r="L702" s="92" t="s">
        <v>34</v>
      </c>
      <c r="M702" s="106">
        <v>0.8</v>
      </c>
      <c r="N702" s="106">
        <v>0.85</v>
      </c>
      <c r="O702" s="107">
        <v>0.85</v>
      </c>
      <c r="P702" s="106">
        <v>0.85</v>
      </c>
      <c r="Q702" s="106">
        <v>0.85</v>
      </c>
    </row>
    <row r="703" spans="1:17" ht="60" x14ac:dyDescent="0.25">
      <c r="A703" s="1910"/>
      <c r="B703" s="1638"/>
      <c r="C703" s="1670"/>
      <c r="D703" s="1644"/>
      <c r="E703" s="1791"/>
      <c r="F703" s="2227"/>
      <c r="G703" s="2227"/>
      <c r="H703" s="2227"/>
      <c r="I703" s="2227"/>
      <c r="J703" s="2227"/>
      <c r="K703" s="974" t="s">
        <v>1382</v>
      </c>
      <c r="L703" s="92" t="s">
        <v>34</v>
      </c>
      <c r="M703" s="106">
        <v>0.5</v>
      </c>
      <c r="N703" s="106">
        <v>0.55000000000000004</v>
      </c>
      <c r="O703" s="107">
        <v>0.55000000000000004</v>
      </c>
      <c r="P703" s="106">
        <v>0.55000000000000004</v>
      </c>
      <c r="Q703" s="106">
        <v>0.55000000000000004</v>
      </c>
    </row>
    <row r="704" spans="1:17" x14ac:dyDescent="0.25">
      <c r="A704" s="1642"/>
      <c r="B704" s="1637"/>
      <c r="C704" s="1669" t="s">
        <v>5</v>
      </c>
      <c r="D704" s="1642"/>
      <c r="E704" s="1824" t="s">
        <v>1383</v>
      </c>
      <c r="F704" s="2226">
        <v>675759.7</v>
      </c>
      <c r="G704" s="2226">
        <v>568371</v>
      </c>
      <c r="H704" s="2226">
        <f>551252.2</f>
        <v>551252.19999999995</v>
      </c>
      <c r="I704" s="2226">
        <v>575759.9</v>
      </c>
      <c r="J704" s="2226">
        <v>583244.80000000005</v>
      </c>
      <c r="K704" s="2215" t="s">
        <v>1384</v>
      </c>
      <c r="L704" s="2218" t="s">
        <v>34</v>
      </c>
      <c r="M704" s="2220">
        <v>0.3</v>
      </c>
      <c r="N704" s="2220">
        <v>0.3</v>
      </c>
      <c r="O704" s="2220">
        <v>0.32</v>
      </c>
      <c r="P704" s="2220">
        <v>0.32</v>
      </c>
      <c r="Q704" s="2220">
        <v>0.32</v>
      </c>
    </row>
    <row r="705" spans="1:17" x14ac:dyDescent="0.25">
      <c r="A705" s="1644"/>
      <c r="B705" s="1638"/>
      <c r="C705" s="1690"/>
      <c r="D705" s="1644"/>
      <c r="E705" s="1824"/>
      <c r="F705" s="2227"/>
      <c r="G705" s="2227"/>
      <c r="H705" s="2227"/>
      <c r="I705" s="2227"/>
      <c r="J705" s="2227"/>
      <c r="K705" s="2215"/>
      <c r="L705" s="2219"/>
      <c r="M705" s="2221"/>
      <c r="N705" s="2221"/>
      <c r="O705" s="2221"/>
      <c r="P705" s="2221"/>
      <c r="Q705" s="2221"/>
    </row>
    <row r="706" spans="1:17" ht="75" x14ac:dyDescent="0.25">
      <c r="A706" s="1324">
        <v>34</v>
      </c>
      <c r="B706" s="1325">
        <v>5</v>
      </c>
      <c r="C706" s="1317"/>
      <c r="D706" s="1370"/>
      <c r="E706" s="1377" t="s">
        <v>1385</v>
      </c>
      <c r="F706" s="1378">
        <v>41897.800000000003</v>
      </c>
      <c r="G706" s="1378">
        <v>57353.4</v>
      </c>
      <c r="H706" s="1379">
        <f>H707+H711</f>
        <v>57856.800000000003</v>
      </c>
      <c r="I706" s="1380">
        <v>57919.681000000004</v>
      </c>
      <c r="J706" s="1380">
        <v>58645.458809999996</v>
      </c>
      <c r="K706" s="974" t="s">
        <v>1386</v>
      </c>
      <c r="L706" s="1374" t="s">
        <v>34</v>
      </c>
      <c r="M706" s="1374">
        <v>100</v>
      </c>
      <c r="N706" s="1381">
        <v>100</v>
      </c>
      <c r="O706" s="1374">
        <v>100</v>
      </c>
      <c r="P706" s="1374">
        <v>100</v>
      </c>
      <c r="Q706" s="1374">
        <v>100</v>
      </c>
    </row>
    <row r="707" spans="1:17" ht="30" x14ac:dyDescent="0.25">
      <c r="A707" s="1642"/>
      <c r="B707" s="1637"/>
      <c r="C707" s="1669" t="s">
        <v>4</v>
      </c>
      <c r="D707" s="1642"/>
      <c r="E707" s="1824" t="s">
        <v>1387</v>
      </c>
      <c r="F707" s="2407">
        <v>40476.5</v>
      </c>
      <c r="G707" s="2404">
        <v>48234.8</v>
      </c>
      <c r="H707" s="2404">
        <f>46829.3</f>
        <v>46829.3</v>
      </c>
      <c r="I707" s="2404">
        <v>48861.9</v>
      </c>
      <c r="J707" s="2404">
        <v>49497.1</v>
      </c>
      <c r="K707" s="974" t="s">
        <v>1388</v>
      </c>
      <c r="L707" s="92" t="s">
        <v>1186</v>
      </c>
      <c r="M707" s="92">
        <v>9</v>
      </c>
      <c r="N707" s="92" t="s">
        <v>1343</v>
      </c>
      <c r="O707" s="92" t="s">
        <v>1343</v>
      </c>
      <c r="P707" s="92" t="s">
        <v>1343</v>
      </c>
      <c r="Q707" s="92" t="s">
        <v>1343</v>
      </c>
    </row>
    <row r="708" spans="1:17" ht="30" x14ac:dyDescent="0.25">
      <c r="A708" s="1643"/>
      <c r="B708" s="1641"/>
      <c r="C708" s="1690"/>
      <c r="D708" s="1643"/>
      <c r="E708" s="1824"/>
      <c r="F708" s="2408"/>
      <c r="G708" s="2405"/>
      <c r="H708" s="2405"/>
      <c r="I708" s="2405"/>
      <c r="J708" s="2405"/>
      <c r="K708" s="974" t="s">
        <v>1389</v>
      </c>
      <c r="L708" s="92" t="s">
        <v>1334</v>
      </c>
      <c r="M708" s="92">
        <v>2551</v>
      </c>
      <c r="N708" s="92" t="s">
        <v>1343</v>
      </c>
      <c r="O708" s="92" t="s">
        <v>1343</v>
      </c>
      <c r="P708" s="92" t="s">
        <v>1343</v>
      </c>
      <c r="Q708" s="92" t="s">
        <v>1343</v>
      </c>
    </row>
    <row r="709" spans="1:17" ht="30" x14ac:dyDescent="0.25">
      <c r="A709" s="1643"/>
      <c r="B709" s="1641"/>
      <c r="C709" s="1690"/>
      <c r="D709" s="1643"/>
      <c r="E709" s="1824"/>
      <c r="F709" s="2408"/>
      <c r="G709" s="2405"/>
      <c r="H709" s="2405"/>
      <c r="I709" s="2405"/>
      <c r="J709" s="2405"/>
      <c r="K709" s="974" t="s">
        <v>1390</v>
      </c>
      <c r="L709" s="92" t="s">
        <v>780</v>
      </c>
      <c r="M709" s="92">
        <v>42</v>
      </c>
      <c r="N709" s="92" t="s">
        <v>1343</v>
      </c>
      <c r="O709" s="92" t="s">
        <v>1343</v>
      </c>
      <c r="P709" s="92" t="s">
        <v>1343</v>
      </c>
      <c r="Q709" s="92" t="s">
        <v>1343</v>
      </c>
    </row>
    <row r="710" spans="1:17" ht="45" x14ac:dyDescent="0.25">
      <c r="A710" s="1644"/>
      <c r="B710" s="1638"/>
      <c r="C710" s="1670"/>
      <c r="D710" s="1644"/>
      <c r="E710" s="1824"/>
      <c r="F710" s="2409"/>
      <c r="G710" s="2406"/>
      <c r="H710" s="2406"/>
      <c r="I710" s="2406"/>
      <c r="J710" s="2406"/>
      <c r="K710" s="974" t="s">
        <v>1391</v>
      </c>
      <c r="L710" s="92" t="s">
        <v>1334</v>
      </c>
      <c r="M710" s="92">
        <v>4427</v>
      </c>
      <c r="N710" s="92" t="s">
        <v>1343</v>
      </c>
      <c r="O710" s="92" t="s">
        <v>1343</v>
      </c>
      <c r="P710" s="92" t="s">
        <v>1343</v>
      </c>
      <c r="Q710" s="92" t="s">
        <v>1343</v>
      </c>
    </row>
    <row r="711" spans="1:17" ht="45" x14ac:dyDescent="0.25">
      <c r="A711" s="1642"/>
      <c r="B711" s="1637"/>
      <c r="C711" s="1669" t="s">
        <v>5</v>
      </c>
      <c r="D711" s="1642"/>
      <c r="E711" s="1824" t="s">
        <v>1392</v>
      </c>
      <c r="F711" s="2356">
        <v>1421.3</v>
      </c>
      <c r="G711" s="2226">
        <v>9118.6</v>
      </c>
      <c r="H711" s="2356">
        <f>11027.5</f>
        <v>11027.5</v>
      </c>
      <c r="I711" s="2226">
        <v>9057.7810000000009</v>
      </c>
      <c r="J711" s="2226">
        <v>9148.3588100000015</v>
      </c>
      <c r="K711" s="974" t="s">
        <v>1393</v>
      </c>
      <c r="L711" s="92" t="s">
        <v>780</v>
      </c>
      <c r="M711" s="92" t="s">
        <v>1343</v>
      </c>
      <c r="N711" s="92" t="s">
        <v>1343</v>
      </c>
      <c r="O711" s="92" t="s">
        <v>1343</v>
      </c>
      <c r="P711" s="92" t="s">
        <v>1343</v>
      </c>
      <c r="Q711" s="92" t="s">
        <v>1343</v>
      </c>
    </row>
    <row r="712" spans="1:17" ht="45" x14ac:dyDescent="0.25">
      <c r="A712" s="1644"/>
      <c r="B712" s="1638"/>
      <c r="C712" s="1670"/>
      <c r="D712" s="1644"/>
      <c r="E712" s="1824"/>
      <c r="F712" s="2358"/>
      <c r="G712" s="2227"/>
      <c r="H712" s="2358"/>
      <c r="I712" s="2227"/>
      <c r="J712" s="2227"/>
      <c r="K712" s="974" t="s">
        <v>1394</v>
      </c>
      <c r="L712" s="92" t="s">
        <v>780</v>
      </c>
      <c r="M712" s="92" t="s">
        <v>1343</v>
      </c>
      <c r="N712" s="92" t="s">
        <v>1343</v>
      </c>
      <c r="O712" s="92" t="s">
        <v>1343</v>
      </c>
      <c r="P712" s="92" t="s">
        <v>1343</v>
      </c>
      <c r="Q712" s="92" t="s">
        <v>1343</v>
      </c>
    </row>
    <row r="713" spans="1:17" ht="103.5" x14ac:dyDescent="0.25">
      <c r="A713" s="1115">
        <v>34</v>
      </c>
      <c r="B713" s="1382">
        <v>6</v>
      </c>
      <c r="C713" s="1117"/>
      <c r="D713" s="101"/>
      <c r="E713" s="1365" t="s">
        <v>1395</v>
      </c>
      <c r="F713" s="28">
        <v>164451.9</v>
      </c>
      <c r="G713" s="28">
        <v>155655.5</v>
      </c>
      <c r="H713" s="1264">
        <f>H714+H715</f>
        <v>171828.6</v>
      </c>
      <c r="I713" s="1119">
        <v>157703</v>
      </c>
      <c r="J713" s="1119">
        <v>159783.67999999999</v>
      </c>
      <c r="K713" s="967" t="s">
        <v>1396</v>
      </c>
      <c r="L713" s="92" t="s">
        <v>34</v>
      </c>
      <c r="M713" s="93">
        <v>1</v>
      </c>
      <c r="N713" s="93">
        <v>1.2</v>
      </c>
      <c r="O713" s="94">
        <v>1.2</v>
      </c>
      <c r="P713" s="93">
        <v>1.2</v>
      </c>
      <c r="Q713" s="93">
        <v>1.2</v>
      </c>
    </row>
    <row r="714" spans="1:17" ht="45" x14ac:dyDescent="0.25">
      <c r="A714" s="1170"/>
      <c r="B714" s="1375"/>
      <c r="C714" s="1117" t="s">
        <v>4</v>
      </c>
      <c r="D714" s="101"/>
      <c r="E714" s="967" t="s">
        <v>1397</v>
      </c>
      <c r="F714" s="200">
        <v>162651.9</v>
      </c>
      <c r="G714" s="506">
        <v>153855.5</v>
      </c>
      <c r="H714" s="506">
        <f>166735.4</f>
        <v>166735.4</v>
      </c>
      <c r="I714" s="506">
        <v>155885</v>
      </c>
      <c r="J714" s="506">
        <v>157947.5</v>
      </c>
      <c r="K714" s="974" t="s">
        <v>1398</v>
      </c>
      <c r="L714" s="92" t="s">
        <v>34</v>
      </c>
      <c r="M714" s="93">
        <v>65</v>
      </c>
      <c r="N714" s="93">
        <v>70</v>
      </c>
      <c r="O714" s="94">
        <v>70</v>
      </c>
      <c r="P714" s="93">
        <v>70</v>
      </c>
      <c r="Q714" s="93">
        <v>70</v>
      </c>
    </row>
    <row r="715" spans="1:17" x14ac:dyDescent="0.25">
      <c r="A715" s="1935"/>
      <c r="B715" s="2447"/>
      <c r="C715" s="1758" t="s">
        <v>5</v>
      </c>
      <c r="D715" s="1935"/>
      <c r="E715" s="2414" t="s">
        <v>1399</v>
      </c>
      <c r="F715" s="2356">
        <v>1800</v>
      </c>
      <c r="G715" s="2226">
        <v>1800</v>
      </c>
      <c r="H715" s="2226">
        <f>5093.2</f>
        <v>5093.2</v>
      </c>
      <c r="I715" s="2226">
        <v>1818</v>
      </c>
      <c r="J715" s="2226">
        <v>1836.18</v>
      </c>
      <c r="K715" s="2395" t="s">
        <v>1400</v>
      </c>
      <c r="L715" s="2378" t="s">
        <v>34</v>
      </c>
      <c r="M715" s="2378" t="s">
        <v>1401</v>
      </c>
      <c r="N715" s="2378" t="s">
        <v>1401</v>
      </c>
      <c r="O715" s="2378" t="s">
        <v>1401</v>
      </c>
      <c r="P715" s="2378" t="s">
        <v>1401</v>
      </c>
      <c r="Q715" s="2378" t="s">
        <v>1401</v>
      </c>
    </row>
    <row r="716" spans="1:17" x14ac:dyDescent="0.25">
      <c r="A716" s="1968"/>
      <c r="B716" s="2304"/>
      <c r="C716" s="1850"/>
      <c r="D716" s="1936"/>
      <c r="E716" s="2414"/>
      <c r="F716" s="2358"/>
      <c r="G716" s="2227"/>
      <c r="H716" s="2227"/>
      <c r="I716" s="2227"/>
      <c r="J716" s="2227"/>
      <c r="K716" s="2396"/>
      <c r="L716" s="1987"/>
      <c r="M716" s="1987"/>
      <c r="N716" s="1987"/>
      <c r="O716" s="1987"/>
      <c r="P716" s="1987"/>
      <c r="Q716" s="1987"/>
    </row>
    <row r="717" spans="1:17" x14ac:dyDescent="0.25">
      <c r="A717" s="499"/>
      <c r="B717" s="484">
        <v>7</v>
      </c>
      <c r="C717" s="1117"/>
      <c r="D717" s="461"/>
      <c r="E717" s="460" t="s">
        <v>138</v>
      </c>
      <c r="F717" s="1293"/>
      <c r="G717" s="1288"/>
      <c r="H717" s="501">
        <f>H718</f>
        <v>0</v>
      </c>
      <c r="I717" s="1288"/>
      <c r="J717" s="1288"/>
      <c r="K717" s="1296"/>
      <c r="L717" s="1295"/>
      <c r="M717" s="1295"/>
      <c r="N717" s="1295"/>
      <c r="O717" s="1295"/>
      <c r="P717" s="500"/>
      <c r="Q717" s="1295"/>
    </row>
    <row r="718" spans="1:17" x14ac:dyDescent="0.25">
      <c r="A718" s="499"/>
      <c r="B718" s="484"/>
      <c r="C718" s="1117" t="s">
        <v>4</v>
      </c>
      <c r="D718" s="461"/>
      <c r="E718" s="1280" t="s">
        <v>139</v>
      </c>
      <c r="F718" s="1293"/>
      <c r="G718" s="1288"/>
      <c r="H718" s="1288"/>
      <c r="I718" s="1288"/>
      <c r="J718" s="1288"/>
      <c r="K718" s="1296"/>
      <c r="L718" s="1295"/>
      <c r="M718" s="1295"/>
      <c r="N718" s="1295"/>
      <c r="O718" s="1295"/>
      <c r="P718" s="500"/>
      <c r="Q718" s="1295"/>
    </row>
    <row r="719" spans="1:17" x14ac:dyDescent="0.25">
      <c r="A719" s="1708" t="s">
        <v>1402</v>
      </c>
      <c r="B719" s="1709"/>
      <c r="C719" s="1709"/>
      <c r="D719" s="1709"/>
      <c r="E719" s="1709"/>
      <c r="F719" s="16">
        <v>25632064.399999999</v>
      </c>
      <c r="G719" s="16">
        <v>27289926.800000001</v>
      </c>
      <c r="H719" s="16">
        <f>H657+H665+H688+H700+H706+H713+H717</f>
        <v>30001397.770000003</v>
      </c>
      <c r="I719" s="16">
        <v>26504321.020999998</v>
      </c>
      <c r="J719" s="16">
        <v>26633759.263209999</v>
      </c>
      <c r="K719" s="626"/>
      <c r="L719" s="627"/>
      <c r="M719" s="628"/>
      <c r="N719" s="629"/>
      <c r="O719" s="630"/>
      <c r="P719" s="631"/>
      <c r="Q719" s="630"/>
    </row>
    <row r="720" spans="1:17" x14ac:dyDescent="0.25">
      <c r="A720" s="2410" t="s">
        <v>1403</v>
      </c>
      <c r="B720" s="2410"/>
      <c r="C720" s="2410"/>
      <c r="D720" s="2410"/>
      <c r="E720" s="2410"/>
      <c r="F720" s="2410"/>
      <c r="G720" s="2410"/>
      <c r="H720" s="2410"/>
      <c r="I720" s="2410"/>
      <c r="J720" s="2410"/>
      <c r="K720" s="2410"/>
      <c r="L720" s="2410"/>
      <c r="M720" s="2410"/>
      <c r="N720" s="2410"/>
      <c r="O720" s="2410"/>
      <c r="P720" s="2410"/>
      <c r="Q720" s="931"/>
    </row>
    <row r="721" spans="1:17" ht="74.25" x14ac:dyDescent="0.25">
      <c r="A721" s="452">
        <v>35</v>
      </c>
      <c r="B721" s="453">
        <v>1</v>
      </c>
      <c r="C721" s="323"/>
      <c r="D721" s="124"/>
      <c r="E721" s="1377" t="s">
        <v>1404</v>
      </c>
      <c r="F721" s="168">
        <v>29481.600000000002</v>
      </c>
      <c r="G721" s="168">
        <v>47095.399999999994</v>
      </c>
      <c r="H721" s="168">
        <f>H722+H723+H725+H726+H728+H731+H732</f>
        <v>144442.20000000001</v>
      </c>
      <c r="I721" s="168">
        <v>47095.3</v>
      </c>
      <c r="J721" s="168">
        <v>47095.3</v>
      </c>
      <c r="K721" s="1138" t="s">
        <v>1405</v>
      </c>
      <c r="L721" s="125" t="s">
        <v>34</v>
      </c>
      <c r="M721" s="151">
        <v>30</v>
      </c>
      <c r="N721" s="151">
        <v>30</v>
      </c>
      <c r="O721" s="151">
        <v>36</v>
      </c>
      <c r="P721" s="151">
        <v>36</v>
      </c>
      <c r="Q721" s="151">
        <v>36</v>
      </c>
    </row>
    <row r="722" spans="1:17" x14ac:dyDescent="0.25">
      <c r="A722" s="1383"/>
      <c r="B722" s="1384"/>
      <c r="C722" s="324" t="s">
        <v>4</v>
      </c>
      <c r="D722" s="126"/>
      <c r="E722" s="348" t="s">
        <v>1406</v>
      </c>
      <c r="F722" s="145">
        <v>1551.7</v>
      </c>
      <c r="G722" s="147">
        <v>3963.1</v>
      </c>
      <c r="H722" s="147">
        <v>7599.1</v>
      </c>
      <c r="I722" s="147">
        <v>3963.1000000000004</v>
      </c>
      <c r="J722" s="147">
        <v>3963.1000000000004</v>
      </c>
      <c r="K722" s="153" t="s">
        <v>438</v>
      </c>
      <c r="L722" s="125" t="s">
        <v>34</v>
      </c>
      <c r="M722" s="128">
        <v>70</v>
      </c>
      <c r="N722" s="129">
        <v>73</v>
      </c>
      <c r="O722" s="129">
        <v>77</v>
      </c>
      <c r="P722" s="129">
        <v>81</v>
      </c>
      <c r="Q722" s="129">
        <v>85</v>
      </c>
    </row>
    <row r="723" spans="1:17" x14ac:dyDescent="0.25">
      <c r="A723" s="1383"/>
      <c r="B723" s="2379"/>
      <c r="C723" s="1673" t="s">
        <v>5</v>
      </c>
      <c r="D723" s="2398"/>
      <c r="E723" s="2393" t="s">
        <v>1407</v>
      </c>
      <c r="F723" s="1667">
        <v>517.20000000000005</v>
      </c>
      <c r="G723" s="1667">
        <v>936.9</v>
      </c>
      <c r="H723" s="1667">
        <v>2131.9</v>
      </c>
      <c r="I723" s="1667">
        <v>936.89999999999986</v>
      </c>
      <c r="J723" s="1667">
        <v>936.89999999999986</v>
      </c>
      <c r="K723" s="127" t="s">
        <v>1408</v>
      </c>
      <c r="L723" s="125" t="s">
        <v>34</v>
      </c>
      <c r="M723" s="128">
        <v>100</v>
      </c>
      <c r="N723" s="128">
        <v>100</v>
      </c>
      <c r="O723" s="128">
        <v>100</v>
      </c>
      <c r="P723" s="128">
        <v>100</v>
      </c>
      <c r="Q723" s="128">
        <v>100</v>
      </c>
    </row>
    <row r="724" spans="1:17" x14ac:dyDescent="0.25">
      <c r="A724" s="431"/>
      <c r="B724" s="2380"/>
      <c r="C724" s="1674"/>
      <c r="D724" s="2399"/>
      <c r="E724" s="2394"/>
      <c r="F724" s="1668"/>
      <c r="G724" s="1668"/>
      <c r="H724" s="1668"/>
      <c r="I724" s="1668"/>
      <c r="J724" s="1668"/>
      <c r="K724" s="1205" t="s">
        <v>1409</v>
      </c>
      <c r="L724" s="125" t="s">
        <v>780</v>
      </c>
      <c r="M724" s="128">
        <v>127</v>
      </c>
      <c r="N724" s="129">
        <v>130</v>
      </c>
      <c r="O724" s="129">
        <v>130</v>
      </c>
      <c r="P724" s="129">
        <v>130</v>
      </c>
      <c r="Q724" s="129">
        <v>130</v>
      </c>
    </row>
    <row r="725" spans="1:17" ht="30" x14ac:dyDescent="0.25">
      <c r="A725" s="1383"/>
      <c r="B725" s="1384"/>
      <c r="C725" s="1385" t="s">
        <v>7</v>
      </c>
      <c r="D725" s="1386"/>
      <c r="E725" s="1387" t="s">
        <v>842</v>
      </c>
      <c r="F725" s="1388">
        <v>3620.5</v>
      </c>
      <c r="G725" s="1388">
        <v>6569.5</v>
      </c>
      <c r="H725" s="1388">
        <v>14354.9</v>
      </c>
      <c r="I725" s="1388">
        <v>6569.5</v>
      </c>
      <c r="J725" s="1388">
        <v>6569.5</v>
      </c>
      <c r="K725" s="127" t="s">
        <v>1410</v>
      </c>
      <c r="L725" s="125" t="s">
        <v>780</v>
      </c>
      <c r="M725" s="128">
        <v>23</v>
      </c>
      <c r="N725" s="129">
        <v>25</v>
      </c>
      <c r="O725" s="129">
        <v>25</v>
      </c>
      <c r="P725" s="129">
        <v>25</v>
      </c>
      <c r="Q725" s="129">
        <v>25</v>
      </c>
    </row>
    <row r="726" spans="1:17" ht="30" x14ac:dyDescent="0.25">
      <c r="A726" s="1383"/>
      <c r="B726" s="2379"/>
      <c r="C726" s="2400" t="s">
        <v>9</v>
      </c>
      <c r="D726" s="2398"/>
      <c r="E726" s="2393" t="s">
        <v>396</v>
      </c>
      <c r="F726" s="1667">
        <v>1551.7</v>
      </c>
      <c r="G726" s="1667">
        <v>2908.3</v>
      </c>
      <c r="H726" s="1667">
        <v>6307.4</v>
      </c>
      <c r="I726" s="1667">
        <v>2908.2</v>
      </c>
      <c r="J726" s="1667">
        <v>2908.2</v>
      </c>
      <c r="K726" s="127" t="s">
        <v>1411</v>
      </c>
      <c r="L726" s="125" t="s">
        <v>780</v>
      </c>
      <c r="M726" s="128">
        <v>3</v>
      </c>
      <c r="N726" s="129">
        <v>5</v>
      </c>
      <c r="O726" s="129">
        <v>5</v>
      </c>
      <c r="P726" s="129">
        <v>5</v>
      </c>
      <c r="Q726" s="129">
        <v>5</v>
      </c>
    </row>
    <row r="727" spans="1:17" ht="45" x14ac:dyDescent="0.25">
      <c r="A727" s="432"/>
      <c r="B727" s="2380"/>
      <c r="C727" s="2401"/>
      <c r="D727" s="2399"/>
      <c r="E727" s="2394"/>
      <c r="F727" s="1668"/>
      <c r="G727" s="1668"/>
      <c r="H727" s="1668"/>
      <c r="I727" s="1668"/>
      <c r="J727" s="1668"/>
      <c r="K727" s="1183" t="s">
        <v>1412</v>
      </c>
      <c r="L727" s="125" t="s">
        <v>780</v>
      </c>
      <c r="M727" s="128">
        <v>3</v>
      </c>
      <c r="N727" s="129">
        <v>4</v>
      </c>
      <c r="O727" s="129">
        <v>4</v>
      </c>
      <c r="P727" s="129">
        <v>4</v>
      </c>
      <c r="Q727" s="129">
        <v>4</v>
      </c>
    </row>
    <row r="728" spans="1:17" ht="60" x14ac:dyDescent="0.25">
      <c r="A728" s="1383"/>
      <c r="B728" s="2379"/>
      <c r="C728" s="1669" t="s">
        <v>11</v>
      </c>
      <c r="D728" s="2389"/>
      <c r="E728" s="2393" t="s">
        <v>1413</v>
      </c>
      <c r="F728" s="1667">
        <v>7241.1</v>
      </c>
      <c r="G728" s="1667">
        <v>9975.7999999999993</v>
      </c>
      <c r="H728" s="1667">
        <v>22017.8</v>
      </c>
      <c r="I728" s="1667">
        <v>9975.7999999999993</v>
      </c>
      <c r="J728" s="1667">
        <v>9975.7999999999993</v>
      </c>
      <c r="K728" s="1138" t="s">
        <v>1414</v>
      </c>
      <c r="L728" s="130" t="s">
        <v>1186</v>
      </c>
      <c r="M728" s="152">
        <v>3</v>
      </c>
      <c r="N728" s="152">
        <v>3</v>
      </c>
      <c r="O728" s="152">
        <v>3</v>
      </c>
      <c r="P728" s="152">
        <v>3</v>
      </c>
      <c r="Q728" s="152">
        <v>3</v>
      </c>
    </row>
    <row r="729" spans="1:17" ht="45" x14ac:dyDescent="0.25">
      <c r="A729" s="433"/>
      <c r="B729" s="2397"/>
      <c r="C729" s="1690"/>
      <c r="D729" s="2402"/>
      <c r="E729" s="2403"/>
      <c r="F729" s="2392"/>
      <c r="G729" s="2392"/>
      <c r="H729" s="2392"/>
      <c r="I729" s="2392"/>
      <c r="J729" s="2392"/>
      <c r="K729" s="153" t="s">
        <v>1415</v>
      </c>
      <c r="L729" s="130" t="s">
        <v>1186</v>
      </c>
      <c r="M729" s="128">
        <v>214</v>
      </c>
      <c r="N729" s="129">
        <v>250</v>
      </c>
      <c r="O729" s="129">
        <v>250</v>
      </c>
      <c r="P729" s="129">
        <v>250</v>
      </c>
      <c r="Q729" s="129">
        <v>250</v>
      </c>
    </row>
    <row r="730" spans="1:17" ht="30" x14ac:dyDescent="0.25">
      <c r="A730" s="432"/>
      <c r="B730" s="2380"/>
      <c r="C730" s="1670"/>
      <c r="D730" s="2390"/>
      <c r="E730" s="2394"/>
      <c r="F730" s="1668"/>
      <c r="G730" s="1668"/>
      <c r="H730" s="1668"/>
      <c r="I730" s="1668"/>
      <c r="J730" s="1668"/>
      <c r="K730" s="127" t="s">
        <v>1416</v>
      </c>
      <c r="L730" s="130" t="s">
        <v>1186</v>
      </c>
      <c r="M730" s="128">
        <v>2</v>
      </c>
      <c r="N730" s="128">
        <v>2</v>
      </c>
      <c r="O730" s="128">
        <v>2</v>
      </c>
      <c r="P730" s="128">
        <v>2</v>
      </c>
      <c r="Q730" s="128">
        <v>2</v>
      </c>
    </row>
    <row r="731" spans="1:17" ht="30" x14ac:dyDescent="0.25">
      <c r="A731" s="1383"/>
      <c r="B731" s="1384"/>
      <c r="C731" s="1117" t="s">
        <v>13</v>
      </c>
      <c r="D731" s="131"/>
      <c r="E731" s="1389" t="s">
        <v>1266</v>
      </c>
      <c r="F731" s="145">
        <v>12930.5</v>
      </c>
      <c r="G731" s="145">
        <v>19067.3</v>
      </c>
      <c r="H731" s="145">
        <v>84257.3</v>
      </c>
      <c r="I731" s="145">
        <v>19067.3</v>
      </c>
      <c r="J731" s="145">
        <v>19067.3</v>
      </c>
      <c r="K731" s="127" t="s">
        <v>1417</v>
      </c>
      <c r="L731" s="125" t="s">
        <v>34</v>
      </c>
      <c r="M731" s="128">
        <v>25</v>
      </c>
      <c r="N731" s="128">
        <v>25</v>
      </c>
      <c r="O731" s="128">
        <v>25</v>
      </c>
      <c r="P731" s="128">
        <v>25</v>
      </c>
      <c r="Q731" s="128">
        <v>25</v>
      </c>
    </row>
    <row r="732" spans="1:17" ht="60" x14ac:dyDescent="0.25">
      <c r="A732" s="1383"/>
      <c r="B732" s="1384"/>
      <c r="C732" s="1317" t="s">
        <v>15</v>
      </c>
      <c r="D732" s="1390"/>
      <c r="E732" s="348" t="s">
        <v>1418</v>
      </c>
      <c r="F732" s="145">
        <v>2068.9</v>
      </c>
      <c r="G732" s="145">
        <v>3674.5</v>
      </c>
      <c r="H732" s="145">
        <v>7773.8</v>
      </c>
      <c r="I732" s="145">
        <v>3674.5</v>
      </c>
      <c r="J732" s="145">
        <v>3674.5</v>
      </c>
      <c r="K732" s="1183" t="s">
        <v>1419</v>
      </c>
      <c r="L732" s="1214" t="s">
        <v>34</v>
      </c>
      <c r="M732" s="152">
        <v>93.5</v>
      </c>
      <c r="N732" s="129">
        <v>94</v>
      </c>
      <c r="O732" s="129">
        <v>94</v>
      </c>
      <c r="P732" s="129">
        <v>94</v>
      </c>
      <c r="Q732" s="129">
        <v>94</v>
      </c>
    </row>
    <row r="733" spans="1:17" ht="87.75" x14ac:dyDescent="0.25">
      <c r="A733" s="1391">
        <v>35</v>
      </c>
      <c r="B733" s="1392">
        <v>2</v>
      </c>
      <c r="C733" s="459"/>
      <c r="D733" s="132"/>
      <c r="E733" s="1195" t="s">
        <v>3106</v>
      </c>
      <c r="F733" s="169">
        <v>64652.299999999996</v>
      </c>
      <c r="G733" s="169">
        <v>123675.3</v>
      </c>
      <c r="H733" s="169">
        <f>H734+H735+H736+H741+H743+H745+H748+H750+H751+H752+H753</f>
        <v>101978.6</v>
      </c>
      <c r="I733" s="169">
        <v>126130.99999999999</v>
      </c>
      <c r="J733" s="169">
        <v>127850.99999999999</v>
      </c>
      <c r="K733" s="1605"/>
      <c r="L733" s="140"/>
      <c r="M733" s="140"/>
      <c r="N733" s="140"/>
      <c r="O733" s="140"/>
      <c r="P733" s="140"/>
      <c r="Q733" s="140"/>
    </row>
    <row r="734" spans="1:17" ht="75" x14ac:dyDescent="0.25">
      <c r="A734" s="1383"/>
      <c r="B734" s="1384"/>
      <c r="C734" s="1117" t="s">
        <v>4</v>
      </c>
      <c r="D734" s="133"/>
      <c r="E734" s="348" t="s">
        <v>1420</v>
      </c>
      <c r="F734" s="147">
        <v>13447.7</v>
      </c>
      <c r="G734" s="147">
        <v>16860.599999999999</v>
      </c>
      <c r="H734" s="148">
        <v>19347.7</v>
      </c>
      <c r="I734" s="147">
        <v>19060.599999999999</v>
      </c>
      <c r="J734" s="147">
        <v>19660.599999999999</v>
      </c>
      <c r="K734" s="149" t="s">
        <v>1421</v>
      </c>
      <c r="L734" s="135" t="s">
        <v>36</v>
      </c>
      <c r="M734" s="135">
        <v>5</v>
      </c>
      <c r="N734" s="135">
        <v>5</v>
      </c>
      <c r="O734" s="135">
        <v>5</v>
      </c>
      <c r="P734" s="135">
        <v>5</v>
      </c>
      <c r="Q734" s="135">
        <v>5</v>
      </c>
    </row>
    <row r="735" spans="1:17" ht="45" x14ac:dyDescent="0.25">
      <c r="A735" s="430"/>
      <c r="B735" s="150"/>
      <c r="C735" s="1117" t="s">
        <v>5</v>
      </c>
      <c r="D735" s="154"/>
      <c r="E735" s="831" t="s">
        <v>1422</v>
      </c>
      <c r="F735" s="147">
        <v>6723.7</v>
      </c>
      <c r="G735" s="147">
        <v>8380</v>
      </c>
      <c r="H735" s="148">
        <v>9644.1</v>
      </c>
      <c r="I735" s="147">
        <v>9219.2999999999993</v>
      </c>
      <c r="J735" s="147">
        <v>9519.2999999999993</v>
      </c>
      <c r="K735" s="1183" t="s">
        <v>1423</v>
      </c>
      <c r="L735" s="135" t="s">
        <v>34</v>
      </c>
      <c r="M735" s="135">
        <v>0</v>
      </c>
      <c r="N735" s="135">
        <v>3</v>
      </c>
      <c r="O735" s="135">
        <v>4</v>
      </c>
      <c r="P735" s="135">
        <v>5</v>
      </c>
      <c r="Q735" s="135">
        <v>6</v>
      </c>
    </row>
    <row r="736" spans="1:17" ht="30" x14ac:dyDescent="0.25">
      <c r="A736" s="1383"/>
      <c r="B736" s="2379"/>
      <c r="C736" s="1669" t="s">
        <v>7</v>
      </c>
      <c r="D736" s="2381"/>
      <c r="E736" s="1746" t="s">
        <v>1424</v>
      </c>
      <c r="F736" s="2386">
        <v>20171.599999999999</v>
      </c>
      <c r="G736" s="2386">
        <v>19122.2</v>
      </c>
      <c r="H736" s="2383">
        <v>23728.6</v>
      </c>
      <c r="I736" s="2386">
        <v>20454.8</v>
      </c>
      <c r="J736" s="2386">
        <v>21246.3</v>
      </c>
      <c r="K736" s="149" t="s">
        <v>1425</v>
      </c>
      <c r="L736" s="135" t="s">
        <v>780</v>
      </c>
      <c r="M736" s="135">
        <v>1</v>
      </c>
      <c r="N736" s="135">
        <v>2</v>
      </c>
      <c r="O736" s="135">
        <v>2</v>
      </c>
      <c r="P736" s="135">
        <v>2</v>
      </c>
      <c r="Q736" s="135">
        <v>2</v>
      </c>
    </row>
    <row r="737" spans="1:17" ht="45" x14ac:dyDescent="0.25">
      <c r="A737" s="433"/>
      <c r="B737" s="2397"/>
      <c r="C737" s="1690"/>
      <c r="D737" s="2382"/>
      <c r="E737" s="2039"/>
      <c r="F737" s="2387"/>
      <c r="G737" s="2387"/>
      <c r="H737" s="2384"/>
      <c r="I737" s="2387"/>
      <c r="J737" s="2387"/>
      <c r="K737" s="116" t="s">
        <v>1426</v>
      </c>
      <c r="L737" s="135" t="s">
        <v>780</v>
      </c>
      <c r="M737" s="135">
        <v>12</v>
      </c>
      <c r="N737" s="135">
        <v>0</v>
      </c>
      <c r="O737" s="135">
        <v>18</v>
      </c>
      <c r="P737" s="135">
        <v>0</v>
      </c>
      <c r="Q737" s="135">
        <v>0</v>
      </c>
    </row>
    <row r="738" spans="1:17" ht="60" x14ac:dyDescent="0.25">
      <c r="A738" s="433"/>
      <c r="B738" s="2397"/>
      <c r="C738" s="1690"/>
      <c r="D738" s="2382"/>
      <c r="E738" s="2039"/>
      <c r="F738" s="2387"/>
      <c r="G738" s="2387"/>
      <c r="H738" s="2384"/>
      <c r="I738" s="2387"/>
      <c r="J738" s="2387"/>
      <c r="K738" s="116" t="s">
        <v>1427</v>
      </c>
      <c r="L738" s="135" t="s">
        <v>780</v>
      </c>
      <c r="M738" s="135">
        <v>735</v>
      </c>
      <c r="N738" s="135">
        <v>500</v>
      </c>
      <c r="O738" s="135">
        <v>500</v>
      </c>
      <c r="P738" s="135">
        <v>500</v>
      </c>
      <c r="Q738" s="135">
        <v>500</v>
      </c>
    </row>
    <row r="739" spans="1:17" ht="30" x14ac:dyDescent="0.25">
      <c r="A739" s="433"/>
      <c r="B739" s="2397"/>
      <c r="C739" s="1690"/>
      <c r="D739" s="2382"/>
      <c r="E739" s="2039"/>
      <c r="F739" s="2387"/>
      <c r="G739" s="2387"/>
      <c r="H739" s="2384"/>
      <c r="I739" s="2387"/>
      <c r="J739" s="2387"/>
      <c r="K739" s="116" t="s">
        <v>1428</v>
      </c>
      <c r="L739" s="135" t="s">
        <v>780</v>
      </c>
      <c r="M739" s="135">
        <v>8</v>
      </c>
      <c r="N739" s="135">
        <v>8</v>
      </c>
      <c r="O739" s="135">
        <v>8</v>
      </c>
      <c r="P739" s="135">
        <v>8</v>
      </c>
      <c r="Q739" s="135">
        <v>8</v>
      </c>
    </row>
    <row r="740" spans="1:17" ht="30" x14ac:dyDescent="0.25">
      <c r="A740" s="432"/>
      <c r="B740" s="2380"/>
      <c r="C740" s="1670"/>
      <c r="D740" s="2382"/>
      <c r="E740" s="1747"/>
      <c r="F740" s="2388"/>
      <c r="G740" s="2388"/>
      <c r="H740" s="2385"/>
      <c r="I740" s="2388"/>
      <c r="J740" s="2388"/>
      <c r="K740" s="149" t="s">
        <v>1429</v>
      </c>
      <c r="L740" s="135" t="s">
        <v>34</v>
      </c>
      <c r="M740" s="135">
        <v>24</v>
      </c>
      <c r="N740" s="135">
        <v>25</v>
      </c>
      <c r="O740" s="135">
        <v>25</v>
      </c>
      <c r="P740" s="135">
        <v>26</v>
      </c>
      <c r="Q740" s="135">
        <v>0</v>
      </c>
    </row>
    <row r="741" spans="1:17" ht="30" x14ac:dyDescent="0.25">
      <c r="A741" s="1383"/>
      <c r="B741" s="2379"/>
      <c r="C741" s="1669" t="s">
        <v>9</v>
      </c>
      <c r="D741" s="2389"/>
      <c r="E741" s="1626" t="s">
        <v>1430</v>
      </c>
      <c r="F741" s="2386">
        <v>1034.4000000000001</v>
      </c>
      <c r="G741" s="2386">
        <v>2309.1</v>
      </c>
      <c r="H741" s="2383">
        <v>1382.6</v>
      </c>
      <c r="I741" s="2386">
        <v>4759.1000000000004</v>
      </c>
      <c r="J741" s="2386">
        <v>4859.1000000000004</v>
      </c>
      <c r="K741" s="149" t="s">
        <v>1431</v>
      </c>
      <c r="L741" s="135" t="s">
        <v>780</v>
      </c>
      <c r="M741" s="135">
        <v>10</v>
      </c>
      <c r="N741" s="135">
        <v>10</v>
      </c>
      <c r="O741" s="135">
        <v>10</v>
      </c>
      <c r="P741" s="135">
        <v>10</v>
      </c>
      <c r="Q741" s="135">
        <v>10</v>
      </c>
    </row>
    <row r="742" spans="1:17" ht="60" x14ac:dyDescent="0.25">
      <c r="A742" s="434"/>
      <c r="B742" s="2380"/>
      <c r="C742" s="1670"/>
      <c r="D742" s="2390"/>
      <c r="E742" s="1627"/>
      <c r="F742" s="2388"/>
      <c r="G742" s="2388"/>
      <c r="H742" s="2385"/>
      <c r="I742" s="2388"/>
      <c r="J742" s="2388"/>
      <c r="K742" s="116" t="s">
        <v>1432</v>
      </c>
      <c r="L742" s="135" t="s">
        <v>780</v>
      </c>
      <c r="M742" s="135">
        <v>2</v>
      </c>
      <c r="N742" s="135">
        <v>2</v>
      </c>
      <c r="O742" s="135">
        <v>2</v>
      </c>
      <c r="P742" s="135">
        <v>2</v>
      </c>
      <c r="Q742" s="135">
        <v>2</v>
      </c>
    </row>
    <row r="743" spans="1:17" ht="30" x14ac:dyDescent="0.25">
      <c r="A743" s="1383"/>
      <c r="B743" s="2379"/>
      <c r="C743" s="1669" t="s">
        <v>11</v>
      </c>
      <c r="D743" s="2382"/>
      <c r="E743" s="1976" t="s">
        <v>1433</v>
      </c>
      <c r="F743" s="2386">
        <v>1034.4000000000001</v>
      </c>
      <c r="G743" s="2386">
        <v>2259.1</v>
      </c>
      <c r="H743" s="2383">
        <v>1213.0999999999999</v>
      </c>
      <c r="I743" s="2386">
        <v>1659.1</v>
      </c>
      <c r="J743" s="2386">
        <v>1659.1</v>
      </c>
      <c r="K743" s="149" t="s">
        <v>1434</v>
      </c>
      <c r="L743" s="135" t="s">
        <v>780</v>
      </c>
      <c r="M743" s="135">
        <v>0</v>
      </c>
      <c r="N743" s="135">
        <v>2</v>
      </c>
      <c r="O743" s="135">
        <v>2</v>
      </c>
      <c r="P743" s="135">
        <v>2</v>
      </c>
      <c r="Q743" s="135">
        <v>2</v>
      </c>
    </row>
    <row r="744" spans="1:17" ht="30" x14ac:dyDescent="0.25">
      <c r="A744" s="432"/>
      <c r="B744" s="2380"/>
      <c r="C744" s="1670"/>
      <c r="D744" s="2391"/>
      <c r="E744" s="1976"/>
      <c r="F744" s="2388"/>
      <c r="G744" s="2388"/>
      <c r="H744" s="2385"/>
      <c r="I744" s="2388"/>
      <c r="J744" s="2388"/>
      <c r="K744" s="149" t="s">
        <v>1435</v>
      </c>
      <c r="L744" s="135" t="s">
        <v>780</v>
      </c>
      <c r="M744" s="136" t="s">
        <v>130</v>
      </c>
      <c r="N744" s="136" t="s">
        <v>131</v>
      </c>
      <c r="O744" s="136" t="s">
        <v>132</v>
      </c>
      <c r="P744" s="136" t="s">
        <v>133</v>
      </c>
      <c r="Q744" s="136" t="s">
        <v>134</v>
      </c>
    </row>
    <row r="745" spans="1:17" ht="30" x14ac:dyDescent="0.25">
      <c r="A745" s="1383"/>
      <c r="B745" s="2379"/>
      <c r="C745" s="1669" t="s">
        <v>13</v>
      </c>
      <c r="D745" s="2381"/>
      <c r="E745" s="1976" t="s">
        <v>1436</v>
      </c>
      <c r="F745" s="2386">
        <v>9827.2000000000007</v>
      </c>
      <c r="G745" s="2386">
        <v>18348.2</v>
      </c>
      <c r="H745" s="2383">
        <v>10543.9</v>
      </c>
      <c r="I745" s="2386">
        <v>16953.2</v>
      </c>
      <c r="J745" s="2386">
        <v>17453.2</v>
      </c>
      <c r="K745" s="149" t="s">
        <v>1437</v>
      </c>
      <c r="L745" s="135" t="s">
        <v>780</v>
      </c>
      <c r="M745" s="135">
        <v>0</v>
      </c>
      <c r="N745" s="135">
        <v>4</v>
      </c>
      <c r="O745" s="135">
        <v>4</v>
      </c>
      <c r="P745" s="135">
        <v>4</v>
      </c>
      <c r="Q745" s="135">
        <v>4</v>
      </c>
    </row>
    <row r="746" spans="1:17" ht="30" x14ac:dyDescent="0.25">
      <c r="A746" s="433"/>
      <c r="B746" s="2397"/>
      <c r="C746" s="1690"/>
      <c r="D746" s="2382"/>
      <c r="E746" s="1976"/>
      <c r="F746" s="2387"/>
      <c r="G746" s="2387"/>
      <c r="H746" s="2384"/>
      <c r="I746" s="2387"/>
      <c r="J746" s="2387"/>
      <c r="K746" s="149" t="s">
        <v>1438</v>
      </c>
      <c r="L746" s="135" t="s">
        <v>780</v>
      </c>
      <c r="M746" s="135">
        <v>0</v>
      </c>
      <c r="N746" s="135">
        <v>2</v>
      </c>
      <c r="O746" s="135">
        <v>2</v>
      </c>
      <c r="P746" s="135">
        <v>2</v>
      </c>
      <c r="Q746" s="135">
        <v>2</v>
      </c>
    </row>
    <row r="747" spans="1:17" ht="30" x14ac:dyDescent="0.25">
      <c r="A747" s="432"/>
      <c r="B747" s="2380"/>
      <c r="C747" s="1670"/>
      <c r="D747" s="2391"/>
      <c r="E747" s="1976"/>
      <c r="F747" s="2388"/>
      <c r="G747" s="2388"/>
      <c r="H747" s="2385"/>
      <c r="I747" s="2388"/>
      <c r="J747" s="2388"/>
      <c r="K747" s="149" t="s">
        <v>1439</v>
      </c>
      <c r="L747" s="135" t="s">
        <v>36</v>
      </c>
      <c r="M747" s="135">
        <v>0</v>
      </c>
      <c r="N747" s="135">
        <v>0</v>
      </c>
      <c r="O747" s="135">
        <v>1</v>
      </c>
      <c r="P747" s="135">
        <v>0</v>
      </c>
      <c r="Q747" s="135">
        <v>0</v>
      </c>
    </row>
    <row r="748" spans="1:17" ht="30" x14ac:dyDescent="0.25">
      <c r="A748" s="1383"/>
      <c r="B748" s="2379"/>
      <c r="C748" s="1669" t="s">
        <v>15</v>
      </c>
      <c r="D748" s="2389"/>
      <c r="E748" s="1746" t="s">
        <v>1440</v>
      </c>
      <c r="F748" s="2386">
        <v>1551.7</v>
      </c>
      <c r="G748" s="2386">
        <v>17663.400000000001</v>
      </c>
      <c r="H748" s="2383">
        <v>16154.5</v>
      </c>
      <c r="I748" s="2386">
        <v>15163.4</v>
      </c>
      <c r="J748" s="2386">
        <v>15163.4</v>
      </c>
      <c r="K748" s="149" t="s">
        <v>1441</v>
      </c>
      <c r="L748" s="155" t="s">
        <v>34</v>
      </c>
      <c r="M748" s="155">
        <v>0</v>
      </c>
      <c r="N748" s="155">
        <v>20</v>
      </c>
      <c r="O748" s="155">
        <v>20</v>
      </c>
      <c r="P748" s="155">
        <v>20</v>
      </c>
      <c r="Q748" s="155">
        <v>20</v>
      </c>
    </row>
    <row r="749" spans="1:17" ht="45" x14ac:dyDescent="0.25">
      <c r="A749" s="432"/>
      <c r="B749" s="2380"/>
      <c r="C749" s="1670"/>
      <c r="D749" s="2390"/>
      <c r="E749" s="1747"/>
      <c r="F749" s="2388"/>
      <c r="G749" s="2388"/>
      <c r="H749" s="2385"/>
      <c r="I749" s="2388"/>
      <c r="J749" s="2388"/>
      <c r="K749" s="149" t="s">
        <v>1442</v>
      </c>
      <c r="L749" s="135" t="s">
        <v>34</v>
      </c>
      <c r="M749" s="135">
        <v>0</v>
      </c>
      <c r="N749" s="135">
        <v>4</v>
      </c>
      <c r="O749" s="135">
        <v>6</v>
      </c>
      <c r="P749" s="135">
        <v>8</v>
      </c>
      <c r="Q749" s="135">
        <v>10</v>
      </c>
    </row>
    <row r="750" spans="1:17" ht="75" x14ac:dyDescent="0.25">
      <c r="A750" s="1383"/>
      <c r="B750" s="1384"/>
      <c r="C750" s="1117" t="s">
        <v>16</v>
      </c>
      <c r="D750" s="133"/>
      <c r="E750" s="831" t="s">
        <v>1443</v>
      </c>
      <c r="F750" s="147">
        <v>5689.4</v>
      </c>
      <c r="G750" s="147">
        <v>6777</v>
      </c>
      <c r="H750" s="148">
        <v>7693.6</v>
      </c>
      <c r="I750" s="147">
        <v>7427</v>
      </c>
      <c r="J750" s="147">
        <v>7427</v>
      </c>
      <c r="K750" s="149" t="s">
        <v>1444</v>
      </c>
      <c r="L750" s="135" t="s">
        <v>1186</v>
      </c>
      <c r="M750" s="135">
        <v>0</v>
      </c>
      <c r="N750" s="135">
        <v>1</v>
      </c>
      <c r="O750" s="135">
        <v>0</v>
      </c>
      <c r="P750" s="135">
        <v>1</v>
      </c>
      <c r="Q750" s="135">
        <v>0</v>
      </c>
    </row>
    <row r="751" spans="1:17" ht="75" x14ac:dyDescent="0.25">
      <c r="A751" s="1383"/>
      <c r="B751" s="1384"/>
      <c r="C751" s="1117" t="s">
        <v>18</v>
      </c>
      <c r="D751" s="133"/>
      <c r="E751" s="348" t="s">
        <v>1445</v>
      </c>
      <c r="F751" s="147">
        <v>2586.1</v>
      </c>
      <c r="G751" s="147">
        <v>3962</v>
      </c>
      <c r="H751" s="148">
        <v>3641.8</v>
      </c>
      <c r="I751" s="147">
        <v>4062</v>
      </c>
      <c r="J751" s="147">
        <v>4462</v>
      </c>
      <c r="K751" s="149" t="s">
        <v>1446</v>
      </c>
      <c r="L751" s="135" t="s">
        <v>1186</v>
      </c>
      <c r="M751" s="135">
        <v>0</v>
      </c>
      <c r="N751" s="135">
        <v>1</v>
      </c>
      <c r="O751" s="135">
        <v>1</v>
      </c>
      <c r="P751" s="135">
        <v>1</v>
      </c>
      <c r="Q751" s="135">
        <v>1</v>
      </c>
    </row>
    <row r="752" spans="1:17" ht="60" x14ac:dyDescent="0.25">
      <c r="A752" s="1383"/>
      <c r="B752" s="1384"/>
      <c r="C752" s="1117" t="s">
        <v>20</v>
      </c>
      <c r="D752" s="133"/>
      <c r="E752" s="831" t="s">
        <v>1447</v>
      </c>
      <c r="F752" s="147">
        <v>1034.4000000000001</v>
      </c>
      <c r="G752" s="147">
        <v>12342.9</v>
      </c>
      <c r="H752" s="148">
        <v>1603.4</v>
      </c>
      <c r="I752" s="147">
        <v>11842.9</v>
      </c>
      <c r="J752" s="147">
        <v>11842.9</v>
      </c>
      <c r="K752" s="149" t="s">
        <v>1448</v>
      </c>
      <c r="L752" s="135" t="s">
        <v>1186</v>
      </c>
      <c r="M752" s="135">
        <v>4</v>
      </c>
      <c r="N752" s="135">
        <v>3</v>
      </c>
      <c r="O752" s="135">
        <v>3</v>
      </c>
      <c r="P752" s="135">
        <v>3</v>
      </c>
      <c r="Q752" s="135">
        <v>3</v>
      </c>
    </row>
    <row r="753" spans="1:17" ht="30" x14ac:dyDescent="0.25">
      <c r="A753" s="1383"/>
      <c r="B753" s="2379"/>
      <c r="C753" s="1669" t="s">
        <v>21</v>
      </c>
      <c r="D753" s="2389"/>
      <c r="E753" s="1976" t="s">
        <v>1449</v>
      </c>
      <c r="F753" s="2386">
        <v>1551.7</v>
      </c>
      <c r="G753" s="2386">
        <v>15650.8</v>
      </c>
      <c r="H753" s="2383">
        <v>7025.3</v>
      </c>
      <c r="I753" s="2386">
        <v>15529.6</v>
      </c>
      <c r="J753" s="2386">
        <v>14558.1</v>
      </c>
      <c r="K753" s="149" t="s">
        <v>1450</v>
      </c>
      <c r="L753" s="135" t="s">
        <v>1186</v>
      </c>
      <c r="M753" s="135">
        <v>0</v>
      </c>
      <c r="N753" s="135">
        <v>2</v>
      </c>
      <c r="O753" s="135">
        <v>1</v>
      </c>
      <c r="P753" s="135">
        <v>1</v>
      </c>
      <c r="Q753" s="135">
        <v>0</v>
      </c>
    </row>
    <row r="754" spans="1:17" ht="30" x14ac:dyDescent="0.25">
      <c r="A754" s="432"/>
      <c r="B754" s="2380"/>
      <c r="C754" s="1670"/>
      <c r="D754" s="2390"/>
      <c r="E754" s="1976"/>
      <c r="F754" s="2388"/>
      <c r="G754" s="2388"/>
      <c r="H754" s="2385"/>
      <c r="I754" s="2388"/>
      <c r="J754" s="2388"/>
      <c r="K754" s="149" t="s">
        <v>1451</v>
      </c>
      <c r="L754" s="135" t="s">
        <v>1186</v>
      </c>
      <c r="M754" s="135">
        <v>0</v>
      </c>
      <c r="N754" s="135">
        <v>1</v>
      </c>
      <c r="O754" s="135">
        <v>0</v>
      </c>
      <c r="P754" s="135">
        <v>1</v>
      </c>
      <c r="Q754" s="135">
        <v>0</v>
      </c>
    </row>
    <row r="755" spans="1:17" ht="102.75" x14ac:dyDescent="0.25">
      <c r="A755" s="1391">
        <v>35</v>
      </c>
      <c r="B755" s="1392">
        <v>3</v>
      </c>
      <c r="C755" s="1214"/>
      <c r="D755" s="146"/>
      <c r="E755" s="463" t="s">
        <v>3107</v>
      </c>
      <c r="F755" s="169">
        <v>2586.1000000000004</v>
      </c>
      <c r="G755" s="169">
        <v>17984.8</v>
      </c>
      <c r="H755" s="169">
        <f>H756+H757</f>
        <v>13397.7</v>
      </c>
      <c r="I755" s="169">
        <v>17090.3</v>
      </c>
      <c r="J755" s="169">
        <v>16957</v>
      </c>
      <c r="K755" s="1606"/>
      <c r="L755" s="134"/>
      <c r="M755" s="134"/>
      <c r="N755" s="134"/>
      <c r="O755" s="134"/>
      <c r="P755" s="134"/>
      <c r="Q755" s="134"/>
    </row>
    <row r="756" spans="1:17" ht="30" x14ac:dyDescent="0.25">
      <c r="A756" s="1383"/>
      <c r="B756" s="1384"/>
      <c r="C756" s="1117" t="s">
        <v>4</v>
      </c>
      <c r="D756" s="137"/>
      <c r="E756" s="1576" t="s">
        <v>1452</v>
      </c>
      <c r="F756" s="145">
        <v>1551.7</v>
      </c>
      <c r="G756" s="147">
        <v>15677</v>
      </c>
      <c r="H756" s="148">
        <v>11026.2</v>
      </c>
      <c r="I756" s="147">
        <v>14629.1</v>
      </c>
      <c r="J756" s="147">
        <v>13895.8</v>
      </c>
      <c r="K756" s="1607" t="s">
        <v>1453</v>
      </c>
      <c r="L756" s="135" t="s">
        <v>1186</v>
      </c>
      <c r="M756" s="138" t="s">
        <v>14</v>
      </c>
      <c r="N756" s="138" t="s">
        <v>14</v>
      </c>
      <c r="O756" s="138" t="s">
        <v>17</v>
      </c>
      <c r="P756" s="138" t="s">
        <v>14</v>
      </c>
      <c r="Q756" s="138" t="s">
        <v>14</v>
      </c>
    </row>
    <row r="757" spans="1:17" ht="45" x14ac:dyDescent="0.25">
      <c r="A757" s="430"/>
      <c r="B757" s="150"/>
      <c r="C757" s="1117" t="s">
        <v>5</v>
      </c>
      <c r="D757" s="137"/>
      <c r="E757" s="1576" t="s">
        <v>1454</v>
      </c>
      <c r="F757" s="145">
        <v>1034.4000000000001</v>
      </c>
      <c r="G757" s="145">
        <v>2307.8000000000002</v>
      </c>
      <c r="H757" s="139">
        <v>2371.5</v>
      </c>
      <c r="I757" s="145">
        <v>2461.1999999999998</v>
      </c>
      <c r="J757" s="145">
        <v>3061.2</v>
      </c>
      <c r="K757" s="1607" t="s">
        <v>1455</v>
      </c>
      <c r="L757" s="135" t="s">
        <v>1186</v>
      </c>
      <c r="M757" s="138" t="s">
        <v>14</v>
      </c>
      <c r="N757" s="138" t="s">
        <v>80</v>
      </c>
      <c r="O757" s="138" t="s">
        <v>80</v>
      </c>
      <c r="P757" s="138" t="s">
        <v>80</v>
      </c>
      <c r="Q757" s="138" t="s">
        <v>80</v>
      </c>
    </row>
    <row r="758" spans="1:17" ht="28.5" x14ac:dyDescent="0.25">
      <c r="A758" s="477"/>
      <c r="B758" s="484">
        <v>4</v>
      </c>
      <c r="C758" s="1117"/>
      <c r="D758" s="461"/>
      <c r="E758" s="460" t="s">
        <v>1456</v>
      </c>
      <c r="F758" s="479">
        <v>0</v>
      </c>
      <c r="G758" s="479">
        <v>0</v>
      </c>
      <c r="H758" s="480"/>
      <c r="I758" s="482">
        <v>2305823.35</v>
      </c>
      <c r="J758" s="482">
        <v>1689861</v>
      </c>
      <c r="K758" s="1607"/>
      <c r="L758" s="135"/>
      <c r="M758" s="138"/>
      <c r="N758" s="138"/>
      <c r="O758" s="138"/>
      <c r="P758" s="478"/>
      <c r="Q758" s="138"/>
    </row>
    <row r="759" spans="1:17" ht="30" x14ac:dyDescent="0.25">
      <c r="A759" s="477"/>
      <c r="B759" s="484"/>
      <c r="C759" s="1117" t="s">
        <v>4</v>
      </c>
      <c r="D759" s="461"/>
      <c r="E759" s="1280" t="s">
        <v>1457</v>
      </c>
      <c r="F759" s="145"/>
      <c r="G759" s="145"/>
      <c r="H759" s="481"/>
      <c r="I759" s="483">
        <v>2305823.35</v>
      </c>
      <c r="J759" s="483">
        <v>1689861</v>
      </c>
      <c r="K759" s="1607"/>
      <c r="L759" s="135"/>
      <c r="M759" s="138"/>
      <c r="N759" s="138"/>
      <c r="O759" s="138"/>
      <c r="P759" s="478"/>
      <c r="Q759" s="138"/>
    </row>
    <row r="760" spans="1:17" x14ac:dyDescent="0.25">
      <c r="A760" s="1708" t="s">
        <v>1458</v>
      </c>
      <c r="B760" s="1709"/>
      <c r="C760" s="1709"/>
      <c r="D760" s="1709"/>
      <c r="E760" s="1709"/>
      <c r="F760" s="71">
        <v>96720</v>
      </c>
      <c r="G760" s="71">
        <v>188755.5</v>
      </c>
      <c r="H760" s="71">
        <f>H721+H733+H755</f>
        <v>259818.50000000003</v>
      </c>
      <c r="I760" s="71">
        <v>190316.59999999998</v>
      </c>
      <c r="J760" s="71">
        <v>191903.3</v>
      </c>
      <c r="K760" s="626"/>
      <c r="L760" s="628"/>
      <c r="M760" s="628"/>
      <c r="N760" s="629"/>
      <c r="O760" s="630"/>
      <c r="P760" s="631"/>
      <c r="Q760" s="630"/>
    </row>
    <row r="761" spans="1:17" x14ac:dyDescent="0.25">
      <c r="A761" s="1662" t="s">
        <v>1459</v>
      </c>
      <c r="B761" s="1663"/>
      <c r="C761" s="1663"/>
      <c r="D761" s="1663"/>
      <c r="E761" s="1663"/>
      <c r="F761" s="1663"/>
      <c r="G761" s="1663"/>
      <c r="H761" s="1663"/>
      <c r="I761" s="1663"/>
      <c r="J761" s="1663"/>
      <c r="K761" s="1663"/>
      <c r="L761" s="1663"/>
      <c r="M761" s="1663"/>
      <c r="N761" s="1663"/>
      <c r="O761" s="1663"/>
      <c r="P761" s="1664"/>
      <c r="Q761" s="931"/>
    </row>
    <row r="762" spans="1:17" ht="74.25" x14ac:dyDescent="0.25">
      <c r="A762" s="1115">
        <v>38</v>
      </c>
      <c r="B762" s="1297">
        <v>1</v>
      </c>
      <c r="C762" s="59"/>
      <c r="D762" s="59"/>
      <c r="E762" s="1195" t="s">
        <v>1460</v>
      </c>
      <c r="F762" s="654">
        <v>486692.19999999995</v>
      </c>
      <c r="G762" s="654">
        <v>507479.80000000005</v>
      </c>
      <c r="H762" s="654">
        <f>H763+H764+H765+H766</f>
        <v>639864.79999999993</v>
      </c>
      <c r="I762" s="654">
        <v>574388.70000000007</v>
      </c>
      <c r="J762" s="654">
        <v>574388.70000000007</v>
      </c>
      <c r="K762" s="65"/>
      <c r="L762" s="1171"/>
      <c r="M762" s="1171"/>
      <c r="N762" s="1171"/>
      <c r="O762" s="1171"/>
      <c r="P762" s="1171"/>
      <c r="Q762" s="1171"/>
    </row>
    <row r="763" spans="1:17" x14ac:dyDescent="0.25">
      <c r="A763" s="1170"/>
      <c r="B763" s="1248"/>
      <c r="C763" s="1117" t="s">
        <v>4</v>
      </c>
      <c r="D763" s="1171"/>
      <c r="E763" s="1212" t="s">
        <v>1406</v>
      </c>
      <c r="F763" s="655">
        <v>46314.2</v>
      </c>
      <c r="G763" s="655">
        <v>41679</v>
      </c>
      <c r="H763" s="655">
        <f>51248.3+65.9</f>
        <v>51314.200000000004</v>
      </c>
      <c r="I763" s="655">
        <v>43179</v>
      </c>
      <c r="J763" s="655">
        <v>43179</v>
      </c>
      <c r="K763" s="65"/>
      <c r="L763" s="1171"/>
      <c r="M763" s="1171"/>
      <c r="N763" s="1171"/>
      <c r="O763" s="1171"/>
      <c r="P763" s="1171"/>
      <c r="Q763" s="1171"/>
    </row>
    <row r="764" spans="1:17" ht="30" x14ac:dyDescent="0.25">
      <c r="A764" s="1170"/>
      <c r="B764" s="1248"/>
      <c r="C764" s="1117" t="s">
        <v>13</v>
      </c>
      <c r="D764" s="1171"/>
      <c r="E764" s="1212" t="s">
        <v>1461</v>
      </c>
      <c r="F764" s="655">
        <v>80159.899999999994</v>
      </c>
      <c r="G764" s="655">
        <v>97681.600000000006</v>
      </c>
      <c r="H764" s="655">
        <v>40216.800000000003</v>
      </c>
      <c r="I764" s="655">
        <v>14300</v>
      </c>
      <c r="J764" s="655">
        <v>14300</v>
      </c>
      <c r="K764" s="65"/>
      <c r="L764" s="1171"/>
      <c r="M764" s="1171"/>
      <c r="N764" s="1171"/>
      <c r="O764" s="1171"/>
      <c r="P764" s="1214"/>
      <c r="Q764" s="1214"/>
    </row>
    <row r="765" spans="1:17" ht="105" x14ac:dyDescent="0.25">
      <c r="A765" s="1170"/>
      <c r="B765" s="1248"/>
      <c r="C765" s="1117" t="s">
        <v>174</v>
      </c>
      <c r="D765" s="1171"/>
      <c r="E765" s="1212" t="s">
        <v>1462</v>
      </c>
      <c r="F765" s="655">
        <v>14263.6</v>
      </c>
      <c r="G765" s="655">
        <v>18192.2</v>
      </c>
      <c r="H765" s="655">
        <f>21581.7+1743.4</f>
        <v>23325.100000000002</v>
      </c>
      <c r="I765" s="655">
        <v>21209.9</v>
      </c>
      <c r="J765" s="655">
        <v>21209.9</v>
      </c>
      <c r="K765" s="1171"/>
      <c r="L765" s="1171"/>
      <c r="M765" s="1171"/>
      <c r="N765" s="1171"/>
      <c r="O765" s="1171"/>
      <c r="P765" s="1171"/>
      <c r="Q765" s="1171"/>
    </row>
    <row r="766" spans="1:17" ht="90" x14ac:dyDescent="0.25">
      <c r="A766" s="1170"/>
      <c r="B766" s="1248"/>
      <c r="C766" s="1117" t="s">
        <v>175</v>
      </c>
      <c r="D766" s="1171"/>
      <c r="E766" s="1212" t="s">
        <v>1463</v>
      </c>
      <c r="F766" s="1256">
        <v>345954.5</v>
      </c>
      <c r="G766" s="1256">
        <v>349927</v>
      </c>
      <c r="H766" s="1256">
        <v>525008.69999999995</v>
      </c>
      <c r="I766" s="1256">
        <v>495699.80000000005</v>
      </c>
      <c r="J766" s="1256">
        <v>495699.80000000005</v>
      </c>
      <c r="K766" s="1214"/>
      <c r="L766" s="1171"/>
      <c r="M766" s="1171"/>
      <c r="N766" s="1171"/>
      <c r="O766" s="1171"/>
      <c r="P766" s="1171"/>
      <c r="Q766" s="1171"/>
    </row>
    <row r="767" spans="1:17" ht="224.25" x14ac:dyDescent="0.25">
      <c r="A767" s="1115">
        <v>38</v>
      </c>
      <c r="B767" s="1297">
        <v>2</v>
      </c>
      <c r="C767" s="59"/>
      <c r="D767" s="59"/>
      <c r="E767" s="1195" t="s">
        <v>1464</v>
      </c>
      <c r="F767" s="654">
        <v>5751929.1999999993</v>
      </c>
      <c r="G767" s="654">
        <v>7907571.9000000013</v>
      </c>
      <c r="H767" s="654">
        <f>H768+H771+H774+H775+H776+H778+H779+H780+H782+H783+H784+H791</f>
        <v>8081923.7999999998</v>
      </c>
      <c r="I767" s="654">
        <v>8083208.2999999998</v>
      </c>
      <c r="J767" s="654">
        <v>8208533.2999999998</v>
      </c>
      <c r="K767" s="65"/>
      <c r="L767" s="1171"/>
      <c r="M767" s="1171"/>
      <c r="N767" s="1171"/>
      <c r="O767" s="1171"/>
      <c r="P767" s="1171"/>
      <c r="Q767" s="1171"/>
    </row>
    <row r="768" spans="1:17" ht="45" x14ac:dyDescent="0.25">
      <c r="A768" s="1642"/>
      <c r="B768" s="1637"/>
      <c r="C768" s="1669" t="s">
        <v>4</v>
      </c>
      <c r="D768" s="1669"/>
      <c r="E768" s="1791" t="s">
        <v>1465</v>
      </c>
      <c r="F768" s="2166">
        <v>3196027.1</v>
      </c>
      <c r="G768" s="2166">
        <v>5314824.4000000004</v>
      </c>
      <c r="H768" s="2166">
        <v>4468178.7</v>
      </c>
      <c r="I768" s="2166">
        <v>5314824.4000000004</v>
      </c>
      <c r="J768" s="2166">
        <v>5440149.4000000004</v>
      </c>
      <c r="K768" s="116" t="s">
        <v>1466</v>
      </c>
      <c r="L768" s="931"/>
      <c r="M768" s="1171">
        <v>2700</v>
      </c>
      <c r="N768" s="1171">
        <v>4000</v>
      </c>
      <c r="O768" s="1171">
        <v>4000</v>
      </c>
      <c r="P768" s="1171">
        <v>4000</v>
      </c>
      <c r="Q768" s="1171">
        <v>4000</v>
      </c>
    </row>
    <row r="769" spans="1:17" x14ac:dyDescent="0.25">
      <c r="A769" s="1643"/>
      <c r="B769" s="1641"/>
      <c r="C769" s="1690"/>
      <c r="D769" s="1690"/>
      <c r="E769" s="1791"/>
      <c r="F769" s="2178"/>
      <c r="G769" s="2178"/>
      <c r="H769" s="2178"/>
      <c r="I769" s="2178"/>
      <c r="J769" s="2178"/>
      <c r="K769" s="931">
        <v>0</v>
      </c>
      <c r="L769" s="931"/>
      <c r="M769" s="1171">
        <v>0</v>
      </c>
      <c r="N769" s="1171">
        <v>0</v>
      </c>
      <c r="O769" s="1171">
        <v>0</v>
      </c>
      <c r="P769" s="1171">
        <v>0</v>
      </c>
      <c r="Q769" s="1171">
        <v>0</v>
      </c>
    </row>
    <row r="770" spans="1:17" ht="45" x14ac:dyDescent="0.25">
      <c r="A770" s="1644"/>
      <c r="B770" s="1638"/>
      <c r="C770" s="1670"/>
      <c r="D770" s="1670"/>
      <c r="E770" s="1791"/>
      <c r="F770" s="2167"/>
      <c r="G770" s="2167"/>
      <c r="H770" s="2167"/>
      <c r="I770" s="2167"/>
      <c r="J770" s="2167"/>
      <c r="K770" s="1217" t="s">
        <v>1467</v>
      </c>
      <c r="L770" s="834" t="s">
        <v>34</v>
      </c>
      <c r="M770" s="1171">
        <v>810</v>
      </c>
      <c r="N770" s="1171">
        <v>810</v>
      </c>
      <c r="O770" s="1171">
        <v>810</v>
      </c>
      <c r="P770" s="1171">
        <v>810</v>
      </c>
      <c r="Q770" s="1171">
        <v>810</v>
      </c>
    </row>
    <row r="771" spans="1:17" ht="30" x14ac:dyDescent="0.25">
      <c r="A771" s="1642"/>
      <c r="B771" s="1637"/>
      <c r="C771" s="1669" t="s">
        <v>5</v>
      </c>
      <c r="D771" s="1669"/>
      <c r="E771" s="1791" t="s">
        <v>1468</v>
      </c>
      <c r="F771" s="2166">
        <v>2522832.8000000003</v>
      </c>
      <c r="G771" s="2166">
        <v>2547365.9</v>
      </c>
      <c r="H771" s="2166">
        <v>3557041.7</v>
      </c>
      <c r="I771" s="2166">
        <v>2711453.3</v>
      </c>
      <c r="J771" s="2166">
        <v>2711453.3</v>
      </c>
      <c r="K771" s="1217" t="s">
        <v>1469</v>
      </c>
      <c r="L771" s="834" t="s">
        <v>34</v>
      </c>
      <c r="M771" s="1171">
        <v>168.5</v>
      </c>
      <c r="N771" s="1171">
        <v>168.5</v>
      </c>
      <c r="O771" s="1171">
        <v>224.7</v>
      </c>
      <c r="P771" s="1171">
        <v>224.7</v>
      </c>
      <c r="Q771" s="1171">
        <v>224.7</v>
      </c>
    </row>
    <row r="772" spans="1:17" ht="30" x14ac:dyDescent="0.25">
      <c r="A772" s="1643"/>
      <c r="B772" s="1641"/>
      <c r="C772" s="1690"/>
      <c r="D772" s="1690"/>
      <c r="E772" s="1791"/>
      <c r="F772" s="2178"/>
      <c r="G772" s="2178"/>
      <c r="H772" s="2178"/>
      <c r="I772" s="2178"/>
      <c r="J772" s="2178"/>
      <c r="K772" s="1212" t="s">
        <v>1470</v>
      </c>
      <c r="L772" s="834" t="s">
        <v>34</v>
      </c>
      <c r="M772" s="1171" t="s">
        <v>176</v>
      </c>
      <c r="N772" s="1171" t="s">
        <v>177</v>
      </c>
      <c r="O772" s="1171" t="s">
        <v>177</v>
      </c>
      <c r="P772" s="1171" t="s">
        <v>177</v>
      </c>
      <c r="Q772" s="1171" t="s">
        <v>177</v>
      </c>
    </row>
    <row r="773" spans="1:17" ht="30" x14ac:dyDescent="0.25">
      <c r="A773" s="1644"/>
      <c r="B773" s="1638"/>
      <c r="C773" s="1670"/>
      <c r="D773" s="1670"/>
      <c r="E773" s="1791"/>
      <c r="F773" s="2167"/>
      <c r="G773" s="2167"/>
      <c r="H773" s="2167"/>
      <c r="I773" s="2167"/>
      <c r="J773" s="2167"/>
      <c r="K773" s="1212" t="s">
        <v>1471</v>
      </c>
      <c r="L773" s="834" t="s">
        <v>34</v>
      </c>
      <c r="M773" s="1171">
        <v>56.2</v>
      </c>
      <c r="N773" s="1171">
        <v>56.2</v>
      </c>
      <c r="O773" s="1171">
        <v>56.2</v>
      </c>
      <c r="P773" s="1171">
        <v>56.2</v>
      </c>
      <c r="Q773" s="1171">
        <v>56.2</v>
      </c>
    </row>
    <row r="774" spans="1:17" ht="75" x14ac:dyDescent="0.25">
      <c r="A774" s="1170"/>
      <c r="B774" s="1248"/>
      <c r="C774" s="1117" t="s">
        <v>7</v>
      </c>
      <c r="D774" s="1117"/>
      <c r="E774" s="1212" t="s">
        <v>1472</v>
      </c>
      <c r="F774" s="1256">
        <v>27093.100000000002</v>
      </c>
      <c r="G774" s="1256">
        <v>27166.5</v>
      </c>
      <c r="H774" s="1256">
        <v>28655.5</v>
      </c>
      <c r="I774" s="1256">
        <v>25412.1</v>
      </c>
      <c r="J774" s="1256">
        <v>25412.1</v>
      </c>
      <c r="K774" s="1212" t="s">
        <v>1473</v>
      </c>
      <c r="L774" s="228" t="s">
        <v>1474</v>
      </c>
      <c r="M774" s="1171">
        <v>37</v>
      </c>
      <c r="N774" s="1171">
        <v>37</v>
      </c>
      <c r="O774" s="1171">
        <v>37</v>
      </c>
      <c r="P774" s="1171">
        <v>37</v>
      </c>
      <c r="Q774" s="1171">
        <v>37</v>
      </c>
    </row>
    <row r="775" spans="1:17" ht="75" x14ac:dyDescent="0.25">
      <c r="A775" s="1170"/>
      <c r="B775" s="1248"/>
      <c r="C775" s="1117" t="s">
        <v>9</v>
      </c>
      <c r="D775" s="1117"/>
      <c r="E775" s="1212" t="s">
        <v>1475</v>
      </c>
      <c r="F775" s="1256"/>
      <c r="G775" s="1256">
        <v>1169.4000000000001</v>
      </c>
      <c r="H775" s="1256">
        <v>1213.8</v>
      </c>
      <c r="I775" s="1256">
        <v>1214.3999999999999</v>
      </c>
      <c r="J775" s="1256">
        <v>1214.3999999999999</v>
      </c>
      <c r="K775" s="1212" t="s">
        <v>1476</v>
      </c>
      <c r="L775" s="228" t="s">
        <v>1477</v>
      </c>
      <c r="M775" s="1171">
        <v>37</v>
      </c>
      <c r="N775" s="1171">
        <v>37</v>
      </c>
      <c r="O775" s="1171">
        <v>37</v>
      </c>
      <c r="P775" s="1171">
        <v>37</v>
      </c>
      <c r="Q775" s="1171">
        <v>37</v>
      </c>
    </row>
    <row r="776" spans="1:17" ht="30" x14ac:dyDescent="0.25">
      <c r="A776" s="1642"/>
      <c r="B776" s="1637"/>
      <c r="C776" s="1669" t="s">
        <v>11</v>
      </c>
      <c r="D776" s="1639"/>
      <c r="E776" s="2171" t="s">
        <v>1478</v>
      </c>
      <c r="F776" s="2166">
        <v>1587</v>
      </c>
      <c r="G776" s="2166">
        <v>9000</v>
      </c>
      <c r="H776" s="2166">
        <v>16600</v>
      </c>
      <c r="I776" s="2166">
        <v>19200</v>
      </c>
      <c r="J776" s="2166">
        <v>19200</v>
      </c>
      <c r="K776" s="1217" t="s">
        <v>1479</v>
      </c>
      <c r="L776" s="228" t="s">
        <v>1480</v>
      </c>
      <c r="M776" s="1171">
        <v>0</v>
      </c>
      <c r="N776" s="1171">
        <v>7</v>
      </c>
      <c r="O776" s="1171">
        <v>7</v>
      </c>
      <c r="P776" s="1171">
        <v>9</v>
      </c>
      <c r="Q776" s="1171">
        <v>9</v>
      </c>
    </row>
    <row r="777" spans="1:17" ht="30" x14ac:dyDescent="0.25">
      <c r="A777" s="1644"/>
      <c r="B777" s="1638"/>
      <c r="C777" s="1670"/>
      <c r="D777" s="1640"/>
      <c r="E777" s="2171"/>
      <c r="F777" s="2167"/>
      <c r="G777" s="2167"/>
      <c r="H777" s="2167"/>
      <c r="I777" s="2167"/>
      <c r="J777" s="2167"/>
      <c r="K777" s="1217" t="s">
        <v>1481</v>
      </c>
      <c r="L777" s="228" t="s">
        <v>1480</v>
      </c>
      <c r="M777" s="1171">
        <v>0</v>
      </c>
      <c r="N777" s="1171">
        <v>15</v>
      </c>
      <c r="O777" s="1171">
        <v>15</v>
      </c>
      <c r="P777" s="1171">
        <v>15</v>
      </c>
      <c r="Q777" s="1171">
        <v>15</v>
      </c>
    </row>
    <row r="778" spans="1:17" ht="45" x14ac:dyDescent="0.25">
      <c r="A778" s="1170"/>
      <c r="B778" s="1248"/>
      <c r="C778" s="1117" t="s">
        <v>13</v>
      </c>
      <c r="D778" s="1171"/>
      <c r="E778" s="1577" t="s">
        <v>1482</v>
      </c>
      <c r="F778" s="1256">
        <v>0</v>
      </c>
      <c r="G778" s="1256">
        <v>2000</v>
      </c>
      <c r="H778" s="1256">
        <v>2000</v>
      </c>
      <c r="I778" s="1256">
        <v>2000</v>
      </c>
      <c r="J778" s="1256">
        <v>2000</v>
      </c>
      <c r="K778" s="1217" t="s">
        <v>1483</v>
      </c>
      <c r="L778" s="228" t="s">
        <v>1334</v>
      </c>
      <c r="M778" s="1171">
        <v>0</v>
      </c>
      <c r="N778" s="1171">
        <v>100</v>
      </c>
      <c r="O778" s="1171">
        <v>100</v>
      </c>
      <c r="P778" s="1171">
        <v>100</v>
      </c>
      <c r="Q778" s="1171">
        <v>100</v>
      </c>
    </row>
    <row r="779" spans="1:17" ht="75" x14ac:dyDescent="0.25">
      <c r="A779" s="1170"/>
      <c r="B779" s="1248"/>
      <c r="C779" s="1117" t="s">
        <v>15</v>
      </c>
      <c r="D779" s="1171"/>
      <c r="E779" s="1577" t="s">
        <v>1484</v>
      </c>
      <c r="F779" s="1256"/>
      <c r="G779" s="1256">
        <v>0</v>
      </c>
      <c r="H779" s="1256"/>
      <c r="I779" s="1256">
        <v>0</v>
      </c>
      <c r="J779" s="1256">
        <v>0</v>
      </c>
      <c r="K779" s="1217" t="s">
        <v>1485</v>
      </c>
      <c r="L779" s="1393" t="s">
        <v>1334</v>
      </c>
      <c r="M779" s="1171">
        <v>2</v>
      </c>
      <c r="N779" s="1171">
        <v>2</v>
      </c>
      <c r="O779" s="1171">
        <v>2</v>
      </c>
      <c r="P779" s="1171">
        <v>2</v>
      </c>
      <c r="Q779" s="1171">
        <v>2</v>
      </c>
    </row>
    <row r="780" spans="1:17" x14ac:dyDescent="0.25">
      <c r="A780" s="1642"/>
      <c r="B780" s="1637"/>
      <c r="C780" s="1669" t="s">
        <v>16</v>
      </c>
      <c r="D780" s="1639"/>
      <c r="E780" s="2171" t="s">
        <v>1486</v>
      </c>
      <c r="F780" s="2166">
        <v>1416.1</v>
      </c>
      <c r="G780" s="2166">
        <v>2439.6</v>
      </c>
      <c r="H780" s="2166">
        <v>4050</v>
      </c>
      <c r="I780" s="2166">
        <v>4920</v>
      </c>
      <c r="J780" s="2166">
        <v>4920</v>
      </c>
      <c r="K780" s="1217" t="s">
        <v>1487</v>
      </c>
      <c r="L780" s="228" t="s">
        <v>1334</v>
      </c>
      <c r="M780" s="1171">
        <v>0</v>
      </c>
      <c r="N780" s="1171">
        <v>20</v>
      </c>
      <c r="O780" s="1171">
        <v>30</v>
      </c>
      <c r="P780" s="1171">
        <v>40</v>
      </c>
      <c r="Q780" s="1171">
        <v>40</v>
      </c>
    </row>
    <row r="781" spans="1:17" ht="30" x14ac:dyDescent="0.25">
      <c r="A781" s="1644"/>
      <c r="B781" s="1638"/>
      <c r="C781" s="1670"/>
      <c r="D781" s="1640"/>
      <c r="E781" s="2171"/>
      <c r="F781" s="2167"/>
      <c r="G781" s="2167"/>
      <c r="H781" s="2167"/>
      <c r="I781" s="2167"/>
      <c r="J781" s="2167"/>
      <c r="K781" s="1217" t="s">
        <v>1488</v>
      </c>
      <c r="L781" s="228" t="s">
        <v>1334</v>
      </c>
      <c r="M781" s="1171">
        <v>17</v>
      </c>
      <c r="N781" s="1171">
        <v>20</v>
      </c>
      <c r="O781" s="1171">
        <v>25</v>
      </c>
      <c r="P781" s="1171">
        <v>30</v>
      </c>
      <c r="Q781" s="1171">
        <v>30</v>
      </c>
    </row>
    <row r="782" spans="1:17" ht="45" x14ac:dyDescent="0.25">
      <c r="A782" s="1170"/>
      <c r="B782" s="1248"/>
      <c r="C782" s="1117" t="s">
        <v>18</v>
      </c>
      <c r="D782" s="1171"/>
      <c r="E782" s="1577" t="s">
        <v>1489</v>
      </c>
      <c r="F782" s="1256">
        <v>839.3</v>
      </c>
      <c r="G782" s="1256">
        <v>1135.2</v>
      </c>
      <c r="H782" s="1256">
        <v>1200</v>
      </c>
      <c r="I782" s="1256">
        <v>1200</v>
      </c>
      <c r="J782" s="1256">
        <v>1200</v>
      </c>
      <c r="K782" s="1217" t="s">
        <v>1490</v>
      </c>
      <c r="L782" s="717" t="s">
        <v>1334</v>
      </c>
      <c r="M782" s="1171">
        <v>16</v>
      </c>
      <c r="N782" s="1171">
        <v>18</v>
      </c>
      <c r="O782" s="1171">
        <v>18</v>
      </c>
      <c r="P782" s="1171">
        <v>18</v>
      </c>
      <c r="Q782" s="1171">
        <v>18</v>
      </c>
    </row>
    <row r="783" spans="1:17" ht="60" x14ac:dyDescent="0.25">
      <c r="A783" s="1170"/>
      <c r="B783" s="1248"/>
      <c r="C783" s="1171">
        <v>10</v>
      </c>
      <c r="D783" s="1171"/>
      <c r="E783" s="1577" t="s">
        <v>1491</v>
      </c>
      <c r="F783" s="1256">
        <v>0</v>
      </c>
      <c r="G783" s="1256">
        <v>0</v>
      </c>
      <c r="H783" s="1256"/>
      <c r="I783" s="1256">
        <v>0</v>
      </c>
      <c r="J783" s="1256">
        <v>0</v>
      </c>
      <c r="K783" s="1217" t="s">
        <v>1492</v>
      </c>
      <c r="L783" s="1196"/>
      <c r="M783" s="1171">
        <v>2</v>
      </c>
      <c r="N783" s="1171">
        <v>2</v>
      </c>
      <c r="O783" s="1171">
        <v>2</v>
      </c>
      <c r="P783" s="1171">
        <v>2</v>
      </c>
      <c r="Q783" s="1171">
        <v>2</v>
      </c>
    </row>
    <row r="784" spans="1:17" ht="75" x14ac:dyDescent="0.25">
      <c r="A784" s="1170"/>
      <c r="B784" s="1248"/>
      <c r="C784" s="1171">
        <v>11</v>
      </c>
      <c r="D784" s="1171"/>
      <c r="E784" s="1577" t="s">
        <v>1493</v>
      </c>
      <c r="F784" s="1256">
        <v>0</v>
      </c>
      <c r="G784" s="1256">
        <v>0</v>
      </c>
      <c r="H784" s="1256"/>
      <c r="I784" s="1256">
        <v>0</v>
      </c>
      <c r="J784" s="1256">
        <v>0</v>
      </c>
      <c r="K784" s="1217" t="s">
        <v>1494</v>
      </c>
      <c r="L784" s="1171" t="s">
        <v>179</v>
      </c>
      <c r="M784" s="1171">
        <v>4</v>
      </c>
      <c r="N784" s="1171">
        <v>4</v>
      </c>
      <c r="O784" s="1171">
        <v>4</v>
      </c>
      <c r="P784" s="1171">
        <v>4</v>
      </c>
      <c r="Q784" s="1171">
        <v>4</v>
      </c>
    </row>
    <row r="785" spans="1:17" x14ac:dyDescent="0.25">
      <c r="A785" s="1642"/>
      <c r="B785" s="1361"/>
      <c r="C785" s="1639">
        <v>12</v>
      </c>
      <c r="D785" s="1639"/>
      <c r="E785" s="2171" t="s">
        <v>1495</v>
      </c>
      <c r="F785" s="2166">
        <v>0</v>
      </c>
      <c r="G785" s="2166">
        <v>0</v>
      </c>
      <c r="H785" s="2179"/>
      <c r="I785" s="2166">
        <v>0</v>
      </c>
      <c r="J785" s="2166">
        <v>0</v>
      </c>
      <c r="K785" s="1217" t="s">
        <v>1496</v>
      </c>
      <c r="L785" s="1171" t="s">
        <v>1334</v>
      </c>
      <c r="M785" s="1171">
        <v>7981</v>
      </c>
      <c r="N785" s="1171">
        <v>7741.6</v>
      </c>
      <c r="O785" s="1171">
        <v>7509.4</v>
      </c>
      <c r="P785" s="1171">
        <v>7284</v>
      </c>
      <c r="Q785" s="1171">
        <v>7065</v>
      </c>
    </row>
    <row r="786" spans="1:17" x14ac:dyDescent="0.25">
      <c r="A786" s="1643"/>
      <c r="B786" s="1191"/>
      <c r="C786" s="2032"/>
      <c r="D786" s="2032"/>
      <c r="E786" s="2171"/>
      <c r="F786" s="2178"/>
      <c r="G786" s="2178"/>
      <c r="H786" s="2179"/>
      <c r="I786" s="2178"/>
      <c r="J786" s="2178"/>
      <c r="K786" s="1217" t="s">
        <v>1497</v>
      </c>
      <c r="L786" s="1171" t="s">
        <v>825</v>
      </c>
      <c r="M786" s="1171">
        <v>5615</v>
      </c>
      <c r="N786" s="1171">
        <v>5783</v>
      </c>
      <c r="O786" s="1171">
        <v>5957</v>
      </c>
      <c r="P786" s="1171">
        <v>6135</v>
      </c>
      <c r="Q786" s="1171">
        <v>6319.8</v>
      </c>
    </row>
    <row r="787" spans="1:17" x14ac:dyDescent="0.25">
      <c r="A787" s="1643"/>
      <c r="B787" s="1191"/>
      <c r="C787" s="2032"/>
      <c r="D787" s="2032"/>
      <c r="E787" s="2171"/>
      <c r="F787" s="2178"/>
      <c r="G787" s="2178"/>
      <c r="H787" s="2179"/>
      <c r="I787" s="2178"/>
      <c r="J787" s="2178"/>
      <c r="K787" s="1217" t="s">
        <v>1498</v>
      </c>
      <c r="L787" s="1171" t="s">
        <v>1334</v>
      </c>
      <c r="M787" s="1171">
        <v>5521</v>
      </c>
      <c r="N787" s="1171">
        <v>5355</v>
      </c>
      <c r="O787" s="1171">
        <v>5194</v>
      </c>
      <c r="P787" s="1171">
        <v>5038.8999999999996</v>
      </c>
      <c r="Q787" s="1171">
        <v>4887.7</v>
      </c>
    </row>
    <row r="788" spans="1:17" x14ac:dyDescent="0.25">
      <c r="A788" s="1644"/>
      <c r="B788" s="1159"/>
      <c r="C788" s="1640"/>
      <c r="D788" s="1640"/>
      <c r="E788" s="2171"/>
      <c r="F788" s="2167"/>
      <c r="G788" s="2167"/>
      <c r="H788" s="2179"/>
      <c r="I788" s="2167"/>
      <c r="J788" s="2167"/>
      <c r="K788" s="1217" t="s">
        <v>1499</v>
      </c>
      <c r="L788" s="1171" t="s">
        <v>825</v>
      </c>
      <c r="M788" s="1171">
        <v>3347</v>
      </c>
      <c r="N788" s="1171">
        <v>3447</v>
      </c>
      <c r="O788" s="1171">
        <v>3550.8</v>
      </c>
      <c r="P788" s="1171">
        <v>3657</v>
      </c>
      <c r="Q788" s="1171">
        <v>3767</v>
      </c>
    </row>
    <row r="789" spans="1:17" x14ac:dyDescent="0.25">
      <c r="A789" s="1642"/>
      <c r="B789" s="1361"/>
      <c r="C789" s="1669" t="s">
        <v>23</v>
      </c>
      <c r="D789" s="1669"/>
      <c r="E789" s="2148" t="s">
        <v>1500</v>
      </c>
      <c r="F789" s="2166">
        <v>0</v>
      </c>
      <c r="G789" s="2166">
        <v>0</v>
      </c>
      <c r="H789" s="2166"/>
      <c r="I789" s="2166">
        <v>0</v>
      </c>
      <c r="J789" s="2166">
        <v>0</v>
      </c>
      <c r="K789" s="1217" t="s">
        <v>1501</v>
      </c>
      <c r="L789" s="228" t="s">
        <v>825</v>
      </c>
      <c r="M789" s="1171">
        <v>0</v>
      </c>
      <c r="N789" s="1171">
        <v>0</v>
      </c>
      <c r="O789" s="1171">
        <v>1</v>
      </c>
      <c r="P789" s="1171">
        <v>0</v>
      </c>
      <c r="Q789" s="1171">
        <v>0</v>
      </c>
    </row>
    <row r="790" spans="1:17" x14ac:dyDescent="0.25">
      <c r="A790" s="1644"/>
      <c r="B790" s="1159"/>
      <c r="C790" s="1670"/>
      <c r="D790" s="1670"/>
      <c r="E790" s="2148"/>
      <c r="F790" s="2167"/>
      <c r="G790" s="2167"/>
      <c r="H790" s="2167"/>
      <c r="I790" s="2167"/>
      <c r="J790" s="2167"/>
      <c r="K790" s="1217" t="s">
        <v>1502</v>
      </c>
      <c r="L790" s="228" t="s">
        <v>1503</v>
      </c>
      <c r="M790" s="1171">
        <v>0</v>
      </c>
      <c r="N790" s="1171">
        <v>0</v>
      </c>
      <c r="O790" s="1171">
        <v>0</v>
      </c>
      <c r="P790" s="1171">
        <v>330</v>
      </c>
      <c r="Q790" s="1171">
        <v>0</v>
      </c>
    </row>
    <row r="791" spans="1:17" ht="45" x14ac:dyDescent="0.25">
      <c r="A791" s="1170"/>
      <c r="B791" s="1248"/>
      <c r="C791" s="1171">
        <v>14</v>
      </c>
      <c r="D791" s="1171"/>
      <c r="E791" s="1577" t="s">
        <v>1504</v>
      </c>
      <c r="F791" s="1256">
        <v>2133.8000000000002</v>
      </c>
      <c r="G791" s="1256">
        <v>2470.9</v>
      </c>
      <c r="H791" s="1256">
        <v>2984.1000000000004</v>
      </c>
      <c r="I791" s="1256">
        <v>2984.1000000000004</v>
      </c>
      <c r="J791" s="1256">
        <v>2984.1000000000004</v>
      </c>
      <c r="K791" s="1217" t="s">
        <v>1505</v>
      </c>
      <c r="L791" s="1196" t="s">
        <v>180</v>
      </c>
      <c r="M791" s="1171">
        <v>1111</v>
      </c>
      <c r="N791" s="1171">
        <v>1220</v>
      </c>
      <c r="O791" s="1171">
        <v>1340</v>
      </c>
      <c r="P791" s="1171">
        <v>1470</v>
      </c>
      <c r="Q791" s="1171">
        <v>1610</v>
      </c>
    </row>
    <row r="792" spans="1:17" ht="118.5" x14ac:dyDescent="0.25">
      <c r="A792" s="656">
        <v>38</v>
      </c>
      <c r="B792" s="657">
        <v>3</v>
      </c>
      <c r="C792" s="658"/>
      <c r="D792" s="658"/>
      <c r="E792" s="1212" t="s">
        <v>1506</v>
      </c>
      <c r="F792" s="659">
        <v>487111.5</v>
      </c>
      <c r="G792" s="659">
        <v>525581.39999999991</v>
      </c>
      <c r="H792" s="660">
        <f>H793+H798+H799+H802+H805+H808+H809</f>
        <v>767053.79999999993</v>
      </c>
      <c r="I792" s="659">
        <v>551071.80000000005</v>
      </c>
      <c r="J792" s="659">
        <v>552252.30000000005</v>
      </c>
      <c r="K792" s="1205"/>
      <c r="L792" s="1171"/>
      <c r="M792" s="1171"/>
      <c r="N792" s="1171"/>
      <c r="O792" s="1171"/>
      <c r="P792" s="1171"/>
      <c r="Q792" s="1171"/>
    </row>
    <row r="793" spans="1:17" ht="30" x14ac:dyDescent="0.25">
      <c r="A793" s="1642"/>
      <c r="B793" s="1637"/>
      <c r="C793" s="1669" t="s">
        <v>4</v>
      </c>
      <c r="D793" s="1639"/>
      <c r="E793" s="1791" t="s">
        <v>1507</v>
      </c>
      <c r="F793" s="2172">
        <v>40612.6</v>
      </c>
      <c r="G793" s="2172">
        <v>48539.1</v>
      </c>
      <c r="H793" s="2175">
        <v>41592.400000000001</v>
      </c>
      <c r="I793" s="2172">
        <v>48539.099999999991</v>
      </c>
      <c r="J793" s="2172">
        <v>48539.099999999991</v>
      </c>
      <c r="K793" s="1217" t="s">
        <v>1508</v>
      </c>
      <c r="L793" s="717" t="s">
        <v>178</v>
      </c>
      <c r="M793" s="12">
        <v>0</v>
      </c>
      <c r="N793" s="12">
        <v>1</v>
      </c>
      <c r="O793" s="12">
        <v>1</v>
      </c>
      <c r="P793" s="12">
        <v>1</v>
      </c>
      <c r="Q793" s="12">
        <v>1</v>
      </c>
    </row>
    <row r="794" spans="1:17" ht="30" x14ac:dyDescent="0.25">
      <c r="A794" s="1643"/>
      <c r="B794" s="1641"/>
      <c r="C794" s="1690"/>
      <c r="D794" s="2032"/>
      <c r="E794" s="1791"/>
      <c r="F794" s="2173"/>
      <c r="G794" s="2173"/>
      <c r="H794" s="2176"/>
      <c r="I794" s="2173"/>
      <c r="J794" s="2173"/>
      <c r="K794" s="1217" t="s">
        <v>1509</v>
      </c>
      <c r="L794" s="717" t="s">
        <v>1334</v>
      </c>
      <c r="M794" s="12">
        <v>0</v>
      </c>
      <c r="N794" s="12">
        <v>10</v>
      </c>
      <c r="O794" s="12">
        <v>10</v>
      </c>
      <c r="P794" s="12">
        <v>10</v>
      </c>
      <c r="Q794" s="12">
        <v>10</v>
      </c>
    </row>
    <row r="795" spans="1:17" ht="30" x14ac:dyDescent="0.25">
      <c r="A795" s="1643"/>
      <c r="B795" s="1641"/>
      <c r="C795" s="1690"/>
      <c r="D795" s="2032"/>
      <c r="E795" s="1791"/>
      <c r="F795" s="2173"/>
      <c r="G795" s="2173"/>
      <c r="H795" s="2176"/>
      <c r="I795" s="2173"/>
      <c r="J795" s="2173"/>
      <c r="K795" s="1217" t="s">
        <v>1510</v>
      </c>
      <c r="L795" s="228" t="s">
        <v>1511</v>
      </c>
      <c r="M795" s="12">
        <v>0</v>
      </c>
      <c r="N795" s="12">
        <v>0</v>
      </c>
      <c r="O795" s="12">
        <v>28</v>
      </c>
      <c r="P795" s="12">
        <v>0</v>
      </c>
      <c r="Q795" s="12">
        <v>0</v>
      </c>
    </row>
    <row r="796" spans="1:17" x14ac:dyDescent="0.25">
      <c r="A796" s="1643"/>
      <c r="B796" s="1641"/>
      <c r="C796" s="1690"/>
      <c r="D796" s="2032"/>
      <c r="E796" s="1791"/>
      <c r="F796" s="2173"/>
      <c r="G796" s="2173"/>
      <c r="H796" s="2176"/>
      <c r="I796" s="2173"/>
      <c r="J796" s="2173"/>
      <c r="K796" s="1632" t="s">
        <v>1512</v>
      </c>
      <c r="L796" s="717" t="s">
        <v>825</v>
      </c>
      <c r="M796" s="12">
        <v>0</v>
      </c>
      <c r="N796" s="12">
        <v>14</v>
      </c>
      <c r="O796" s="12">
        <v>0</v>
      </c>
      <c r="P796" s="12">
        <v>0</v>
      </c>
      <c r="Q796" s="12">
        <v>0</v>
      </c>
    </row>
    <row r="797" spans="1:17" ht="30" x14ac:dyDescent="0.25">
      <c r="A797" s="1644"/>
      <c r="B797" s="1638"/>
      <c r="C797" s="1670"/>
      <c r="D797" s="1640"/>
      <c r="E797" s="1791"/>
      <c r="F797" s="2174"/>
      <c r="G797" s="2174"/>
      <c r="H797" s="2177"/>
      <c r="I797" s="2174"/>
      <c r="J797" s="2174"/>
      <c r="K797" s="1632"/>
      <c r="L797" s="228" t="s">
        <v>1511</v>
      </c>
      <c r="M797" s="12">
        <v>0</v>
      </c>
      <c r="N797" s="12">
        <v>14</v>
      </c>
      <c r="O797" s="12">
        <v>0</v>
      </c>
      <c r="P797" s="12">
        <v>0</v>
      </c>
      <c r="Q797" s="12">
        <v>0</v>
      </c>
    </row>
    <row r="798" spans="1:17" ht="30" x14ac:dyDescent="0.25">
      <c r="A798" s="1158"/>
      <c r="B798" s="1159"/>
      <c r="C798" s="1112" t="s">
        <v>5</v>
      </c>
      <c r="D798" s="1114"/>
      <c r="E798" s="1217" t="s">
        <v>1513</v>
      </c>
      <c r="F798" s="1255">
        <v>12620</v>
      </c>
      <c r="G798" s="1255">
        <v>11181</v>
      </c>
      <c r="H798" s="1255">
        <f>10384.3</f>
        <v>10384.299999999999</v>
      </c>
      <c r="I798" s="1255">
        <v>11181</v>
      </c>
      <c r="J798" s="1255">
        <v>11181</v>
      </c>
      <c r="K798" s="1212" t="s">
        <v>1514</v>
      </c>
      <c r="L798" s="717" t="s">
        <v>1334</v>
      </c>
      <c r="M798" s="12">
        <v>905</v>
      </c>
      <c r="N798" s="12">
        <v>550</v>
      </c>
      <c r="O798" s="12">
        <v>600</v>
      </c>
      <c r="P798" s="12">
        <v>600</v>
      </c>
      <c r="Q798" s="12">
        <v>600</v>
      </c>
    </row>
    <row r="799" spans="1:17" x14ac:dyDescent="0.25">
      <c r="A799" s="1642"/>
      <c r="B799" s="1637"/>
      <c r="C799" s="1669" t="s">
        <v>7</v>
      </c>
      <c r="D799" s="1639"/>
      <c r="E799" s="1791" t="s">
        <v>1515</v>
      </c>
      <c r="F799" s="2172">
        <v>341861.7</v>
      </c>
      <c r="G799" s="2172">
        <v>365561.3</v>
      </c>
      <c r="H799" s="2175">
        <f>466331.7+12770.2</f>
        <v>479101.9</v>
      </c>
      <c r="I799" s="2172">
        <v>382341.7</v>
      </c>
      <c r="J799" s="2172">
        <v>383022.2</v>
      </c>
      <c r="K799" s="1212" t="s">
        <v>1516</v>
      </c>
      <c r="L799" s="717" t="s">
        <v>1334</v>
      </c>
      <c r="M799" s="661">
        <v>2186</v>
      </c>
      <c r="N799" s="661">
        <v>2561</v>
      </c>
      <c r="O799" s="661">
        <v>2561</v>
      </c>
      <c r="P799" s="661">
        <v>2561</v>
      </c>
      <c r="Q799" s="661">
        <v>2561</v>
      </c>
    </row>
    <row r="800" spans="1:17" ht="30" x14ac:dyDescent="0.25">
      <c r="A800" s="1643"/>
      <c r="B800" s="1641"/>
      <c r="C800" s="1690"/>
      <c r="D800" s="2032"/>
      <c r="E800" s="1791"/>
      <c r="F800" s="2173"/>
      <c r="G800" s="2173"/>
      <c r="H800" s="2176"/>
      <c r="I800" s="2173"/>
      <c r="J800" s="2173"/>
      <c r="K800" s="1212" t="s">
        <v>1517</v>
      </c>
      <c r="L800" s="717" t="s">
        <v>1518</v>
      </c>
      <c r="M800" s="662">
        <v>339010.8</v>
      </c>
      <c r="N800" s="662">
        <v>356070</v>
      </c>
      <c r="O800" s="662">
        <v>372385</v>
      </c>
      <c r="P800" s="662">
        <v>372385</v>
      </c>
      <c r="Q800" s="662">
        <v>372385</v>
      </c>
    </row>
    <row r="801" spans="1:17" ht="30" x14ac:dyDescent="0.25">
      <c r="A801" s="1644"/>
      <c r="B801" s="1638"/>
      <c r="C801" s="1670"/>
      <c r="D801" s="1640"/>
      <c r="E801" s="1791"/>
      <c r="F801" s="2174"/>
      <c r="G801" s="2174"/>
      <c r="H801" s="2177"/>
      <c r="I801" s="2174"/>
      <c r="J801" s="2174"/>
      <c r="K801" s="1212" t="s">
        <v>1519</v>
      </c>
      <c r="L801" s="717" t="s">
        <v>1518</v>
      </c>
      <c r="M801" s="663">
        <v>12.92355901189387</v>
      </c>
      <c r="N801" s="663">
        <v>11.586294416243655</v>
      </c>
      <c r="O801" s="663">
        <v>12.117174280879865</v>
      </c>
      <c r="P801" s="663">
        <v>12.117174280879865</v>
      </c>
      <c r="Q801" s="663">
        <v>12.117174280879865</v>
      </c>
    </row>
    <row r="802" spans="1:17" ht="45" x14ac:dyDescent="0.25">
      <c r="A802" s="1642"/>
      <c r="B802" s="1637"/>
      <c r="C802" s="1669" t="s">
        <v>9</v>
      </c>
      <c r="D802" s="1639"/>
      <c r="E802" s="1791" t="s">
        <v>1520</v>
      </c>
      <c r="F802" s="2172">
        <v>576.9</v>
      </c>
      <c r="G802" s="2172">
        <v>8000</v>
      </c>
      <c r="H802" s="2175">
        <v>14500</v>
      </c>
      <c r="I802" s="2172">
        <v>15000</v>
      </c>
      <c r="J802" s="2172">
        <v>15500</v>
      </c>
      <c r="K802" s="1212" t="s">
        <v>1521</v>
      </c>
      <c r="L802" s="717" t="s">
        <v>178</v>
      </c>
      <c r="M802" s="12">
        <v>5</v>
      </c>
      <c r="N802" s="12">
        <v>1</v>
      </c>
      <c r="O802" s="12">
        <v>0</v>
      </c>
      <c r="P802" s="12">
        <v>1</v>
      </c>
      <c r="Q802" s="12">
        <v>0</v>
      </c>
    </row>
    <row r="803" spans="1:17" ht="30" x14ac:dyDescent="0.25">
      <c r="A803" s="1643"/>
      <c r="B803" s="1641"/>
      <c r="C803" s="1690"/>
      <c r="D803" s="2032"/>
      <c r="E803" s="1791"/>
      <c r="F803" s="2173"/>
      <c r="G803" s="2173"/>
      <c r="H803" s="2176"/>
      <c r="I803" s="2173"/>
      <c r="J803" s="2173"/>
      <c r="K803" s="1212" t="s">
        <v>1522</v>
      </c>
      <c r="L803" s="717" t="s">
        <v>34</v>
      </c>
      <c r="M803" s="12">
        <v>500</v>
      </c>
      <c r="N803" s="12">
        <v>600</v>
      </c>
      <c r="O803" s="12">
        <v>600</v>
      </c>
      <c r="P803" s="12">
        <v>600</v>
      </c>
      <c r="Q803" s="12">
        <v>500</v>
      </c>
    </row>
    <row r="804" spans="1:17" ht="45" x14ac:dyDescent="0.25">
      <c r="A804" s="1644"/>
      <c r="B804" s="1638"/>
      <c r="C804" s="1670"/>
      <c r="D804" s="1640"/>
      <c r="E804" s="1791"/>
      <c r="F804" s="2174"/>
      <c r="G804" s="2174"/>
      <c r="H804" s="2177"/>
      <c r="I804" s="2174"/>
      <c r="J804" s="2174"/>
      <c r="K804" s="1212" t="s">
        <v>1523</v>
      </c>
      <c r="L804" s="717" t="s">
        <v>34</v>
      </c>
      <c r="M804" s="12">
        <v>400</v>
      </c>
      <c r="N804" s="12">
        <v>500</v>
      </c>
      <c r="O804" s="12">
        <v>500</v>
      </c>
      <c r="P804" s="12">
        <v>600</v>
      </c>
      <c r="Q804" s="12">
        <v>600</v>
      </c>
    </row>
    <row r="805" spans="1:17" ht="30" x14ac:dyDescent="0.25">
      <c r="A805" s="1642"/>
      <c r="B805" s="1637"/>
      <c r="C805" s="1669" t="s">
        <v>11</v>
      </c>
      <c r="D805" s="1639"/>
      <c r="E805" s="1791" t="s">
        <v>1524</v>
      </c>
      <c r="F805" s="2163">
        <v>67287.399999999994</v>
      </c>
      <c r="G805" s="2163">
        <v>67300</v>
      </c>
      <c r="H805" s="2163">
        <v>113668.5</v>
      </c>
      <c r="I805" s="2163">
        <v>69010</v>
      </c>
      <c r="J805" s="2163">
        <v>69010</v>
      </c>
      <c r="K805" s="1212" t="s">
        <v>1525</v>
      </c>
      <c r="L805" s="717" t="s">
        <v>825</v>
      </c>
      <c r="M805" s="661">
        <v>821</v>
      </c>
      <c r="N805" s="661">
        <v>1011</v>
      </c>
      <c r="O805" s="661">
        <v>1062</v>
      </c>
      <c r="P805" s="661">
        <v>1115</v>
      </c>
      <c r="Q805" s="661">
        <v>1170</v>
      </c>
    </row>
    <row r="806" spans="1:17" x14ac:dyDescent="0.25">
      <c r="A806" s="1643"/>
      <c r="B806" s="1641"/>
      <c r="C806" s="1690"/>
      <c r="D806" s="2032"/>
      <c r="E806" s="1791"/>
      <c r="F806" s="2164"/>
      <c r="G806" s="2164"/>
      <c r="H806" s="2164"/>
      <c r="I806" s="2164"/>
      <c r="J806" s="2164"/>
      <c r="K806" s="1212" t="s">
        <v>1526</v>
      </c>
      <c r="L806" s="717" t="s">
        <v>1334</v>
      </c>
      <c r="M806" s="12">
        <v>0</v>
      </c>
      <c r="N806" s="12">
        <v>3</v>
      </c>
      <c r="O806" s="12">
        <v>3</v>
      </c>
      <c r="P806" s="12">
        <v>3</v>
      </c>
      <c r="Q806" s="12">
        <v>3</v>
      </c>
    </row>
    <row r="807" spans="1:17" ht="45" x14ac:dyDescent="0.25">
      <c r="A807" s="1644"/>
      <c r="B807" s="1638"/>
      <c r="C807" s="1670"/>
      <c r="D807" s="1640"/>
      <c r="E807" s="1791"/>
      <c r="F807" s="2165"/>
      <c r="G807" s="2165"/>
      <c r="H807" s="2165"/>
      <c r="I807" s="2165"/>
      <c r="J807" s="2165"/>
      <c r="K807" s="1212" t="s">
        <v>1527</v>
      </c>
      <c r="L807" s="717" t="s">
        <v>825</v>
      </c>
      <c r="M807" s="661">
        <v>13534</v>
      </c>
      <c r="N807" s="661">
        <v>13000</v>
      </c>
      <c r="O807" s="661">
        <v>13050</v>
      </c>
      <c r="P807" s="661">
        <v>13100</v>
      </c>
      <c r="Q807" s="661">
        <v>13300</v>
      </c>
    </row>
    <row r="808" spans="1:17" ht="45" x14ac:dyDescent="0.25">
      <c r="A808" s="1170"/>
      <c r="B808" s="1248"/>
      <c r="C808" s="1117" t="s">
        <v>13</v>
      </c>
      <c r="D808" s="1171"/>
      <c r="E808" s="1212" t="s">
        <v>1528</v>
      </c>
      <c r="F808" s="655">
        <v>24152.9</v>
      </c>
      <c r="G808" s="655">
        <v>25000</v>
      </c>
      <c r="H808" s="655">
        <v>93323.7</v>
      </c>
      <c r="I808" s="655">
        <v>25000</v>
      </c>
      <c r="J808" s="655">
        <v>25000</v>
      </c>
      <c r="K808" s="1212" t="s">
        <v>1529</v>
      </c>
      <c r="L808" s="717" t="s">
        <v>1334</v>
      </c>
      <c r="M808" s="661">
        <v>1853</v>
      </c>
      <c r="N808" s="661">
        <v>2114</v>
      </c>
      <c r="O808" s="661">
        <v>2219</v>
      </c>
      <c r="P808" s="661">
        <v>2330</v>
      </c>
      <c r="Q808" s="661">
        <v>2447</v>
      </c>
    </row>
    <row r="809" spans="1:17" ht="30" x14ac:dyDescent="0.25">
      <c r="A809" s="1170"/>
      <c r="B809" s="1248"/>
      <c r="C809" s="1117" t="s">
        <v>15</v>
      </c>
      <c r="D809" s="1171"/>
      <c r="E809" s="1212" t="s">
        <v>1530</v>
      </c>
      <c r="F809" s="655"/>
      <c r="G809" s="655"/>
      <c r="H809" s="655">
        <v>14483</v>
      </c>
      <c r="I809" s="655"/>
      <c r="J809" s="655"/>
      <c r="K809" s="1205"/>
      <c r="L809" s="1171"/>
      <c r="M809" s="661"/>
      <c r="N809" s="661"/>
      <c r="O809" s="661"/>
      <c r="P809" s="661"/>
      <c r="Q809" s="661"/>
    </row>
    <row r="810" spans="1:17" ht="148.5" x14ac:dyDescent="0.25">
      <c r="A810" s="1115">
        <v>38</v>
      </c>
      <c r="B810" s="1297">
        <v>4</v>
      </c>
      <c r="C810" s="59"/>
      <c r="D810" s="59"/>
      <c r="E810" s="1195" t="s">
        <v>3108</v>
      </c>
      <c r="F810" s="654">
        <v>1246087.1000000001</v>
      </c>
      <c r="G810" s="654">
        <v>1212037.5</v>
      </c>
      <c r="H810" s="654">
        <f>H811+H812+H813+H814+H815</f>
        <v>1140751.1000000001</v>
      </c>
      <c r="I810" s="654">
        <v>1088297</v>
      </c>
      <c r="J810" s="654">
        <v>1060214.8999999999</v>
      </c>
      <c r="K810" s="65"/>
      <c r="L810" s="1171"/>
      <c r="M810" s="1171"/>
      <c r="N810" s="1171"/>
      <c r="O810" s="1171"/>
      <c r="P810" s="1171"/>
      <c r="Q810" s="1171"/>
    </row>
    <row r="811" spans="1:17" ht="45" x14ac:dyDescent="0.25">
      <c r="A811" s="1170"/>
      <c r="B811" s="1248"/>
      <c r="C811" s="1117" t="s">
        <v>4</v>
      </c>
      <c r="D811" s="1117"/>
      <c r="E811" s="1212" t="s">
        <v>1531</v>
      </c>
      <c r="F811" s="655">
        <v>1113244.6000000001</v>
      </c>
      <c r="G811" s="655">
        <v>1133700.5</v>
      </c>
      <c r="H811" s="655">
        <v>1088549.1000000001</v>
      </c>
      <c r="I811" s="655">
        <v>1036879.3</v>
      </c>
      <c r="J811" s="655">
        <v>1014626.8</v>
      </c>
      <c r="K811" s="1212" t="s">
        <v>1532</v>
      </c>
      <c r="L811" s="717" t="s">
        <v>40</v>
      </c>
      <c r="M811" s="664" t="s">
        <v>181</v>
      </c>
      <c r="N811" s="664" t="s">
        <v>181</v>
      </c>
      <c r="O811" s="664" t="s">
        <v>181</v>
      </c>
      <c r="P811" s="664" t="s">
        <v>181</v>
      </c>
      <c r="Q811" s="664" t="s">
        <v>181</v>
      </c>
    </row>
    <row r="812" spans="1:17" ht="45" x14ac:dyDescent="0.25">
      <c r="A812" s="1170"/>
      <c r="B812" s="1248"/>
      <c r="C812" s="1117" t="s">
        <v>5</v>
      </c>
      <c r="D812" s="1117"/>
      <c r="E812" s="1212" t="s">
        <v>1533</v>
      </c>
      <c r="F812" s="655">
        <v>613.5</v>
      </c>
      <c r="G812" s="655">
        <v>560.70000000000005</v>
      </c>
      <c r="H812" s="655">
        <v>374.1</v>
      </c>
      <c r="I812" s="655">
        <v>310.39999999999998</v>
      </c>
      <c r="J812" s="655">
        <v>253</v>
      </c>
      <c r="K812" s="1212" t="s">
        <v>1534</v>
      </c>
      <c r="L812" s="717" t="s">
        <v>40</v>
      </c>
      <c r="M812" s="664" t="s">
        <v>182</v>
      </c>
      <c r="N812" s="664" t="s">
        <v>182</v>
      </c>
      <c r="O812" s="664" t="s">
        <v>182</v>
      </c>
      <c r="P812" s="664" t="s">
        <v>182</v>
      </c>
      <c r="Q812" s="664" t="s">
        <v>182</v>
      </c>
    </row>
    <row r="813" spans="1:17" ht="45" x14ac:dyDescent="0.25">
      <c r="A813" s="1170"/>
      <c r="B813" s="1248"/>
      <c r="C813" s="1117" t="s">
        <v>7</v>
      </c>
      <c r="D813" s="1117"/>
      <c r="E813" s="1212" t="s">
        <v>1535</v>
      </c>
      <c r="F813" s="655">
        <v>48160.1</v>
      </c>
      <c r="G813" s="655">
        <v>38505.599999999999</v>
      </c>
      <c r="H813" s="655">
        <v>26976.2</v>
      </c>
      <c r="I813" s="655">
        <v>22672.1</v>
      </c>
      <c r="J813" s="655">
        <v>18978.599999999999</v>
      </c>
      <c r="K813" s="1212" t="s">
        <v>1536</v>
      </c>
      <c r="L813" s="717" t="s">
        <v>40</v>
      </c>
      <c r="M813" s="664" t="s">
        <v>183</v>
      </c>
      <c r="N813" s="664" t="s">
        <v>183</v>
      </c>
      <c r="O813" s="664" t="s">
        <v>183</v>
      </c>
      <c r="P813" s="664" t="s">
        <v>183</v>
      </c>
      <c r="Q813" s="664" t="s">
        <v>183</v>
      </c>
    </row>
    <row r="814" spans="1:17" ht="30" x14ac:dyDescent="0.25">
      <c r="A814" s="1170"/>
      <c r="B814" s="1248"/>
      <c r="C814" s="1117" t="s">
        <v>9</v>
      </c>
      <c r="D814" s="1117"/>
      <c r="E814" s="1212" t="s">
        <v>1537</v>
      </c>
      <c r="F814" s="655">
        <v>72683.399999999994</v>
      </c>
      <c r="G814" s="655">
        <v>20608.900000000001</v>
      </c>
      <c r="H814" s="655">
        <v>12326.2</v>
      </c>
      <c r="I814" s="655">
        <v>9773.4</v>
      </c>
      <c r="J814" s="655">
        <v>7694.7</v>
      </c>
      <c r="K814" s="1212" t="s">
        <v>1538</v>
      </c>
      <c r="L814" s="717" t="s">
        <v>40</v>
      </c>
      <c r="M814" s="664">
        <v>3000</v>
      </c>
      <c r="N814" s="664">
        <v>3000</v>
      </c>
      <c r="O814" s="664">
        <v>3000</v>
      </c>
      <c r="P814" s="664">
        <v>3000</v>
      </c>
      <c r="Q814" s="664">
        <v>3000</v>
      </c>
    </row>
    <row r="815" spans="1:17" ht="30" x14ac:dyDescent="0.25">
      <c r="A815" s="1170"/>
      <c r="B815" s="1248"/>
      <c r="C815" s="1117" t="s">
        <v>11</v>
      </c>
      <c r="D815" s="1117"/>
      <c r="E815" s="1212" t="s">
        <v>1539</v>
      </c>
      <c r="F815" s="655">
        <v>11385.5</v>
      </c>
      <c r="G815" s="655">
        <v>18661.8</v>
      </c>
      <c r="H815" s="655">
        <v>12525.5</v>
      </c>
      <c r="I815" s="655">
        <v>18661.8</v>
      </c>
      <c r="J815" s="655">
        <v>18661.8</v>
      </c>
      <c r="K815" s="1212" t="s">
        <v>1540</v>
      </c>
      <c r="L815" s="717" t="s">
        <v>34</v>
      </c>
      <c r="M815" s="665">
        <v>24</v>
      </c>
      <c r="N815" s="665">
        <v>23.4</v>
      </c>
      <c r="O815" s="665">
        <v>20.9</v>
      </c>
      <c r="P815" s="665">
        <v>50</v>
      </c>
      <c r="Q815" s="665">
        <v>46.8</v>
      </c>
    </row>
    <row r="816" spans="1:17" ht="209.25" x14ac:dyDescent="0.25">
      <c r="A816" s="1115">
        <v>38</v>
      </c>
      <c r="B816" s="1297">
        <v>5</v>
      </c>
      <c r="C816" s="59"/>
      <c r="D816" s="59"/>
      <c r="E816" s="1195" t="s">
        <v>1541</v>
      </c>
      <c r="F816" s="654">
        <v>444320.7</v>
      </c>
      <c r="G816" s="654">
        <v>678529.60000000009</v>
      </c>
      <c r="H816" s="654">
        <f>H817+H818+H819+H820+H821+H823+H824</f>
        <v>456663.5</v>
      </c>
      <c r="I816" s="654">
        <v>676180.9</v>
      </c>
      <c r="J816" s="654">
        <v>726180.9</v>
      </c>
      <c r="K816" s="65"/>
      <c r="L816" s="1171"/>
      <c r="M816" s="1171"/>
      <c r="N816" s="1171"/>
      <c r="O816" s="1171"/>
      <c r="P816" s="1171"/>
      <c r="Q816" s="1171"/>
    </row>
    <row r="817" spans="1:17" ht="45" x14ac:dyDescent="0.25">
      <c r="A817" s="1158"/>
      <c r="B817" s="1159"/>
      <c r="C817" s="1112" t="s">
        <v>4</v>
      </c>
      <c r="D817" s="1112"/>
      <c r="E817" s="1212" t="s">
        <v>3109</v>
      </c>
      <c r="F817" s="2163">
        <v>78011.199999999997</v>
      </c>
      <c r="G817" s="1253">
        <v>5087.2</v>
      </c>
      <c r="H817" s="1253">
        <v>5046.6000000000004</v>
      </c>
      <c r="I817" s="1253">
        <v>5046.6000000000004</v>
      </c>
      <c r="J817" s="1253">
        <v>5046.6000000000004</v>
      </c>
      <c r="K817" s="1212" t="s">
        <v>1542</v>
      </c>
      <c r="L817" s="717" t="s">
        <v>1518</v>
      </c>
      <c r="M817" s="666">
        <v>0.04</v>
      </c>
      <c r="N817" s="667">
        <v>1.7</v>
      </c>
      <c r="O817" s="667">
        <v>5</v>
      </c>
      <c r="P817" s="667">
        <v>5.2</v>
      </c>
      <c r="Q817" s="667">
        <v>5.4</v>
      </c>
    </row>
    <row r="818" spans="1:17" ht="45" x14ac:dyDescent="0.25">
      <c r="A818" s="1158"/>
      <c r="B818" s="1159"/>
      <c r="C818" s="1112" t="s">
        <v>5</v>
      </c>
      <c r="D818" s="1112"/>
      <c r="E818" s="1212" t="s">
        <v>1543</v>
      </c>
      <c r="F818" s="2164"/>
      <c r="G818" s="1253">
        <v>36931.599999999999</v>
      </c>
      <c r="H818" s="1253">
        <v>38083.199999999997</v>
      </c>
      <c r="I818" s="1253">
        <v>37098.1</v>
      </c>
      <c r="J818" s="1253">
        <v>37098.1</v>
      </c>
      <c r="K818" s="1212" t="s">
        <v>1544</v>
      </c>
      <c r="L818" s="717" t="s">
        <v>34</v>
      </c>
      <c r="M818" s="667">
        <v>68</v>
      </c>
      <c r="N818" s="667">
        <v>70</v>
      </c>
      <c r="O818" s="667">
        <v>70</v>
      </c>
      <c r="P818" s="667">
        <v>70</v>
      </c>
      <c r="Q818" s="667">
        <v>70</v>
      </c>
    </row>
    <row r="819" spans="1:17" ht="30" x14ac:dyDescent="0.25">
      <c r="A819" s="1158"/>
      <c r="B819" s="1159"/>
      <c r="C819" s="1112" t="s">
        <v>7</v>
      </c>
      <c r="D819" s="1112"/>
      <c r="E819" s="1212" t="s">
        <v>1545</v>
      </c>
      <c r="F819" s="2165"/>
      <c r="G819" s="1253">
        <v>44909.4</v>
      </c>
      <c r="H819" s="1253">
        <v>49296.3</v>
      </c>
      <c r="I819" s="1253">
        <v>44546.700000000004</v>
      </c>
      <c r="J819" s="1253">
        <v>44546.700000000004</v>
      </c>
      <c r="K819" s="1212" t="s">
        <v>1546</v>
      </c>
      <c r="L819" s="717" t="s">
        <v>1518</v>
      </c>
      <c r="M819" s="667">
        <v>19.7</v>
      </c>
      <c r="N819" s="667">
        <v>20</v>
      </c>
      <c r="O819" s="667">
        <v>38</v>
      </c>
      <c r="P819" s="667">
        <v>39.9</v>
      </c>
      <c r="Q819" s="667">
        <v>41.9</v>
      </c>
    </row>
    <row r="820" spans="1:17" ht="45" x14ac:dyDescent="0.25">
      <c r="A820" s="1170"/>
      <c r="B820" s="1248"/>
      <c r="C820" s="1117" t="s">
        <v>9</v>
      </c>
      <c r="D820" s="1117"/>
      <c r="E820" s="1212" t="s">
        <v>1547</v>
      </c>
      <c r="F820" s="655"/>
      <c r="G820" s="655">
        <v>0</v>
      </c>
      <c r="H820" s="655"/>
      <c r="I820" s="655"/>
      <c r="J820" s="655"/>
      <c r="K820" s="1212" t="s">
        <v>1548</v>
      </c>
      <c r="L820" s="717" t="s">
        <v>1334</v>
      </c>
      <c r="M820" s="12">
        <v>0</v>
      </c>
      <c r="N820" s="12">
        <v>0</v>
      </c>
      <c r="O820" s="12">
        <v>210</v>
      </c>
      <c r="P820" s="12">
        <v>210</v>
      </c>
      <c r="Q820" s="12">
        <v>210</v>
      </c>
    </row>
    <row r="821" spans="1:17" ht="45" x14ac:dyDescent="0.25">
      <c r="A821" s="1642"/>
      <c r="B821" s="1637"/>
      <c r="C821" s="1669" t="s">
        <v>11</v>
      </c>
      <c r="D821" s="1639"/>
      <c r="E821" s="1791" t="s">
        <v>1549</v>
      </c>
      <c r="F821" s="2166">
        <v>25395.3</v>
      </c>
      <c r="G821" s="2166">
        <v>23902.1</v>
      </c>
      <c r="H821" s="2166">
        <v>21790.2</v>
      </c>
      <c r="I821" s="2166">
        <v>21790.2</v>
      </c>
      <c r="J821" s="2166">
        <v>21790.2</v>
      </c>
      <c r="K821" s="1212" t="s">
        <v>1550</v>
      </c>
      <c r="L821" s="717" t="s">
        <v>1518</v>
      </c>
      <c r="M821" s="663">
        <v>3.1</v>
      </c>
      <c r="N821" s="663">
        <v>3.1</v>
      </c>
      <c r="O821" s="663">
        <v>32.200000000000003</v>
      </c>
      <c r="P821" s="663">
        <v>3.2</v>
      </c>
      <c r="Q821" s="663">
        <v>3.3</v>
      </c>
    </row>
    <row r="822" spans="1:17" x14ac:dyDescent="0.25">
      <c r="A822" s="1644"/>
      <c r="B822" s="1638"/>
      <c r="C822" s="1670"/>
      <c r="D822" s="1640"/>
      <c r="E822" s="1791"/>
      <c r="F822" s="2167"/>
      <c r="G822" s="2167"/>
      <c r="H822" s="2167"/>
      <c r="I822" s="2167"/>
      <c r="J822" s="2167"/>
      <c r="K822" s="1212" t="s">
        <v>1551</v>
      </c>
      <c r="L822" s="717" t="s">
        <v>1518</v>
      </c>
      <c r="M822" s="663">
        <v>43</v>
      </c>
      <c r="N822" s="663">
        <v>45.6</v>
      </c>
      <c r="O822" s="663">
        <v>50</v>
      </c>
      <c r="P822" s="663">
        <v>50.5</v>
      </c>
      <c r="Q822" s="663">
        <v>51</v>
      </c>
    </row>
    <row r="823" spans="1:17" ht="150" x14ac:dyDescent="0.25">
      <c r="A823" s="1170"/>
      <c r="B823" s="1248"/>
      <c r="C823" s="1117" t="s">
        <v>13</v>
      </c>
      <c r="D823" s="1117"/>
      <c r="E823" s="1212" t="s">
        <v>1552</v>
      </c>
      <c r="F823" s="655"/>
      <c r="G823" s="655">
        <v>0</v>
      </c>
      <c r="H823" s="655"/>
      <c r="I823" s="655"/>
      <c r="J823" s="655"/>
      <c r="K823" s="1212" t="s">
        <v>1553</v>
      </c>
      <c r="L823" s="717" t="s">
        <v>34</v>
      </c>
      <c r="M823" s="12">
        <v>83</v>
      </c>
      <c r="N823" s="12">
        <v>89</v>
      </c>
      <c r="O823" s="12">
        <v>95</v>
      </c>
      <c r="P823" s="12">
        <v>100</v>
      </c>
      <c r="Q823" s="12">
        <v>0</v>
      </c>
    </row>
    <row r="824" spans="1:17" ht="45" x14ac:dyDescent="0.25">
      <c r="A824" s="1170"/>
      <c r="B824" s="1248"/>
      <c r="C824" s="1117" t="s">
        <v>15</v>
      </c>
      <c r="D824" s="1117"/>
      <c r="E824" s="1212" t="s">
        <v>1554</v>
      </c>
      <c r="F824" s="655">
        <v>340914.2</v>
      </c>
      <c r="G824" s="655">
        <v>567699.30000000005</v>
      </c>
      <c r="H824" s="655">
        <v>342447.2</v>
      </c>
      <c r="I824" s="655">
        <v>567699.30000000005</v>
      </c>
      <c r="J824" s="655">
        <v>617699.30000000005</v>
      </c>
      <c r="K824" s="1212" t="s">
        <v>1555</v>
      </c>
      <c r="L824" s="717" t="s">
        <v>34</v>
      </c>
      <c r="M824" s="665">
        <v>13.1</v>
      </c>
      <c r="N824" s="665">
        <v>18.3</v>
      </c>
      <c r="O824" s="665">
        <v>17.399999999999999</v>
      </c>
      <c r="P824" s="665">
        <v>16.600000000000001</v>
      </c>
      <c r="Q824" s="665">
        <v>15.8</v>
      </c>
    </row>
    <row r="825" spans="1:17" ht="165" x14ac:dyDescent="0.25">
      <c r="A825" s="1115">
        <v>38</v>
      </c>
      <c r="B825" s="1297">
        <v>6</v>
      </c>
      <c r="C825" s="59"/>
      <c r="D825" s="59"/>
      <c r="E825" s="1394" t="s">
        <v>1556</v>
      </c>
      <c r="F825" s="654">
        <v>736.5</v>
      </c>
      <c r="G825" s="654">
        <v>3560.4000000000015</v>
      </c>
      <c r="H825" s="654">
        <f>H826+H827+H829+H830+H831+H833</f>
        <v>6961.8000000000011</v>
      </c>
      <c r="I825" s="654">
        <v>4876.8999999999996</v>
      </c>
      <c r="J825" s="654">
        <v>2258.9</v>
      </c>
      <c r="K825" s="65"/>
      <c r="L825" s="1171"/>
      <c r="M825" s="1171"/>
      <c r="N825" s="1171"/>
      <c r="O825" s="1171"/>
      <c r="P825" s="1171"/>
      <c r="Q825" s="1171"/>
    </row>
    <row r="826" spans="1:17" ht="90" x14ac:dyDescent="0.25">
      <c r="A826" s="1370"/>
      <c r="B826" s="1361"/>
      <c r="C826" s="1317" t="s">
        <v>4</v>
      </c>
      <c r="D826" s="1323"/>
      <c r="E826" s="1577" t="s">
        <v>1557</v>
      </c>
      <c r="F826" s="2168">
        <v>736.5</v>
      </c>
      <c r="G826" s="2168">
        <v>3560.4000000000015</v>
      </c>
      <c r="H826" s="655">
        <v>510</v>
      </c>
      <c r="I826" s="1395">
        <v>510</v>
      </c>
      <c r="J826" s="1395">
        <v>0</v>
      </c>
      <c r="K826" s="1212" t="s">
        <v>1558</v>
      </c>
      <c r="L826" s="717" t="s">
        <v>1503</v>
      </c>
      <c r="M826" s="12">
        <v>48.3</v>
      </c>
      <c r="N826" s="12">
        <v>0</v>
      </c>
      <c r="O826" s="12">
        <v>49.5</v>
      </c>
      <c r="P826" s="12">
        <v>50.5</v>
      </c>
      <c r="Q826" s="12">
        <v>0</v>
      </c>
    </row>
    <row r="827" spans="1:17" x14ac:dyDescent="0.25">
      <c r="A827" s="1642"/>
      <c r="B827" s="1637"/>
      <c r="C827" s="1669" t="s">
        <v>5</v>
      </c>
      <c r="D827" s="1639"/>
      <c r="E827" s="2171" t="s">
        <v>1559</v>
      </c>
      <c r="F827" s="2169"/>
      <c r="G827" s="2169"/>
      <c r="H827" s="2163">
        <v>916</v>
      </c>
      <c r="I827" s="2168">
        <v>84</v>
      </c>
      <c r="J827" s="2168">
        <v>0</v>
      </c>
      <c r="K827" s="1212" t="s">
        <v>1560</v>
      </c>
      <c r="L827" s="717"/>
      <c r="M827" s="12">
        <v>0</v>
      </c>
      <c r="N827" s="12">
        <v>0</v>
      </c>
      <c r="O827" s="12">
        <v>1</v>
      </c>
      <c r="P827" s="12">
        <v>0</v>
      </c>
      <c r="Q827" s="12">
        <v>0</v>
      </c>
    </row>
    <row r="828" spans="1:17" x14ac:dyDescent="0.25">
      <c r="A828" s="1644"/>
      <c r="B828" s="1638"/>
      <c r="C828" s="1670"/>
      <c r="D828" s="1640"/>
      <c r="E828" s="2171"/>
      <c r="F828" s="2169"/>
      <c r="G828" s="2169"/>
      <c r="H828" s="2165"/>
      <c r="I828" s="2170"/>
      <c r="J828" s="2170"/>
      <c r="K828" s="1212" t="s">
        <v>1561</v>
      </c>
      <c r="L828" s="717" t="s">
        <v>1334</v>
      </c>
      <c r="M828" s="12">
        <v>0</v>
      </c>
      <c r="N828" s="12">
        <v>0</v>
      </c>
      <c r="O828" s="12">
        <v>1</v>
      </c>
      <c r="P828" s="12">
        <v>0</v>
      </c>
      <c r="Q828" s="12">
        <v>0</v>
      </c>
    </row>
    <row r="829" spans="1:17" ht="120" x14ac:dyDescent="0.25">
      <c r="A829" s="1370"/>
      <c r="B829" s="1361"/>
      <c r="C829" s="1317" t="s">
        <v>7</v>
      </c>
      <c r="D829" s="1323"/>
      <c r="E829" s="1578" t="s">
        <v>1562</v>
      </c>
      <c r="F829" s="2169"/>
      <c r="G829" s="2169"/>
      <c r="H829" s="655">
        <v>1418.1</v>
      </c>
      <c r="I829" s="1395">
        <v>0</v>
      </c>
      <c r="J829" s="1395">
        <v>0</v>
      </c>
      <c r="K829" s="1217" t="s">
        <v>1563</v>
      </c>
      <c r="L829" s="717" t="s">
        <v>184</v>
      </c>
      <c r="M829" s="12">
        <v>0</v>
      </c>
      <c r="N829" s="12">
        <v>1</v>
      </c>
      <c r="O829" s="12">
        <v>1</v>
      </c>
      <c r="P829" s="12">
        <v>1</v>
      </c>
      <c r="Q829" s="12">
        <v>0</v>
      </c>
    </row>
    <row r="830" spans="1:17" ht="45" x14ac:dyDescent="0.25">
      <c r="A830" s="1170"/>
      <c r="B830" s="1248"/>
      <c r="C830" s="1117" t="s">
        <v>9</v>
      </c>
      <c r="D830" s="1171"/>
      <c r="E830" s="1577" t="s">
        <v>1564</v>
      </c>
      <c r="F830" s="2169"/>
      <c r="G830" s="2169"/>
      <c r="H830" s="655">
        <v>1380</v>
      </c>
      <c r="I830" s="668">
        <v>0</v>
      </c>
      <c r="J830" s="668">
        <v>0</v>
      </c>
      <c r="K830" s="1212" t="s">
        <v>1565</v>
      </c>
      <c r="L830" s="717" t="s">
        <v>1503</v>
      </c>
      <c r="M830" s="12">
        <v>0</v>
      </c>
      <c r="N830" s="12">
        <v>0</v>
      </c>
      <c r="O830" s="12">
        <v>1</v>
      </c>
      <c r="P830" s="12">
        <v>0</v>
      </c>
      <c r="Q830" s="12">
        <v>0</v>
      </c>
    </row>
    <row r="831" spans="1:17" ht="60" x14ac:dyDescent="0.25">
      <c r="A831" s="1170"/>
      <c r="B831" s="1248"/>
      <c r="C831" s="1117" t="s">
        <v>11</v>
      </c>
      <c r="D831" s="1171"/>
      <c r="E831" s="1577" t="s">
        <v>1566</v>
      </c>
      <c r="F831" s="2169"/>
      <c r="G831" s="2169"/>
      <c r="H831" s="655">
        <v>1352.3000000000002</v>
      </c>
      <c r="I831" s="668">
        <v>2258.9</v>
      </c>
      <c r="J831" s="668">
        <v>2258.9</v>
      </c>
      <c r="K831" s="1217" t="s">
        <v>1567</v>
      </c>
      <c r="L831" s="717" t="s">
        <v>1503</v>
      </c>
      <c r="M831" s="12">
        <v>0</v>
      </c>
      <c r="N831" s="12">
        <v>3</v>
      </c>
      <c r="O831" s="12">
        <v>4</v>
      </c>
      <c r="P831" s="12">
        <v>0</v>
      </c>
      <c r="Q831" s="12">
        <v>0</v>
      </c>
    </row>
    <row r="832" spans="1:17" ht="60" x14ac:dyDescent="0.25">
      <c r="A832" s="1170"/>
      <c r="B832" s="1248"/>
      <c r="C832" s="1117" t="s">
        <v>13</v>
      </c>
      <c r="D832" s="1171"/>
      <c r="E832" s="1577" t="s">
        <v>1568</v>
      </c>
      <c r="F832" s="2169"/>
      <c r="G832" s="2169"/>
      <c r="H832" s="655">
        <v>0</v>
      </c>
      <c r="I832" s="668">
        <v>240</v>
      </c>
      <c r="J832" s="668">
        <v>0</v>
      </c>
      <c r="K832" s="1212" t="s">
        <v>1569</v>
      </c>
      <c r="L832" s="717" t="s">
        <v>1503</v>
      </c>
      <c r="M832" s="12">
        <v>0</v>
      </c>
      <c r="N832" s="12">
        <v>0</v>
      </c>
      <c r="O832" s="12">
        <v>1</v>
      </c>
      <c r="P832" s="12">
        <v>0</v>
      </c>
      <c r="Q832" s="12">
        <v>0</v>
      </c>
    </row>
    <row r="833" spans="1:17" ht="45" x14ac:dyDescent="0.25">
      <c r="A833" s="1170"/>
      <c r="B833" s="1248"/>
      <c r="C833" s="1117" t="s">
        <v>15</v>
      </c>
      <c r="D833" s="1171"/>
      <c r="E833" s="1577" t="s">
        <v>1570</v>
      </c>
      <c r="F833" s="2170"/>
      <c r="G833" s="2170"/>
      <c r="H833" s="655">
        <f>1384+1.4</f>
        <v>1385.4</v>
      </c>
      <c r="I833" s="668">
        <v>1784</v>
      </c>
      <c r="J833" s="668">
        <v>0</v>
      </c>
      <c r="K833" s="1217" t="s">
        <v>1571</v>
      </c>
      <c r="L833" s="717" t="s">
        <v>1334</v>
      </c>
      <c r="M833" s="12">
        <v>0</v>
      </c>
      <c r="N833" s="12">
        <v>0</v>
      </c>
      <c r="O833" s="12">
        <v>0</v>
      </c>
      <c r="P833" s="12">
        <v>0</v>
      </c>
      <c r="Q833" s="12">
        <v>0</v>
      </c>
    </row>
    <row r="834" spans="1:17" x14ac:dyDescent="0.25">
      <c r="A834" s="2062" t="s">
        <v>1572</v>
      </c>
      <c r="B834" s="2063"/>
      <c r="C834" s="2063"/>
      <c r="D834" s="2063"/>
      <c r="E834" s="2063"/>
      <c r="F834" s="71">
        <v>8416877.1999999993</v>
      </c>
      <c r="G834" s="71">
        <v>10834760.600000001</v>
      </c>
      <c r="H834" s="71">
        <f>H762+H767+H792+H810+H816+H825</f>
        <v>11093218.800000001</v>
      </c>
      <c r="I834" s="71">
        <v>10978023.6</v>
      </c>
      <c r="J834" s="71">
        <v>11123829</v>
      </c>
      <c r="K834" s="553"/>
      <c r="L834" s="554"/>
      <c r="M834" s="554"/>
      <c r="N834" s="554"/>
      <c r="O834" s="554"/>
      <c r="P834" s="554"/>
      <c r="Q834" s="554"/>
    </row>
    <row r="835" spans="1:17" ht="15.75" thickBot="1" x14ac:dyDescent="0.3">
      <c r="A835" s="1625" t="s">
        <v>1573</v>
      </c>
      <c r="B835" s="1625"/>
      <c r="C835" s="1625"/>
      <c r="D835" s="1625"/>
      <c r="E835" s="1625"/>
      <c r="F835" s="1625"/>
      <c r="G835" s="1625"/>
      <c r="H835" s="1625"/>
      <c r="I835" s="1625"/>
      <c r="J835" s="1625"/>
      <c r="K835" s="1625"/>
      <c r="L835" s="1625"/>
      <c r="M835" s="1625"/>
      <c r="N835" s="1625"/>
      <c r="O835" s="1625"/>
      <c r="P835" s="1625"/>
      <c r="Q835" s="931"/>
    </row>
    <row r="836" spans="1:17" ht="85.5" x14ac:dyDescent="0.25">
      <c r="A836" s="669">
        <v>39</v>
      </c>
      <c r="B836" s="670">
        <v>1</v>
      </c>
      <c r="C836" s="1148"/>
      <c r="D836" s="671"/>
      <c r="E836" s="178" t="s">
        <v>1574</v>
      </c>
      <c r="F836" s="673">
        <v>26707.5</v>
      </c>
      <c r="G836" s="673">
        <v>21975.399999999998</v>
      </c>
      <c r="H836" s="673">
        <f>H837+H838+H839+H840+H841+H842+H843</f>
        <v>26304.75</v>
      </c>
      <c r="I836" s="673">
        <v>21087.1</v>
      </c>
      <c r="J836" s="673">
        <v>21087.1</v>
      </c>
      <c r="K836" s="1195" t="s">
        <v>437</v>
      </c>
      <c r="L836" s="343" t="s">
        <v>34</v>
      </c>
      <c r="M836" s="674">
        <v>5.0200000000000002E-2</v>
      </c>
      <c r="N836" s="675">
        <v>4.6899999999999997E-2</v>
      </c>
      <c r="O836" s="675">
        <v>2.86E-2</v>
      </c>
      <c r="P836" s="675">
        <v>2.86E-2</v>
      </c>
      <c r="Q836" s="675">
        <v>2.86E-2</v>
      </c>
    </row>
    <row r="837" spans="1:17" x14ac:dyDescent="0.25">
      <c r="A837" s="676"/>
      <c r="B837" s="1396"/>
      <c r="C837" s="1397">
        <v>1</v>
      </c>
      <c r="D837" s="677"/>
      <c r="E837" s="1100" t="s">
        <v>393</v>
      </c>
      <c r="F837" s="1196">
        <v>4531.3999999999996</v>
      </c>
      <c r="G837" s="1196">
        <v>4487.8999999999996</v>
      </c>
      <c r="H837" s="346">
        <f>849.9+5244.9</f>
        <v>6094.7999999999993</v>
      </c>
      <c r="I837" s="346">
        <v>4405.5</v>
      </c>
      <c r="J837" s="346">
        <v>4405.5</v>
      </c>
      <c r="K837" s="1212" t="s">
        <v>976</v>
      </c>
      <c r="L837" s="1196" t="s">
        <v>35</v>
      </c>
      <c r="M837" s="1145"/>
      <c r="N837" s="1196"/>
      <c r="O837" s="1196"/>
      <c r="P837" s="1196"/>
      <c r="Q837" s="1196"/>
    </row>
    <row r="838" spans="1:17" ht="30" x14ac:dyDescent="0.25">
      <c r="A838" s="676"/>
      <c r="B838" s="1396"/>
      <c r="C838" s="1397">
        <v>2</v>
      </c>
      <c r="D838" s="677"/>
      <c r="E838" s="1302" t="s">
        <v>394</v>
      </c>
      <c r="F838" s="1196">
        <v>2139.9</v>
      </c>
      <c r="G838" s="1196">
        <v>2149.3000000000002</v>
      </c>
      <c r="H838" s="1196">
        <f>702.6+1838.7</f>
        <v>2541.3000000000002</v>
      </c>
      <c r="I838" s="1196">
        <v>2083.6999999999998</v>
      </c>
      <c r="J838" s="1196">
        <v>2083.6999999999998</v>
      </c>
      <c r="K838" s="1212" t="s">
        <v>439</v>
      </c>
      <c r="L838" s="1196" t="s">
        <v>34</v>
      </c>
      <c r="M838" s="678">
        <v>1</v>
      </c>
      <c r="N838" s="679">
        <v>1</v>
      </c>
      <c r="O838" s="679">
        <v>0</v>
      </c>
      <c r="P838" s="679">
        <v>0</v>
      </c>
      <c r="Q838" s="679">
        <v>0</v>
      </c>
    </row>
    <row r="839" spans="1:17" ht="30" x14ac:dyDescent="0.25">
      <c r="A839" s="676"/>
      <c r="B839" s="1396"/>
      <c r="C839" s="1397">
        <v>3</v>
      </c>
      <c r="D839" s="677"/>
      <c r="E839" s="1302" t="s">
        <v>395</v>
      </c>
      <c r="F839" s="1196">
        <v>1809.2</v>
      </c>
      <c r="G839" s="1196">
        <v>1799.4</v>
      </c>
      <c r="H839" s="1196">
        <f>541.1+1602.6</f>
        <v>2143.6999999999998</v>
      </c>
      <c r="I839" s="1196">
        <v>1733.8</v>
      </c>
      <c r="J839" s="1196">
        <v>1733.8</v>
      </c>
      <c r="K839" s="1212" t="s">
        <v>1575</v>
      </c>
      <c r="L839" s="1196" t="s">
        <v>34</v>
      </c>
      <c r="M839" s="678">
        <v>0</v>
      </c>
      <c r="N839" s="679">
        <v>0</v>
      </c>
      <c r="O839" s="679">
        <v>0</v>
      </c>
      <c r="P839" s="679">
        <v>0</v>
      </c>
      <c r="Q839" s="679">
        <v>0</v>
      </c>
    </row>
    <row r="840" spans="1:17" ht="30" x14ac:dyDescent="0.25">
      <c r="A840" s="676"/>
      <c r="B840" s="1396"/>
      <c r="C840" s="1397">
        <v>4</v>
      </c>
      <c r="D840" s="677"/>
      <c r="E840" s="1302" t="s">
        <v>396</v>
      </c>
      <c r="F840" s="1196">
        <v>527.29999999999995</v>
      </c>
      <c r="G840" s="1196">
        <v>527.29999999999995</v>
      </c>
      <c r="H840" s="346">
        <v>45.6</v>
      </c>
      <c r="I840" s="346">
        <v>513.79999999999995</v>
      </c>
      <c r="J840" s="346">
        <v>513.79999999999995</v>
      </c>
      <c r="K840" s="1212" t="s">
        <v>1576</v>
      </c>
      <c r="L840" s="1196" t="s">
        <v>1577</v>
      </c>
      <c r="M840" s="1145">
        <v>0</v>
      </c>
      <c r="N840" s="1196">
        <v>0</v>
      </c>
      <c r="O840" s="1196">
        <v>0</v>
      </c>
      <c r="P840" s="1196">
        <v>0</v>
      </c>
      <c r="Q840" s="1196">
        <v>0</v>
      </c>
    </row>
    <row r="841" spans="1:17" ht="30" x14ac:dyDescent="0.25">
      <c r="A841" s="676"/>
      <c r="B841" s="1396"/>
      <c r="C841" s="1397">
        <v>5</v>
      </c>
      <c r="D841" s="677"/>
      <c r="E841" s="1302" t="s">
        <v>533</v>
      </c>
      <c r="F841" s="1196">
        <v>3740.4</v>
      </c>
      <c r="G841" s="1196">
        <v>2365.8000000000002</v>
      </c>
      <c r="H841" s="346">
        <f>656.5+2482.1</f>
        <v>3138.6</v>
      </c>
      <c r="I841" s="346">
        <v>2853.9</v>
      </c>
      <c r="J841" s="346">
        <v>2853.9</v>
      </c>
      <c r="K841" s="1212" t="s">
        <v>1328</v>
      </c>
      <c r="L841" s="1196" t="s">
        <v>780</v>
      </c>
      <c r="M841" s="1145"/>
      <c r="N841" s="1196"/>
      <c r="O841" s="1196"/>
      <c r="P841" s="1196"/>
      <c r="Q841" s="1196"/>
    </row>
    <row r="842" spans="1:17" ht="45" x14ac:dyDescent="0.25">
      <c r="A842" s="676"/>
      <c r="B842" s="1396"/>
      <c r="C842" s="1397">
        <v>6</v>
      </c>
      <c r="D842" s="677"/>
      <c r="E842" s="1217" t="s">
        <v>1578</v>
      </c>
      <c r="F842" s="1196">
        <v>10139.200000000001</v>
      </c>
      <c r="G842" s="1196">
        <v>8723.9</v>
      </c>
      <c r="H842" s="1196">
        <f>2222.6+7857.45</f>
        <v>10080.049999999999</v>
      </c>
      <c r="I842" s="1196">
        <v>7650.1</v>
      </c>
      <c r="J842" s="1196">
        <v>7650.1</v>
      </c>
      <c r="K842" s="1212" t="s">
        <v>1329</v>
      </c>
      <c r="L842" s="1196" t="s">
        <v>34</v>
      </c>
      <c r="M842" s="680">
        <v>0.3382</v>
      </c>
      <c r="N842" s="681">
        <v>0.34</v>
      </c>
      <c r="O842" s="682">
        <v>0.36199999999999999</v>
      </c>
      <c r="P842" s="682">
        <v>0.36199999999999999</v>
      </c>
      <c r="Q842" s="682">
        <v>0.36199999999999999</v>
      </c>
    </row>
    <row r="843" spans="1:17" ht="30" x14ac:dyDescent="0.25">
      <c r="A843" s="676"/>
      <c r="B843" s="1396"/>
      <c r="C843" s="1397">
        <v>7</v>
      </c>
      <c r="D843" s="677"/>
      <c r="E843" s="1217" t="s">
        <v>1579</v>
      </c>
      <c r="F843" s="1196">
        <v>3820.1</v>
      </c>
      <c r="G843" s="1196">
        <v>1921.8</v>
      </c>
      <c r="H843" s="1196">
        <f>685.3+1575.4</f>
        <v>2260.6999999999998</v>
      </c>
      <c r="I843" s="1196">
        <v>1846.3</v>
      </c>
      <c r="J843" s="1196">
        <v>1846.3</v>
      </c>
      <c r="K843" s="1212" t="s">
        <v>1580</v>
      </c>
      <c r="L843" s="1196"/>
      <c r="M843" s="683"/>
      <c r="N843" s="343"/>
      <c r="O843" s="343"/>
      <c r="P843" s="343"/>
      <c r="Q843" s="343"/>
    </row>
    <row r="844" spans="1:17" x14ac:dyDescent="0.25">
      <c r="A844" s="676"/>
      <c r="B844" s="1396"/>
      <c r="C844" s="1397"/>
      <c r="D844" s="677"/>
      <c r="E844" s="1217"/>
      <c r="F844" s="1196"/>
      <c r="G844" s="1196"/>
      <c r="H844" s="1196">
        <v>0</v>
      </c>
      <c r="I844" s="1196">
        <v>0</v>
      </c>
      <c r="J844" s="1196">
        <v>0</v>
      </c>
      <c r="K844" s="1212"/>
      <c r="L844" s="1196"/>
      <c r="M844" s="683"/>
      <c r="N844" s="343"/>
      <c r="O844" s="343"/>
      <c r="P844" s="343"/>
      <c r="Q844" s="343"/>
    </row>
    <row r="845" spans="1:17" ht="102" x14ac:dyDescent="0.25">
      <c r="A845" s="684">
        <v>39</v>
      </c>
      <c r="B845" s="685">
        <v>2</v>
      </c>
      <c r="C845" s="1105"/>
      <c r="D845" s="253"/>
      <c r="E845" s="1195" t="s">
        <v>1581</v>
      </c>
      <c r="F845" s="1213">
        <v>39890.800000000003</v>
      </c>
      <c r="G845" s="1213">
        <v>35478.6</v>
      </c>
      <c r="H845" s="1213">
        <f>H846+H847</f>
        <v>43492.06</v>
      </c>
      <c r="I845" s="1213">
        <v>48252.799999999996</v>
      </c>
      <c r="J845" s="1213">
        <v>48252.799999999996</v>
      </c>
      <c r="K845" s="178" t="s">
        <v>1582</v>
      </c>
      <c r="L845" s="1196"/>
      <c r="M845" s="1145"/>
      <c r="N845" s="675">
        <v>0.29520000000000002</v>
      </c>
      <c r="O845" s="675">
        <v>0.35399999999999998</v>
      </c>
      <c r="P845" s="675">
        <v>0.35399999999999998</v>
      </c>
      <c r="Q845" s="675">
        <v>0.35399999999999998</v>
      </c>
    </row>
    <row r="846" spans="1:17" x14ac:dyDescent="0.25">
      <c r="A846" s="686"/>
      <c r="B846" s="1398"/>
      <c r="C846" s="1399" t="s">
        <v>4</v>
      </c>
      <c r="D846" s="1400"/>
      <c r="E846" s="1217" t="s">
        <v>1583</v>
      </c>
      <c r="F846" s="1401">
        <v>13876.7</v>
      </c>
      <c r="G846" s="1401">
        <v>8955.7999999999993</v>
      </c>
      <c r="H846" s="1125">
        <f>2078.1+8642.9</f>
        <v>10721</v>
      </c>
      <c r="I846" s="1125">
        <v>8687.1</v>
      </c>
      <c r="J846" s="1125">
        <v>8687.1</v>
      </c>
      <c r="K846" s="1217" t="s">
        <v>1584</v>
      </c>
      <c r="L846" s="33"/>
      <c r="M846" s="687">
        <v>1474</v>
      </c>
      <c r="N846" s="688">
        <v>1274</v>
      </c>
      <c r="O846" s="688"/>
      <c r="P846" s="688"/>
      <c r="Q846" s="688"/>
    </row>
    <row r="847" spans="1:17" ht="45" x14ac:dyDescent="0.25">
      <c r="A847" s="686"/>
      <c r="B847" s="1398"/>
      <c r="C847" s="1399" t="s">
        <v>5</v>
      </c>
      <c r="D847" s="1400"/>
      <c r="E847" s="1217" t="s">
        <v>1585</v>
      </c>
      <c r="F847" s="1401">
        <v>26014.1</v>
      </c>
      <c r="G847" s="1401">
        <v>26522.799999999999</v>
      </c>
      <c r="H847" s="1125">
        <f>2770.1+30000.96</f>
        <v>32771.06</v>
      </c>
      <c r="I847" s="1125">
        <v>39565.699999999997</v>
      </c>
      <c r="J847" s="1125">
        <v>39565.699999999997</v>
      </c>
      <c r="K847" s="1217" t="s">
        <v>1586</v>
      </c>
      <c r="L847" s="1217" t="s">
        <v>34</v>
      </c>
      <c r="M847" s="689"/>
      <c r="N847" s="34"/>
      <c r="O847" s="34"/>
      <c r="P847" s="34"/>
      <c r="Q847" s="34"/>
    </row>
    <row r="848" spans="1:17" ht="87.75" x14ac:dyDescent="0.25">
      <c r="A848" s="686">
        <v>39</v>
      </c>
      <c r="B848" s="1398">
        <v>3</v>
      </c>
      <c r="C848" s="1399"/>
      <c r="D848" s="1400"/>
      <c r="E848" s="1195" t="s">
        <v>1587</v>
      </c>
      <c r="F848" s="1213">
        <v>4548.3</v>
      </c>
      <c r="G848" s="1213">
        <v>5697.5</v>
      </c>
      <c r="H848" s="1213">
        <f>H849</f>
        <v>20004.2</v>
      </c>
      <c r="I848" s="1213">
        <v>9634.4999999999982</v>
      </c>
      <c r="J848" s="1213">
        <v>9634.4999999999982</v>
      </c>
      <c r="K848" s="178" t="s">
        <v>1588</v>
      </c>
      <c r="L848" s="178"/>
      <c r="M848" s="690"/>
      <c r="N848" s="691"/>
      <c r="O848" s="691"/>
      <c r="P848" s="691"/>
      <c r="Q848" s="691"/>
    </row>
    <row r="849" spans="1:17" ht="30" x14ac:dyDescent="0.25">
      <c r="A849" s="686"/>
      <c r="B849" s="1398"/>
      <c r="C849" s="1399" t="s">
        <v>4</v>
      </c>
      <c r="D849" s="1400"/>
      <c r="E849" s="1217" t="s">
        <v>1589</v>
      </c>
      <c r="F849" s="1401">
        <v>4548.3</v>
      </c>
      <c r="G849" s="1401">
        <v>5697.5</v>
      </c>
      <c r="H849" s="1125">
        <f>12820.2+7184</f>
        <v>20004.2</v>
      </c>
      <c r="I849" s="1125">
        <v>9634.4999999999982</v>
      </c>
      <c r="J849" s="1125">
        <v>9634.4999999999982</v>
      </c>
      <c r="K849" s="1217" t="s">
        <v>1590</v>
      </c>
      <c r="L849" s="1217"/>
      <c r="M849" s="689"/>
      <c r="N849" s="34"/>
      <c r="O849" s="34"/>
      <c r="P849" s="34"/>
      <c r="Q849" s="34"/>
    </row>
    <row r="850" spans="1:17" ht="102" x14ac:dyDescent="0.25">
      <c r="A850" s="686">
        <v>39</v>
      </c>
      <c r="B850" s="1398">
        <v>4</v>
      </c>
      <c r="C850" s="1399"/>
      <c r="D850" s="1400"/>
      <c r="E850" s="1195" t="s">
        <v>1591</v>
      </c>
      <c r="F850" s="1213">
        <v>57545.2</v>
      </c>
      <c r="G850" s="1213">
        <v>57044</v>
      </c>
      <c r="H850" s="1213">
        <f>H851</f>
        <v>70087.399999999994</v>
      </c>
      <c r="I850" s="1213">
        <v>57044</v>
      </c>
      <c r="J850" s="1213">
        <v>57044</v>
      </c>
      <c r="K850" s="178" t="s">
        <v>1592</v>
      </c>
      <c r="L850" s="1217"/>
      <c r="M850" s="692"/>
      <c r="N850" s="1"/>
      <c r="O850" s="1"/>
      <c r="P850" s="1"/>
      <c r="Q850" s="1"/>
    </row>
    <row r="851" spans="1:17" ht="45" x14ac:dyDescent="0.25">
      <c r="A851" s="686"/>
      <c r="B851" s="1398"/>
      <c r="C851" s="1399" t="s">
        <v>4</v>
      </c>
      <c r="D851" s="1400"/>
      <c r="E851" s="1217" t="s">
        <v>1593</v>
      </c>
      <c r="F851" s="1401">
        <v>57545.2</v>
      </c>
      <c r="G851" s="1125">
        <v>57044</v>
      </c>
      <c r="H851" s="1125">
        <v>70087.399999999994</v>
      </c>
      <c r="I851" s="1125">
        <v>57044</v>
      </c>
      <c r="J851" s="1125">
        <v>57044</v>
      </c>
      <c r="K851" s="1217" t="s">
        <v>1594</v>
      </c>
      <c r="L851" s="1217"/>
      <c r="M851" s="689"/>
      <c r="N851" s="34"/>
      <c r="O851" s="34"/>
      <c r="P851" s="34"/>
      <c r="Q851" s="34"/>
    </row>
    <row r="852" spans="1:17" x14ac:dyDescent="0.25">
      <c r="A852" s="2151" t="s">
        <v>1595</v>
      </c>
      <c r="B852" s="2152"/>
      <c r="C852" s="2152"/>
      <c r="D852" s="2152"/>
      <c r="E852" s="2152"/>
      <c r="F852" s="552">
        <v>128691.8</v>
      </c>
      <c r="G852" s="552">
        <v>120195.5</v>
      </c>
      <c r="H852" s="552">
        <f>H836+H845+H848+H850</f>
        <v>159888.40999999997</v>
      </c>
      <c r="I852" s="552">
        <v>136018.4</v>
      </c>
      <c r="J852" s="552">
        <v>136018.4</v>
      </c>
      <c r="K852" s="15"/>
      <c r="L852" s="21"/>
      <c r="M852" s="21"/>
      <c r="N852" s="21"/>
      <c r="O852" s="21"/>
      <c r="P852" s="21"/>
      <c r="Q852" s="21"/>
    </row>
    <row r="853" spans="1:17" x14ac:dyDescent="0.25">
      <c r="A853" s="1648" t="s">
        <v>1596</v>
      </c>
      <c r="B853" s="1649"/>
      <c r="C853" s="1649"/>
      <c r="D853" s="1649"/>
      <c r="E853" s="1649"/>
      <c r="F853" s="1649"/>
      <c r="G853" s="1649"/>
      <c r="H853" s="1649"/>
      <c r="I853" s="1649"/>
      <c r="J853" s="1649"/>
      <c r="K853" s="1649"/>
      <c r="L853" s="1649"/>
      <c r="M853" s="1649"/>
      <c r="N853" s="1649"/>
      <c r="O853" s="1649"/>
      <c r="P853" s="1649"/>
      <c r="Q853" s="1650"/>
    </row>
    <row r="854" spans="1:17" ht="57" x14ac:dyDescent="0.25">
      <c r="A854" s="416">
        <v>40</v>
      </c>
      <c r="B854" s="58">
        <v>2</v>
      </c>
      <c r="C854" s="1163"/>
      <c r="D854" s="693"/>
      <c r="E854" s="1195" t="s">
        <v>1597</v>
      </c>
      <c r="F854" s="1214"/>
      <c r="G854" s="1214"/>
      <c r="H854" s="694">
        <v>739.4</v>
      </c>
      <c r="I854" s="694">
        <v>739.4</v>
      </c>
      <c r="J854" s="694">
        <v>739.4</v>
      </c>
      <c r="K854" s="1402"/>
      <c r="L854" s="1171" t="s">
        <v>34</v>
      </c>
      <c r="M854" s="1171">
        <v>739.4</v>
      </c>
      <c r="N854" s="1171">
        <v>739.4</v>
      </c>
      <c r="O854" s="1171">
        <v>739.4</v>
      </c>
      <c r="P854" s="1171">
        <v>739.4</v>
      </c>
      <c r="Q854" s="1171">
        <v>739.4</v>
      </c>
    </row>
    <row r="855" spans="1:17" x14ac:dyDescent="0.25">
      <c r="A855" s="2153"/>
      <c r="B855" s="2154"/>
      <c r="C855" s="2156" t="s">
        <v>4</v>
      </c>
      <c r="D855" s="2156"/>
      <c r="E855" s="1746" t="s">
        <v>1598</v>
      </c>
      <c r="F855" s="2157"/>
      <c r="G855" s="2157"/>
      <c r="H855" s="2158">
        <v>739.4</v>
      </c>
      <c r="I855" s="2158">
        <v>739.4</v>
      </c>
      <c r="J855" s="2158">
        <v>739.4</v>
      </c>
      <c r="K855" s="695"/>
      <c r="L855" s="696"/>
      <c r="M855" s="1286"/>
      <c r="N855" s="1286"/>
      <c r="O855" s="1286"/>
      <c r="P855" s="1286"/>
      <c r="Q855" s="1286"/>
    </row>
    <row r="856" spans="1:17" x14ac:dyDescent="0.25">
      <c r="A856" s="1992"/>
      <c r="B856" s="2155"/>
      <c r="C856" s="2059"/>
      <c r="D856" s="2059"/>
      <c r="E856" s="1747"/>
      <c r="F856" s="1760"/>
      <c r="G856" s="1760"/>
      <c r="H856" s="2159"/>
      <c r="I856" s="2159"/>
      <c r="J856" s="2159"/>
      <c r="K856" s="1215"/>
      <c r="L856" s="696"/>
      <c r="M856" s="1286">
        <v>100</v>
      </c>
      <c r="N856" s="1286">
        <v>100</v>
      </c>
      <c r="O856" s="1286">
        <v>100</v>
      </c>
      <c r="P856" s="1286">
        <v>100</v>
      </c>
      <c r="Q856" s="1286">
        <v>100</v>
      </c>
    </row>
    <row r="857" spans="1:17" x14ac:dyDescent="0.25">
      <c r="A857" s="1708" t="s">
        <v>1596</v>
      </c>
      <c r="B857" s="1709"/>
      <c r="C857" s="1709"/>
      <c r="D857" s="1709"/>
      <c r="E857" s="1709"/>
      <c r="F857" s="21"/>
      <c r="G857" s="21"/>
      <c r="H857" s="697">
        <v>739.4</v>
      </c>
      <c r="I857" s="42">
        <v>739.4</v>
      </c>
      <c r="J857" s="42">
        <v>739.4</v>
      </c>
      <c r="K857" s="15"/>
      <c r="L857" s="21"/>
      <c r="M857" s="21"/>
      <c r="N857" s="21"/>
      <c r="O857" s="21"/>
      <c r="P857" s="21"/>
      <c r="Q857" s="698"/>
    </row>
    <row r="858" spans="1:17" x14ac:dyDescent="0.25">
      <c r="A858" s="1648" t="s">
        <v>1599</v>
      </c>
      <c r="B858" s="1649"/>
      <c r="C858" s="1649"/>
      <c r="D858" s="1649"/>
      <c r="E858" s="1649"/>
      <c r="F858" s="1649"/>
      <c r="G858" s="1649"/>
      <c r="H858" s="1649"/>
      <c r="I858" s="1649"/>
      <c r="J858" s="1649"/>
      <c r="K858" s="1649"/>
      <c r="L858" s="1649"/>
      <c r="M858" s="1649"/>
      <c r="N858" s="1649"/>
      <c r="O858" s="1649"/>
      <c r="P858" s="1649"/>
      <c r="Q858" s="1650"/>
    </row>
    <row r="859" spans="1:17" ht="74.25" x14ac:dyDescent="0.25">
      <c r="A859" s="1324">
        <v>41</v>
      </c>
      <c r="B859" s="1325">
        <v>1</v>
      </c>
      <c r="C859" s="1403"/>
      <c r="D859" s="1378"/>
      <c r="E859" s="1434" t="s">
        <v>3110</v>
      </c>
      <c r="F859" s="1404">
        <v>97755.199999999997</v>
      </c>
      <c r="G859" s="1404">
        <v>125271.5</v>
      </c>
      <c r="H859" s="1404">
        <f>H860+H867+H868+H869+H870+H871+H872+H873+H874+H875</f>
        <v>131315.5</v>
      </c>
      <c r="I859" s="1404">
        <v>109239</v>
      </c>
      <c r="J859" s="1404">
        <v>110374.20000000001</v>
      </c>
      <c r="K859" s="1212" t="s">
        <v>437</v>
      </c>
      <c r="L859" s="1214" t="s">
        <v>34</v>
      </c>
      <c r="M859" s="699">
        <v>7.8</v>
      </c>
      <c r="N859" s="699">
        <v>7.4</v>
      </c>
      <c r="O859" s="699">
        <v>7.7</v>
      </c>
      <c r="P859" s="699">
        <v>7.7</v>
      </c>
      <c r="Q859" s="699">
        <v>7.7</v>
      </c>
    </row>
    <row r="860" spans="1:17" x14ac:dyDescent="0.25">
      <c r="A860" s="1642"/>
      <c r="B860" s="1637"/>
      <c r="C860" s="1669" t="s">
        <v>4</v>
      </c>
      <c r="D860" s="2160"/>
      <c r="E860" s="1688" t="s">
        <v>393</v>
      </c>
      <c r="F860" s="1658">
        <v>4590.7</v>
      </c>
      <c r="G860" s="1658">
        <v>4377.6000000000004</v>
      </c>
      <c r="H860" s="1658">
        <v>8464.2000000000007</v>
      </c>
      <c r="I860" s="1658">
        <v>7786.4</v>
      </c>
      <c r="J860" s="1658">
        <v>7840.6</v>
      </c>
      <c r="K860" s="1684" t="s">
        <v>976</v>
      </c>
      <c r="L860" s="1901" t="s">
        <v>185</v>
      </c>
      <c r="M860" s="1901">
        <v>35.799999999999997</v>
      </c>
      <c r="N860" s="1901">
        <v>36</v>
      </c>
      <c r="O860" s="1901">
        <v>36</v>
      </c>
      <c r="P860" s="1901">
        <v>36</v>
      </c>
      <c r="Q860" s="1901">
        <v>36</v>
      </c>
    </row>
    <row r="861" spans="1:17" x14ac:dyDescent="0.25">
      <c r="A861" s="1643"/>
      <c r="B861" s="1641"/>
      <c r="C861" s="1690"/>
      <c r="D861" s="2161"/>
      <c r="E861" s="1689"/>
      <c r="F861" s="1659"/>
      <c r="G861" s="1659"/>
      <c r="H861" s="1659"/>
      <c r="I861" s="1659"/>
      <c r="J861" s="1659"/>
      <c r="K861" s="1685"/>
      <c r="L861" s="1926"/>
      <c r="M861" s="1926"/>
      <c r="N861" s="1926"/>
      <c r="O861" s="1926"/>
      <c r="P861" s="1926"/>
      <c r="Q861" s="1926"/>
    </row>
    <row r="862" spans="1:17" x14ac:dyDescent="0.25">
      <c r="A862" s="1643"/>
      <c r="B862" s="1191"/>
      <c r="C862" s="1690"/>
      <c r="D862" s="2161"/>
      <c r="E862" s="1689"/>
      <c r="F862" s="1659"/>
      <c r="G862" s="1659"/>
      <c r="H862" s="1659"/>
      <c r="I862" s="1659"/>
      <c r="J862" s="1659"/>
      <c r="K862" s="1685"/>
      <c r="L862" s="1926"/>
      <c r="M862" s="1926"/>
      <c r="N862" s="1926"/>
      <c r="O862" s="1926"/>
      <c r="P862" s="1926"/>
      <c r="Q862" s="1926"/>
    </row>
    <row r="863" spans="1:17" x14ac:dyDescent="0.25">
      <c r="A863" s="1643"/>
      <c r="B863" s="1191"/>
      <c r="C863" s="1690"/>
      <c r="D863" s="2161"/>
      <c r="E863" s="1689"/>
      <c r="F863" s="1659"/>
      <c r="G863" s="1659"/>
      <c r="H863" s="1659"/>
      <c r="I863" s="1659"/>
      <c r="J863" s="1659"/>
      <c r="K863" s="1685"/>
      <c r="L863" s="1926"/>
      <c r="M863" s="1926"/>
      <c r="N863" s="1926"/>
      <c r="O863" s="1926"/>
      <c r="P863" s="1926"/>
      <c r="Q863" s="1926"/>
    </row>
    <row r="864" spans="1:17" x14ac:dyDescent="0.25">
      <c r="A864" s="1643"/>
      <c r="B864" s="1191"/>
      <c r="C864" s="1690"/>
      <c r="D864" s="2161"/>
      <c r="E864" s="1689"/>
      <c r="F864" s="1659"/>
      <c r="G864" s="1659"/>
      <c r="H864" s="1659"/>
      <c r="I864" s="1659"/>
      <c r="J864" s="1659"/>
      <c r="K864" s="1685"/>
      <c r="L864" s="1926"/>
      <c r="M864" s="1926"/>
      <c r="N864" s="1926"/>
      <c r="O864" s="1926"/>
      <c r="P864" s="1926"/>
      <c r="Q864" s="1926"/>
    </row>
    <row r="865" spans="1:17" x14ac:dyDescent="0.25">
      <c r="A865" s="1643"/>
      <c r="B865" s="1191"/>
      <c r="C865" s="1690"/>
      <c r="D865" s="2161"/>
      <c r="E865" s="1689"/>
      <c r="F865" s="1659"/>
      <c r="G865" s="1659"/>
      <c r="H865" s="1659"/>
      <c r="I865" s="1659"/>
      <c r="J865" s="1659"/>
      <c r="K865" s="1685"/>
      <c r="L865" s="1926"/>
      <c r="M865" s="1926"/>
      <c r="N865" s="1926"/>
      <c r="O865" s="1926"/>
      <c r="P865" s="1926"/>
      <c r="Q865" s="1926"/>
    </row>
    <row r="866" spans="1:17" x14ac:dyDescent="0.25">
      <c r="A866" s="1644"/>
      <c r="B866" s="1159"/>
      <c r="C866" s="1670"/>
      <c r="D866" s="2162"/>
      <c r="E866" s="1698"/>
      <c r="F866" s="1656"/>
      <c r="G866" s="1656"/>
      <c r="H866" s="1656"/>
      <c r="I866" s="1656"/>
      <c r="J866" s="1656"/>
      <c r="K866" s="1686"/>
      <c r="L866" s="1773"/>
      <c r="M866" s="1773"/>
      <c r="N866" s="1773"/>
      <c r="O866" s="1773"/>
      <c r="P866" s="1773"/>
      <c r="Q866" s="1773"/>
    </row>
    <row r="867" spans="1:17" ht="30" x14ac:dyDescent="0.25">
      <c r="A867" s="1170"/>
      <c r="B867" s="1248"/>
      <c r="C867" s="1117" t="s">
        <v>5</v>
      </c>
      <c r="D867" s="12"/>
      <c r="E867" s="1302" t="s">
        <v>394</v>
      </c>
      <c r="F867" s="1171">
        <v>3825.6</v>
      </c>
      <c r="G867" s="1171">
        <v>3648</v>
      </c>
      <c r="H867" s="1120">
        <v>4604.2</v>
      </c>
      <c r="I867" s="1121">
        <v>3909.5</v>
      </c>
      <c r="J867" s="1121">
        <v>3954.7</v>
      </c>
      <c r="K867" s="1212" t="s">
        <v>439</v>
      </c>
      <c r="L867" s="1160" t="s">
        <v>34</v>
      </c>
      <c r="M867" s="1171">
        <v>100</v>
      </c>
      <c r="N867" s="1171">
        <v>100</v>
      </c>
      <c r="O867" s="1171">
        <v>100</v>
      </c>
      <c r="P867" s="1171">
        <v>100</v>
      </c>
      <c r="Q867" s="1171">
        <v>100</v>
      </c>
    </row>
    <row r="868" spans="1:17" ht="30" x14ac:dyDescent="0.25">
      <c r="A868" s="1170"/>
      <c r="B868" s="1248"/>
      <c r="C868" s="1117" t="s">
        <v>7</v>
      </c>
      <c r="D868" s="12"/>
      <c r="E868" s="1302" t="s">
        <v>395</v>
      </c>
      <c r="F868" s="1323">
        <v>765.1</v>
      </c>
      <c r="G868" s="1323">
        <v>729.6</v>
      </c>
      <c r="H868" s="1120">
        <v>1879.4</v>
      </c>
      <c r="I868" s="1121">
        <v>796.6</v>
      </c>
      <c r="J868" s="1121">
        <v>805.6</v>
      </c>
      <c r="K868" s="1212" t="s">
        <v>1575</v>
      </c>
      <c r="L868" s="1160" t="s">
        <v>34</v>
      </c>
      <c r="M868" s="1171">
        <v>33.299999999999997</v>
      </c>
      <c r="N868" s="1171" t="s">
        <v>1343</v>
      </c>
      <c r="O868" s="1171" t="s">
        <v>1343</v>
      </c>
      <c r="P868" s="1171" t="s">
        <v>1343</v>
      </c>
      <c r="Q868" s="1171" t="s">
        <v>1343</v>
      </c>
    </row>
    <row r="869" spans="1:17" ht="30" x14ac:dyDescent="0.25">
      <c r="A869" s="1170"/>
      <c r="B869" s="1248"/>
      <c r="C869" s="1117" t="s">
        <v>9</v>
      </c>
      <c r="D869" s="12"/>
      <c r="E869" s="1302" t="s">
        <v>396</v>
      </c>
      <c r="F869" s="1323">
        <v>1912.8</v>
      </c>
      <c r="G869" s="1323">
        <v>1824</v>
      </c>
      <c r="H869" s="1120">
        <v>2699.8</v>
      </c>
      <c r="I869" s="1121">
        <v>1956.4</v>
      </c>
      <c r="J869" s="1121">
        <v>1979.1</v>
      </c>
      <c r="K869" s="1212" t="s">
        <v>1576</v>
      </c>
      <c r="L869" s="1160" t="s">
        <v>1186</v>
      </c>
      <c r="M869" s="701">
        <v>20576</v>
      </c>
      <c r="N869" s="1171" t="s">
        <v>1343</v>
      </c>
      <c r="O869" s="1171" t="s">
        <v>1343</v>
      </c>
      <c r="P869" s="1171" t="s">
        <v>1343</v>
      </c>
      <c r="Q869" s="1171" t="s">
        <v>1343</v>
      </c>
    </row>
    <row r="870" spans="1:17" ht="30" x14ac:dyDescent="0.25">
      <c r="A870" s="1170"/>
      <c r="B870" s="1248"/>
      <c r="C870" s="1117" t="s">
        <v>11</v>
      </c>
      <c r="D870" s="12"/>
      <c r="E870" s="1302" t="s">
        <v>533</v>
      </c>
      <c r="F870" s="1323">
        <v>4590.7</v>
      </c>
      <c r="G870" s="1323">
        <v>4377.6000000000004</v>
      </c>
      <c r="H870" s="1120">
        <v>5453.3</v>
      </c>
      <c r="I870" s="1121">
        <v>4762.8</v>
      </c>
      <c r="J870" s="1121">
        <v>4817</v>
      </c>
      <c r="K870" s="1212" t="s">
        <v>1328</v>
      </c>
      <c r="L870" s="1160" t="s">
        <v>1186</v>
      </c>
      <c r="M870" s="702">
        <v>736</v>
      </c>
      <c r="N870" s="1171" t="s">
        <v>1343</v>
      </c>
      <c r="O870" s="1171" t="s">
        <v>1343</v>
      </c>
      <c r="P870" s="1171" t="s">
        <v>1343</v>
      </c>
      <c r="Q870" s="1171" t="s">
        <v>1343</v>
      </c>
    </row>
    <row r="871" spans="1:17" ht="45" x14ac:dyDescent="0.25">
      <c r="A871" s="1170"/>
      <c r="B871" s="1248"/>
      <c r="C871" s="1117" t="s">
        <v>13</v>
      </c>
      <c r="D871" s="12"/>
      <c r="E871" s="1217" t="s">
        <v>534</v>
      </c>
      <c r="F871" s="1323">
        <v>5738.5</v>
      </c>
      <c r="G871" s="1323">
        <v>5472</v>
      </c>
      <c r="H871" s="1120">
        <v>6409</v>
      </c>
      <c r="I871" s="1121">
        <v>5776.9</v>
      </c>
      <c r="J871" s="1121">
        <v>5844.7</v>
      </c>
      <c r="K871" s="1212" t="s">
        <v>1600</v>
      </c>
      <c r="L871" s="1160" t="s">
        <v>34</v>
      </c>
      <c r="M871" s="703">
        <v>15.15</v>
      </c>
      <c r="N871" s="703">
        <v>15.15</v>
      </c>
      <c r="O871" s="703">
        <v>15.15</v>
      </c>
      <c r="P871" s="703">
        <v>15.15</v>
      </c>
      <c r="Q871" s="703">
        <v>15.15</v>
      </c>
    </row>
    <row r="872" spans="1:17" ht="30" x14ac:dyDescent="0.25">
      <c r="A872" s="1170"/>
      <c r="B872" s="1248"/>
      <c r="C872" s="1117" t="s">
        <v>15</v>
      </c>
      <c r="D872" s="12"/>
      <c r="E872" s="1217" t="s">
        <v>1579</v>
      </c>
      <c r="F872" s="1323">
        <v>2295.4</v>
      </c>
      <c r="G872" s="1323">
        <v>2188.8000000000002</v>
      </c>
      <c r="H872" s="1120">
        <v>3041.8</v>
      </c>
      <c r="I872" s="1121">
        <v>2308.1</v>
      </c>
      <c r="J872" s="1121">
        <v>2335.3000000000002</v>
      </c>
      <c r="K872" s="1405" t="s">
        <v>1601</v>
      </c>
      <c r="L872" s="1160" t="s">
        <v>34</v>
      </c>
      <c r="M872" s="704">
        <v>91.7</v>
      </c>
      <c r="N872" s="704">
        <v>100</v>
      </c>
      <c r="O872" s="704">
        <v>100</v>
      </c>
      <c r="P872" s="704">
        <v>100</v>
      </c>
      <c r="Q872" s="704">
        <v>100</v>
      </c>
    </row>
    <row r="873" spans="1:17" ht="30" x14ac:dyDescent="0.25">
      <c r="A873" s="1170"/>
      <c r="B873" s="1248"/>
      <c r="C873" s="1117" t="s">
        <v>16</v>
      </c>
      <c r="D873" s="12"/>
      <c r="E873" s="1217" t="s">
        <v>554</v>
      </c>
      <c r="F873" s="1323">
        <v>13772.2</v>
      </c>
      <c r="G873" s="1323">
        <v>44832.800000000003</v>
      </c>
      <c r="H873" s="1120">
        <v>15225.3</v>
      </c>
      <c r="I873" s="1121">
        <v>14760.3</v>
      </c>
      <c r="J873" s="1121">
        <v>14923</v>
      </c>
      <c r="K873" s="1405" t="s">
        <v>1602</v>
      </c>
      <c r="L873" s="1160" t="s">
        <v>1603</v>
      </c>
      <c r="M873" s="705">
        <v>36</v>
      </c>
      <c r="N873" s="705">
        <v>36</v>
      </c>
      <c r="O873" s="705">
        <v>36</v>
      </c>
      <c r="P873" s="705">
        <v>36</v>
      </c>
      <c r="Q873" s="705">
        <v>36</v>
      </c>
    </row>
    <row r="874" spans="1:17" ht="30" x14ac:dyDescent="0.25">
      <c r="A874" s="1170"/>
      <c r="B874" s="1248"/>
      <c r="C874" s="1117" t="s">
        <v>186</v>
      </c>
      <c r="D874" s="12"/>
      <c r="E874" s="1212" t="s">
        <v>1604</v>
      </c>
      <c r="F874" s="1323">
        <v>1147.5999999999999</v>
      </c>
      <c r="G874" s="1323">
        <v>1094.4000000000001</v>
      </c>
      <c r="H874" s="1120">
        <v>2213.6</v>
      </c>
      <c r="I874" s="1121">
        <v>1456.9</v>
      </c>
      <c r="J874" s="1121">
        <v>1470.4</v>
      </c>
      <c r="K874" s="1405" t="s">
        <v>1605</v>
      </c>
      <c r="L874" s="1160" t="s">
        <v>1603</v>
      </c>
      <c r="M874" s="705">
        <v>24</v>
      </c>
      <c r="N874" s="705">
        <v>39</v>
      </c>
      <c r="O874" s="705">
        <v>39</v>
      </c>
      <c r="P874" s="705">
        <v>45</v>
      </c>
      <c r="Q874" s="705">
        <v>45</v>
      </c>
    </row>
    <row r="875" spans="1:17" ht="30" x14ac:dyDescent="0.25">
      <c r="A875" s="1170"/>
      <c r="B875" s="1248"/>
      <c r="C875" s="1117" t="s">
        <v>187</v>
      </c>
      <c r="D875" s="12"/>
      <c r="E875" s="1212" t="s">
        <v>1606</v>
      </c>
      <c r="F875" s="1323">
        <v>59116.6</v>
      </c>
      <c r="G875" s="1323">
        <v>56726.7</v>
      </c>
      <c r="H875" s="1120">
        <v>81324.899999999994</v>
      </c>
      <c r="I875" s="1121">
        <v>65725.100000000006</v>
      </c>
      <c r="J875" s="1121">
        <v>66403.8</v>
      </c>
      <c r="K875" s="1405" t="s">
        <v>1607</v>
      </c>
      <c r="L875" s="1160" t="s">
        <v>1603</v>
      </c>
      <c r="M875" s="705">
        <v>196</v>
      </c>
      <c r="N875" s="705">
        <v>196</v>
      </c>
      <c r="O875" s="705">
        <v>196</v>
      </c>
      <c r="P875" s="705">
        <v>196</v>
      </c>
      <c r="Q875" s="705">
        <v>196</v>
      </c>
    </row>
    <row r="876" spans="1:17" x14ac:dyDescent="0.25">
      <c r="A876" s="1678">
        <v>41</v>
      </c>
      <c r="B876" s="1751">
        <v>2</v>
      </c>
      <c r="C876" s="1669"/>
      <c r="D876" s="1813"/>
      <c r="E876" s="2019" t="s">
        <v>1608</v>
      </c>
      <c r="F876" s="2020">
        <v>1558667</v>
      </c>
      <c r="G876" s="2020">
        <v>3168656.6999999993</v>
      </c>
      <c r="H876" s="2020">
        <f>H888+H890+H893+H894+H900+H901+H908+H911+H916+H917+H921+H925+H930+H931+H937+H939+H943+H945+H946+H949+H952+H953+H954</f>
        <v>645995.69999999995</v>
      </c>
      <c r="I876" s="2020">
        <v>897036.2</v>
      </c>
      <c r="J876" s="2020">
        <v>687133.6</v>
      </c>
      <c r="K876" s="1212" t="s">
        <v>1609</v>
      </c>
      <c r="L876" s="1138" t="s">
        <v>188</v>
      </c>
      <c r="M876" s="1214">
        <v>207.4</v>
      </c>
      <c r="N876" s="1171">
        <v>219.9</v>
      </c>
      <c r="O876" s="1171">
        <v>228.8</v>
      </c>
      <c r="P876" s="1171">
        <v>238.9</v>
      </c>
      <c r="Q876" s="1171">
        <v>251</v>
      </c>
    </row>
    <row r="877" spans="1:17" x14ac:dyDescent="0.25">
      <c r="A877" s="1866"/>
      <c r="B877" s="1867"/>
      <c r="C877" s="1690"/>
      <c r="D877" s="2135"/>
      <c r="E877" s="2149"/>
      <c r="F877" s="2150"/>
      <c r="G877" s="2150"/>
      <c r="H877" s="2150"/>
      <c r="I877" s="2150"/>
      <c r="J877" s="2150"/>
      <c r="K877" s="1212" t="s">
        <v>1610</v>
      </c>
      <c r="L877" s="1138" t="s">
        <v>34</v>
      </c>
      <c r="M877" s="1214">
        <v>102.2</v>
      </c>
      <c r="N877" s="1171">
        <v>102.5</v>
      </c>
      <c r="O877" s="1171">
        <v>102.7</v>
      </c>
      <c r="P877" s="1171">
        <v>103</v>
      </c>
      <c r="Q877" s="1171">
        <v>103.3</v>
      </c>
    </row>
    <row r="878" spans="1:17" x14ac:dyDescent="0.25">
      <c r="A878" s="1866"/>
      <c r="B878" s="1867"/>
      <c r="C878" s="1690"/>
      <c r="D878" s="2135"/>
      <c r="E878" s="2149"/>
      <c r="F878" s="2150"/>
      <c r="G878" s="2150"/>
      <c r="H878" s="2150"/>
      <c r="I878" s="2150"/>
      <c r="J878" s="2150"/>
      <c r="K878" s="1212" t="s">
        <v>1611</v>
      </c>
      <c r="L878" s="1138" t="s">
        <v>34</v>
      </c>
      <c r="M878" s="1214">
        <v>102.7</v>
      </c>
      <c r="N878" s="1214">
        <v>103.4</v>
      </c>
      <c r="O878" s="1214">
        <v>101.4</v>
      </c>
      <c r="P878" s="1214">
        <v>101.4</v>
      </c>
      <c r="Q878" s="1214">
        <v>101.7</v>
      </c>
    </row>
    <row r="879" spans="1:17" x14ac:dyDescent="0.25">
      <c r="A879" s="1866"/>
      <c r="B879" s="1867"/>
      <c r="C879" s="1690"/>
      <c r="D879" s="2135"/>
      <c r="E879" s="2149"/>
      <c r="F879" s="2150"/>
      <c r="G879" s="2150"/>
      <c r="H879" s="2150"/>
      <c r="I879" s="2150"/>
      <c r="J879" s="2150"/>
      <c r="K879" s="1212" t="s">
        <v>1612</v>
      </c>
      <c r="L879" s="1138" t="s">
        <v>188</v>
      </c>
      <c r="M879" s="1214">
        <v>29.2</v>
      </c>
      <c r="N879" s="1214">
        <v>31.7</v>
      </c>
      <c r="O879" s="1214">
        <v>35.6</v>
      </c>
      <c r="P879" s="1214">
        <v>39.299999999999997</v>
      </c>
      <c r="Q879" s="1214">
        <v>43</v>
      </c>
    </row>
    <row r="880" spans="1:17" x14ac:dyDescent="0.25">
      <c r="A880" s="1866"/>
      <c r="B880" s="1867"/>
      <c r="C880" s="1690"/>
      <c r="D880" s="2135"/>
      <c r="E880" s="2149"/>
      <c r="F880" s="2150"/>
      <c r="G880" s="2150"/>
      <c r="H880" s="2150"/>
      <c r="I880" s="2150"/>
      <c r="J880" s="2150"/>
      <c r="K880" s="1212" t="s">
        <v>1613</v>
      </c>
      <c r="L880" s="1138" t="s">
        <v>34</v>
      </c>
      <c r="M880" s="1214">
        <v>112.3</v>
      </c>
      <c r="N880" s="1214">
        <v>105.5</v>
      </c>
      <c r="O880" s="1214">
        <v>108.2</v>
      </c>
      <c r="P880" s="1214">
        <v>106.5</v>
      </c>
      <c r="Q880" s="1214">
        <v>107</v>
      </c>
    </row>
    <row r="881" spans="1:17" x14ac:dyDescent="0.25">
      <c r="A881" s="1866"/>
      <c r="B881" s="1867"/>
      <c r="C881" s="1690"/>
      <c r="D881" s="2135"/>
      <c r="E881" s="2149"/>
      <c r="F881" s="2150"/>
      <c r="G881" s="2150"/>
      <c r="H881" s="2150"/>
      <c r="I881" s="2150"/>
      <c r="J881" s="2150"/>
      <c r="K881" s="1" t="s">
        <v>1611</v>
      </c>
      <c r="L881" s="1138" t="s">
        <v>34</v>
      </c>
      <c r="M881" s="1214">
        <v>106.2</v>
      </c>
      <c r="N881" s="1214">
        <v>102</v>
      </c>
      <c r="O881" s="1214">
        <v>103.8</v>
      </c>
      <c r="P881" s="1214">
        <v>103.8</v>
      </c>
      <c r="Q881" s="1214">
        <v>102.2</v>
      </c>
    </row>
    <row r="882" spans="1:17" x14ac:dyDescent="0.25">
      <c r="A882" s="1866"/>
      <c r="B882" s="1867"/>
      <c r="C882" s="1690"/>
      <c r="D882" s="2135"/>
      <c r="E882" s="2149"/>
      <c r="F882" s="2150"/>
      <c r="G882" s="2150"/>
      <c r="H882" s="2150"/>
      <c r="I882" s="2150"/>
      <c r="J882" s="2150"/>
      <c r="K882" s="1" t="s">
        <v>1614</v>
      </c>
      <c r="L882" s="1138" t="s">
        <v>188</v>
      </c>
      <c r="M882" s="1214">
        <v>108.2</v>
      </c>
      <c r="N882" s="1214">
        <v>113</v>
      </c>
      <c r="O882" s="1214">
        <v>116.9</v>
      </c>
      <c r="P882" s="1214">
        <v>121.5</v>
      </c>
      <c r="Q882" s="1214">
        <v>127.3</v>
      </c>
    </row>
    <row r="883" spans="1:17" x14ac:dyDescent="0.25">
      <c r="A883" s="1866"/>
      <c r="B883" s="1867"/>
      <c r="C883" s="1690"/>
      <c r="D883" s="2135"/>
      <c r="E883" s="2149"/>
      <c r="F883" s="2150"/>
      <c r="G883" s="2150"/>
      <c r="H883" s="2150"/>
      <c r="I883" s="2150"/>
      <c r="J883" s="2150"/>
      <c r="K883" s="1212" t="s">
        <v>1611</v>
      </c>
      <c r="L883" s="1138" t="s">
        <v>34</v>
      </c>
      <c r="M883" s="1214">
        <v>102.5</v>
      </c>
      <c r="N883" s="1214">
        <v>102.2</v>
      </c>
      <c r="O883" s="1214">
        <v>102.4</v>
      </c>
      <c r="P883" s="1214">
        <v>2.9</v>
      </c>
      <c r="Q883" s="1214">
        <v>103.3</v>
      </c>
    </row>
    <row r="884" spans="1:17" x14ac:dyDescent="0.25">
      <c r="A884" s="1866"/>
      <c r="B884" s="1867"/>
      <c r="C884" s="1690"/>
      <c r="D884" s="2135"/>
      <c r="E884" s="2149"/>
      <c r="F884" s="2150"/>
      <c r="G884" s="2150"/>
      <c r="H884" s="2150"/>
      <c r="I884" s="2150"/>
      <c r="J884" s="2150"/>
      <c r="K884" s="1" t="s">
        <v>1611</v>
      </c>
      <c r="L884" s="1138" t="s">
        <v>34</v>
      </c>
      <c r="M884" s="1214">
        <v>107.9</v>
      </c>
      <c r="N884" s="1214">
        <v>102.1</v>
      </c>
      <c r="O884" s="1214">
        <v>101.1</v>
      </c>
      <c r="P884" s="1214">
        <v>101</v>
      </c>
      <c r="Q884" s="1214">
        <v>101.5</v>
      </c>
    </row>
    <row r="885" spans="1:17" x14ac:dyDescent="0.25">
      <c r="A885" s="1866"/>
      <c r="B885" s="1867"/>
      <c r="C885" s="1690"/>
      <c r="D885" s="2135"/>
      <c r="E885" s="2149"/>
      <c r="F885" s="2150"/>
      <c r="G885" s="2150"/>
      <c r="H885" s="2150"/>
      <c r="I885" s="2150"/>
      <c r="J885" s="2150"/>
      <c r="K885" s="1" t="s">
        <v>1615</v>
      </c>
      <c r="L885" s="1138" t="s">
        <v>188</v>
      </c>
      <c r="M885" s="1214">
        <v>94.2</v>
      </c>
      <c r="N885" s="1214">
        <v>101.4</v>
      </c>
      <c r="O885" s="1214">
        <v>105.9</v>
      </c>
      <c r="P885" s="1214">
        <v>110.8</v>
      </c>
      <c r="Q885" s="1214">
        <v>116.4</v>
      </c>
    </row>
    <row r="886" spans="1:17" x14ac:dyDescent="0.25">
      <c r="A886" s="1866"/>
      <c r="B886" s="1867"/>
      <c r="C886" s="1690"/>
      <c r="D886" s="2135"/>
      <c r="E886" s="2149"/>
      <c r="F886" s="2150"/>
      <c r="G886" s="2150"/>
      <c r="H886" s="2150"/>
      <c r="I886" s="2150"/>
      <c r="J886" s="2150"/>
      <c r="K886" s="1212" t="s">
        <v>1613</v>
      </c>
      <c r="L886" s="1138" t="s">
        <v>34</v>
      </c>
      <c r="M886" s="1214">
        <v>102</v>
      </c>
      <c r="N886" s="1214">
        <v>102.4</v>
      </c>
      <c r="O886" s="1214">
        <v>102.6</v>
      </c>
      <c r="P886" s="1214">
        <v>102.6</v>
      </c>
      <c r="Q886" s="1214">
        <v>102.8</v>
      </c>
    </row>
    <row r="887" spans="1:17" x14ac:dyDescent="0.25">
      <c r="A887" s="1679"/>
      <c r="B887" s="1752"/>
      <c r="C887" s="1670"/>
      <c r="D887" s="1814"/>
      <c r="E887" s="1700"/>
      <c r="F887" s="2021"/>
      <c r="G887" s="2021"/>
      <c r="H887" s="2021"/>
      <c r="I887" s="2021"/>
      <c r="J887" s="2021"/>
      <c r="K887" s="1" t="s">
        <v>1611</v>
      </c>
      <c r="L887" s="1138" t="s">
        <v>34</v>
      </c>
      <c r="M887" s="1214">
        <v>97.4</v>
      </c>
      <c r="N887" s="1214">
        <v>105.1</v>
      </c>
      <c r="O887" s="1214">
        <v>101.8</v>
      </c>
      <c r="P887" s="1214">
        <v>102</v>
      </c>
      <c r="Q887" s="1214">
        <v>102.1</v>
      </c>
    </row>
    <row r="888" spans="1:17" ht="30" x14ac:dyDescent="0.25">
      <c r="A888" s="1642"/>
      <c r="B888" s="1637"/>
      <c r="C888" s="1669" t="s">
        <v>4</v>
      </c>
      <c r="D888" s="1669"/>
      <c r="E888" s="1791" t="s">
        <v>1616</v>
      </c>
      <c r="F888" s="1804">
        <v>36048.400000000001</v>
      </c>
      <c r="G888" s="1804">
        <v>37260.5</v>
      </c>
      <c r="H888" s="1804">
        <f>49272.8+24.1</f>
        <v>49296.9</v>
      </c>
      <c r="I888" s="1804">
        <v>46385.599999999999</v>
      </c>
      <c r="J888" s="1804">
        <v>47083.700000000004</v>
      </c>
      <c r="K888" s="1212" t="s">
        <v>1617</v>
      </c>
      <c r="L888" s="228" t="s">
        <v>1618</v>
      </c>
      <c r="M888" s="272">
        <v>107</v>
      </c>
      <c r="N888" s="272">
        <v>120</v>
      </c>
      <c r="O888" s="272">
        <v>120</v>
      </c>
      <c r="P888" s="272">
        <v>120</v>
      </c>
      <c r="Q888" s="272">
        <v>110</v>
      </c>
    </row>
    <row r="889" spans="1:17" ht="30" x14ac:dyDescent="0.25">
      <c r="A889" s="1644"/>
      <c r="B889" s="1638"/>
      <c r="C889" s="1670"/>
      <c r="D889" s="1670"/>
      <c r="E889" s="1791"/>
      <c r="F889" s="1805"/>
      <c r="G889" s="1805"/>
      <c r="H889" s="1805"/>
      <c r="I889" s="1805"/>
      <c r="J889" s="1805"/>
      <c r="K889" s="1212" t="s">
        <v>1619</v>
      </c>
      <c r="L889" s="228" t="s">
        <v>1618</v>
      </c>
      <c r="M889" s="272">
        <v>1.9</v>
      </c>
      <c r="N889" s="272">
        <v>2</v>
      </c>
      <c r="O889" s="272">
        <v>2</v>
      </c>
      <c r="P889" s="272">
        <v>2</v>
      </c>
      <c r="Q889" s="272">
        <v>2</v>
      </c>
    </row>
    <row r="890" spans="1:17" x14ac:dyDescent="0.25">
      <c r="A890" s="1642"/>
      <c r="B890" s="1637"/>
      <c r="C890" s="1669" t="s">
        <v>5</v>
      </c>
      <c r="D890" s="2128"/>
      <c r="E890" s="2145" t="s">
        <v>1620</v>
      </c>
      <c r="F890" s="1996" t="s">
        <v>189</v>
      </c>
      <c r="G890" s="1996">
        <v>39994.800000000003</v>
      </c>
      <c r="H890" s="1996">
        <f>59677.1+12750.5</f>
        <v>72427.600000000006</v>
      </c>
      <c r="I890" s="1996">
        <v>43453.9</v>
      </c>
      <c r="J890" s="1996">
        <v>43944.5</v>
      </c>
      <c r="K890" s="1212" t="s">
        <v>1621</v>
      </c>
      <c r="L890" s="228" t="s">
        <v>1618</v>
      </c>
      <c r="M890" s="272">
        <v>132.5</v>
      </c>
      <c r="N890" s="272">
        <v>130</v>
      </c>
      <c r="O890" s="272">
        <v>130</v>
      </c>
      <c r="P890" s="272">
        <v>130</v>
      </c>
      <c r="Q890" s="272">
        <v>120</v>
      </c>
    </row>
    <row r="891" spans="1:17" x14ac:dyDescent="0.25">
      <c r="A891" s="1643"/>
      <c r="B891" s="1641"/>
      <c r="C891" s="1690"/>
      <c r="D891" s="2129"/>
      <c r="E891" s="2146"/>
      <c r="F891" s="1996"/>
      <c r="G891" s="1996"/>
      <c r="H891" s="1996"/>
      <c r="I891" s="1996"/>
      <c r="J891" s="1996"/>
      <c r="K891" s="1212" t="s">
        <v>1622</v>
      </c>
      <c r="L891" s="228" t="s">
        <v>1618</v>
      </c>
      <c r="M891" s="272">
        <v>3.1</v>
      </c>
      <c r="N891" s="272" t="s">
        <v>190</v>
      </c>
      <c r="O891" s="272" t="s">
        <v>191</v>
      </c>
      <c r="P891" s="272" t="s">
        <v>192</v>
      </c>
      <c r="Q891" s="272" t="s">
        <v>193</v>
      </c>
    </row>
    <row r="892" spans="1:17" x14ac:dyDescent="0.25">
      <c r="A892" s="1644"/>
      <c r="B892" s="1638"/>
      <c r="C892" s="1670"/>
      <c r="D892" s="2130"/>
      <c r="E892" s="2147"/>
      <c r="F892" s="1996"/>
      <c r="G892" s="1996"/>
      <c r="H892" s="1996"/>
      <c r="I892" s="1996"/>
      <c r="J892" s="1996"/>
      <c r="K892" s="1212" t="s">
        <v>1623</v>
      </c>
      <c r="L892" s="228" t="s">
        <v>1624</v>
      </c>
      <c r="M892" s="272">
        <v>38.1</v>
      </c>
      <c r="N892" s="1406">
        <v>45</v>
      </c>
      <c r="O892" s="1406">
        <v>45</v>
      </c>
      <c r="P892" s="1406">
        <v>45</v>
      </c>
      <c r="Q892" s="1406">
        <v>34.700000000000003</v>
      </c>
    </row>
    <row r="893" spans="1:17" ht="30" x14ac:dyDescent="0.25">
      <c r="A893" s="1370"/>
      <c r="B893" s="1361"/>
      <c r="C893" s="1317" t="s">
        <v>7</v>
      </c>
      <c r="D893" s="1403"/>
      <c r="E893" s="1477" t="s">
        <v>1625</v>
      </c>
      <c r="F893" s="1190">
        <v>8071.3</v>
      </c>
      <c r="G893" s="1190" t="s">
        <v>194</v>
      </c>
      <c r="H893" s="1190">
        <f>16907.3+2528.7</f>
        <v>19436</v>
      </c>
      <c r="I893" s="1190">
        <v>10176.200000000001</v>
      </c>
      <c r="J893" s="1190">
        <v>10481.1</v>
      </c>
      <c r="K893" s="1212" t="s">
        <v>1626</v>
      </c>
      <c r="L893" s="228" t="s">
        <v>780</v>
      </c>
      <c r="M893" s="1163" t="s">
        <v>195</v>
      </c>
      <c r="N893" s="1407" t="s">
        <v>196</v>
      </c>
      <c r="O893" s="1407" t="s">
        <v>196</v>
      </c>
      <c r="P893" s="1407" t="s">
        <v>196</v>
      </c>
      <c r="Q893" s="1407" t="s">
        <v>196</v>
      </c>
    </row>
    <row r="894" spans="1:17" ht="45" x14ac:dyDescent="0.25">
      <c r="A894" s="1642"/>
      <c r="B894" s="1637"/>
      <c r="C894" s="1669" t="s">
        <v>9</v>
      </c>
      <c r="D894" s="1669"/>
      <c r="E894" s="2148" t="s">
        <v>1627</v>
      </c>
      <c r="F894" s="1804" t="s">
        <v>197</v>
      </c>
      <c r="G894" s="1804" t="s">
        <v>198</v>
      </c>
      <c r="H894" s="1804">
        <f>20492.3+1329.5</f>
        <v>21821.8</v>
      </c>
      <c r="I894" s="1804" t="s">
        <v>199</v>
      </c>
      <c r="J894" s="1804" t="s">
        <v>200</v>
      </c>
      <c r="K894" s="1212" t="s">
        <v>1628</v>
      </c>
      <c r="L894" s="228" t="s">
        <v>1618</v>
      </c>
      <c r="M894" s="664">
        <v>135.5</v>
      </c>
      <c r="N894" s="664">
        <v>138</v>
      </c>
      <c r="O894" s="664">
        <v>140</v>
      </c>
      <c r="P894" s="664">
        <v>142</v>
      </c>
      <c r="Q894" s="664">
        <v>145</v>
      </c>
    </row>
    <row r="895" spans="1:17" ht="30" x14ac:dyDescent="0.25">
      <c r="A895" s="1643"/>
      <c r="B895" s="1641"/>
      <c r="C895" s="1690"/>
      <c r="D895" s="1690"/>
      <c r="E895" s="2148"/>
      <c r="F895" s="1833"/>
      <c r="G895" s="1833"/>
      <c r="H895" s="1978"/>
      <c r="I895" s="1833"/>
      <c r="J895" s="1833"/>
      <c r="K895" s="1212" t="s">
        <v>1629</v>
      </c>
      <c r="L895" s="284"/>
      <c r="M895" s="665"/>
      <c r="N895" s="665"/>
      <c r="O895" s="664"/>
      <c r="P895" s="664"/>
      <c r="Q895" s="664"/>
    </row>
    <row r="896" spans="1:17" x14ac:dyDescent="0.25">
      <c r="A896" s="1643"/>
      <c r="B896" s="1641"/>
      <c r="C896" s="1690"/>
      <c r="D896" s="1690"/>
      <c r="E896" s="2148"/>
      <c r="F896" s="1833"/>
      <c r="G896" s="1833"/>
      <c r="H896" s="1978"/>
      <c r="I896" s="1833"/>
      <c r="J896" s="1833"/>
      <c r="K896" s="1212" t="s">
        <v>201</v>
      </c>
      <c r="L896" s="228" t="s">
        <v>202</v>
      </c>
      <c r="M896" s="664">
        <v>39000</v>
      </c>
      <c r="N896" s="664">
        <v>41000</v>
      </c>
      <c r="O896" s="665">
        <v>42000</v>
      </c>
      <c r="P896" s="664">
        <v>43000</v>
      </c>
      <c r="Q896" s="665">
        <v>45000</v>
      </c>
    </row>
    <row r="897" spans="1:17" x14ac:dyDescent="0.25">
      <c r="A897" s="1643"/>
      <c r="B897" s="1641"/>
      <c r="C897" s="1690"/>
      <c r="D897" s="1690"/>
      <c r="E897" s="2148"/>
      <c r="F897" s="1833"/>
      <c r="G897" s="1833"/>
      <c r="H897" s="1978"/>
      <c r="I897" s="1833"/>
      <c r="J897" s="1833"/>
      <c r="K897" s="1212" t="s">
        <v>203</v>
      </c>
      <c r="L897" s="228" t="s">
        <v>204</v>
      </c>
      <c r="M897" s="10">
        <v>8500</v>
      </c>
      <c r="N897" s="10">
        <v>9000</v>
      </c>
      <c r="O897" s="707">
        <v>9200</v>
      </c>
      <c r="P897" s="707">
        <v>9700</v>
      </c>
      <c r="Q897" s="707">
        <v>9900</v>
      </c>
    </row>
    <row r="898" spans="1:17" x14ac:dyDescent="0.25">
      <c r="A898" s="1643"/>
      <c r="B898" s="1641"/>
      <c r="C898" s="1690"/>
      <c r="D898" s="1690"/>
      <c r="E898" s="2148"/>
      <c r="F898" s="1833"/>
      <c r="G898" s="1833"/>
      <c r="H898" s="1978"/>
      <c r="I898" s="1833"/>
      <c r="J898" s="1833"/>
      <c r="K898" s="1212" t="s">
        <v>205</v>
      </c>
      <c r="L898" s="228" t="s">
        <v>1630</v>
      </c>
      <c r="M898" s="10">
        <v>195000</v>
      </c>
      <c r="N898" s="707">
        <v>200000</v>
      </c>
      <c r="O898" s="707">
        <v>202000</v>
      </c>
      <c r="P898" s="707">
        <v>205000</v>
      </c>
      <c r="Q898" s="707">
        <v>2010000</v>
      </c>
    </row>
    <row r="899" spans="1:17" x14ac:dyDescent="0.25">
      <c r="A899" s="1644"/>
      <c r="B899" s="1638"/>
      <c r="C899" s="1670"/>
      <c r="D899" s="1670"/>
      <c r="E899" s="2148"/>
      <c r="F899" s="1805"/>
      <c r="G899" s="1805"/>
      <c r="H899" s="1807"/>
      <c r="I899" s="1805"/>
      <c r="J899" s="1805"/>
      <c r="K899" s="1212" t="s">
        <v>206</v>
      </c>
      <c r="L899" s="228" t="s">
        <v>207</v>
      </c>
      <c r="M899" s="10">
        <v>45000</v>
      </c>
      <c r="N899" s="707">
        <v>46000</v>
      </c>
      <c r="O899" s="707">
        <v>48000</v>
      </c>
      <c r="P899" s="707">
        <v>49000</v>
      </c>
      <c r="Q899" s="707">
        <v>50000</v>
      </c>
    </row>
    <row r="900" spans="1:17" x14ac:dyDescent="0.25">
      <c r="A900" s="1161"/>
      <c r="B900" s="373"/>
      <c r="C900" s="1163" t="s">
        <v>11</v>
      </c>
      <c r="D900" s="708"/>
      <c r="E900" s="1212" t="s">
        <v>1631</v>
      </c>
      <c r="F900" s="1408">
        <v>8572.2999999999993</v>
      </c>
      <c r="G900" s="1408">
        <v>8620.5</v>
      </c>
      <c r="H900" s="1409">
        <f>10306.6+2148.5</f>
        <v>12455.1</v>
      </c>
      <c r="I900" s="1409">
        <v>8626.5</v>
      </c>
      <c r="J900" s="1409">
        <v>9570.9</v>
      </c>
      <c r="K900" s="1212" t="s">
        <v>1632</v>
      </c>
      <c r="L900" s="228" t="s">
        <v>1633</v>
      </c>
      <c r="M900" s="709">
        <v>363</v>
      </c>
      <c r="N900" s="709">
        <v>260</v>
      </c>
      <c r="O900" s="709">
        <v>260</v>
      </c>
      <c r="P900" s="709">
        <v>260</v>
      </c>
      <c r="Q900" s="709">
        <v>260</v>
      </c>
    </row>
    <row r="901" spans="1:17" x14ac:dyDescent="0.25">
      <c r="A901" s="1910"/>
      <c r="B901" s="1637"/>
      <c r="C901" s="1669" t="s">
        <v>13</v>
      </c>
      <c r="D901" s="1669"/>
      <c r="E901" s="1791" t="s">
        <v>1634</v>
      </c>
      <c r="F901" s="1727">
        <v>17980.599999999999</v>
      </c>
      <c r="G901" s="1727">
        <v>18101.400000000001</v>
      </c>
      <c r="H901" s="1804">
        <f>18308.2+1611.7</f>
        <v>19919.900000000001</v>
      </c>
      <c r="I901" s="1804">
        <v>17282.2</v>
      </c>
      <c r="J901" s="1804">
        <v>17576.8</v>
      </c>
      <c r="K901" s="1791" t="s">
        <v>1635</v>
      </c>
      <c r="L901" s="2144" t="s">
        <v>1636</v>
      </c>
      <c r="M901" s="1901">
        <v>11.5</v>
      </c>
      <c r="N901" s="1901">
        <v>10</v>
      </c>
      <c r="O901" s="1901">
        <v>10.5</v>
      </c>
      <c r="P901" s="1901">
        <v>10.5</v>
      </c>
      <c r="Q901" s="1901">
        <v>10.5</v>
      </c>
    </row>
    <row r="902" spans="1:17" x14ac:dyDescent="0.25">
      <c r="A902" s="1910"/>
      <c r="B902" s="1641"/>
      <c r="C902" s="1690"/>
      <c r="D902" s="1690"/>
      <c r="E902" s="1791"/>
      <c r="F902" s="2134"/>
      <c r="G902" s="2134"/>
      <c r="H902" s="1833"/>
      <c r="I902" s="1833"/>
      <c r="J902" s="1833"/>
      <c r="K902" s="1791"/>
      <c r="L902" s="2144"/>
      <c r="M902" s="1926"/>
      <c r="N902" s="1926"/>
      <c r="O902" s="1926"/>
      <c r="P902" s="1926"/>
      <c r="Q902" s="1926"/>
    </row>
    <row r="903" spans="1:17" x14ac:dyDescent="0.25">
      <c r="A903" s="1910"/>
      <c r="B903" s="1641"/>
      <c r="C903" s="1690"/>
      <c r="D903" s="1690"/>
      <c r="E903" s="1791"/>
      <c r="F903" s="2134"/>
      <c r="G903" s="2134"/>
      <c r="H903" s="1833"/>
      <c r="I903" s="1833"/>
      <c r="J903" s="1833"/>
      <c r="K903" s="1791"/>
      <c r="L903" s="2144"/>
      <c r="M903" s="1926"/>
      <c r="N903" s="1926"/>
      <c r="O903" s="1926"/>
      <c r="P903" s="1926"/>
      <c r="Q903" s="1926"/>
    </row>
    <row r="904" spans="1:17" x14ac:dyDescent="0.25">
      <c r="A904" s="1910"/>
      <c r="B904" s="1641"/>
      <c r="C904" s="1690"/>
      <c r="D904" s="1690"/>
      <c r="E904" s="1791"/>
      <c r="F904" s="2134"/>
      <c r="G904" s="2134"/>
      <c r="H904" s="1833"/>
      <c r="I904" s="1833"/>
      <c r="J904" s="1833"/>
      <c r="K904" s="1791"/>
      <c r="L904" s="2144"/>
      <c r="M904" s="1926"/>
      <c r="N904" s="1926"/>
      <c r="O904" s="1926"/>
      <c r="P904" s="1926"/>
      <c r="Q904" s="1926"/>
    </row>
    <row r="905" spans="1:17" x14ac:dyDescent="0.25">
      <c r="A905" s="1910"/>
      <c r="B905" s="1641"/>
      <c r="C905" s="1690"/>
      <c r="D905" s="1690"/>
      <c r="E905" s="1791"/>
      <c r="F905" s="2134"/>
      <c r="G905" s="2134"/>
      <c r="H905" s="1833"/>
      <c r="I905" s="1833"/>
      <c r="J905" s="1833"/>
      <c r="K905" s="1791"/>
      <c r="L905" s="2144"/>
      <c r="M905" s="1773"/>
      <c r="N905" s="1773"/>
      <c r="O905" s="1773"/>
      <c r="P905" s="1773"/>
      <c r="Q905" s="1773"/>
    </row>
    <row r="906" spans="1:17" ht="30" x14ac:dyDescent="0.25">
      <c r="A906" s="1910"/>
      <c r="B906" s="1641"/>
      <c r="C906" s="1690"/>
      <c r="D906" s="1690"/>
      <c r="E906" s="1791"/>
      <c r="F906" s="2134"/>
      <c r="G906" s="2134"/>
      <c r="H906" s="1833"/>
      <c r="I906" s="1833"/>
      <c r="J906" s="1833"/>
      <c r="K906" s="1212" t="s">
        <v>1637</v>
      </c>
      <c r="L906" s="228" t="s">
        <v>1636</v>
      </c>
      <c r="M906" s="1214" t="s">
        <v>208</v>
      </c>
      <c r="N906" s="1214" t="s">
        <v>208</v>
      </c>
      <c r="O906" s="1214" t="s">
        <v>208</v>
      </c>
      <c r="P906" s="1214" t="s">
        <v>208</v>
      </c>
      <c r="Q906" s="1214" t="s">
        <v>208</v>
      </c>
    </row>
    <row r="907" spans="1:17" x14ac:dyDescent="0.25">
      <c r="A907" s="1910"/>
      <c r="B907" s="1638"/>
      <c r="C907" s="1670"/>
      <c r="D907" s="1670"/>
      <c r="E907" s="1791"/>
      <c r="F907" s="1728"/>
      <c r="G907" s="1728"/>
      <c r="H907" s="1805"/>
      <c r="I907" s="1805"/>
      <c r="J907" s="1805"/>
      <c r="K907" s="1212" t="s">
        <v>1638</v>
      </c>
      <c r="L907" s="228" t="s">
        <v>1639</v>
      </c>
      <c r="M907" s="710">
        <v>61</v>
      </c>
      <c r="N907" s="710">
        <v>50</v>
      </c>
      <c r="O907" s="710">
        <v>50</v>
      </c>
      <c r="P907" s="710">
        <v>50</v>
      </c>
      <c r="Q907" s="710">
        <v>50</v>
      </c>
    </row>
    <row r="908" spans="1:17" x14ac:dyDescent="0.25">
      <c r="A908" s="1643"/>
      <c r="B908" s="1637"/>
      <c r="C908" s="1753" t="s">
        <v>15</v>
      </c>
      <c r="D908" s="1753"/>
      <c r="E908" s="1791" t="s">
        <v>1640</v>
      </c>
      <c r="F908" s="1901">
        <v>2878.2</v>
      </c>
      <c r="G908" s="1901">
        <v>2905.3</v>
      </c>
      <c r="H908" s="1774">
        <f>4485.3+24</f>
        <v>4509.3</v>
      </c>
      <c r="I908" s="1774">
        <v>3094</v>
      </c>
      <c r="J908" s="1774">
        <v>3037</v>
      </c>
      <c r="K908" s="1212" t="s">
        <v>1641</v>
      </c>
      <c r="L908" s="228" t="s">
        <v>1639</v>
      </c>
      <c r="M908" s="1406">
        <v>88</v>
      </c>
      <c r="N908" s="1406">
        <v>88</v>
      </c>
      <c r="O908" s="1406">
        <v>88</v>
      </c>
      <c r="P908" s="1406">
        <v>88</v>
      </c>
      <c r="Q908" s="1406">
        <v>88</v>
      </c>
    </row>
    <row r="909" spans="1:17" ht="30" x14ac:dyDescent="0.25">
      <c r="A909" s="1643"/>
      <c r="B909" s="1641"/>
      <c r="C909" s="1753"/>
      <c r="D909" s="1753"/>
      <c r="E909" s="1791"/>
      <c r="F909" s="1926"/>
      <c r="G909" s="1926"/>
      <c r="H909" s="1778"/>
      <c r="I909" s="1778"/>
      <c r="J909" s="1778"/>
      <c r="K909" s="1212" t="s">
        <v>1642</v>
      </c>
      <c r="L909" s="228" t="s">
        <v>209</v>
      </c>
      <c r="M909" s="30">
        <v>260</v>
      </c>
      <c r="N909" s="30">
        <v>280</v>
      </c>
      <c r="O909" s="30">
        <v>280</v>
      </c>
      <c r="P909" s="30">
        <v>280</v>
      </c>
      <c r="Q909" s="30">
        <v>280</v>
      </c>
    </row>
    <row r="910" spans="1:17" ht="45" x14ac:dyDescent="0.25">
      <c r="A910" s="1643"/>
      <c r="B910" s="1638"/>
      <c r="C910" s="1753"/>
      <c r="D910" s="1753"/>
      <c r="E910" s="1791"/>
      <c r="F910" s="1773"/>
      <c r="G910" s="1773"/>
      <c r="H910" s="1775"/>
      <c r="I910" s="1775"/>
      <c r="J910" s="1775"/>
      <c r="K910" s="1212" t="s">
        <v>1643</v>
      </c>
      <c r="L910" s="228" t="s">
        <v>1644</v>
      </c>
      <c r="M910" s="1301">
        <v>3</v>
      </c>
      <c r="N910" s="1301">
        <v>3.2</v>
      </c>
      <c r="O910" s="1301">
        <v>3.4</v>
      </c>
      <c r="P910" s="1301">
        <v>3.4</v>
      </c>
      <c r="Q910" s="1301">
        <v>3.4</v>
      </c>
    </row>
    <row r="911" spans="1:17" ht="30" x14ac:dyDescent="0.25">
      <c r="A911" s="1643"/>
      <c r="B911" s="1637"/>
      <c r="C911" s="1690" t="s">
        <v>16</v>
      </c>
      <c r="D911" s="1690"/>
      <c r="E911" s="1791" t="s">
        <v>1645</v>
      </c>
      <c r="F911" s="1901">
        <v>2586.5</v>
      </c>
      <c r="G911" s="1901">
        <v>2126.6999999999998</v>
      </c>
      <c r="H911" s="1774">
        <f>6671.9+229.5</f>
        <v>6901.4</v>
      </c>
      <c r="I911" s="1774">
        <v>4962.5</v>
      </c>
      <c r="J911" s="1774">
        <v>5042</v>
      </c>
      <c r="K911" s="1217" t="s">
        <v>1646</v>
      </c>
      <c r="L911" s="228" t="s">
        <v>1647</v>
      </c>
      <c r="M911" s="1138">
        <v>1420</v>
      </c>
      <c r="N911" s="39">
        <v>1400</v>
      </c>
      <c r="O911" s="39">
        <v>1400</v>
      </c>
      <c r="P911" s="39">
        <v>1400</v>
      </c>
      <c r="Q911" s="39">
        <v>1400</v>
      </c>
    </row>
    <row r="912" spans="1:17" x14ac:dyDescent="0.25">
      <c r="A912" s="1643"/>
      <c r="B912" s="1641"/>
      <c r="C912" s="1690"/>
      <c r="D912" s="1690"/>
      <c r="E912" s="1791"/>
      <c r="F912" s="1926"/>
      <c r="G912" s="1926"/>
      <c r="H912" s="1778"/>
      <c r="I912" s="1778"/>
      <c r="J912" s="1778"/>
      <c r="K912" s="1217"/>
      <c r="L912" s="228"/>
      <c r="M912" s="1129"/>
      <c r="N912" s="1129"/>
      <c r="O912" s="1129"/>
      <c r="P912" s="1129"/>
      <c r="Q912" s="1129"/>
    </row>
    <row r="913" spans="1:17" ht="30" x14ac:dyDescent="0.25">
      <c r="A913" s="1643"/>
      <c r="B913" s="1641"/>
      <c r="C913" s="1690"/>
      <c r="D913" s="1690"/>
      <c r="E913" s="1791"/>
      <c r="F913" s="1926"/>
      <c r="G913" s="1926"/>
      <c r="H913" s="1778"/>
      <c r="I913" s="1778"/>
      <c r="J913" s="1778"/>
      <c r="K913" s="1212" t="s">
        <v>1648</v>
      </c>
      <c r="L913" s="228" t="s">
        <v>210</v>
      </c>
      <c r="M913" s="1214">
        <v>7994</v>
      </c>
      <c r="N913" s="1139">
        <v>4250</v>
      </c>
      <c r="O913" s="1139">
        <v>4250</v>
      </c>
      <c r="P913" s="1139">
        <v>4250</v>
      </c>
      <c r="Q913" s="1139">
        <v>4250</v>
      </c>
    </row>
    <row r="914" spans="1:17" ht="30" x14ac:dyDescent="0.25">
      <c r="A914" s="1643"/>
      <c r="B914" s="1641"/>
      <c r="C914" s="1690"/>
      <c r="D914" s="1690"/>
      <c r="E914" s="1791"/>
      <c r="F914" s="1926"/>
      <c r="G914" s="1926"/>
      <c r="H914" s="1778"/>
      <c r="I914" s="1778"/>
      <c r="J914" s="1778"/>
      <c r="K914" s="1212" t="s">
        <v>1649</v>
      </c>
      <c r="L914" s="228" t="s">
        <v>1650</v>
      </c>
      <c r="M914" s="1127">
        <v>1974</v>
      </c>
      <c r="N914" s="1130">
        <v>2000</v>
      </c>
      <c r="O914" s="1130">
        <v>2200</v>
      </c>
      <c r="P914" s="1130">
        <v>2400</v>
      </c>
      <c r="Q914" s="1130">
        <v>2600</v>
      </c>
    </row>
    <row r="915" spans="1:17" ht="15.75" thickBot="1" x14ac:dyDescent="0.3">
      <c r="A915" s="1643"/>
      <c r="B915" s="1638"/>
      <c r="C915" s="1690"/>
      <c r="D915" s="1690"/>
      <c r="E915" s="1791"/>
      <c r="F915" s="1773"/>
      <c r="G915" s="1773"/>
      <c r="H915" s="1775"/>
      <c r="I915" s="1775"/>
      <c r="J915" s="1775"/>
      <c r="K915" s="1205"/>
      <c r="L915" s="1138"/>
      <c r="M915" s="1130"/>
      <c r="N915" s="1130"/>
      <c r="O915" s="1130"/>
      <c r="P915" s="1130"/>
      <c r="Q915" s="1130"/>
    </row>
    <row r="916" spans="1:17" ht="75" x14ac:dyDescent="0.25">
      <c r="A916" s="711"/>
      <c r="B916" s="712"/>
      <c r="C916" s="1117" t="s">
        <v>18</v>
      </c>
      <c r="D916" s="1275"/>
      <c r="E916" s="1217" t="s">
        <v>1651</v>
      </c>
      <c r="F916" s="228">
        <v>55101.5</v>
      </c>
      <c r="G916" s="228">
        <v>44578.2</v>
      </c>
      <c r="H916" s="1192">
        <f>33021.7+1.5</f>
        <v>33023.199999999997</v>
      </c>
      <c r="I916" s="1192">
        <v>45845.9</v>
      </c>
      <c r="J916" s="1192">
        <v>46137.3</v>
      </c>
      <c r="K916" s="1212" t="s">
        <v>1652</v>
      </c>
      <c r="L916" s="1138"/>
      <c r="M916" s="713" t="s">
        <v>1653</v>
      </c>
      <c r="N916" s="713" t="s">
        <v>1654</v>
      </c>
      <c r="O916" s="713" t="s">
        <v>1655</v>
      </c>
      <c r="P916" s="713" t="s">
        <v>1656</v>
      </c>
      <c r="Q916" s="713" t="s">
        <v>1657</v>
      </c>
    </row>
    <row r="917" spans="1:17" x14ac:dyDescent="0.25">
      <c r="A917" s="1910"/>
      <c r="B917" s="2143"/>
      <c r="C917" s="1753" t="s">
        <v>20</v>
      </c>
      <c r="D917" s="1753"/>
      <c r="E917" s="1632" t="s">
        <v>1658</v>
      </c>
      <c r="F917" s="1727">
        <v>9822.7000000000007</v>
      </c>
      <c r="G917" s="1727">
        <v>9028.7000000000007</v>
      </c>
      <c r="H917" s="1804">
        <v>4841.3999999999996</v>
      </c>
      <c r="I917" s="1804">
        <v>10296.5</v>
      </c>
      <c r="J917" s="1804">
        <v>10587.9</v>
      </c>
      <c r="K917" s="1791" t="s">
        <v>1659</v>
      </c>
      <c r="L917" s="1774"/>
      <c r="M917" s="1774" t="s">
        <v>1660</v>
      </c>
      <c r="N917" s="1774" t="s">
        <v>1661</v>
      </c>
      <c r="O917" s="1774" t="s">
        <v>1662</v>
      </c>
      <c r="P917" s="1774" t="s">
        <v>1661</v>
      </c>
      <c r="Q917" s="1774" t="s">
        <v>1663</v>
      </c>
    </row>
    <row r="918" spans="1:17" x14ac:dyDescent="0.25">
      <c r="A918" s="1910"/>
      <c r="B918" s="2143"/>
      <c r="C918" s="1753"/>
      <c r="D918" s="1753"/>
      <c r="E918" s="1632"/>
      <c r="F918" s="1728"/>
      <c r="G918" s="1728"/>
      <c r="H918" s="1805"/>
      <c r="I918" s="1805"/>
      <c r="J918" s="1805"/>
      <c r="K918" s="1791"/>
      <c r="L918" s="1775"/>
      <c r="M918" s="1775"/>
      <c r="N918" s="1775"/>
      <c r="O918" s="1775"/>
      <c r="P918" s="1775"/>
      <c r="Q918" s="1775"/>
    </row>
    <row r="919" spans="1:17" ht="60" x14ac:dyDescent="0.25">
      <c r="A919" s="1642"/>
      <c r="B919" s="1361"/>
      <c r="C919" s="1669"/>
      <c r="D919" s="1813"/>
      <c r="E919" s="1138" t="s">
        <v>1664</v>
      </c>
      <c r="F919" s="1214"/>
      <c r="G919" s="1214"/>
      <c r="H919" s="272"/>
      <c r="I919" s="1214"/>
      <c r="J919" s="1214"/>
      <c r="K919" s="1205" t="s">
        <v>1665</v>
      </c>
      <c r="L919" s="1138" t="s">
        <v>211</v>
      </c>
      <c r="M919" s="1214" t="s">
        <v>212</v>
      </c>
      <c r="N919" s="1139" t="s">
        <v>213</v>
      </c>
      <c r="O919" s="1139" t="s">
        <v>214</v>
      </c>
      <c r="P919" s="1139" t="s">
        <v>215</v>
      </c>
      <c r="Q919" s="1139" t="s">
        <v>216</v>
      </c>
    </row>
    <row r="920" spans="1:17" ht="45" x14ac:dyDescent="0.25">
      <c r="A920" s="1644"/>
      <c r="B920" s="1159"/>
      <c r="C920" s="1670"/>
      <c r="D920" s="1814"/>
      <c r="E920" s="1138" t="s">
        <v>1666</v>
      </c>
      <c r="F920" s="459"/>
      <c r="G920" s="459"/>
      <c r="H920" s="1139"/>
      <c r="I920" s="1139"/>
      <c r="J920" s="1139"/>
      <c r="K920" s="1205" t="s">
        <v>1667</v>
      </c>
      <c r="L920" s="1214" t="s">
        <v>217</v>
      </c>
      <c r="M920" s="1214" t="s">
        <v>218</v>
      </c>
      <c r="N920" s="1214" t="s">
        <v>219</v>
      </c>
      <c r="O920" s="1214" t="s">
        <v>220</v>
      </c>
      <c r="P920" s="1214" t="s">
        <v>221</v>
      </c>
      <c r="Q920" s="1214" t="s">
        <v>222</v>
      </c>
    </row>
    <row r="921" spans="1:17" x14ac:dyDescent="0.25">
      <c r="A921" s="1410"/>
      <c r="B921" s="1637"/>
      <c r="C921" s="1753" t="s">
        <v>21</v>
      </c>
      <c r="D921" s="1669"/>
      <c r="E921" s="1746" t="s">
        <v>1668</v>
      </c>
      <c r="F921" s="1727">
        <v>72291.100000000006</v>
      </c>
      <c r="G921" s="1727">
        <v>30322.6</v>
      </c>
      <c r="H921" s="1804">
        <v>0</v>
      </c>
      <c r="I921" s="1804">
        <v>0</v>
      </c>
      <c r="J921" s="1804">
        <v>0</v>
      </c>
      <c r="K921" s="1212" t="s">
        <v>1669</v>
      </c>
      <c r="L921" s="39" t="s">
        <v>1603</v>
      </c>
      <c r="M921" s="1139">
        <v>221</v>
      </c>
      <c r="N921" s="1139">
        <v>0</v>
      </c>
      <c r="O921" s="1139">
        <v>0</v>
      </c>
      <c r="P921" s="1139">
        <v>0</v>
      </c>
      <c r="Q921" s="1139">
        <v>0</v>
      </c>
    </row>
    <row r="922" spans="1:17" ht="60" x14ac:dyDescent="0.25">
      <c r="A922" s="1643"/>
      <c r="B922" s="1641"/>
      <c r="C922" s="1753"/>
      <c r="D922" s="1690"/>
      <c r="E922" s="2039"/>
      <c r="F922" s="2134"/>
      <c r="G922" s="2134"/>
      <c r="H922" s="1833"/>
      <c r="I922" s="1833"/>
      <c r="J922" s="1833"/>
      <c r="K922" s="1212" t="s">
        <v>1670</v>
      </c>
      <c r="L922" s="39" t="s">
        <v>1603</v>
      </c>
      <c r="M922" s="1139" t="s">
        <v>1671</v>
      </c>
      <c r="N922" s="1139">
        <v>0</v>
      </c>
      <c r="O922" s="1139">
        <v>0</v>
      </c>
      <c r="P922" s="1139">
        <v>0</v>
      </c>
      <c r="Q922" s="1139">
        <v>0</v>
      </c>
    </row>
    <row r="923" spans="1:17" ht="45" x14ac:dyDescent="0.25">
      <c r="A923" s="1643"/>
      <c r="B923" s="1641"/>
      <c r="C923" s="1753"/>
      <c r="D923" s="1690"/>
      <c r="E923" s="2039"/>
      <c r="F923" s="2134"/>
      <c r="G923" s="2134"/>
      <c r="H923" s="1833"/>
      <c r="I923" s="1833"/>
      <c r="J923" s="1833"/>
      <c r="K923" s="1212" t="s">
        <v>1672</v>
      </c>
      <c r="L923" s="39" t="s">
        <v>1673</v>
      </c>
      <c r="M923" s="1139" t="s">
        <v>223</v>
      </c>
      <c r="N923" s="1139">
        <v>0</v>
      </c>
      <c r="O923" s="1139">
        <v>0</v>
      </c>
      <c r="P923" s="1139">
        <v>0</v>
      </c>
      <c r="Q923" s="1139">
        <v>0</v>
      </c>
    </row>
    <row r="924" spans="1:17" ht="45" x14ac:dyDescent="0.25">
      <c r="A924" s="1643"/>
      <c r="B924" s="1638"/>
      <c r="C924" s="1753"/>
      <c r="D924" s="1670"/>
      <c r="E924" s="1747"/>
      <c r="F924" s="1728"/>
      <c r="G924" s="1728"/>
      <c r="H924" s="1805"/>
      <c r="I924" s="1805"/>
      <c r="J924" s="1805"/>
      <c r="K924" s="1212" t="s">
        <v>1674</v>
      </c>
      <c r="L924" s="39" t="s">
        <v>224</v>
      </c>
      <c r="M924" s="1139">
        <v>5806.6</v>
      </c>
      <c r="N924" s="1139">
        <v>0</v>
      </c>
      <c r="O924" s="1139">
        <v>0</v>
      </c>
      <c r="P924" s="1139">
        <v>0</v>
      </c>
      <c r="Q924" s="1139">
        <v>0</v>
      </c>
    </row>
    <row r="925" spans="1:17" x14ac:dyDescent="0.25">
      <c r="A925" s="1643"/>
      <c r="B925" s="1637"/>
      <c r="C925" s="1753" t="s">
        <v>22</v>
      </c>
      <c r="D925" s="1690"/>
      <c r="E925" s="1684" t="s">
        <v>1675</v>
      </c>
      <c r="F925" s="2137">
        <v>412582.9</v>
      </c>
      <c r="G925" s="2137">
        <v>178735.1</v>
      </c>
      <c r="H925" s="2140"/>
      <c r="I925" s="2140">
        <v>194478.8</v>
      </c>
      <c r="J925" s="2140">
        <v>0</v>
      </c>
      <c r="K925" s="1212" t="s">
        <v>1676</v>
      </c>
      <c r="L925" s="1138" t="s">
        <v>94</v>
      </c>
      <c r="M925" s="1171">
        <v>200.9</v>
      </c>
      <c r="N925" s="85">
        <v>201</v>
      </c>
      <c r="O925" s="85">
        <v>201</v>
      </c>
      <c r="P925" s="85">
        <v>201</v>
      </c>
      <c r="Q925" s="1171">
        <v>201</v>
      </c>
    </row>
    <row r="926" spans="1:17" x14ac:dyDescent="0.25">
      <c r="A926" s="1643"/>
      <c r="B926" s="1641"/>
      <c r="C926" s="1753"/>
      <c r="D926" s="1690"/>
      <c r="E926" s="1685"/>
      <c r="F926" s="2138"/>
      <c r="G926" s="2138"/>
      <c r="H926" s="2141"/>
      <c r="I926" s="2141"/>
      <c r="J926" s="2141"/>
      <c r="K926" s="1212" t="s">
        <v>1677</v>
      </c>
      <c r="L926" s="1138" t="s">
        <v>34</v>
      </c>
      <c r="M926" s="1171">
        <v>88</v>
      </c>
      <c r="N926" s="85">
        <v>100</v>
      </c>
      <c r="O926" s="85">
        <v>100</v>
      </c>
      <c r="P926" s="85">
        <v>100</v>
      </c>
      <c r="Q926" s="1171">
        <v>100</v>
      </c>
    </row>
    <row r="927" spans="1:17" x14ac:dyDescent="0.25">
      <c r="A927" s="1643"/>
      <c r="B927" s="1641"/>
      <c r="C927" s="1753"/>
      <c r="D927" s="1690"/>
      <c r="E927" s="1685"/>
      <c r="F927" s="2138"/>
      <c r="G927" s="2138"/>
      <c r="H927" s="2141"/>
      <c r="I927" s="2141"/>
      <c r="J927" s="2141"/>
      <c r="K927" s="1212" t="s">
        <v>1678</v>
      </c>
      <c r="L927" s="1138" t="s">
        <v>1186</v>
      </c>
      <c r="M927" s="1171">
        <v>179</v>
      </c>
      <c r="N927" s="1171">
        <v>180</v>
      </c>
      <c r="O927" s="1171">
        <v>180</v>
      </c>
      <c r="P927" s="1171">
        <v>180</v>
      </c>
      <c r="Q927" s="1171">
        <v>180</v>
      </c>
    </row>
    <row r="928" spans="1:17" ht="30" x14ac:dyDescent="0.25">
      <c r="A928" s="1643"/>
      <c r="B928" s="1641"/>
      <c r="C928" s="1753"/>
      <c r="D928" s="1690"/>
      <c r="E928" s="1685"/>
      <c r="F928" s="2138"/>
      <c r="G928" s="2138"/>
      <c r="H928" s="2141"/>
      <c r="I928" s="2141"/>
      <c r="J928" s="2141"/>
      <c r="K928" s="1212" t="s">
        <v>1679</v>
      </c>
      <c r="L928" s="1138" t="s">
        <v>1186</v>
      </c>
      <c r="M928" s="1171">
        <v>363</v>
      </c>
      <c r="N928" s="1171">
        <v>260</v>
      </c>
      <c r="O928" s="1171">
        <v>260</v>
      </c>
      <c r="P928" s="1171">
        <v>260</v>
      </c>
      <c r="Q928" s="1171">
        <v>260</v>
      </c>
    </row>
    <row r="929" spans="1:17" ht="30" x14ac:dyDescent="0.25">
      <c r="A929" s="1643"/>
      <c r="B929" s="1638"/>
      <c r="C929" s="1753"/>
      <c r="D929" s="1670"/>
      <c r="E929" s="1686"/>
      <c r="F929" s="2139"/>
      <c r="G929" s="2139"/>
      <c r="H929" s="2142"/>
      <c r="I929" s="2142"/>
      <c r="J929" s="2142"/>
      <c r="K929" s="1212" t="s">
        <v>1680</v>
      </c>
      <c r="L929" s="1138" t="s">
        <v>1186</v>
      </c>
      <c r="M929" s="1171">
        <v>24</v>
      </c>
      <c r="N929" s="1171">
        <v>20</v>
      </c>
      <c r="O929" s="1171">
        <v>20</v>
      </c>
      <c r="P929" s="1171">
        <v>20</v>
      </c>
      <c r="Q929" s="1171">
        <v>20</v>
      </c>
    </row>
    <row r="930" spans="1:17" ht="30" x14ac:dyDescent="0.25">
      <c r="A930" s="715"/>
      <c r="B930" s="716"/>
      <c r="C930" s="1117" t="s">
        <v>23</v>
      </c>
      <c r="D930" s="1403"/>
      <c r="E930" s="1217" t="s">
        <v>1681</v>
      </c>
      <c r="F930" s="717">
        <v>160088.1</v>
      </c>
      <c r="G930" s="717">
        <v>572800</v>
      </c>
      <c r="H930" s="1192"/>
      <c r="I930" s="228">
        <v>0</v>
      </c>
      <c r="J930" s="228">
        <v>0</v>
      </c>
      <c r="K930" s="829" t="s">
        <v>1682</v>
      </c>
      <c r="L930" s="1411">
        <v>0</v>
      </c>
      <c r="M930" s="1323">
        <v>0</v>
      </c>
      <c r="N930" s="1323">
        <v>0</v>
      </c>
      <c r="O930" s="1323">
        <v>0</v>
      </c>
      <c r="P930" s="1323">
        <v>0</v>
      </c>
      <c r="Q930" s="1323">
        <v>0</v>
      </c>
    </row>
    <row r="931" spans="1:17" x14ac:dyDescent="0.25">
      <c r="A931" s="1642"/>
      <c r="B931" s="1637"/>
      <c r="C931" s="1669" t="s">
        <v>24</v>
      </c>
      <c r="D931" s="1669"/>
      <c r="E931" s="1684" t="s">
        <v>1683</v>
      </c>
      <c r="F931" s="1727">
        <v>3359.9</v>
      </c>
      <c r="G931" s="1727">
        <v>3566.4</v>
      </c>
      <c r="H931" s="1695">
        <f>3759.1+53</f>
        <v>3812.1</v>
      </c>
      <c r="I931" s="1695">
        <v>3260.2</v>
      </c>
      <c r="J931" s="1695">
        <v>3544.6</v>
      </c>
      <c r="K931" s="1212" t="s">
        <v>1684</v>
      </c>
      <c r="L931" s="1138" t="s">
        <v>34</v>
      </c>
      <c r="M931" s="1214">
        <v>102</v>
      </c>
      <c r="N931" s="1214">
        <v>102.4</v>
      </c>
      <c r="O931" s="1214">
        <v>102.6</v>
      </c>
      <c r="P931" s="1214">
        <v>102.6</v>
      </c>
      <c r="Q931" s="1214">
        <v>102.6</v>
      </c>
    </row>
    <row r="932" spans="1:17" x14ac:dyDescent="0.25">
      <c r="A932" s="1643"/>
      <c r="B932" s="1641"/>
      <c r="C932" s="1690"/>
      <c r="D932" s="1690"/>
      <c r="E932" s="1685"/>
      <c r="F932" s="2134"/>
      <c r="G932" s="2134"/>
      <c r="H932" s="2136"/>
      <c r="I932" s="2136"/>
      <c r="J932" s="2136"/>
      <c r="K932" s="1212" t="s">
        <v>1685</v>
      </c>
      <c r="L932" s="1138" t="s">
        <v>1686</v>
      </c>
      <c r="M932" s="1214">
        <v>83107</v>
      </c>
      <c r="N932" s="1171">
        <v>85000</v>
      </c>
      <c r="O932" s="1171">
        <v>85000</v>
      </c>
      <c r="P932" s="1171">
        <v>90000</v>
      </c>
      <c r="Q932" s="1171">
        <v>95000</v>
      </c>
    </row>
    <row r="933" spans="1:17" x14ac:dyDescent="0.25">
      <c r="A933" s="1643"/>
      <c r="B933" s="1641"/>
      <c r="C933" s="1690"/>
      <c r="D933" s="1690"/>
      <c r="E933" s="1685"/>
      <c r="F933" s="2134"/>
      <c r="G933" s="2134"/>
      <c r="H933" s="2136"/>
      <c r="I933" s="2136"/>
      <c r="J933" s="2136"/>
      <c r="K933" s="1212" t="s">
        <v>1687</v>
      </c>
      <c r="L933" s="1138" t="s">
        <v>1686</v>
      </c>
      <c r="M933" s="1214">
        <v>25000</v>
      </c>
      <c r="N933" s="1171">
        <v>20000</v>
      </c>
      <c r="O933" s="1171">
        <v>25000</v>
      </c>
      <c r="P933" s="1171">
        <v>30000</v>
      </c>
      <c r="Q933" s="1171">
        <v>36000</v>
      </c>
    </row>
    <row r="934" spans="1:17" ht="30" x14ac:dyDescent="0.25">
      <c r="A934" s="1643"/>
      <c r="B934" s="1641"/>
      <c r="C934" s="1690"/>
      <c r="D934" s="1690"/>
      <c r="E934" s="1685"/>
      <c r="F934" s="2134"/>
      <c r="G934" s="2134"/>
      <c r="H934" s="2136"/>
      <c r="I934" s="2136"/>
      <c r="J934" s="2136"/>
      <c r="K934" s="1212" t="s">
        <v>1688</v>
      </c>
      <c r="L934" s="1138"/>
      <c r="M934" s="1214"/>
      <c r="N934" s="1171"/>
      <c r="O934" s="1171"/>
      <c r="P934" s="1171"/>
      <c r="Q934" s="1171"/>
    </row>
    <row r="935" spans="1:17" x14ac:dyDescent="0.25">
      <c r="A935" s="1643"/>
      <c r="B935" s="1641"/>
      <c r="C935" s="1690"/>
      <c r="D935" s="1690"/>
      <c r="E935" s="1685"/>
      <c r="F935" s="2134"/>
      <c r="G935" s="2134"/>
      <c r="H935" s="2136"/>
      <c r="I935" s="2136"/>
      <c r="J935" s="2136"/>
      <c r="K935" s="1212" t="s">
        <v>1689</v>
      </c>
      <c r="L935" s="1138"/>
      <c r="M935" s="1214"/>
      <c r="N935" s="1171"/>
      <c r="O935" s="1171"/>
      <c r="P935" s="1171"/>
      <c r="Q935" s="1171"/>
    </row>
    <row r="936" spans="1:17" ht="30" x14ac:dyDescent="0.25">
      <c r="A936" s="1644"/>
      <c r="B936" s="1638"/>
      <c r="C936" s="1670"/>
      <c r="D936" s="1670"/>
      <c r="E936" s="1686"/>
      <c r="F936" s="1728"/>
      <c r="G936" s="1728"/>
      <c r="H936" s="1696"/>
      <c r="I936" s="1696"/>
      <c r="J936" s="1696"/>
      <c r="K936" s="1212" t="s">
        <v>1690</v>
      </c>
      <c r="L936" s="1214" t="s">
        <v>1686</v>
      </c>
      <c r="M936" s="1214">
        <v>300</v>
      </c>
      <c r="N936" s="43">
        <v>300</v>
      </c>
      <c r="O936" s="43">
        <v>300</v>
      </c>
      <c r="P936" s="43">
        <v>300</v>
      </c>
      <c r="Q936" s="43">
        <v>300</v>
      </c>
    </row>
    <row r="937" spans="1:17" ht="30" x14ac:dyDescent="0.25">
      <c r="A937" s="1642"/>
      <c r="B937" s="1637"/>
      <c r="C937" s="1669" t="s">
        <v>25</v>
      </c>
      <c r="D937" s="1669"/>
      <c r="E937" s="1746" t="s">
        <v>1691</v>
      </c>
      <c r="F937" s="1727">
        <v>9843.7000000000007</v>
      </c>
      <c r="G937" s="1727">
        <v>7252.1</v>
      </c>
      <c r="H937" s="1727">
        <f>8850.3+5956.5</f>
        <v>14806.8</v>
      </c>
      <c r="I937" s="1727">
        <v>10662.6</v>
      </c>
      <c r="J937" s="1727">
        <v>11621.6</v>
      </c>
      <c r="K937" s="1212" t="s">
        <v>1692</v>
      </c>
      <c r="L937" s="299" t="s">
        <v>825</v>
      </c>
      <c r="M937" s="1214">
        <v>396</v>
      </c>
      <c r="N937" s="1139">
        <v>350</v>
      </c>
      <c r="O937" s="1139">
        <v>350</v>
      </c>
      <c r="P937" s="1139">
        <v>350</v>
      </c>
      <c r="Q937" s="1139">
        <v>350</v>
      </c>
    </row>
    <row r="938" spans="1:17" ht="30" x14ac:dyDescent="0.25">
      <c r="A938" s="1644"/>
      <c r="B938" s="1638"/>
      <c r="C938" s="1670"/>
      <c r="D938" s="1670"/>
      <c r="E938" s="1747"/>
      <c r="F938" s="1728"/>
      <c r="G938" s="1728"/>
      <c r="H938" s="1728"/>
      <c r="I938" s="1728"/>
      <c r="J938" s="1728"/>
      <c r="K938" s="1212" t="s">
        <v>1693</v>
      </c>
      <c r="L938" s="299" t="s">
        <v>825</v>
      </c>
      <c r="M938" s="1214">
        <v>175</v>
      </c>
      <c r="N938" s="1139">
        <v>150</v>
      </c>
      <c r="O938" s="1139">
        <v>150</v>
      </c>
      <c r="P938" s="1139">
        <v>150</v>
      </c>
      <c r="Q938" s="1139">
        <v>150</v>
      </c>
    </row>
    <row r="939" spans="1:17" ht="30" x14ac:dyDescent="0.25">
      <c r="A939" s="1642"/>
      <c r="B939" s="1637"/>
      <c r="C939" s="1669" t="s">
        <v>26</v>
      </c>
      <c r="D939" s="1669"/>
      <c r="E939" s="1746" t="s">
        <v>1694</v>
      </c>
      <c r="F939" s="1901">
        <v>7840</v>
      </c>
      <c r="G939" s="1901">
        <v>8321.7000000000007</v>
      </c>
      <c r="H939" s="1774">
        <f>8002.4+1634.9</f>
        <v>9637.2999999999993</v>
      </c>
      <c r="I939" s="1774">
        <v>8344.6</v>
      </c>
      <c r="J939" s="1774">
        <v>8435.7000000000007</v>
      </c>
      <c r="K939" s="1212" t="s">
        <v>1695</v>
      </c>
      <c r="L939" s="299" t="s">
        <v>825</v>
      </c>
      <c r="M939" s="1214">
        <v>2355</v>
      </c>
      <c r="N939" s="1139" t="s">
        <v>1343</v>
      </c>
      <c r="O939" s="1139" t="s">
        <v>1343</v>
      </c>
      <c r="P939" s="1139" t="s">
        <v>1343</v>
      </c>
      <c r="Q939" s="1139" t="s">
        <v>1343</v>
      </c>
    </row>
    <row r="940" spans="1:17" ht="30" x14ac:dyDescent="0.25">
      <c r="A940" s="1643"/>
      <c r="B940" s="1641"/>
      <c r="C940" s="1690"/>
      <c r="D940" s="1690"/>
      <c r="E940" s="2039"/>
      <c r="F940" s="1926"/>
      <c r="G940" s="1926"/>
      <c r="H940" s="1778"/>
      <c r="I940" s="1778"/>
      <c r="J940" s="1778"/>
      <c r="K940" s="1212" t="s">
        <v>1696</v>
      </c>
      <c r="L940" s="299" t="s">
        <v>822</v>
      </c>
      <c r="M940" s="1214">
        <v>48</v>
      </c>
      <c r="N940" s="1139" t="s">
        <v>1343</v>
      </c>
      <c r="O940" s="1139" t="s">
        <v>1343</v>
      </c>
      <c r="P940" s="1139" t="s">
        <v>1343</v>
      </c>
      <c r="Q940" s="1139" t="s">
        <v>1343</v>
      </c>
    </row>
    <row r="941" spans="1:17" ht="30" x14ac:dyDescent="0.25">
      <c r="A941" s="1643"/>
      <c r="B941" s="1641"/>
      <c r="C941" s="1690"/>
      <c r="D941" s="1690"/>
      <c r="E941" s="2039"/>
      <c r="F941" s="1926"/>
      <c r="G941" s="1926"/>
      <c r="H941" s="1778"/>
      <c r="I941" s="1778"/>
      <c r="J941" s="1778"/>
      <c r="K941" s="1212" t="s">
        <v>1697</v>
      </c>
      <c r="L941" s="228" t="s">
        <v>1698</v>
      </c>
      <c r="M941" s="1214">
        <v>8.3000000000000007</v>
      </c>
      <c r="N941" s="1139">
        <v>8.5</v>
      </c>
      <c r="O941" s="1139">
        <v>8.6999999999999993</v>
      </c>
      <c r="P941" s="1139">
        <v>9</v>
      </c>
      <c r="Q941" s="1139">
        <v>9.1999999999999993</v>
      </c>
    </row>
    <row r="942" spans="1:17" x14ac:dyDescent="0.25">
      <c r="A942" s="1644"/>
      <c r="B942" s="1638"/>
      <c r="C942" s="1670"/>
      <c r="D942" s="1670"/>
      <c r="E942" s="1747"/>
      <c r="F942" s="1773"/>
      <c r="G942" s="1773"/>
      <c r="H942" s="1775"/>
      <c r="I942" s="1775"/>
      <c r="J942" s="1775"/>
      <c r="K942" s="1212" t="s">
        <v>1699</v>
      </c>
      <c r="L942" s="228" t="s">
        <v>1700</v>
      </c>
      <c r="M942" s="1214">
        <v>2.1</v>
      </c>
      <c r="N942" s="1214">
        <v>2.2000000000000002</v>
      </c>
      <c r="O942" s="1214">
        <v>2.2999999999999998</v>
      </c>
      <c r="P942" s="1214">
        <v>2.4</v>
      </c>
      <c r="Q942" s="1214">
        <v>2.5</v>
      </c>
    </row>
    <row r="943" spans="1:17" x14ac:dyDescent="0.25">
      <c r="A943" s="1642"/>
      <c r="B943" s="1637"/>
      <c r="C943" s="1669" t="s">
        <v>27</v>
      </c>
      <c r="D943" s="1669"/>
      <c r="E943" s="1746" t="s">
        <v>1701</v>
      </c>
      <c r="F943" s="1727">
        <v>2799.9</v>
      </c>
      <c r="G943" s="1727">
        <v>2972</v>
      </c>
      <c r="H943" s="1804">
        <v>4163.1000000000004</v>
      </c>
      <c r="I943" s="1804">
        <v>3715.5</v>
      </c>
      <c r="J943" s="1804">
        <v>4004.7</v>
      </c>
      <c r="K943" s="1212" t="s">
        <v>1702</v>
      </c>
      <c r="L943" s="228" t="s">
        <v>1636</v>
      </c>
      <c r="M943" s="1214">
        <v>9030.9</v>
      </c>
      <c r="N943" s="1214">
        <v>9030.9</v>
      </c>
      <c r="O943" s="1214">
        <v>9030.9</v>
      </c>
      <c r="P943" s="1214">
        <v>9030.9</v>
      </c>
      <c r="Q943" s="1214">
        <v>9030.9</v>
      </c>
    </row>
    <row r="944" spans="1:17" ht="30" x14ac:dyDescent="0.25">
      <c r="A944" s="1644"/>
      <c r="B944" s="1638"/>
      <c r="C944" s="1670"/>
      <c r="D944" s="1670"/>
      <c r="E944" s="1747"/>
      <c r="F944" s="1728"/>
      <c r="G944" s="1728"/>
      <c r="H944" s="1805"/>
      <c r="I944" s="1805"/>
      <c r="J944" s="1805"/>
      <c r="K944" s="1212" t="s">
        <v>1703</v>
      </c>
      <c r="L944" s="228" t="s">
        <v>780</v>
      </c>
      <c r="M944" s="1214">
        <v>318</v>
      </c>
      <c r="N944" s="1214">
        <v>409</v>
      </c>
      <c r="O944" s="1214">
        <v>420</v>
      </c>
      <c r="P944" s="1214">
        <v>440</v>
      </c>
      <c r="Q944" s="1214">
        <v>454</v>
      </c>
    </row>
    <row r="945" spans="1:17" ht="75" x14ac:dyDescent="0.25">
      <c r="A945" s="1170"/>
      <c r="B945" s="1248"/>
      <c r="C945" s="1117" t="s">
        <v>28</v>
      </c>
      <c r="D945" s="1275"/>
      <c r="E945" s="1217" t="s">
        <v>1704</v>
      </c>
      <c r="F945" s="228">
        <v>596216.4</v>
      </c>
      <c r="G945" s="284">
        <v>1362970.4</v>
      </c>
      <c r="H945" s="1192">
        <f>2700+12284.8+3113.1+1300+90118.8+5095.4+6980</f>
        <v>121592.09999999999</v>
      </c>
      <c r="I945" s="1192">
        <v>0</v>
      </c>
      <c r="J945" s="1192">
        <v>0</v>
      </c>
      <c r="K945" s="1212" t="s">
        <v>1705</v>
      </c>
      <c r="L945" s="228" t="s">
        <v>822</v>
      </c>
      <c r="M945" s="1214">
        <v>140</v>
      </c>
      <c r="N945" s="1139">
        <v>140</v>
      </c>
      <c r="O945" s="1139">
        <v>0</v>
      </c>
      <c r="P945" s="1139">
        <v>0</v>
      </c>
      <c r="Q945" s="1139">
        <v>0</v>
      </c>
    </row>
    <row r="946" spans="1:17" ht="60" x14ac:dyDescent="0.25">
      <c r="A946" s="1642"/>
      <c r="B946" s="1637"/>
      <c r="C946" s="1669" t="s">
        <v>29</v>
      </c>
      <c r="D946" s="1669"/>
      <c r="E946" s="1791" t="s">
        <v>1706</v>
      </c>
      <c r="F946" s="1727">
        <v>0</v>
      </c>
      <c r="G946" s="1727">
        <v>71600</v>
      </c>
      <c r="H946" s="1804">
        <f>11450+69800+118660</f>
        <v>199910</v>
      </c>
      <c r="I946" s="1804">
        <v>380700</v>
      </c>
      <c r="J946" s="1804">
        <v>437666.4</v>
      </c>
      <c r="K946" s="1212" t="s">
        <v>1707</v>
      </c>
      <c r="L946" s="228" t="s">
        <v>34</v>
      </c>
      <c r="M946" s="1214"/>
      <c r="N946" s="1139">
        <v>5</v>
      </c>
      <c r="O946" s="1139">
        <v>10</v>
      </c>
      <c r="P946" s="1139">
        <v>20</v>
      </c>
      <c r="Q946" s="1139">
        <v>30</v>
      </c>
    </row>
    <row r="947" spans="1:17" ht="30" x14ac:dyDescent="0.25">
      <c r="A947" s="1643"/>
      <c r="B947" s="1641"/>
      <c r="C947" s="1690"/>
      <c r="D947" s="1690"/>
      <c r="E947" s="1791"/>
      <c r="F947" s="2134"/>
      <c r="G947" s="2134"/>
      <c r="H947" s="1833"/>
      <c r="I947" s="1833"/>
      <c r="J947" s="1833"/>
      <c r="K947" s="1212" t="s">
        <v>1708</v>
      </c>
      <c r="L947" s="228" t="s">
        <v>822</v>
      </c>
      <c r="M947" s="1214"/>
      <c r="N947" s="43">
        <v>2000</v>
      </c>
      <c r="O947" s="43">
        <v>2200</v>
      </c>
      <c r="P947" s="43">
        <v>2500</v>
      </c>
      <c r="Q947" s="43">
        <v>2800</v>
      </c>
    </row>
    <row r="948" spans="1:17" ht="45" x14ac:dyDescent="0.25">
      <c r="A948" s="1644"/>
      <c r="B948" s="1638"/>
      <c r="C948" s="1670"/>
      <c r="D948" s="1670"/>
      <c r="E948" s="1791"/>
      <c r="F948" s="1728"/>
      <c r="G948" s="1728"/>
      <c r="H948" s="1805"/>
      <c r="I948" s="1805"/>
      <c r="J948" s="1805"/>
      <c r="K948" s="1212" t="s">
        <v>1709</v>
      </c>
      <c r="L948" s="228"/>
      <c r="M948" s="1214"/>
      <c r="N948" s="1139"/>
      <c r="O948" s="1139"/>
      <c r="P948" s="1139"/>
      <c r="Q948" s="1139"/>
    </row>
    <row r="949" spans="1:17" ht="90" x14ac:dyDescent="0.25">
      <c r="A949" s="1642"/>
      <c r="B949" s="1637"/>
      <c r="C949" s="1669" t="s">
        <v>30</v>
      </c>
      <c r="D949" s="1669"/>
      <c r="E949" s="1791" t="s">
        <v>1710</v>
      </c>
      <c r="F949" s="1727">
        <v>80344.3</v>
      </c>
      <c r="G949" s="1727">
        <v>734494.3</v>
      </c>
      <c r="H949" s="1804"/>
      <c r="I949" s="1804">
        <v>0</v>
      </c>
      <c r="J949" s="1804">
        <v>0</v>
      </c>
      <c r="K949" s="1212" t="s">
        <v>1711</v>
      </c>
      <c r="L949" s="228" t="s">
        <v>822</v>
      </c>
      <c r="M949" s="1214">
        <v>92</v>
      </c>
      <c r="N949" s="1139">
        <v>140</v>
      </c>
      <c r="O949" s="1139">
        <v>140</v>
      </c>
      <c r="P949" s="1139">
        <v>0</v>
      </c>
      <c r="Q949" s="1139">
        <v>0</v>
      </c>
    </row>
    <row r="950" spans="1:17" ht="30" x14ac:dyDescent="0.25">
      <c r="A950" s="1643"/>
      <c r="B950" s="1641"/>
      <c r="C950" s="1690"/>
      <c r="D950" s="1690"/>
      <c r="E950" s="1791"/>
      <c r="F950" s="2134"/>
      <c r="G950" s="2134"/>
      <c r="H950" s="1833"/>
      <c r="I950" s="1833"/>
      <c r="J950" s="1833"/>
      <c r="K950" s="1212" t="s">
        <v>1712</v>
      </c>
      <c r="L950" s="228" t="s">
        <v>1713</v>
      </c>
      <c r="M950" s="1214">
        <v>100564.2</v>
      </c>
      <c r="N950" s="1139">
        <v>167607</v>
      </c>
      <c r="O950" s="1139">
        <v>157607</v>
      </c>
      <c r="P950" s="1139">
        <v>0</v>
      </c>
      <c r="Q950" s="1139">
        <v>0</v>
      </c>
    </row>
    <row r="951" spans="1:17" ht="66.75" customHeight="1" x14ac:dyDescent="0.25">
      <c r="A951" s="1644"/>
      <c r="B951" s="1638"/>
      <c r="C951" s="1670"/>
      <c r="D951" s="1670"/>
      <c r="E951" s="1791"/>
      <c r="F951" s="1728"/>
      <c r="G951" s="1728"/>
      <c r="H951" s="1805"/>
      <c r="I951" s="1805"/>
      <c r="J951" s="1805"/>
      <c r="K951" s="1212" t="s">
        <v>3095</v>
      </c>
      <c r="L951" s="228" t="s">
        <v>34</v>
      </c>
      <c r="M951" s="1214">
        <v>50</v>
      </c>
      <c r="N951" s="1139">
        <v>50</v>
      </c>
      <c r="O951" s="1139">
        <v>50</v>
      </c>
      <c r="P951" s="1139">
        <v>0</v>
      </c>
      <c r="Q951" s="1139">
        <v>0</v>
      </c>
    </row>
    <row r="952" spans="1:17" ht="30" x14ac:dyDescent="0.25">
      <c r="A952" s="1170"/>
      <c r="B952" s="1248"/>
      <c r="C952" s="1117" t="s">
        <v>31</v>
      </c>
      <c r="D952" s="1275"/>
      <c r="E952" s="1217" t="s">
        <v>1714</v>
      </c>
      <c r="F952" s="228">
        <v>0</v>
      </c>
      <c r="G952" s="228">
        <v>0</v>
      </c>
      <c r="H952" s="1192">
        <f>37936.3</f>
        <v>37936.300000000003</v>
      </c>
      <c r="I952" s="1409">
        <v>79086.899999999994</v>
      </c>
      <c r="J952" s="1409">
        <v>0</v>
      </c>
      <c r="K952" s="1212" t="s">
        <v>1715</v>
      </c>
      <c r="L952" s="228">
        <v>0</v>
      </c>
      <c r="M952" s="228">
        <v>0</v>
      </c>
      <c r="N952" s="1192">
        <v>0</v>
      </c>
      <c r="O952" s="1192">
        <v>0</v>
      </c>
      <c r="P952" s="1192">
        <v>0</v>
      </c>
      <c r="Q952" s="1192">
        <v>0</v>
      </c>
    </row>
    <row r="953" spans="1:17" ht="30" x14ac:dyDescent="0.25">
      <c r="A953" s="1170"/>
      <c r="B953" s="1248"/>
      <c r="C953" s="1117" t="s">
        <v>32</v>
      </c>
      <c r="D953" s="1275"/>
      <c r="E953" s="1217" t="s">
        <v>1716</v>
      </c>
      <c r="F953" s="1214"/>
      <c r="G953" s="1214"/>
      <c r="H953" s="1139"/>
      <c r="I953" s="1335"/>
      <c r="J953" s="1335"/>
      <c r="K953" s="1205"/>
      <c r="L953" s="1138"/>
      <c r="M953" s="1214"/>
      <c r="N953" s="1139"/>
      <c r="O953" s="1139"/>
      <c r="P953" s="1139"/>
      <c r="Q953" s="1139"/>
    </row>
    <row r="954" spans="1:17" ht="30" x14ac:dyDescent="0.25">
      <c r="A954" s="1642"/>
      <c r="B954" s="1637"/>
      <c r="C954" s="1669" t="s">
        <v>136</v>
      </c>
      <c r="D954" s="1669"/>
      <c r="E954" s="1746" t="s">
        <v>1717</v>
      </c>
      <c r="F954" s="1727">
        <v>5442.3</v>
      </c>
      <c r="G954" s="1727">
        <v>5818.8</v>
      </c>
      <c r="H954" s="1804">
        <v>9505.4</v>
      </c>
      <c r="I954" s="1804">
        <v>8036.1</v>
      </c>
      <c r="J954" s="1804">
        <v>9013.4</v>
      </c>
      <c r="K954" s="1212" t="s">
        <v>1718</v>
      </c>
      <c r="L954" s="1138" t="s">
        <v>1719</v>
      </c>
      <c r="M954" s="1214">
        <v>579951</v>
      </c>
      <c r="N954" s="1139">
        <v>250000</v>
      </c>
      <c r="O954" s="1139">
        <v>280000</v>
      </c>
      <c r="P954" s="1139">
        <v>310000</v>
      </c>
      <c r="Q954" s="1139">
        <v>340000</v>
      </c>
    </row>
    <row r="955" spans="1:17" x14ac:dyDescent="0.25">
      <c r="A955" s="1643"/>
      <c r="B955" s="1641"/>
      <c r="C955" s="1690"/>
      <c r="D955" s="1690"/>
      <c r="E955" s="2039"/>
      <c r="F955" s="2134"/>
      <c r="G955" s="2134"/>
      <c r="H955" s="1833"/>
      <c r="I955" s="1833"/>
      <c r="J955" s="1833"/>
      <c r="K955" s="1212" t="s">
        <v>1720</v>
      </c>
      <c r="L955" s="1138" t="s">
        <v>1721</v>
      </c>
      <c r="M955" s="1214">
        <v>4610.1000000000004</v>
      </c>
      <c r="N955" s="1139">
        <v>3601.5</v>
      </c>
      <c r="O955" s="1139">
        <v>3646.3</v>
      </c>
      <c r="P955" s="1139">
        <v>3769.2</v>
      </c>
      <c r="Q955" s="1139">
        <v>3900</v>
      </c>
    </row>
    <row r="956" spans="1:17" x14ac:dyDescent="0.25">
      <c r="A956" s="1644"/>
      <c r="B956" s="1638"/>
      <c r="C956" s="1670"/>
      <c r="D956" s="1670"/>
      <c r="E956" s="1747"/>
      <c r="F956" s="1728"/>
      <c r="G956" s="1728"/>
      <c r="H956" s="1805"/>
      <c r="I956" s="1805"/>
      <c r="J956" s="1805"/>
      <c r="K956" s="1217" t="s">
        <v>1722</v>
      </c>
      <c r="L956" s="1138" t="s">
        <v>825</v>
      </c>
      <c r="M956" s="1214">
        <v>1886</v>
      </c>
      <c r="N956" s="1139">
        <v>2600</v>
      </c>
      <c r="O956" s="1139">
        <v>2300</v>
      </c>
      <c r="P956" s="1139">
        <v>2100</v>
      </c>
      <c r="Q956" s="1139">
        <v>2000</v>
      </c>
    </row>
    <row r="957" spans="1:17" ht="42.75" x14ac:dyDescent="0.25">
      <c r="A957" s="1115">
        <v>41</v>
      </c>
      <c r="B957" s="1297">
        <v>3</v>
      </c>
      <c r="C957" s="1117"/>
      <c r="D957" s="1275"/>
      <c r="E957" s="178" t="s">
        <v>1723</v>
      </c>
      <c r="F957" s="24" t="s">
        <v>225</v>
      </c>
      <c r="G957" s="24" t="s">
        <v>226</v>
      </c>
      <c r="H957" s="1229">
        <f>H958+H963+H967+H971</f>
        <v>993694.4</v>
      </c>
      <c r="I957" s="1229">
        <v>2385840.5</v>
      </c>
      <c r="J957" s="1229">
        <v>2547118.6</v>
      </c>
      <c r="K957" s="1212" t="s">
        <v>1724</v>
      </c>
      <c r="L957" s="1138">
        <v>1024</v>
      </c>
      <c r="M957" s="1214">
        <v>1024</v>
      </c>
      <c r="N957" s="1214">
        <v>1024</v>
      </c>
      <c r="O957" s="1214">
        <v>1024</v>
      </c>
      <c r="P957" s="1214">
        <v>1024</v>
      </c>
      <c r="Q957" s="1214">
        <v>1024</v>
      </c>
    </row>
    <row r="958" spans="1:17" ht="30.75" thickBot="1" x14ac:dyDescent="0.3">
      <c r="A958" s="1642"/>
      <c r="B958" s="1637"/>
      <c r="C958" s="1669" t="s">
        <v>4</v>
      </c>
      <c r="D958" s="1813"/>
      <c r="E958" s="1669" t="s">
        <v>1725</v>
      </c>
      <c r="F958" s="1669" t="s">
        <v>227</v>
      </c>
      <c r="G958" s="1669" t="s">
        <v>228</v>
      </c>
      <c r="H958" s="1816">
        <f>11672.5</f>
        <v>11672.5</v>
      </c>
      <c r="I958" s="1669" t="s">
        <v>229</v>
      </c>
      <c r="J958" s="1669" t="s">
        <v>230</v>
      </c>
      <c r="K958" s="1212" t="s">
        <v>1724</v>
      </c>
      <c r="L958" s="1138"/>
      <c r="M958" s="1214">
        <v>0</v>
      </c>
      <c r="N958" s="1214">
        <v>0</v>
      </c>
      <c r="O958" s="1214">
        <v>0</v>
      </c>
      <c r="P958" s="1214">
        <v>0</v>
      </c>
      <c r="Q958" s="1214">
        <v>0</v>
      </c>
    </row>
    <row r="959" spans="1:17" ht="330" x14ac:dyDescent="0.25">
      <c r="A959" s="1643"/>
      <c r="B959" s="1641"/>
      <c r="C959" s="1690"/>
      <c r="D959" s="2135"/>
      <c r="E959" s="1690"/>
      <c r="F959" s="1690"/>
      <c r="G959" s="1690"/>
      <c r="H959" s="2024"/>
      <c r="I959" s="1690"/>
      <c r="J959" s="1690"/>
      <c r="K959" s="1212" t="s">
        <v>1726</v>
      </c>
      <c r="L959" s="719" t="s">
        <v>1618</v>
      </c>
      <c r="M959" s="1214" t="s">
        <v>1727</v>
      </c>
      <c r="N959" s="1214" t="s">
        <v>1728</v>
      </c>
      <c r="O959" s="1214" t="s">
        <v>1729</v>
      </c>
      <c r="P959" s="1214" t="s">
        <v>1730</v>
      </c>
      <c r="Q959" s="1214" t="s">
        <v>1731</v>
      </c>
    </row>
    <row r="960" spans="1:17" ht="45" x14ac:dyDescent="0.25">
      <c r="A960" s="1643"/>
      <c r="B960" s="1641"/>
      <c r="C960" s="1690"/>
      <c r="D960" s="2135"/>
      <c r="E960" s="1690"/>
      <c r="F960" s="1690"/>
      <c r="G960" s="1690"/>
      <c r="H960" s="2024"/>
      <c r="I960" s="1690"/>
      <c r="J960" s="1690"/>
      <c r="K960" s="1212" t="s">
        <v>1732</v>
      </c>
      <c r="L960" s="1138"/>
      <c r="M960" s="1214"/>
      <c r="N960" s="1214"/>
      <c r="O960" s="1214"/>
      <c r="P960" s="1214"/>
      <c r="Q960" s="1214"/>
    </row>
    <row r="961" spans="1:17" ht="30" x14ac:dyDescent="0.25">
      <c r="A961" s="1643"/>
      <c r="B961" s="1641"/>
      <c r="C961" s="1690"/>
      <c r="D961" s="2135"/>
      <c r="E961" s="1690"/>
      <c r="F961" s="1690"/>
      <c r="G961" s="1690"/>
      <c r="H961" s="2024"/>
      <c r="I961" s="1690"/>
      <c r="J961" s="1690"/>
      <c r="K961" s="1212" t="s">
        <v>1733</v>
      </c>
      <c r="L961" s="1138" t="s">
        <v>34</v>
      </c>
      <c r="M961" s="1214">
        <v>27</v>
      </c>
      <c r="N961" s="1214">
        <v>27</v>
      </c>
      <c r="O961" s="1214">
        <v>27</v>
      </c>
      <c r="P961" s="1214">
        <v>27</v>
      </c>
      <c r="Q961" s="1214">
        <v>27</v>
      </c>
    </row>
    <row r="962" spans="1:17" ht="114" customHeight="1" x14ac:dyDescent="0.25">
      <c r="A962" s="1644"/>
      <c r="B962" s="1638"/>
      <c r="C962" s="1670"/>
      <c r="D962" s="1814"/>
      <c r="E962" s="1670"/>
      <c r="F962" s="1670"/>
      <c r="G962" s="1670"/>
      <c r="H962" s="1817"/>
      <c r="I962" s="1670"/>
      <c r="J962" s="1670"/>
      <c r="K962" s="1212" t="s">
        <v>1734</v>
      </c>
      <c r="L962" s="1138" t="s">
        <v>34</v>
      </c>
      <c r="M962" s="1214" t="s">
        <v>1735</v>
      </c>
      <c r="N962" s="1214" t="s">
        <v>1736</v>
      </c>
      <c r="O962" s="1214" t="s">
        <v>1737</v>
      </c>
      <c r="P962" s="1214" t="s">
        <v>1738</v>
      </c>
      <c r="Q962" s="1214" t="s">
        <v>1738</v>
      </c>
    </row>
    <row r="963" spans="1:17" ht="30" x14ac:dyDescent="0.25">
      <c r="A963" s="1642"/>
      <c r="B963" s="1637"/>
      <c r="C963" s="1669" t="s">
        <v>5</v>
      </c>
      <c r="D963" s="2128"/>
      <c r="E963" s="2131" t="s">
        <v>1739</v>
      </c>
      <c r="F963" s="1639">
        <v>950490.3</v>
      </c>
      <c r="G963" s="1639">
        <v>1015567.7</v>
      </c>
      <c r="H963" s="1774">
        <f>628784+38874.1</f>
        <v>667658.1</v>
      </c>
      <c r="I963" s="1901">
        <v>962385.3</v>
      </c>
      <c r="J963" s="1901">
        <v>975969</v>
      </c>
      <c r="K963" s="1212" t="s">
        <v>1740</v>
      </c>
      <c r="L963" s="1205" t="s">
        <v>1618</v>
      </c>
      <c r="M963" s="1214">
        <v>1701</v>
      </c>
      <c r="N963" s="1214">
        <v>1660</v>
      </c>
      <c r="O963" s="1214">
        <v>1675</v>
      </c>
      <c r="P963" s="1214">
        <v>1706</v>
      </c>
      <c r="Q963" s="272">
        <v>1706</v>
      </c>
    </row>
    <row r="964" spans="1:17" ht="30" x14ac:dyDescent="0.25">
      <c r="A964" s="1643"/>
      <c r="B964" s="1641"/>
      <c r="C964" s="1690"/>
      <c r="D964" s="2129"/>
      <c r="E964" s="2132"/>
      <c r="F964" s="2032"/>
      <c r="G964" s="2032"/>
      <c r="H964" s="1778"/>
      <c r="I964" s="1926"/>
      <c r="J964" s="1926"/>
      <c r="K964" s="1212" t="s">
        <v>1741</v>
      </c>
      <c r="L964" s="1205" t="s">
        <v>231</v>
      </c>
      <c r="M964" s="1214">
        <v>658</v>
      </c>
      <c r="N964" s="1214">
        <v>458</v>
      </c>
      <c r="O964" s="1214">
        <v>506</v>
      </c>
      <c r="P964" s="1214">
        <v>635</v>
      </c>
      <c r="Q964" s="272">
        <v>710</v>
      </c>
    </row>
    <row r="965" spans="1:17" ht="30" x14ac:dyDescent="0.25">
      <c r="A965" s="1643"/>
      <c r="B965" s="1641"/>
      <c r="C965" s="1690"/>
      <c r="D965" s="2129"/>
      <c r="E965" s="2132"/>
      <c r="F965" s="2032"/>
      <c r="G965" s="2032"/>
      <c r="H965" s="1778"/>
      <c r="I965" s="1926"/>
      <c r="J965" s="1926"/>
      <c r="K965" s="1212" t="s">
        <v>1742</v>
      </c>
      <c r="L965" s="1205" t="s">
        <v>825</v>
      </c>
      <c r="M965" s="1214">
        <v>860</v>
      </c>
      <c r="N965" s="1214">
        <v>860</v>
      </c>
      <c r="O965" s="1214">
        <v>910</v>
      </c>
      <c r="P965" s="1214">
        <v>945</v>
      </c>
      <c r="Q965" s="272">
        <v>980</v>
      </c>
    </row>
    <row r="966" spans="1:17" ht="30" x14ac:dyDescent="0.25">
      <c r="A966" s="1644"/>
      <c r="B966" s="1638"/>
      <c r="C966" s="1670"/>
      <c r="D966" s="2130"/>
      <c r="E966" s="2133"/>
      <c r="F966" s="1640"/>
      <c r="G966" s="1640"/>
      <c r="H966" s="1775"/>
      <c r="I966" s="1773"/>
      <c r="J966" s="1773"/>
      <c r="K966" s="1212" t="s">
        <v>1743</v>
      </c>
      <c r="L966" s="1205" t="s">
        <v>825</v>
      </c>
      <c r="M966" s="1214">
        <v>800</v>
      </c>
      <c r="N966" s="1214">
        <v>800</v>
      </c>
      <c r="O966" s="1214">
        <v>860</v>
      </c>
      <c r="P966" s="1214">
        <v>895</v>
      </c>
      <c r="Q966" s="1214">
        <v>930</v>
      </c>
    </row>
    <row r="967" spans="1:17" ht="30" x14ac:dyDescent="0.25">
      <c r="A967" s="1770"/>
      <c r="B967" s="1884"/>
      <c r="C967" s="1772" t="s">
        <v>7</v>
      </c>
      <c r="D967" s="1901"/>
      <c r="E967" s="2131" t="s">
        <v>1744</v>
      </c>
      <c r="F967" s="1901">
        <v>478088.4</v>
      </c>
      <c r="G967" s="1901">
        <v>407435.6</v>
      </c>
      <c r="H967" s="1774">
        <f>286913.9+8949.9</f>
        <v>295863.80000000005</v>
      </c>
      <c r="I967" s="1901">
        <v>479442.8</v>
      </c>
      <c r="J967" s="1901">
        <v>479442.8</v>
      </c>
      <c r="K967" s="1212" t="s">
        <v>1745</v>
      </c>
      <c r="L967" s="1205" t="s">
        <v>825</v>
      </c>
      <c r="M967" s="1214" t="s">
        <v>232</v>
      </c>
      <c r="N967" s="1214" t="s">
        <v>233</v>
      </c>
      <c r="O967" s="1214" t="s">
        <v>234</v>
      </c>
      <c r="P967" s="1214" t="s">
        <v>235</v>
      </c>
      <c r="Q967" s="1214" t="s">
        <v>236</v>
      </c>
    </row>
    <row r="968" spans="1:17" x14ac:dyDescent="0.25">
      <c r="A968" s="1771"/>
      <c r="B968" s="1885"/>
      <c r="C968" s="1900"/>
      <c r="D968" s="1773"/>
      <c r="E968" s="2133"/>
      <c r="F968" s="1773"/>
      <c r="G968" s="1773"/>
      <c r="H968" s="1775"/>
      <c r="I968" s="1773"/>
      <c r="J968" s="1773"/>
      <c r="K968" s="1212" t="s">
        <v>1746</v>
      </c>
      <c r="L968" s="1205" t="s">
        <v>237</v>
      </c>
      <c r="M968" s="1214">
        <v>2473.1</v>
      </c>
      <c r="N968" s="1214">
        <v>2979.1</v>
      </c>
      <c r="O968" s="1214">
        <v>3000</v>
      </c>
      <c r="P968" s="1214">
        <v>3000</v>
      </c>
      <c r="Q968" s="1214">
        <v>3000</v>
      </c>
    </row>
    <row r="969" spans="1:17" ht="60" x14ac:dyDescent="0.25">
      <c r="A969" s="1161"/>
      <c r="B969" s="373"/>
      <c r="C969" s="1163" t="s">
        <v>9</v>
      </c>
      <c r="D969" s="1214"/>
      <c r="E969" s="1129" t="s">
        <v>1747</v>
      </c>
      <c r="F969" s="228">
        <v>95060.2</v>
      </c>
      <c r="G969" s="228">
        <v>358000</v>
      </c>
      <c r="H969" s="1192"/>
      <c r="I969" s="228">
        <v>705000</v>
      </c>
      <c r="J969" s="228">
        <v>747600</v>
      </c>
      <c r="K969" s="1212" t="s">
        <v>1748</v>
      </c>
      <c r="L969" s="1205" t="s">
        <v>1749</v>
      </c>
      <c r="M969" s="1171" t="s">
        <v>238</v>
      </c>
      <c r="N969" s="1171" t="s">
        <v>239</v>
      </c>
      <c r="O969" s="1171" t="s">
        <v>240</v>
      </c>
      <c r="P969" s="1171" t="s">
        <v>240</v>
      </c>
      <c r="Q969" s="1171" t="s">
        <v>240</v>
      </c>
    </row>
    <row r="970" spans="1:17" ht="45" x14ac:dyDescent="0.25">
      <c r="A970" s="1161"/>
      <c r="B970" s="373"/>
      <c r="C970" s="1163" t="s">
        <v>11</v>
      </c>
      <c r="D970" s="1214"/>
      <c r="E970" s="1138" t="s">
        <v>1750</v>
      </c>
      <c r="F970" s="1214">
        <v>146113.60000000001</v>
      </c>
      <c r="G970" s="1214">
        <v>153889.9</v>
      </c>
      <c r="H970" s="1139"/>
      <c r="I970" s="1214">
        <v>0</v>
      </c>
      <c r="J970" s="1214">
        <v>0</v>
      </c>
      <c r="K970" s="1212" t="s">
        <v>1751</v>
      </c>
      <c r="L970" s="1205">
        <v>0</v>
      </c>
      <c r="M970" s="1214">
        <v>0</v>
      </c>
      <c r="N970" s="1214">
        <v>0</v>
      </c>
      <c r="O970" s="1214">
        <v>0</v>
      </c>
      <c r="P970" s="1214">
        <v>0</v>
      </c>
      <c r="Q970" s="1214">
        <v>0</v>
      </c>
    </row>
    <row r="971" spans="1:17" ht="30" x14ac:dyDescent="0.25">
      <c r="A971" s="1370"/>
      <c r="B971" s="1361"/>
      <c r="C971" s="1317" t="s">
        <v>13</v>
      </c>
      <c r="D971" s="59"/>
      <c r="E971" s="1138" t="s">
        <v>1752</v>
      </c>
      <c r="F971" s="717">
        <v>13504</v>
      </c>
      <c r="G971" s="717">
        <v>144238.20000000001</v>
      </c>
      <c r="H971" s="1192">
        <v>18500</v>
      </c>
      <c r="I971" s="228">
        <v>223612.2</v>
      </c>
      <c r="J971" s="228">
        <v>328531.20000000001</v>
      </c>
      <c r="K971" s="1205"/>
      <c r="L971" s="1205"/>
      <c r="M971" s="1171"/>
      <c r="N971" s="1171"/>
      <c r="O971" s="85"/>
      <c r="P971" s="1171"/>
      <c r="Q971" s="1171"/>
    </row>
    <row r="972" spans="1:17" x14ac:dyDescent="0.25">
      <c r="A972" s="1652" t="s">
        <v>1753</v>
      </c>
      <c r="B972" s="1715"/>
      <c r="C972" s="1715"/>
      <c r="D972" s="1715"/>
      <c r="E972" s="1716"/>
      <c r="F972" s="42">
        <v>3354986</v>
      </c>
      <c r="G972" s="42">
        <v>5388232.9999999991</v>
      </c>
      <c r="H972" s="42">
        <f>H859+H876+H957</f>
        <v>1771005.6</v>
      </c>
      <c r="I972" s="42">
        <v>3392115.7</v>
      </c>
      <c r="J972" s="42">
        <v>3344626.4000000004</v>
      </c>
      <c r="K972" s="15"/>
      <c r="L972" s="2121"/>
      <c r="M972" s="2122"/>
      <c r="N972" s="2122"/>
      <c r="O972" s="2122"/>
      <c r="P972" s="2122"/>
      <c r="Q972" s="2123"/>
    </row>
    <row r="973" spans="1:17" x14ac:dyDescent="0.25">
      <c r="A973" s="1412"/>
      <c r="B973" s="1662" t="s">
        <v>1754</v>
      </c>
      <c r="C973" s="1663"/>
      <c r="D973" s="1663"/>
      <c r="E973" s="1663"/>
      <c r="F973" s="1663"/>
      <c r="G973" s="1663"/>
      <c r="H973" s="1663"/>
      <c r="I973" s="1663"/>
      <c r="J973" s="1663"/>
      <c r="K973" s="1663"/>
      <c r="L973" s="1663"/>
      <c r="M973" s="1663"/>
      <c r="N973" s="1663"/>
      <c r="O973" s="1663"/>
      <c r="P973" s="1663"/>
      <c r="Q973" s="1663"/>
    </row>
    <row r="974" spans="1:17" ht="28.5" x14ac:dyDescent="0.25">
      <c r="A974" s="1412"/>
      <c r="B974" s="720">
        <v>1</v>
      </c>
      <c r="C974" s="721"/>
      <c r="D974" s="722"/>
      <c r="E974" s="1579" t="s">
        <v>1755</v>
      </c>
      <c r="F974" s="1201"/>
      <c r="G974" s="1201"/>
      <c r="H974" s="1201">
        <f>H975+H976</f>
        <v>400638.8</v>
      </c>
      <c r="I974" s="1201"/>
      <c r="J974" s="1201"/>
      <c r="K974" s="723"/>
      <c r="L974" s="724"/>
      <c r="M974" s="724"/>
      <c r="N974" s="724"/>
      <c r="O974" s="724"/>
      <c r="P974" s="724"/>
      <c r="Q974" s="724"/>
    </row>
    <row r="975" spans="1:17" x14ac:dyDescent="0.25">
      <c r="A975" s="1412"/>
      <c r="B975" s="178"/>
      <c r="C975" s="1196">
        <v>53</v>
      </c>
      <c r="D975" s="178"/>
      <c r="E975" s="1205" t="s">
        <v>1725</v>
      </c>
      <c r="F975" s="1201"/>
      <c r="G975" s="1201"/>
      <c r="H975" s="725">
        <v>13900.7</v>
      </c>
      <c r="I975" s="1201"/>
      <c r="J975" s="1201"/>
      <c r="K975" s="723"/>
      <c r="L975" s="724"/>
      <c r="M975" s="724"/>
      <c r="N975" s="724"/>
      <c r="O975" s="724"/>
      <c r="P975" s="724"/>
      <c r="Q975" s="724"/>
    </row>
    <row r="976" spans="1:17" ht="30" x14ac:dyDescent="0.25">
      <c r="A976" s="1412"/>
      <c r="B976" s="178"/>
      <c r="C976" s="1196">
        <v>54</v>
      </c>
      <c r="D976" s="178"/>
      <c r="E976" s="1580" t="s">
        <v>1756</v>
      </c>
      <c r="F976" s="1201"/>
      <c r="G976" s="1201"/>
      <c r="H976" s="725">
        <f>339962.3+46775.8</f>
        <v>386738.1</v>
      </c>
      <c r="I976" s="1201"/>
      <c r="J976" s="1201"/>
      <c r="K976" s="723"/>
      <c r="L976" s="724"/>
      <c r="M976" s="724"/>
      <c r="N976" s="724"/>
      <c r="O976" s="724"/>
      <c r="P976" s="724"/>
      <c r="Q976" s="724"/>
    </row>
    <row r="977" spans="1:17" ht="28.5" x14ac:dyDescent="0.25">
      <c r="A977" s="1412"/>
      <c r="B977" s="720">
        <v>2</v>
      </c>
      <c r="C977" s="178"/>
      <c r="D977" s="178"/>
      <c r="E977" s="1581" t="s">
        <v>1757</v>
      </c>
      <c r="F977" s="1201"/>
      <c r="G977" s="1201"/>
      <c r="H977" s="1201">
        <f>H978</f>
        <v>3449.3</v>
      </c>
      <c r="I977" s="1201"/>
      <c r="J977" s="1201"/>
      <c r="K977" s="723"/>
      <c r="L977" s="724"/>
      <c r="M977" s="724"/>
      <c r="N977" s="724"/>
      <c r="O977" s="724"/>
      <c r="P977" s="724"/>
      <c r="Q977" s="724"/>
    </row>
    <row r="978" spans="1:17" ht="45" x14ac:dyDescent="0.25">
      <c r="A978" s="1412"/>
      <c r="B978" s="178"/>
      <c r="C978" s="1317" t="s">
        <v>4</v>
      </c>
      <c r="D978" s="178"/>
      <c r="E978" s="1582" t="s">
        <v>1758</v>
      </c>
      <c r="F978" s="1201"/>
      <c r="G978" s="1201"/>
      <c r="H978" s="725">
        <v>3449.3</v>
      </c>
      <c r="I978" s="1201"/>
      <c r="J978" s="1201"/>
      <c r="K978" s="723"/>
      <c r="L978" s="724"/>
      <c r="M978" s="724"/>
      <c r="N978" s="724"/>
      <c r="O978" s="724"/>
      <c r="P978" s="724"/>
      <c r="Q978" s="724"/>
    </row>
    <row r="979" spans="1:17" ht="28.5" x14ac:dyDescent="0.25">
      <c r="A979" s="1412"/>
      <c r="B979" s="484">
        <v>992</v>
      </c>
      <c r="C979" s="1117"/>
      <c r="D979" s="461"/>
      <c r="E979" s="1581" t="s">
        <v>1759</v>
      </c>
      <c r="F979" s="1201"/>
      <c r="G979" s="1201"/>
      <c r="H979" s="1201">
        <f>H980</f>
        <v>2676865</v>
      </c>
      <c r="I979" s="1201"/>
      <c r="J979" s="1201"/>
      <c r="K979" s="723"/>
      <c r="L979" s="724"/>
      <c r="M979" s="724"/>
      <c r="N979" s="724"/>
      <c r="O979" s="724"/>
      <c r="P979" s="724"/>
      <c r="Q979" s="724"/>
    </row>
    <row r="980" spans="1:17" ht="30" x14ac:dyDescent="0.25">
      <c r="A980" s="1412"/>
      <c r="B980" s="484"/>
      <c r="C980" s="1117" t="s">
        <v>4</v>
      </c>
      <c r="D980" s="461"/>
      <c r="E980" s="1582" t="s">
        <v>1457</v>
      </c>
      <c r="F980" s="1201"/>
      <c r="G980" s="1201"/>
      <c r="H980" s="725">
        <v>2676865</v>
      </c>
      <c r="I980" s="1201"/>
      <c r="J980" s="1201"/>
      <c r="K980" s="723"/>
      <c r="L980" s="724"/>
      <c r="M980" s="724"/>
      <c r="N980" s="724"/>
      <c r="O980" s="724"/>
      <c r="P980" s="724"/>
      <c r="Q980" s="724"/>
    </row>
    <row r="981" spans="1:17" x14ac:dyDescent="0.25">
      <c r="A981" s="1413"/>
      <c r="B981" s="1652" t="s">
        <v>1760</v>
      </c>
      <c r="C981" s="1715"/>
      <c r="D981" s="1715"/>
      <c r="E981" s="1715"/>
      <c r="F981" s="1715"/>
      <c r="G981" s="726"/>
      <c r="H981" s="42">
        <f>H974+H977+H979</f>
        <v>3080953.1</v>
      </c>
      <c r="I981" s="726"/>
      <c r="J981" s="726"/>
      <c r="K981" s="727"/>
      <c r="L981" s="1243"/>
      <c r="M981" s="1243"/>
      <c r="N981" s="1243"/>
      <c r="O981" s="1243"/>
      <c r="P981" s="1243"/>
      <c r="Q981" s="1244"/>
    </row>
    <row r="982" spans="1:17" ht="15.75" thickBot="1" x14ac:dyDescent="0.3">
      <c r="A982" s="1625" t="s">
        <v>1761</v>
      </c>
      <c r="B982" s="1625"/>
      <c r="C982" s="1625"/>
      <c r="D982" s="1625"/>
      <c r="E982" s="1625"/>
      <c r="F982" s="1625"/>
      <c r="G982" s="1625"/>
      <c r="H982" s="1625"/>
      <c r="I982" s="1625"/>
      <c r="J982" s="1625"/>
      <c r="K982" s="1625"/>
      <c r="L982" s="1625"/>
      <c r="M982" s="1625"/>
      <c r="N982" s="1625"/>
      <c r="O982" s="1625"/>
      <c r="P982" s="1625"/>
      <c r="Q982" s="931"/>
    </row>
    <row r="983" spans="1:17" ht="88.5" x14ac:dyDescent="0.25">
      <c r="A983" s="728">
        <v>44</v>
      </c>
      <c r="B983" s="720">
        <v>1</v>
      </c>
      <c r="C983" s="729"/>
      <c r="D983" s="730"/>
      <c r="E983" s="672" t="s">
        <v>1762</v>
      </c>
      <c r="F983" s="732">
        <v>15802.400000000001</v>
      </c>
      <c r="G983" s="732">
        <v>23957.999999999996</v>
      </c>
      <c r="H983" s="732">
        <f>SUM(H984:H992)</f>
        <v>31663.799999999996</v>
      </c>
      <c r="I983" s="732">
        <v>28468.365000000002</v>
      </c>
      <c r="J983" s="732">
        <v>28753.048650000001</v>
      </c>
      <c r="K983" s="1218" t="s">
        <v>1763</v>
      </c>
      <c r="L983" s="733" t="s">
        <v>34</v>
      </c>
      <c r="M983" s="1101">
        <v>65.099999999999994</v>
      </c>
      <c r="N983" s="1101">
        <v>68.2</v>
      </c>
      <c r="O983" s="1101">
        <v>63.4</v>
      </c>
      <c r="P983" s="1101">
        <v>63.1</v>
      </c>
      <c r="Q983" s="1101">
        <v>61.2</v>
      </c>
    </row>
    <row r="984" spans="1:17" x14ac:dyDescent="0.25">
      <c r="A984" s="1414"/>
      <c r="B984" s="1415"/>
      <c r="C984" s="1416">
        <v>1</v>
      </c>
      <c r="D984" s="1417"/>
      <c r="E984" s="1418" t="s">
        <v>1406</v>
      </c>
      <c r="F984" s="1192">
        <v>3530.9</v>
      </c>
      <c r="G984" s="1192">
        <v>5284.7</v>
      </c>
      <c r="H984" s="1192">
        <f>9901.6+32.9</f>
        <v>9934.5</v>
      </c>
      <c r="I984" s="1192">
        <v>6200.6930000000002</v>
      </c>
      <c r="J984" s="1192">
        <v>6262.6999300000007</v>
      </c>
      <c r="K984" s="1212" t="s">
        <v>1764</v>
      </c>
      <c r="L984" s="228" t="s">
        <v>34</v>
      </c>
      <c r="M984" s="228">
        <v>21.7</v>
      </c>
      <c r="N984" s="228">
        <v>25</v>
      </c>
      <c r="O984" s="228">
        <v>25</v>
      </c>
      <c r="P984" s="228">
        <v>25</v>
      </c>
      <c r="Q984" s="228">
        <v>25</v>
      </c>
    </row>
    <row r="985" spans="1:17" ht="30" x14ac:dyDescent="0.25">
      <c r="A985" s="1414"/>
      <c r="B985" s="1419"/>
      <c r="C985" s="734">
        <v>2</v>
      </c>
      <c r="D985" s="735"/>
      <c r="E985" s="1235" t="s">
        <v>1765</v>
      </c>
      <c r="F985" s="1192">
        <v>3035.8</v>
      </c>
      <c r="G985" s="1192">
        <v>4762.3999999999996</v>
      </c>
      <c r="H985" s="1192">
        <v>7296</v>
      </c>
      <c r="I985" s="1192">
        <v>5520.0540000000001</v>
      </c>
      <c r="J985" s="1192">
        <v>5575.2545399999999</v>
      </c>
      <c r="K985" s="1212" t="s">
        <v>1766</v>
      </c>
      <c r="L985" s="228" t="s">
        <v>34</v>
      </c>
      <c r="M985" s="228">
        <v>99.9</v>
      </c>
      <c r="N985" s="228">
        <v>100</v>
      </c>
      <c r="O985" s="228">
        <v>100</v>
      </c>
      <c r="P985" s="228">
        <v>100</v>
      </c>
      <c r="Q985" s="228">
        <v>100</v>
      </c>
    </row>
    <row r="986" spans="1:17" ht="30" x14ac:dyDescent="0.25">
      <c r="A986" s="1414"/>
      <c r="B986" s="1419"/>
      <c r="C986" s="734">
        <v>3</v>
      </c>
      <c r="D986" s="735"/>
      <c r="E986" s="1235" t="s">
        <v>1767</v>
      </c>
      <c r="F986" s="1192">
        <v>1871.5</v>
      </c>
      <c r="G986" s="1192">
        <v>2493.6</v>
      </c>
      <c r="H986" s="1192">
        <v>2787.6</v>
      </c>
      <c r="I986" s="1192">
        <v>3059.0880000000002</v>
      </c>
      <c r="J986" s="1192">
        <v>3089.6788800000004</v>
      </c>
      <c r="K986" s="32" t="s">
        <v>1768</v>
      </c>
      <c r="L986" s="228" t="s">
        <v>34</v>
      </c>
      <c r="M986" s="228">
        <v>75</v>
      </c>
      <c r="N986" s="228">
        <v>100</v>
      </c>
      <c r="O986" s="228">
        <v>100</v>
      </c>
      <c r="P986" s="228">
        <v>100</v>
      </c>
      <c r="Q986" s="228">
        <v>100</v>
      </c>
    </row>
    <row r="987" spans="1:17" ht="30" x14ac:dyDescent="0.25">
      <c r="A987" s="1414"/>
      <c r="B987" s="1419"/>
      <c r="C987" s="734">
        <v>5</v>
      </c>
      <c r="D987" s="735"/>
      <c r="E987" s="1235" t="s">
        <v>1769</v>
      </c>
      <c r="F987" s="1192">
        <v>1563.4</v>
      </c>
      <c r="G987" s="1192">
        <v>2055.8000000000002</v>
      </c>
      <c r="H987" s="1192">
        <v>1987.6</v>
      </c>
      <c r="I987" s="1192">
        <v>2596.5080000000003</v>
      </c>
      <c r="J987" s="1192">
        <v>2622.4730800000002</v>
      </c>
      <c r="K987" s="1212" t="s">
        <v>1770</v>
      </c>
      <c r="L987" s="228" t="s">
        <v>780</v>
      </c>
      <c r="M987" s="228">
        <v>100</v>
      </c>
      <c r="N987" s="228">
        <v>100</v>
      </c>
      <c r="O987" s="228">
        <v>100</v>
      </c>
      <c r="P987" s="228">
        <v>100</v>
      </c>
      <c r="Q987" s="228">
        <v>100</v>
      </c>
    </row>
    <row r="988" spans="1:17" ht="30" x14ac:dyDescent="0.25">
      <c r="A988" s="1414"/>
      <c r="B988" s="1415"/>
      <c r="C988" s="736">
        <v>34</v>
      </c>
      <c r="D988" s="737"/>
      <c r="E988" s="1583" t="s">
        <v>1771</v>
      </c>
      <c r="F988" s="1192">
        <v>1373.5</v>
      </c>
      <c r="G988" s="1192">
        <v>3265.1</v>
      </c>
      <c r="H988" s="1192">
        <v>2197.6</v>
      </c>
      <c r="I988" s="1192">
        <v>3831.0309999999999</v>
      </c>
      <c r="J988" s="1192">
        <v>3869.3413099999998</v>
      </c>
      <c r="K988" s="1212" t="s">
        <v>1772</v>
      </c>
      <c r="L988" s="228" t="s">
        <v>34</v>
      </c>
      <c r="M988" s="228">
        <v>5.9</v>
      </c>
      <c r="N988" s="228">
        <v>6</v>
      </c>
      <c r="O988" s="228">
        <v>6</v>
      </c>
      <c r="P988" s="228">
        <v>6</v>
      </c>
      <c r="Q988" s="228">
        <v>6</v>
      </c>
    </row>
    <row r="989" spans="1:17" x14ac:dyDescent="0.25">
      <c r="A989" s="1414"/>
      <c r="B989" s="2124"/>
      <c r="C989" s="2126">
        <v>35</v>
      </c>
      <c r="D989" s="2126"/>
      <c r="E989" s="1746" t="s">
        <v>1773</v>
      </c>
      <c r="F989" s="1804">
        <v>2262.1</v>
      </c>
      <c r="G989" s="1804">
        <v>3065.8</v>
      </c>
      <c r="H989" s="1804">
        <v>3656.3</v>
      </c>
      <c r="I989" s="1804">
        <v>3650.9480000000003</v>
      </c>
      <c r="J989" s="1804">
        <v>3687.4574800000005</v>
      </c>
      <c r="K989" s="1212" t="s">
        <v>1774</v>
      </c>
      <c r="L989" s="228" t="s">
        <v>825</v>
      </c>
      <c r="M989" s="228">
        <v>2</v>
      </c>
      <c r="N989" s="228">
        <v>3</v>
      </c>
      <c r="O989" s="228">
        <v>3</v>
      </c>
      <c r="P989" s="228">
        <v>3</v>
      </c>
      <c r="Q989" s="228">
        <v>3</v>
      </c>
    </row>
    <row r="990" spans="1:17" ht="30" x14ac:dyDescent="0.25">
      <c r="A990" s="1414"/>
      <c r="B990" s="2125"/>
      <c r="C990" s="2127"/>
      <c r="D990" s="2127"/>
      <c r="E990" s="1747"/>
      <c r="F990" s="1805"/>
      <c r="G990" s="1805"/>
      <c r="H990" s="1805"/>
      <c r="I990" s="1805"/>
      <c r="J990" s="1805"/>
      <c r="K990" s="1212" t="s">
        <v>1775</v>
      </c>
      <c r="L990" s="228" t="s">
        <v>34</v>
      </c>
      <c r="M990" s="228">
        <v>80.900000000000006</v>
      </c>
      <c r="N990" s="228">
        <v>100</v>
      </c>
      <c r="O990" s="228">
        <v>100</v>
      </c>
      <c r="P990" s="228">
        <v>100</v>
      </c>
      <c r="Q990" s="228">
        <v>100</v>
      </c>
    </row>
    <row r="991" spans="1:17" x14ac:dyDescent="0.25">
      <c r="A991" s="1414"/>
      <c r="B991" s="2124"/>
      <c r="C991" s="2126">
        <v>36</v>
      </c>
      <c r="D991" s="2126"/>
      <c r="E991" s="1746" t="s">
        <v>1776</v>
      </c>
      <c r="F991" s="1804">
        <v>2165.1999999999998</v>
      </c>
      <c r="G991" s="1804">
        <v>3030.6</v>
      </c>
      <c r="H991" s="1804">
        <v>3804.2</v>
      </c>
      <c r="I991" s="1804">
        <v>3610.0430000000001</v>
      </c>
      <c r="J991" s="1804">
        <v>3646.1434300000001</v>
      </c>
      <c r="K991" s="1212" t="s">
        <v>1777</v>
      </c>
      <c r="L991" s="228" t="s">
        <v>825</v>
      </c>
      <c r="M991" s="228">
        <v>15</v>
      </c>
      <c r="N991" s="228">
        <v>5</v>
      </c>
      <c r="O991" s="228">
        <v>5</v>
      </c>
      <c r="P991" s="228">
        <v>5</v>
      </c>
      <c r="Q991" s="228">
        <v>5</v>
      </c>
    </row>
    <row r="992" spans="1:17" ht="30" x14ac:dyDescent="0.25">
      <c r="A992" s="1414"/>
      <c r="B992" s="2125"/>
      <c r="C992" s="2127"/>
      <c r="D992" s="2127"/>
      <c r="E992" s="1747"/>
      <c r="F992" s="1805"/>
      <c r="G992" s="1805"/>
      <c r="H992" s="1805"/>
      <c r="I992" s="1805"/>
      <c r="J992" s="1805"/>
      <c r="K992" s="1212" t="s">
        <v>1775</v>
      </c>
      <c r="L992" s="228" t="s">
        <v>34</v>
      </c>
      <c r="M992" s="228">
        <v>80.900000000000006</v>
      </c>
      <c r="N992" s="228">
        <v>100</v>
      </c>
      <c r="O992" s="228">
        <v>100</v>
      </c>
      <c r="P992" s="228">
        <v>100</v>
      </c>
      <c r="Q992" s="228">
        <v>100</v>
      </c>
    </row>
    <row r="993" spans="1:17" x14ac:dyDescent="0.25">
      <c r="A993" s="2112">
        <v>44</v>
      </c>
      <c r="B993" s="2106">
        <v>2</v>
      </c>
      <c r="C993" s="1982"/>
      <c r="D993" s="2114"/>
      <c r="E993" s="1630" t="s">
        <v>1778</v>
      </c>
      <c r="F993" s="2116">
        <v>443805.5</v>
      </c>
      <c r="G993" s="2116">
        <v>621733.9</v>
      </c>
      <c r="H993" s="2116">
        <f>SUM(H995:H1003)</f>
        <v>505774.29999999993</v>
      </c>
      <c r="I993" s="2116">
        <v>427496.43799999997</v>
      </c>
      <c r="J993" s="2116">
        <v>431771.40238000004</v>
      </c>
      <c r="K993" s="1695"/>
      <c r="L993" s="1727"/>
      <c r="M993" s="1727"/>
      <c r="N993" s="1800"/>
      <c r="O993" s="1800"/>
      <c r="P993" s="1800"/>
      <c r="Q993" s="1800"/>
    </row>
    <row r="994" spans="1:17" x14ac:dyDescent="0.25">
      <c r="A994" s="2119"/>
      <c r="B994" s="2107"/>
      <c r="C994" s="1983"/>
      <c r="D994" s="2120"/>
      <c r="E994" s="1630"/>
      <c r="F994" s="2116"/>
      <c r="G994" s="2116"/>
      <c r="H994" s="2116"/>
      <c r="I994" s="2116"/>
      <c r="J994" s="2116"/>
      <c r="K994" s="1696"/>
      <c r="L994" s="1728"/>
      <c r="M994" s="1728"/>
      <c r="N994" s="1801"/>
      <c r="O994" s="1801"/>
      <c r="P994" s="1801"/>
      <c r="Q994" s="1801"/>
    </row>
    <row r="995" spans="1:17" x14ac:dyDescent="0.25">
      <c r="A995" s="2112"/>
      <c r="B995" s="1420"/>
      <c r="C995" s="1982" t="s">
        <v>4</v>
      </c>
      <c r="D995" s="1982"/>
      <c r="E995" s="1746" t="s">
        <v>1779</v>
      </c>
      <c r="F995" s="1804">
        <v>147590.39999999999</v>
      </c>
      <c r="G995" s="1804">
        <v>174413.4</v>
      </c>
      <c r="H995" s="1804">
        <f>157621.6+19338.7</f>
        <v>176960.30000000002</v>
      </c>
      <c r="I995" s="1804">
        <v>176157.53399999999</v>
      </c>
      <c r="J995" s="1804">
        <v>177919.10934</v>
      </c>
      <c r="K995" s="1217" t="s">
        <v>1780</v>
      </c>
      <c r="L995" s="1242" t="s">
        <v>1518</v>
      </c>
      <c r="M995" s="1242">
        <v>1196.8</v>
      </c>
      <c r="N995" s="176">
        <v>1196.8</v>
      </c>
      <c r="O995" s="176">
        <v>1200</v>
      </c>
      <c r="P995" s="176">
        <v>1200</v>
      </c>
      <c r="Q995" s="176">
        <v>1200</v>
      </c>
    </row>
    <row r="996" spans="1:17" ht="60" x14ac:dyDescent="0.25">
      <c r="A996" s="2119"/>
      <c r="B996" s="2110"/>
      <c r="C996" s="2111"/>
      <c r="D996" s="2111"/>
      <c r="E996" s="2039"/>
      <c r="F996" s="1833"/>
      <c r="G996" s="1833"/>
      <c r="H996" s="1833"/>
      <c r="I996" s="1833"/>
      <c r="J996" s="1833"/>
      <c r="K996" s="1217" t="s">
        <v>1781</v>
      </c>
      <c r="L996" s="1242" t="s">
        <v>34</v>
      </c>
      <c r="M996" s="177">
        <v>24</v>
      </c>
      <c r="N996" s="176">
        <v>25</v>
      </c>
      <c r="O996" s="176">
        <v>25</v>
      </c>
      <c r="P996" s="176">
        <v>26</v>
      </c>
      <c r="Q996" s="176">
        <v>26</v>
      </c>
    </row>
    <row r="997" spans="1:17" ht="30" x14ac:dyDescent="0.25">
      <c r="A997" s="1239"/>
      <c r="B997" s="2107"/>
      <c r="C997" s="1983"/>
      <c r="D997" s="1983"/>
      <c r="E997" s="1747"/>
      <c r="F997" s="1805"/>
      <c r="G997" s="1805"/>
      <c r="H997" s="1805"/>
      <c r="I997" s="1805"/>
      <c r="J997" s="1805"/>
      <c r="K997" s="1217" t="s">
        <v>1782</v>
      </c>
      <c r="L997" s="1242" t="s">
        <v>825</v>
      </c>
      <c r="M997" s="1242">
        <v>300</v>
      </c>
      <c r="N997" s="176">
        <v>300</v>
      </c>
      <c r="O997" s="176">
        <v>300</v>
      </c>
      <c r="P997" s="176">
        <v>300</v>
      </c>
      <c r="Q997" s="176">
        <v>300</v>
      </c>
    </row>
    <row r="998" spans="1:17" x14ac:dyDescent="0.25">
      <c r="A998" s="2112"/>
      <c r="B998" s="2106"/>
      <c r="C998" s="1982" t="s">
        <v>5</v>
      </c>
      <c r="D998" s="1982"/>
      <c r="E998" s="1746" t="s">
        <v>1783</v>
      </c>
      <c r="F998" s="1804">
        <v>75975.399999999994</v>
      </c>
      <c r="G998" s="1804">
        <v>90203.8</v>
      </c>
      <c r="H998" s="1804">
        <f>104413.7+20690.2-1111.1</f>
        <v>123992.79999999999</v>
      </c>
      <c r="I998" s="1804">
        <v>93919.698000000004</v>
      </c>
      <c r="J998" s="1804">
        <v>94858.894980000012</v>
      </c>
      <c r="K998" s="1217" t="s">
        <v>1784</v>
      </c>
      <c r="L998" s="1242" t="s">
        <v>825</v>
      </c>
      <c r="M998" s="738">
        <v>272600</v>
      </c>
      <c r="N998" s="739">
        <v>272700</v>
      </c>
      <c r="O998" s="739">
        <v>272700</v>
      </c>
      <c r="P998" s="739">
        <v>272700</v>
      </c>
      <c r="Q998" s="739">
        <v>273000</v>
      </c>
    </row>
    <row r="999" spans="1:17" x14ac:dyDescent="0.25">
      <c r="A999" s="2119"/>
      <c r="B999" s="2110"/>
      <c r="C999" s="2111"/>
      <c r="D999" s="2111"/>
      <c r="E999" s="2039"/>
      <c r="F999" s="1833"/>
      <c r="G999" s="1833"/>
      <c r="H999" s="1833"/>
      <c r="I999" s="1833"/>
      <c r="J999" s="1833"/>
      <c r="K999" s="1217" t="s">
        <v>1785</v>
      </c>
      <c r="L999" s="1242" t="s">
        <v>1518</v>
      </c>
      <c r="M999" s="1242">
        <v>655</v>
      </c>
      <c r="N999" s="739">
        <v>660</v>
      </c>
      <c r="O999" s="739">
        <v>660</v>
      </c>
      <c r="P999" s="739">
        <v>660</v>
      </c>
      <c r="Q999" s="739">
        <v>660</v>
      </c>
    </row>
    <row r="1000" spans="1:17" x14ac:dyDescent="0.25">
      <c r="A1000" s="1239"/>
      <c r="B1000" s="2107"/>
      <c r="C1000" s="1983"/>
      <c r="D1000" s="1983"/>
      <c r="E1000" s="1747"/>
      <c r="F1000" s="1805"/>
      <c r="G1000" s="1805"/>
      <c r="H1000" s="1805"/>
      <c r="I1000" s="1805"/>
      <c r="J1000" s="1805"/>
      <c r="K1000" s="1217" t="s">
        <v>1786</v>
      </c>
      <c r="L1000" s="1242" t="s">
        <v>825</v>
      </c>
      <c r="M1000" s="1242">
        <v>50</v>
      </c>
      <c r="N1000" s="739">
        <v>54</v>
      </c>
      <c r="O1000" s="739">
        <v>55</v>
      </c>
      <c r="P1000" s="739">
        <v>55</v>
      </c>
      <c r="Q1000" s="739">
        <v>55</v>
      </c>
    </row>
    <row r="1001" spans="1:17" ht="30" x14ac:dyDescent="0.25">
      <c r="A1001" s="740"/>
      <c r="B1001" s="741"/>
      <c r="C1001" s="742" t="s">
        <v>7</v>
      </c>
      <c r="D1001" s="743"/>
      <c r="E1001" s="1212" t="s">
        <v>1787</v>
      </c>
      <c r="F1001" s="744">
        <v>151398.1</v>
      </c>
      <c r="G1001" s="744">
        <v>305774.3</v>
      </c>
      <c r="H1001" s="744">
        <f>91069+2151.8</f>
        <v>93220.800000000003</v>
      </c>
      <c r="I1001" s="744">
        <v>100341.682</v>
      </c>
      <c r="J1001" s="744">
        <v>101345.09882</v>
      </c>
      <c r="K1001" s="1217" t="s">
        <v>1788</v>
      </c>
      <c r="L1001" s="1242" t="s">
        <v>1789</v>
      </c>
      <c r="M1001" s="1242">
        <v>17</v>
      </c>
      <c r="N1001" s="739">
        <v>17</v>
      </c>
      <c r="O1001" s="739">
        <v>18</v>
      </c>
      <c r="P1001" s="739">
        <v>18</v>
      </c>
      <c r="Q1001" s="739">
        <v>20</v>
      </c>
    </row>
    <row r="1002" spans="1:17" x14ac:dyDescent="0.25">
      <c r="A1002" s="2112"/>
      <c r="B1002" s="1420"/>
      <c r="C1002" s="1982" t="s">
        <v>9</v>
      </c>
      <c r="D1002" s="1982"/>
      <c r="E1002" s="1746" t="s">
        <v>1790</v>
      </c>
      <c r="F1002" s="1804">
        <v>68841.600000000006</v>
      </c>
      <c r="G1002" s="1804">
        <v>51342.400000000001</v>
      </c>
      <c r="H1002" s="1804">
        <f>109528.4+2072</f>
        <v>111600.4</v>
      </c>
      <c r="I1002" s="1804">
        <v>57077.524000000005</v>
      </c>
      <c r="J1002" s="1804">
        <v>57648.299240000008</v>
      </c>
      <c r="K1002" s="1217" t="s">
        <v>1791</v>
      </c>
      <c r="L1002" s="1242" t="s">
        <v>825</v>
      </c>
      <c r="M1002" s="1242">
        <v>4</v>
      </c>
      <c r="N1002" s="739">
        <v>3</v>
      </c>
      <c r="O1002" s="739">
        <v>3</v>
      </c>
      <c r="P1002" s="739">
        <v>3</v>
      </c>
      <c r="Q1002" s="739">
        <v>3</v>
      </c>
    </row>
    <row r="1003" spans="1:17" ht="30" x14ac:dyDescent="0.25">
      <c r="A1003" s="2119"/>
      <c r="B1003" s="1236"/>
      <c r="C1003" s="1983"/>
      <c r="D1003" s="1983"/>
      <c r="E1003" s="1747"/>
      <c r="F1003" s="1805"/>
      <c r="G1003" s="1805"/>
      <c r="H1003" s="1805"/>
      <c r="I1003" s="1805"/>
      <c r="J1003" s="1805"/>
      <c r="K1003" s="1217" t="s">
        <v>1792</v>
      </c>
      <c r="L1003" s="1242" t="s">
        <v>825</v>
      </c>
      <c r="M1003" s="1242">
        <v>1</v>
      </c>
      <c r="N1003" s="739">
        <v>1</v>
      </c>
      <c r="O1003" s="739">
        <v>1</v>
      </c>
      <c r="P1003" s="739">
        <v>1</v>
      </c>
      <c r="Q1003" s="739">
        <v>1</v>
      </c>
    </row>
    <row r="1004" spans="1:17" x14ac:dyDescent="0.25">
      <c r="A1004" s="2112">
        <v>44</v>
      </c>
      <c r="B1004" s="2106">
        <v>3</v>
      </c>
      <c r="C1004" s="1982"/>
      <c r="D1004" s="2114"/>
      <c r="E1004" s="2053" t="s">
        <v>3111</v>
      </c>
      <c r="F1004" s="2116">
        <v>405637.5</v>
      </c>
      <c r="G1004" s="2116">
        <v>454043.7</v>
      </c>
      <c r="H1004" s="2116">
        <f>SUM(H1006:H1009)</f>
        <v>779591.8</v>
      </c>
      <c r="I1004" s="2116">
        <v>458584.13699999999</v>
      </c>
      <c r="J1004" s="2116">
        <v>463169.97837000003</v>
      </c>
      <c r="K1004" s="1695"/>
      <c r="L1004" s="1851"/>
      <c r="M1004" s="1727"/>
      <c r="N1004" s="1800"/>
      <c r="O1004" s="1800"/>
      <c r="P1004" s="1800"/>
      <c r="Q1004" s="1800"/>
    </row>
    <row r="1005" spans="1:17" x14ac:dyDescent="0.25">
      <c r="A1005" s="2119"/>
      <c r="B1005" s="2107"/>
      <c r="C1005" s="1983"/>
      <c r="D1005" s="2120"/>
      <c r="E1005" s="1703"/>
      <c r="F1005" s="2116"/>
      <c r="G1005" s="2116"/>
      <c r="H1005" s="2116"/>
      <c r="I1005" s="2116"/>
      <c r="J1005" s="2116"/>
      <c r="K1005" s="1696"/>
      <c r="L1005" s="2118"/>
      <c r="M1005" s="1728"/>
      <c r="N1005" s="1801"/>
      <c r="O1005" s="1801"/>
      <c r="P1005" s="1801"/>
      <c r="Q1005" s="1801"/>
    </row>
    <row r="1006" spans="1:17" x14ac:dyDescent="0.25">
      <c r="A1006" s="2112"/>
      <c r="B1006" s="1420"/>
      <c r="C1006" s="1982" t="s">
        <v>4</v>
      </c>
      <c r="D1006" s="2114"/>
      <c r="E1006" s="1791" t="s">
        <v>1793</v>
      </c>
      <c r="F1006" s="1967">
        <v>390001.3</v>
      </c>
      <c r="G1006" s="1967">
        <v>435127.9</v>
      </c>
      <c r="H1006" s="1967">
        <f>706636.8+57219.1</f>
        <v>763855.9</v>
      </c>
      <c r="I1006" s="1967">
        <v>439310.00400000002</v>
      </c>
      <c r="J1006" s="1804">
        <v>443703.10404000001</v>
      </c>
      <c r="K1006" s="1217" t="s">
        <v>1794</v>
      </c>
      <c r="L1006" s="1242" t="s">
        <v>825</v>
      </c>
      <c r="M1006" s="1242">
        <v>2</v>
      </c>
      <c r="N1006" s="739">
        <v>2</v>
      </c>
      <c r="O1006" s="739">
        <v>2</v>
      </c>
      <c r="P1006" s="739">
        <v>2</v>
      </c>
      <c r="Q1006" s="739">
        <v>2</v>
      </c>
    </row>
    <row r="1007" spans="1:17" x14ac:dyDescent="0.25">
      <c r="A1007" s="2119"/>
      <c r="B1007" s="1236"/>
      <c r="C1007" s="1983"/>
      <c r="D1007" s="2120"/>
      <c r="E1007" s="1791"/>
      <c r="F1007" s="1967"/>
      <c r="G1007" s="1967"/>
      <c r="H1007" s="1967"/>
      <c r="I1007" s="1967"/>
      <c r="J1007" s="1805"/>
      <c r="K1007" s="1217" t="s">
        <v>1795</v>
      </c>
      <c r="L1007" s="1242" t="s">
        <v>825</v>
      </c>
      <c r="M1007" s="1242">
        <v>6</v>
      </c>
      <c r="N1007" s="739">
        <v>6</v>
      </c>
      <c r="O1007" s="739">
        <v>8</v>
      </c>
      <c r="P1007" s="739">
        <v>8</v>
      </c>
      <c r="Q1007" s="739">
        <v>8</v>
      </c>
    </row>
    <row r="1008" spans="1:17" x14ac:dyDescent="0.25">
      <c r="A1008" s="2112"/>
      <c r="B1008" s="1420"/>
      <c r="C1008" s="1982" t="s">
        <v>5</v>
      </c>
      <c r="D1008" s="2114"/>
      <c r="E1008" s="1912" t="s">
        <v>1796</v>
      </c>
      <c r="F1008" s="1967">
        <v>15636.2</v>
      </c>
      <c r="G1008" s="1967">
        <v>18915.8</v>
      </c>
      <c r="H1008" s="1967">
        <f>15395.1+340.8</f>
        <v>15735.9</v>
      </c>
      <c r="I1008" s="1967">
        <v>19274.132999999998</v>
      </c>
      <c r="J1008" s="1967">
        <v>19466.874329999999</v>
      </c>
      <c r="K1008" s="1217" t="s">
        <v>1797</v>
      </c>
      <c r="L1008" s="1242" t="s">
        <v>1518</v>
      </c>
      <c r="M1008" s="1242">
        <v>1294.0999999999999</v>
      </c>
      <c r="N1008" s="176">
        <v>1360</v>
      </c>
      <c r="O1008" s="176">
        <v>1400</v>
      </c>
      <c r="P1008" s="176">
        <v>1400</v>
      </c>
      <c r="Q1008" s="176">
        <v>1400</v>
      </c>
    </row>
    <row r="1009" spans="1:17" ht="30" x14ac:dyDescent="0.25">
      <c r="A1009" s="2119"/>
      <c r="B1009" s="1236"/>
      <c r="C1009" s="1983"/>
      <c r="D1009" s="2120"/>
      <c r="E1009" s="1912"/>
      <c r="F1009" s="1967"/>
      <c r="G1009" s="1967"/>
      <c r="H1009" s="1967"/>
      <c r="I1009" s="1967"/>
      <c r="J1009" s="1967"/>
      <c r="K1009" s="1217" t="s">
        <v>1798</v>
      </c>
      <c r="L1009" s="1242" t="s">
        <v>825</v>
      </c>
      <c r="M1009" s="1242">
        <v>1</v>
      </c>
      <c r="N1009" s="739">
        <v>2</v>
      </c>
      <c r="O1009" s="739">
        <v>3</v>
      </c>
      <c r="P1009" s="739">
        <v>3</v>
      </c>
      <c r="Q1009" s="739">
        <v>3</v>
      </c>
    </row>
    <row r="1010" spans="1:17" x14ac:dyDescent="0.25">
      <c r="A1010" s="2112">
        <v>44</v>
      </c>
      <c r="B1010" s="2106">
        <v>4</v>
      </c>
      <c r="C1010" s="1982"/>
      <c r="D1010" s="2114"/>
      <c r="E1010" s="2053" t="s">
        <v>1799</v>
      </c>
      <c r="F1010" s="2116">
        <v>544947.69999999995</v>
      </c>
      <c r="G1010" s="2116">
        <v>635290.5</v>
      </c>
      <c r="H1010" s="2116">
        <f>SUM(H1012:H1015)</f>
        <v>691731.79999999993</v>
      </c>
      <c r="I1010" s="2116">
        <v>641643.40499999991</v>
      </c>
      <c r="J1010" s="2116">
        <v>648059.83904999995</v>
      </c>
      <c r="K1010" s="1695"/>
      <c r="L1010" s="1727"/>
      <c r="M1010" s="1727"/>
      <c r="N1010" s="1804"/>
      <c r="O1010" s="1804"/>
      <c r="P1010" s="1804"/>
      <c r="Q1010" s="1804"/>
    </row>
    <row r="1011" spans="1:17" x14ac:dyDescent="0.25">
      <c r="A1011" s="2113"/>
      <c r="B1011" s="2107"/>
      <c r="C1011" s="2111"/>
      <c r="D1011" s="2115"/>
      <c r="E1011" s="1703"/>
      <c r="F1011" s="2117"/>
      <c r="G1011" s="2117"/>
      <c r="H1011" s="2117"/>
      <c r="I1011" s="2117"/>
      <c r="J1011" s="2117"/>
      <c r="K1011" s="1696"/>
      <c r="L1011" s="1728"/>
      <c r="M1011" s="1728"/>
      <c r="N1011" s="1805"/>
      <c r="O1011" s="1805"/>
      <c r="P1011" s="1805"/>
      <c r="Q1011" s="1805"/>
    </row>
    <row r="1012" spans="1:17" ht="60" x14ac:dyDescent="0.25">
      <c r="A1012" s="740"/>
      <c r="B1012" s="741"/>
      <c r="C1012" s="742" t="s">
        <v>4</v>
      </c>
      <c r="D1012" s="743"/>
      <c r="E1012" s="1217" t="s">
        <v>1800</v>
      </c>
      <c r="F1012" s="1192">
        <v>279852.09999999998</v>
      </c>
      <c r="G1012" s="1192">
        <v>329132.5</v>
      </c>
      <c r="H1012" s="1192">
        <f>304383.3+37560.8</f>
        <v>341944.1</v>
      </c>
      <c r="I1012" s="1192">
        <v>363094.09099999996</v>
      </c>
      <c r="J1012" s="1192">
        <v>366725.03190999996</v>
      </c>
      <c r="K1012" s="1217" t="s">
        <v>1801</v>
      </c>
      <c r="L1012" s="1242" t="s">
        <v>34</v>
      </c>
      <c r="M1012" s="1242">
        <v>50</v>
      </c>
      <c r="N1012" s="176">
        <v>60</v>
      </c>
      <c r="O1012" s="176">
        <v>60</v>
      </c>
      <c r="P1012" s="176">
        <v>60</v>
      </c>
      <c r="Q1012" s="176">
        <v>60</v>
      </c>
    </row>
    <row r="1013" spans="1:17" ht="30" x14ac:dyDescent="0.25">
      <c r="A1013" s="746"/>
      <c r="B1013" s="747"/>
      <c r="C1013" s="1238" t="s">
        <v>5</v>
      </c>
      <c r="D1013" s="1240"/>
      <c r="E1013" s="1626" t="s">
        <v>1802</v>
      </c>
      <c r="F1013" s="1804">
        <v>255604.5</v>
      </c>
      <c r="G1013" s="1804">
        <v>292561.2</v>
      </c>
      <c r="H1013" s="1804">
        <f>307778.1+26203.2</f>
        <v>333981.3</v>
      </c>
      <c r="I1013" s="1804">
        <v>265532.13099999999</v>
      </c>
      <c r="J1013" s="1804">
        <v>268187.45231000002</v>
      </c>
      <c r="K1013" s="1217" t="s">
        <v>1803</v>
      </c>
      <c r="L1013" s="1242" t="s">
        <v>34</v>
      </c>
      <c r="M1013" s="1242">
        <v>90</v>
      </c>
      <c r="N1013" s="176">
        <v>90</v>
      </c>
      <c r="O1013" s="176">
        <v>100</v>
      </c>
      <c r="P1013" s="176">
        <v>100</v>
      </c>
      <c r="Q1013" s="176">
        <v>100</v>
      </c>
    </row>
    <row r="1014" spans="1:17" ht="30" x14ac:dyDescent="0.25">
      <c r="A1014" s="746"/>
      <c r="B1014" s="747"/>
      <c r="C1014" s="1238"/>
      <c r="D1014" s="1240"/>
      <c r="E1014" s="1627"/>
      <c r="F1014" s="1805"/>
      <c r="G1014" s="1805"/>
      <c r="H1014" s="1805"/>
      <c r="I1014" s="1805"/>
      <c r="J1014" s="1805"/>
      <c r="K1014" s="1217" t="s">
        <v>1804</v>
      </c>
      <c r="L1014" s="1242" t="s">
        <v>1334</v>
      </c>
      <c r="M1014" s="1242">
        <v>9021</v>
      </c>
      <c r="N1014" s="739">
        <v>9021</v>
      </c>
      <c r="O1014" s="739">
        <v>9021</v>
      </c>
      <c r="P1014" s="739">
        <v>9021</v>
      </c>
      <c r="Q1014" s="739">
        <v>9021</v>
      </c>
    </row>
    <row r="1015" spans="1:17" ht="30" x14ac:dyDescent="0.25">
      <c r="A1015" s="740"/>
      <c r="B1015" s="741"/>
      <c r="C1015" s="742" t="s">
        <v>7</v>
      </c>
      <c r="D1015" s="743"/>
      <c r="E1015" s="1217" t="s">
        <v>1805</v>
      </c>
      <c r="F1015" s="1192">
        <v>9491.1</v>
      </c>
      <c r="G1015" s="1192">
        <v>13596.8</v>
      </c>
      <c r="H1015" s="1192">
        <f>10265.8+5540.6</f>
        <v>15806.4</v>
      </c>
      <c r="I1015" s="1192">
        <v>13017.182999999999</v>
      </c>
      <c r="J1015" s="1192">
        <v>13147.354829999998</v>
      </c>
      <c r="K1015" s="1217" t="s">
        <v>1806</v>
      </c>
      <c r="L1015" s="1242" t="s">
        <v>1334</v>
      </c>
      <c r="M1015" s="1242">
        <v>215</v>
      </c>
      <c r="N1015" s="739">
        <v>215</v>
      </c>
      <c r="O1015" s="739">
        <v>215</v>
      </c>
      <c r="P1015" s="739">
        <v>215</v>
      </c>
      <c r="Q1015" s="739">
        <v>215</v>
      </c>
    </row>
    <row r="1016" spans="1:17" ht="103.5" x14ac:dyDescent="0.25">
      <c r="A1016" s="746">
        <v>44</v>
      </c>
      <c r="B1016" s="747">
        <v>5</v>
      </c>
      <c r="C1016" s="1238"/>
      <c r="D1016" s="1240"/>
      <c r="E1016" s="1421" t="s">
        <v>1807</v>
      </c>
      <c r="F1016" s="748">
        <v>53413.9</v>
      </c>
      <c r="G1016" s="748">
        <v>102776.1</v>
      </c>
      <c r="H1016" s="748">
        <f>SUM(H1017:H1020)</f>
        <v>76220.100000000006</v>
      </c>
      <c r="I1016" s="749">
        <v>70322.361000000004</v>
      </c>
      <c r="J1016" s="749">
        <v>71025.584610000005</v>
      </c>
      <c r="K1016" s="695"/>
      <c r="L1016" s="1242"/>
      <c r="M1016" s="1242"/>
      <c r="N1016" s="176"/>
      <c r="O1016" s="176"/>
      <c r="P1016" s="176"/>
      <c r="Q1016" s="176"/>
    </row>
    <row r="1017" spans="1:17" ht="30" x14ac:dyDescent="0.25">
      <c r="A1017" s="740"/>
      <c r="B1017" s="741"/>
      <c r="C1017" s="742" t="s">
        <v>4</v>
      </c>
      <c r="D1017" s="743"/>
      <c r="E1017" s="1217" t="s">
        <v>1808</v>
      </c>
      <c r="F1017" s="1192">
        <v>21256.3</v>
      </c>
      <c r="G1017" s="1192">
        <v>20514</v>
      </c>
      <c r="H1017" s="1192">
        <f>20514+4100.2</f>
        <v>24614.2</v>
      </c>
      <c r="I1017" s="1192">
        <v>20719.240999999998</v>
      </c>
      <c r="J1017" s="1192">
        <v>20926.433409999998</v>
      </c>
      <c r="K1017" s="1217" t="s">
        <v>1791</v>
      </c>
      <c r="L1017" s="1242" t="s">
        <v>825</v>
      </c>
      <c r="M1017" s="1242">
        <v>2</v>
      </c>
      <c r="N1017" s="739">
        <v>4</v>
      </c>
      <c r="O1017" s="739">
        <v>4</v>
      </c>
      <c r="P1017" s="739">
        <v>4</v>
      </c>
      <c r="Q1017" s="739">
        <v>5</v>
      </c>
    </row>
    <row r="1018" spans="1:17" x14ac:dyDescent="0.25">
      <c r="A1018" s="740"/>
      <c r="B1018" s="2106"/>
      <c r="C1018" s="1982" t="s">
        <v>5</v>
      </c>
      <c r="D1018" s="1982"/>
      <c r="E1018" s="1746" t="s">
        <v>1809</v>
      </c>
      <c r="F1018" s="2108">
        <v>14571.6</v>
      </c>
      <c r="G1018" s="2108">
        <v>55348.7</v>
      </c>
      <c r="H1018" s="2108">
        <f>20756.7+6927.6</f>
        <v>27684.300000000003</v>
      </c>
      <c r="I1018" s="1804">
        <v>22420.788</v>
      </c>
      <c r="J1018" s="1804">
        <v>22644.995880000002</v>
      </c>
      <c r="K1018" s="1217" t="s">
        <v>1810</v>
      </c>
      <c r="L1018" s="1242" t="s">
        <v>825</v>
      </c>
      <c r="M1018" s="1242">
        <v>5</v>
      </c>
      <c r="N1018" s="739">
        <v>7</v>
      </c>
      <c r="O1018" s="739">
        <v>7</v>
      </c>
      <c r="P1018" s="739">
        <v>8</v>
      </c>
      <c r="Q1018" s="739">
        <v>8</v>
      </c>
    </row>
    <row r="1019" spans="1:17" ht="30" x14ac:dyDescent="0.25">
      <c r="A1019" s="1422"/>
      <c r="B1019" s="2107"/>
      <c r="C1019" s="1983"/>
      <c r="D1019" s="1983"/>
      <c r="E1019" s="1747"/>
      <c r="F1019" s="2109"/>
      <c r="G1019" s="2109"/>
      <c r="H1019" s="2109"/>
      <c r="I1019" s="1805"/>
      <c r="J1019" s="1805"/>
      <c r="K1019" s="1217" t="s">
        <v>1811</v>
      </c>
      <c r="L1019" s="1242" t="s">
        <v>825</v>
      </c>
      <c r="M1019" s="1242">
        <v>0</v>
      </c>
      <c r="N1019" s="176">
        <v>1</v>
      </c>
      <c r="O1019" s="176">
        <v>1</v>
      </c>
      <c r="P1019" s="176">
        <v>2</v>
      </c>
      <c r="Q1019" s="176">
        <v>2</v>
      </c>
    </row>
    <row r="1020" spans="1:17" ht="30" x14ac:dyDescent="0.25">
      <c r="A1020" s="740"/>
      <c r="B1020" s="2106"/>
      <c r="C1020" s="1982" t="s">
        <v>7</v>
      </c>
      <c r="D1020" s="1982"/>
      <c r="E1020" s="1746" t="s">
        <v>1812</v>
      </c>
      <c r="F1020" s="1804">
        <v>17586</v>
      </c>
      <c r="G1020" s="1804">
        <v>26913.4</v>
      </c>
      <c r="H1020" s="1804">
        <f>17235.4+6686.2</f>
        <v>23921.600000000002</v>
      </c>
      <c r="I1020" s="1804">
        <v>27182.332000000002</v>
      </c>
      <c r="J1020" s="1804">
        <v>27454.155320000002</v>
      </c>
      <c r="K1020" s="695" t="s">
        <v>1813</v>
      </c>
      <c r="L1020" s="1242" t="s">
        <v>34</v>
      </c>
      <c r="M1020" s="1242">
        <v>19</v>
      </c>
      <c r="N1020" s="176">
        <v>20</v>
      </c>
      <c r="O1020" s="176">
        <v>24</v>
      </c>
      <c r="P1020" s="176">
        <v>27</v>
      </c>
      <c r="Q1020" s="176">
        <v>30</v>
      </c>
    </row>
    <row r="1021" spans="1:17" ht="30" x14ac:dyDescent="0.25">
      <c r="A1021" s="740"/>
      <c r="B1021" s="2110"/>
      <c r="C1021" s="2111"/>
      <c r="D1021" s="2111"/>
      <c r="E1021" s="2039"/>
      <c r="F1021" s="1833"/>
      <c r="G1021" s="1833"/>
      <c r="H1021" s="1833"/>
      <c r="I1021" s="1833"/>
      <c r="J1021" s="1833"/>
      <c r="K1021" s="1217" t="s">
        <v>1814</v>
      </c>
      <c r="L1021" s="1242" t="s">
        <v>825</v>
      </c>
      <c r="M1021" s="1242">
        <v>2076</v>
      </c>
      <c r="N1021" s="176">
        <v>2300</v>
      </c>
      <c r="O1021" s="176">
        <v>2500</v>
      </c>
      <c r="P1021" s="176">
        <v>2700</v>
      </c>
      <c r="Q1021" s="176">
        <v>2300</v>
      </c>
    </row>
    <row r="1022" spans="1:17" x14ac:dyDescent="0.25">
      <c r="A1022" s="740"/>
      <c r="B1022" s="2107"/>
      <c r="C1022" s="1983"/>
      <c r="D1022" s="1983"/>
      <c r="E1022" s="1747"/>
      <c r="F1022" s="1805"/>
      <c r="G1022" s="1805"/>
      <c r="H1022" s="1805"/>
      <c r="I1022" s="1805"/>
      <c r="J1022" s="1805"/>
      <c r="K1022" s="1217" t="s">
        <v>1815</v>
      </c>
      <c r="L1022" s="1242" t="s">
        <v>823</v>
      </c>
      <c r="M1022" s="1242">
        <v>4174</v>
      </c>
      <c r="N1022" s="176">
        <v>4500</v>
      </c>
      <c r="O1022" s="176">
        <v>4700</v>
      </c>
      <c r="P1022" s="176">
        <v>4900</v>
      </c>
      <c r="Q1022" s="176">
        <v>5000</v>
      </c>
    </row>
    <row r="1023" spans="1:17" ht="59.25" x14ac:dyDescent="0.25">
      <c r="A1023" s="746">
        <v>44</v>
      </c>
      <c r="B1023" s="741">
        <v>6</v>
      </c>
      <c r="C1023" s="742"/>
      <c r="D1023" s="743"/>
      <c r="E1023" s="178" t="s">
        <v>1816</v>
      </c>
      <c r="F1023" s="1241">
        <v>7632.3</v>
      </c>
      <c r="G1023" s="1241">
        <v>7793.4</v>
      </c>
      <c r="H1023" s="1241">
        <f>SUM(H1024:H1026)</f>
        <v>59564.299999999996</v>
      </c>
      <c r="I1023" s="1241">
        <v>8513.5930000000008</v>
      </c>
      <c r="J1023" s="1241">
        <v>8598.7289300000011</v>
      </c>
      <c r="K1023" s="1217"/>
      <c r="L1023" s="1242"/>
      <c r="M1023" s="1242"/>
      <c r="N1023" s="176"/>
      <c r="O1023" s="176"/>
      <c r="P1023" s="176"/>
      <c r="Q1023" s="176"/>
    </row>
    <row r="1024" spans="1:17" ht="45" x14ac:dyDescent="0.25">
      <c r="A1024" s="740"/>
      <c r="B1024" s="741"/>
      <c r="C1024" s="742" t="s">
        <v>4</v>
      </c>
      <c r="D1024" s="743"/>
      <c r="E1024" s="1217" t="s">
        <v>1817</v>
      </c>
      <c r="F1024" s="1192">
        <v>4132.3</v>
      </c>
      <c r="G1024" s="1192">
        <v>3675</v>
      </c>
      <c r="H1024" s="1192">
        <v>5952.6</v>
      </c>
      <c r="I1024" s="1192">
        <v>4728.3149999999996</v>
      </c>
      <c r="J1024" s="1192">
        <v>4775.5981499999998</v>
      </c>
      <c r="K1024" s="1217" t="s">
        <v>1818</v>
      </c>
      <c r="L1024" s="1242" t="s">
        <v>825</v>
      </c>
      <c r="M1024" s="1242">
        <v>8</v>
      </c>
      <c r="N1024" s="176">
        <v>8</v>
      </c>
      <c r="O1024" s="176">
        <v>8</v>
      </c>
      <c r="P1024" s="176">
        <v>8</v>
      </c>
      <c r="Q1024" s="176">
        <v>8</v>
      </c>
    </row>
    <row r="1025" spans="1:17" ht="30" x14ac:dyDescent="0.25">
      <c r="A1025" s="746"/>
      <c r="B1025" s="747"/>
      <c r="C1025" s="1982" t="s">
        <v>5</v>
      </c>
      <c r="D1025" s="1982"/>
      <c r="E1025" s="1746" t="s">
        <v>1819</v>
      </c>
      <c r="F1025" s="1804">
        <v>3500</v>
      </c>
      <c r="G1025" s="1804">
        <v>4118.3999999999996</v>
      </c>
      <c r="H1025" s="1804">
        <v>53611.7</v>
      </c>
      <c r="I1025" s="1804">
        <v>3785.2780000000002</v>
      </c>
      <c r="J1025" s="1804">
        <v>3823.1307800000004</v>
      </c>
      <c r="K1025" s="695" t="s">
        <v>1820</v>
      </c>
      <c r="L1025" s="1242" t="s">
        <v>825</v>
      </c>
      <c r="M1025" s="1242">
        <v>5</v>
      </c>
      <c r="N1025" s="176">
        <v>5</v>
      </c>
      <c r="O1025" s="176">
        <v>5</v>
      </c>
      <c r="P1025" s="176">
        <v>5</v>
      </c>
      <c r="Q1025" s="176">
        <v>5</v>
      </c>
    </row>
    <row r="1026" spans="1:17" ht="45" x14ac:dyDescent="0.25">
      <c r="A1026" s="746"/>
      <c r="B1026" s="747"/>
      <c r="C1026" s="1983"/>
      <c r="D1026" s="1983"/>
      <c r="E1026" s="1747"/>
      <c r="F1026" s="1805"/>
      <c r="G1026" s="1805"/>
      <c r="H1026" s="1805"/>
      <c r="I1026" s="1805"/>
      <c r="J1026" s="1805"/>
      <c r="K1026" s="1217" t="s">
        <v>1821</v>
      </c>
      <c r="L1026" s="1242" t="s">
        <v>1518</v>
      </c>
      <c r="M1026" s="1242">
        <v>3065.7</v>
      </c>
      <c r="N1026" s="176">
        <v>3372.7</v>
      </c>
      <c r="O1026" s="176">
        <v>3473.4</v>
      </c>
      <c r="P1026" s="176">
        <v>3577.6</v>
      </c>
      <c r="Q1026" s="176">
        <v>3935.4</v>
      </c>
    </row>
    <row r="1027" spans="1:17" ht="42.75" x14ac:dyDescent="0.25">
      <c r="A1027" s="740">
        <v>44</v>
      </c>
      <c r="B1027" s="741">
        <v>7</v>
      </c>
      <c r="C1027" s="742"/>
      <c r="D1027" s="743"/>
      <c r="E1027" s="178" t="s">
        <v>1822</v>
      </c>
      <c r="F1027" s="1241">
        <v>366427.6</v>
      </c>
      <c r="G1027" s="1241">
        <v>383875</v>
      </c>
      <c r="H1027" s="1241">
        <f>SUM(H1028:H1031)</f>
        <v>428406.10000000003</v>
      </c>
      <c r="I1027" s="1241">
        <v>387713.75</v>
      </c>
      <c r="J1027" s="1241">
        <v>391590.88750000001</v>
      </c>
      <c r="K1027" s="1217"/>
      <c r="L1027" s="1242"/>
      <c r="M1027" s="1242"/>
      <c r="N1027" s="176"/>
      <c r="O1027" s="176"/>
      <c r="P1027" s="176"/>
      <c r="Q1027" s="176"/>
    </row>
    <row r="1028" spans="1:17" x14ac:dyDescent="0.25">
      <c r="A1028" s="740"/>
      <c r="B1028" s="2106"/>
      <c r="C1028" s="1982" t="s">
        <v>4</v>
      </c>
      <c r="D1028" s="1982"/>
      <c r="E1028" s="1746" t="s">
        <v>1823</v>
      </c>
      <c r="F1028" s="1804">
        <v>4538.5</v>
      </c>
      <c r="G1028" s="1804">
        <v>4876</v>
      </c>
      <c r="H1028" s="1804">
        <v>10334.5</v>
      </c>
      <c r="I1028" s="1804">
        <v>4924.76</v>
      </c>
      <c r="J1028" s="1804">
        <v>4974.0075999999999</v>
      </c>
      <c r="K1028" s="1212" t="s">
        <v>1824</v>
      </c>
      <c r="L1028" s="1242" t="s">
        <v>780</v>
      </c>
      <c r="M1028" s="1242">
        <v>4</v>
      </c>
      <c r="N1028" s="176">
        <v>3</v>
      </c>
      <c r="O1028" s="176">
        <v>3</v>
      </c>
      <c r="P1028" s="176">
        <v>3</v>
      </c>
      <c r="Q1028" s="176">
        <v>3</v>
      </c>
    </row>
    <row r="1029" spans="1:17" ht="30" x14ac:dyDescent="0.25">
      <c r="A1029" s="740"/>
      <c r="B1029" s="2107"/>
      <c r="C1029" s="1983"/>
      <c r="D1029" s="1983"/>
      <c r="E1029" s="1747"/>
      <c r="F1029" s="1805"/>
      <c r="G1029" s="1805"/>
      <c r="H1029" s="1805"/>
      <c r="I1029" s="1805"/>
      <c r="J1029" s="1805"/>
      <c r="K1029" s="1217" t="s">
        <v>1825</v>
      </c>
      <c r="L1029" s="1242" t="s">
        <v>34</v>
      </c>
      <c r="M1029" s="1242">
        <v>1</v>
      </c>
      <c r="N1029" s="176">
        <v>2</v>
      </c>
      <c r="O1029" s="176">
        <v>5</v>
      </c>
      <c r="P1029" s="176">
        <v>7</v>
      </c>
      <c r="Q1029" s="176">
        <v>9</v>
      </c>
    </row>
    <row r="1030" spans="1:17" ht="30" x14ac:dyDescent="0.25">
      <c r="A1030" s="740"/>
      <c r="B1030" s="741"/>
      <c r="C1030" s="742" t="s">
        <v>5</v>
      </c>
      <c r="D1030" s="743"/>
      <c r="E1030" s="1217" t="s">
        <v>1826</v>
      </c>
      <c r="F1030" s="1192">
        <v>64934.400000000001</v>
      </c>
      <c r="G1030" s="1192">
        <v>72637.600000000006</v>
      </c>
      <c r="H1030" s="1192">
        <f>73135.4+745.3</f>
        <v>73880.7</v>
      </c>
      <c r="I1030" s="1192">
        <v>70128.34</v>
      </c>
      <c r="J1030" s="1192">
        <v>70829.623399999997</v>
      </c>
      <c r="K1030" s="1217" t="s">
        <v>1827</v>
      </c>
      <c r="L1030" s="1242" t="s">
        <v>1334</v>
      </c>
      <c r="M1030" s="1242"/>
      <c r="N1030" s="176">
        <v>50</v>
      </c>
      <c r="O1030" s="176">
        <v>100</v>
      </c>
      <c r="P1030" s="176">
        <v>100</v>
      </c>
      <c r="Q1030" s="176">
        <v>100</v>
      </c>
    </row>
    <row r="1031" spans="1:17" ht="45" x14ac:dyDescent="0.25">
      <c r="A1031" s="740"/>
      <c r="B1031" s="741"/>
      <c r="C1031" s="742" t="s">
        <v>7</v>
      </c>
      <c r="D1031" s="743"/>
      <c r="E1031" s="1212" t="s">
        <v>1828</v>
      </c>
      <c r="F1031" s="1192">
        <v>296954.7</v>
      </c>
      <c r="G1031" s="1192">
        <v>306361.40000000002</v>
      </c>
      <c r="H1031" s="1192">
        <v>344190.9</v>
      </c>
      <c r="I1031" s="1192">
        <v>312660.65000000002</v>
      </c>
      <c r="J1031" s="1192">
        <v>315787.25650000002</v>
      </c>
      <c r="K1031" s="1217" t="s">
        <v>1829</v>
      </c>
      <c r="L1031" s="1242" t="s">
        <v>1160</v>
      </c>
      <c r="M1031" s="1242">
        <v>0</v>
      </c>
      <c r="N1031" s="176">
        <v>200</v>
      </c>
      <c r="O1031" s="176">
        <v>200</v>
      </c>
      <c r="P1031" s="176">
        <v>200</v>
      </c>
      <c r="Q1031" s="176">
        <v>200</v>
      </c>
    </row>
    <row r="1032" spans="1:17" x14ac:dyDescent="0.25">
      <c r="A1032" s="1651" t="s">
        <v>1830</v>
      </c>
      <c r="B1032" s="1651"/>
      <c r="C1032" s="2097"/>
      <c r="D1032" s="2097"/>
      <c r="E1032" s="2097"/>
      <c r="F1032" s="71">
        <v>1837666.9</v>
      </c>
      <c r="G1032" s="71">
        <v>2229470.6</v>
      </c>
      <c r="H1032" s="71">
        <f>H983+H993+H1004+H1010+H1016+H1023+H1027</f>
        <v>2572952.1999999997</v>
      </c>
      <c r="I1032" s="71">
        <v>2022742.0489999999</v>
      </c>
      <c r="J1032" s="71">
        <v>2042969.46949</v>
      </c>
      <c r="K1032" s="750"/>
      <c r="L1032" s="751"/>
      <c r="M1032" s="751"/>
      <c r="N1032" s="751"/>
      <c r="O1032" s="751"/>
      <c r="P1032" s="752"/>
      <c r="Q1032" s="751"/>
    </row>
    <row r="1033" spans="1:17" x14ac:dyDescent="0.25">
      <c r="A1033" s="1423"/>
      <c r="B1033" s="1628" t="s">
        <v>1831</v>
      </c>
      <c r="C1033" s="1628"/>
      <c r="D1033" s="1628"/>
      <c r="E1033" s="1628"/>
      <c r="F1033" s="1629"/>
      <c r="G1033" s="1629"/>
      <c r="H1033" s="1629"/>
      <c r="I1033" s="1629"/>
      <c r="J1033" s="1629"/>
      <c r="K1033" s="1629"/>
      <c r="L1033" s="1629"/>
      <c r="M1033" s="1629"/>
      <c r="N1033" s="1629"/>
      <c r="O1033" s="1629"/>
      <c r="P1033" s="1629"/>
      <c r="Q1033" s="1629"/>
    </row>
    <row r="1034" spans="1:17" x14ac:dyDescent="0.25">
      <c r="A1034" s="1648" t="s">
        <v>1832</v>
      </c>
      <c r="B1034" s="1649"/>
      <c r="C1034" s="1649"/>
      <c r="D1034" s="1649"/>
      <c r="E1034" s="1649"/>
      <c r="F1034" s="1649"/>
      <c r="G1034" s="1649"/>
      <c r="H1034" s="1649"/>
      <c r="I1034" s="1649"/>
      <c r="J1034" s="1649"/>
      <c r="K1034" s="1649"/>
      <c r="L1034" s="1649"/>
      <c r="M1034" s="1649"/>
      <c r="N1034" s="1649"/>
      <c r="O1034" s="1649"/>
      <c r="P1034" s="1649"/>
      <c r="Q1034" s="1650"/>
    </row>
    <row r="1035" spans="1:17" ht="42.75" x14ac:dyDescent="0.25">
      <c r="A1035" s="1103">
        <v>44</v>
      </c>
      <c r="B1035" s="1143">
        <v>8</v>
      </c>
      <c r="C1035" s="1105"/>
      <c r="D1035" s="753"/>
      <c r="E1035" s="178" t="s">
        <v>1833</v>
      </c>
      <c r="F1035" s="1169">
        <v>1084.2</v>
      </c>
      <c r="G1035" s="1169">
        <v>842.7</v>
      </c>
      <c r="H1035" s="1169">
        <f>H1036</f>
        <v>842.7</v>
      </c>
      <c r="I1035" s="1169">
        <v>810.2</v>
      </c>
      <c r="J1035" s="1169">
        <v>842.7</v>
      </c>
      <c r="K1035" s="1195" t="s">
        <v>1834</v>
      </c>
      <c r="L1035" s="343" t="s">
        <v>34</v>
      </c>
      <c r="M1035" s="1220">
        <v>100</v>
      </c>
      <c r="N1035" s="1220">
        <v>100</v>
      </c>
      <c r="O1035" s="1220">
        <v>100</v>
      </c>
      <c r="P1035" s="1220">
        <v>100</v>
      </c>
      <c r="Q1035" s="1220">
        <v>100</v>
      </c>
    </row>
    <row r="1036" spans="1:17" ht="60" x14ac:dyDescent="0.25">
      <c r="A1036" s="422"/>
      <c r="B1036" s="252"/>
      <c r="C1036" s="1105" t="s">
        <v>4</v>
      </c>
      <c r="D1036" s="1199"/>
      <c r="E1036" s="1149" t="s">
        <v>1835</v>
      </c>
      <c r="F1036" s="1125">
        <v>1084.2</v>
      </c>
      <c r="G1036" s="1125">
        <v>842.7</v>
      </c>
      <c r="H1036" s="1125">
        <v>842.7</v>
      </c>
      <c r="I1036" s="1125">
        <v>810.2</v>
      </c>
      <c r="J1036" s="1125">
        <v>842.7</v>
      </c>
      <c r="K1036" s="1212" t="s">
        <v>1836</v>
      </c>
      <c r="L1036" s="1196" t="s">
        <v>34</v>
      </c>
      <c r="M1036" s="343">
        <v>100</v>
      </c>
      <c r="N1036" s="343">
        <v>100</v>
      </c>
      <c r="O1036" s="343">
        <v>100</v>
      </c>
      <c r="P1036" s="343">
        <v>100</v>
      </c>
      <c r="Q1036" s="343">
        <v>100</v>
      </c>
    </row>
    <row r="1037" spans="1:17" ht="45" x14ac:dyDescent="0.25">
      <c r="A1037" s="422"/>
      <c r="B1037" s="252"/>
      <c r="C1037" s="1105" t="s">
        <v>5</v>
      </c>
      <c r="D1037" s="1199"/>
      <c r="E1037" s="1302" t="s">
        <v>1837</v>
      </c>
      <c r="F1037" s="1139"/>
      <c r="G1037" s="1139"/>
      <c r="H1037" s="1139"/>
      <c r="I1037" s="1139"/>
      <c r="J1037" s="1139"/>
      <c r="K1037" s="1212" t="s">
        <v>1838</v>
      </c>
      <c r="L1037" s="1196" t="s">
        <v>780</v>
      </c>
      <c r="M1037" s="343"/>
      <c r="N1037" s="343"/>
      <c r="O1037" s="343"/>
      <c r="P1037" s="343"/>
      <c r="Q1037" s="343">
        <v>3</v>
      </c>
    </row>
    <row r="1038" spans="1:17" x14ac:dyDescent="0.25">
      <c r="A1038" s="1749" t="s">
        <v>1839</v>
      </c>
      <c r="B1038" s="2098"/>
      <c r="C1038" s="2098"/>
      <c r="D1038" s="2098"/>
      <c r="E1038" s="2099"/>
      <c r="F1038" s="42">
        <v>1084.2</v>
      </c>
      <c r="G1038" s="42">
        <v>842.7</v>
      </c>
      <c r="H1038" s="42">
        <f>H1035</f>
        <v>842.7</v>
      </c>
      <c r="I1038" s="42">
        <v>810.2</v>
      </c>
      <c r="J1038" s="42">
        <v>842.7</v>
      </c>
      <c r="K1038" s="15"/>
      <c r="L1038" s="2100"/>
      <c r="M1038" s="2101"/>
      <c r="N1038" s="2101"/>
      <c r="O1038" s="2101"/>
      <c r="P1038" s="2101"/>
      <c r="Q1038" s="2102"/>
    </row>
    <row r="1039" spans="1:17" x14ac:dyDescent="0.25">
      <c r="A1039" s="1625" t="s">
        <v>1840</v>
      </c>
      <c r="B1039" s="1625"/>
      <c r="C1039" s="1625"/>
      <c r="D1039" s="1625"/>
      <c r="E1039" s="1625"/>
      <c r="F1039" s="1625"/>
      <c r="G1039" s="1625"/>
      <c r="H1039" s="1625"/>
      <c r="I1039" s="1625"/>
      <c r="J1039" s="1625"/>
      <c r="K1039" s="1625"/>
      <c r="L1039" s="1625"/>
      <c r="M1039" s="1625"/>
      <c r="N1039" s="1625"/>
      <c r="O1039" s="1625"/>
      <c r="P1039" s="1625"/>
      <c r="Q1039" s="1308"/>
    </row>
    <row r="1040" spans="1:17" ht="88.5" x14ac:dyDescent="0.25">
      <c r="A1040" s="1232">
        <v>44</v>
      </c>
      <c r="B1040" s="386">
        <v>1</v>
      </c>
      <c r="C1040" s="390"/>
      <c r="D1040" s="5"/>
      <c r="E1040" s="646" t="s">
        <v>1841</v>
      </c>
      <c r="F1040" s="754">
        <v>0</v>
      </c>
      <c r="G1040" s="754">
        <v>0</v>
      </c>
      <c r="H1040" s="754">
        <f>SUM(H1041:H1044)</f>
        <v>10380</v>
      </c>
      <c r="I1040" s="754">
        <v>8447.4</v>
      </c>
      <c r="J1040" s="754">
        <v>8447.4</v>
      </c>
      <c r="K1040" s="1218" t="s">
        <v>1763</v>
      </c>
      <c r="L1040" s="19" t="s">
        <v>34</v>
      </c>
      <c r="M1040" s="19">
        <v>100</v>
      </c>
      <c r="N1040" s="19">
        <v>100</v>
      </c>
      <c r="O1040" s="19">
        <v>100</v>
      </c>
      <c r="P1040" s="19">
        <v>100</v>
      </c>
      <c r="Q1040" s="19">
        <v>100</v>
      </c>
    </row>
    <row r="1041" spans="1:17" x14ac:dyDescent="0.25">
      <c r="A1041" s="1232"/>
      <c r="B1041" s="386"/>
      <c r="C1041" s="1146" t="s">
        <v>4</v>
      </c>
      <c r="D1041" s="2"/>
      <c r="E1041" s="1418" t="s">
        <v>1406</v>
      </c>
      <c r="F1041" s="755"/>
      <c r="G1041" s="755"/>
      <c r="H1041" s="31">
        <f>4811.5+60.3</f>
        <v>4871.8</v>
      </c>
      <c r="I1041" s="31">
        <v>2895</v>
      </c>
      <c r="J1041" s="31">
        <v>2895</v>
      </c>
      <c r="K1041" s="1212" t="s">
        <v>1842</v>
      </c>
      <c r="L1041" s="1289" t="s">
        <v>241</v>
      </c>
      <c r="M1041" s="1289"/>
      <c r="N1041" s="1289"/>
      <c r="O1041" s="1289"/>
      <c r="P1041" s="1289"/>
      <c r="Q1041" s="1289"/>
    </row>
    <row r="1042" spans="1:17" ht="30" x14ac:dyDescent="0.25">
      <c r="A1042" s="1232"/>
      <c r="B1042" s="386"/>
      <c r="C1042" s="1146" t="s">
        <v>5</v>
      </c>
      <c r="D1042" s="2"/>
      <c r="E1042" s="1235" t="s">
        <v>1843</v>
      </c>
      <c r="F1042" s="755"/>
      <c r="G1042" s="755"/>
      <c r="H1042" s="31">
        <f>2323.5+17.7</f>
        <v>2341.1999999999998</v>
      </c>
      <c r="I1042" s="31">
        <v>1401</v>
      </c>
      <c r="J1042" s="31">
        <v>1401</v>
      </c>
      <c r="K1042" s="1212" t="s">
        <v>1844</v>
      </c>
      <c r="L1042" s="1289" t="s">
        <v>34</v>
      </c>
      <c r="M1042" s="1289">
        <v>100</v>
      </c>
      <c r="N1042" s="1289">
        <v>100</v>
      </c>
      <c r="O1042" s="1289">
        <v>100</v>
      </c>
      <c r="P1042" s="1289">
        <v>100</v>
      </c>
      <c r="Q1042" s="1289">
        <v>100</v>
      </c>
    </row>
    <row r="1043" spans="1:17" ht="30" x14ac:dyDescent="0.25">
      <c r="A1043" s="1232"/>
      <c r="B1043" s="386"/>
      <c r="C1043" s="1146" t="s">
        <v>11</v>
      </c>
      <c r="D1043" s="2"/>
      <c r="E1043" s="1235" t="s">
        <v>1845</v>
      </c>
      <c r="F1043" s="755"/>
      <c r="G1043" s="755"/>
      <c r="H1043" s="547"/>
      <c r="I1043" s="31">
        <v>100</v>
      </c>
      <c r="J1043" s="31">
        <v>100</v>
      </c>
      <c r="K1043" s="1212" t="s">
        <v>1846</v>
      </c>
      <c r="L1043" s="1289"/>
      <c r="M1043" s="1289"/>
      <c r="N1043" s="1289"/>
      <c r="O1043" s="1289"/>
      <c r="P1043" s="1289"/>
      <c r="Q1043" s="1289"/>
    </row>
    <row r="1044" spans="1:17" ht="45" x14ac:dyDescent="0.25">
      <c r="A1044" s="1232"/>
      <c r="B1044" s="386"/>
      <c r="C1044" s="1146" t="s">
        <v>13</v>
      </c>
      <c r="D1044" s="2"/>
      <c r="E1044" s="1584" t="s">
        <v>1266</v>
      </c>
      <c r="F1044" s="755"/>
      <c r="G1044" s="755"/>
      <c r="H1044" s="31">
        <f>3145.7+21.3</f>
        <v>3167</v>
      </c>
      <c r="I1044" s="31">
        <v>4051.4</v>
      </c>
      <c r="J1044" s="31">
        <v>4051.4</v>
      </c>
      <c r="K1044" s="1212" t="s">
        <v>1329</v>
      </c>
      <c r="L1044" s="1289" t="s">
        <v>34</v>
      </c>
      <c r="M1044" s="1289"/>
      <c r="N1044" s="1289"/>
      <c r="O1044" s="1289"/>
      <c r="P1044" s="1289"/>
      <c r="Q1044" s="1289"/>
    </row>
    <row r="1045" spans="1:17" ht="117" x14ac:dyDescent="0.25">
      <c r="A1045" s="1103">
        <v>44</v>
      </c>
      <c r="B1045" s="1143">
        <v>9</v>
      </c>
      <c r="C1045" s="1105"/>
      <c r="D1045" s="253"/>
      <c r="E1045" s="1195" t="s">
        <v>1847</v>
      </c>
      <c r="F1045" s="1202">
        <v>0</v>
      </c>
      <c r="G1045" s="1202">
        <v>0</v>
      </c>
      <c r="H1045" s="1202">
        <f>SUM(H1046:H1048)</f>
        <v>12027.5</v>
      </c>
      <c r="I1045" s="1202">
        <v>15285.2</v>
      </c>
      <c r="J1045" s="1202">
        <v>15285.2</v>
      </c>
      <c r="K1045" s="1212" t="s">
        <v>1848</v>
      </c>
      <c r="L1045" s="1196" t="s">
        <v>825</v>
      </c>
      <c r="M1045" s="1217">
        <v>49500</v>
      </c>
      <c r="N1045" s="756">
        <v>50500</v>
      </c>
      <c r="O1045" s="756">
        <v>51000</v>
      </c>
      <c r="P1045" s="756">
        <v>51500</v>
      </c>
      <c r="Q1045" s="756">
        <v>52000</v>
      </c>
    </row>
    <row r="1046" spans="1:17" ht="45" x14ac:dyDescent="0.25">
      <c r="A1046" s="757"/>
      <c r="B1046" s="758"/>
      <c r="C1046" s="390" t="s">
        <v>4</v>
      </c>
      <c r="D1046" s="160"/>
      <c r="E1046" s="1212" t="s">
        <v>1849</v>
      </c>
      <c r="F1046" s="755"/>
      <c r="G1046" s="755"/>
      <c r="H1046" s="1125">
        <f>4766.3+35.5</f>
        <v>4801.8</v>
      </c>
      <c r="I1046" s="31">
        <v>7019.9</v>
      </c>
      <c r="J1046" s="31">
        <v>7019.9</v>
      </c>
      <c r="K1046" s="1212" t="s">
        <v>1850</v>
      </c>
      <c r="L1046" s="1289" t="s">
        <v>1851</v>
      </c>
      <c r="M1046" s="759">
        <v>11</v>
      </c>
      <c r="N1046" s="760">
        <v>12</v>
      </c>
      <c r="O1046" s="760">
        <v>12</v>
      </c>
      <c r="P1046" s="760">
        <v>12</v>
      </c>
      <c r="Q1046" s="760">
        <v>12</v>
      </c>
    </row>
    <row r="1047" spans="1:17" ht="45" x14ac:dyDescent="0.25">
      <c r="A1047" s="757"/>
      <c r="B1047" s="758"/>
      <c r="C1047" s="390" t="s">
        <v>5</v>
      </c>
      <c r="D1047" s="160"/>
      <c r="E1047" s="1212" t="s">
        <v>1852</v>
      </c>
      <c r="F1047" s="755"/>
      <c r="G1047" s="755"/>
      <c r="H1047" s="31">
        <f>2702.2+297.8</f>
        <v>3000</v>
      </c>
      <c r="I1047" s="31">
        <v>4220.8</v>
      </c>
      <c r="J1047" s="31">
        <v>4220.8</v>
      </c>
      <c r="K1047" s="1212" t="s">
        <v>1853</v>
      </c>
      <c r="L1047" s="1289" t="s">
        <v>825</v>
      </c>
      <c r="M1047" s="759">
        <v>5000</v>
      </c>
      <c r="N1047" s="761">
        <v>5100</v>
      </c>
      <c r="O1047" s="761">
        <v>5200</v>
      </c>
      <c r="P1047" s="761">
        <v>5300</v>
      </c>
      <c r="Q1047" s="761">
        <v>5400</v>
      </c>
    </row>
    <row r="1048" spans="1:17" ht="30" x14ac:dyDescent="0.25">
      <c r="A1048" s="1424"/>
      <c r="B1048" s="1425"/>
      <c r="C1048" s="1344" t="s">
        <v>7</v>
      </c>
      <c r="D1048" s="1345"/>
      <c r="E1048" s="1212" t="s">
        <v>1854</v>
      </c>
      <c r="F1048" s="755"/>
      <c r="G1048" s="755"/>
      <c r="H1048" s="31">
        <f>4197.3+28.4</f>
        <v>4225.7</v>
      </c>
      <c r="I1048" s="31">
        <v>4044.5000000000005</v>
      </c>
      <c r="J1048" s="31">
        <v>4044.5000000000005</v>
      </c>
      <c r="K1048" s="1212" t="s">
        <v>1855</v>
      </c>
      <c r="L1048" s="1289" t="s">
        <v>1334</v>
      </c>
      <c r="M1048" s="759">
        <v>924000</v>
      </c>
      <c r="N1048" s="760">
        <v>1056000</v>
      </c>
      <c r="O1048" s="760">
        <v>1100000</v>
      </c>
      <c r="P1048" s="760">
        <v>1188000</v>
      </c>
      <c r="Q1048" s="760">
        <v>1320000</v>
      </c>
    </row>
    <row r="1049" spans="1:17" x14ac:dyDescent="0.25">
      <c r="A1049" s="1748" t="s">
        <v>1856</v>
      </c>
      <c r="B1049" s="1748"/>
      <c r="C1049" s="1748"/>
      <c r="D1049" s="1748"/>
      <c r="E1049" s="1749"/>
      <c r="F1049" s="42">
        <v>0</v>
      </c>
      <c r="G1049" s="42">
        <v>0</v>
      </c>
      <c r="H1049" s="42">
        <f>H1040+H1045</f>
        <v>22407.5</v>
      </c>
      <c r="I1049" s="42">
        <v>23732.6</v>
      </c>
      <c r="J1049" s="42">
        <v>23732.6</v>
      </c>
      <c r="K1049" s="548"/>
      <c r="L1049" s="2085"/>
      <c r="M1049" s="2085"/>
      <c r="N1049" s="2085"/>
      <c r="O1049" s="2085"/>
      <c r="P1049" s="2085"/>
      <c r="Q1049" s="2085"/>
    </row>
    <row r="1050" spans="1:17" x14ac:dyDescent="0.25">
      <c r="A1050" s="1625" t="s">
        <v>1857</v>
      </c>
      <c r="B1050" s="1625"/>
      <c r="C1050" s="1625"/>
      <c r="D1050" s="1625"/>
      <c r="E1050" s="1625"/>
      <c r="F1050" s="1625"/>
      <c r="G1050" s="1625"/>
      <c r="H1050" s="1625"/>
      <c r="I1050" s="1625"/>
      <c r="J1050" s="1625"/>
      <c r="K1050" s="1625"/>
      <c r="L1050" s="1625"/>
      <c r="M1050" s="1625"/>
      <c r="N1050" s="1625"/>
      <c r="O1050" s="1625"/>
      <c r="P1050" s="1625"/>
      <c r="Q1050" s="1625"/>
    </row>
    <row r="1051" spans="1:17" ht="99.75" x14ac:dyDescent="0.25">
      <c r="A1051" s="1140">
        <v>44</v>
      </c>
      <c r="B1051" s="1104">
        <v>10</v>
      </c>
      <c r="C1051" s="1141"/>
      <c r="D1051" s="671"/>
      <c r="E1051" s="1173" t="s">
        <v>1858</v>
      </c>
      <c r="F1051" s="1169">
        <v>0</v>
      </c>
      <c r="G1051" s="1169">
        <v>0</v>
      </c>
      <c r="H1051" s="1169">
        <f>H1052</f>
        <v>18157.599999999999</v>
      </c>
      <c r="I1051" s="1169">
        <v>17157.599999999999</v>
      </c>
      <c r="J1051" s="1169">
        <v>17157.599999999999</v>
      </c>
      <c r="K1051" s="1195" t="s">
        <v>1859</v>
      </c>
      <c r="L1051" s="1220" t="s">
        <v>1860</v>
      </c>
      <c r="M1051" s="1220">
        <v>130</v>
      </c>
      <c r="N1051" s="1220">
        <v>150</v>
      </c>
      <c r="O1051" s="1220">
        <v>170</v>
      </c>
      <c r="P1051" s="1220">
        <v>200</v>
      </c>
      <c r="Q1051" s="1220">
        <v>210</v>
      </c>
    </row>
    <row r="1052" spans="1:17" x14ac:dyDescent="0.25">
      <c r="A1052" s="2103"/>
      <c r="B1052" s="1933"/>
      <c r="C1052" s="1844" t="s">
        <v>4</v>
      </c>
      <c r="D1052" s="2105"/>
      <c r="E1052" s="1939" t="s">
        <v>1861</v>
      </c>
      <c r="F1052" s="1740"/>
      <c r="G1052" s="1740"/>
      <c r="H1052" s="1762">
        <f>15207.6+2950</f>
        <v>18157.599999999999</v>
      </c>
      <c r="I1052" s="1762">
        <v>17157.599999999999</v>
      </c>
      <c r="J1052" s="1762">
        <v>17157.599999999999</v>
      </c>
      <c r="K1052" s="1212" t="s">
        <v>1862</v>
      </c>
      <c r="L1052" s="1196" t="s">
        <v>825</v>
      </c>
      <c r="M1052" s="1196">
        <v>6.8</v>
      </c>
      <c r="N1052" s="1196">
        <v>7</v>
      </c>
      <c r="O1052" s="1196">
        <v>7.5</v>
      </c>
      <c r="P1052" s="1196">
        <v>8</v>
      </c>
      <c r="Q1052" s="1196">
        <v>8.1999999999999993</v>
      </c>
    </row>
    <row r="1053" spans="1:17" x14ac:dyDescent="0.25">
      <c r="A1053" s="2103"/>
      <c r="B1053" s="2104"/>
      <c r="C1053" s="1844"/>
      <c r="D1053" s="2105"/>
      <c r="E1053" s="1939"/>
      <c r="F1053" s="1977"/>
      <c r="G1053" s="1977"/>
      <c r="H1053" s="1763"/>
      <c r="I1053" s="1763"/>
      <c r="J1053" s="1763"/>
      <c r="K1053" s="1212" t="s">
        <v>1863</v>
      </c>
      <c r="L1053" s="1196"/>
      <c r="M1053" s="1196">
        <v>11000</v>
      </c>
      <c r="N1053" s="1196">
        <v>11700</v>
      </c>
      <c r="O1053" s="1196">
        <v>12000</v>
      </c>
      <c r="P1053" s="1196">
        <v>12100</v>
      </c>
      <c r="Q1053" s="1196">
        <v>12200</v>
      </c>
    </row>
    <row r="1054" spans="1:17" ht="60" x14ac:dyDescent="0.25">
      <c r="A1054" s="2103"/>
      <c r="B1054" s="2104"/>
      <c r="C1054" s="1844"/>
      <c r="D1054" s="2105"/>
      <c r="E1054" s="1939"/>
      <c r="F1054" s="1977"/>
      <c r="G1054" s="1977"/>
      <c r="H1054" s="1763"/>
      <c r="I1054" s="1763"/>
      <c r="J1054" s="1763"/>
      <c r="K1054" s="1212" t="s">
        <v>1864</v>
      </c>
      <c r="L1054" s="1196" t="s">
        <v>823</v>
      </c>
      <c r="M1054" s="1196">
        <v>14</v>
      </c>
      <c r="N1054" s="1196">
        <v>15</v>
      </c>
      <c r="O1054" s="1196">
        <v>16</v>
      </c>
      <c r="P1054" s="1196">
        <v>17</v>
      </c>
      <c r="Q1054" s="1196">
        <v>18</v>
      </c>
    </row>
    <row r="1055" spans="1:17" x14ac:dyDescent="0.25">
      <c r="A1055" s="2103"/>
      <c r="B1055" s="1934"/>
      <c r="C1055" s="1844"/>
      <c r="D1055" s="2105"/>
      <c r="E1055" s="1939"/>
      <c r="F1055" s="1741"/>
      <c r="G1055" s="1741"/>
      <c r="H1055" s="1763"/>
      <c r="I1055" s="1763"/>
      <c r="J1055" s="1763"/>
      <c r="K1055" s="1212" t="s">
        <v>1865</v>
      </c>
      <c r="L1055" s="1196" t="s">
        <v>242</v>
      </c>
      <c r="M1055" s="1196">
        <v>3500</v>
      </c>
      <c r="N1055" s="1196">
        <v>3800</v>
      </c>
      <c r="O1055" s="1196">
        <v>4000</v>
      </c>
      <c r="P1055" s="1196">
        <v>4200</v>
      </c>
      <c r="Q1055" s="1196">
        <v>4300</v>
      </c>
    </row>
    <row r="1056" spans="1:17" x14ac:dyDescent="0.25">
      <c r="A1056" s="1651" t="s">
        <v>1866</v>
      </c>
      <c r="B1056" s="1651"/>
      <c r="C1056" s="1651"/>
      <c r="D1056" s="1651"/>
      <c r="E1056" s="1652"/>
      <c r="F1056" s="42">
        <v>0</v>
      </c>
      <c r="G1056" s="42">
        <v>0</v>
      </c>
      <c r="H1056" s="42">
        <f>H1051</f>
        <v>18157.599999999999</v>
      </c>
      <c r="I1056" s="42">
        <v>17157.599999999999</v>
      </c>
      <c r="J1056" s="42">
        <v>17157.599999999999</v>
      </c>
      <c r="K1056" s="548"/>
      <c r="L1056" s="2085"/>
      <c r="M1056" s="2085"/>
      <c r="N1056" s="2085"/>
      <c r="O1056" s="2085"/>
      <c r="P1056" s="2085"/>
      <c r="Q1056" s="2085"/>
    </row>
    <row r="1057" spans="1:17" x14ac:dyDescent="0.25">
      <c r="A1057" s="1648" t="s">
        <v>1867</v>
      </c>
      <c r="B1057" s="1649"/>
      <c r="C1057" s="1649"/>
      <c r="D1057" s="1649"/>
      <c r="E1057" s="1649"/>
      <c r="F1057" s="1649"/>
      <c r="G1057" s="1649"/>
      <c r="H1057" s="1649"/>
      <c r="I1057" s="1649"/>
      <c r="J1057" s="1649"/>
      <c r="K1057" s="1649"/>
      <c r="L1057" s="1649"/>
      <c r="M1057" s="1649"/>
      <c r="N1057" s="1649"/>
      <c r="O1057" s="1649"/>
      <c r="P1057" s="1649"/>
      <c r="Q1057" s="1650"/>
    </row>
    <row r="1058" spans="1:17" ht="74.25" x14ac:dyDescent="0.25">
      <c r="A1058" s="762">
        <v>45</v>
      </c>
      <c r="B1058" s="763">
        <v>1</v>
      </c>
      <c r="C1058" s="764"/>
      <c r="D1058" s="764"/>
      <c r="E1058" s="672" t="s">
        <v>3112</v>
      </c>
      <c r="F1058" s="1228">
        <v>65486.1</v>
      </c>
      <c r="G1058" s="1228">
        <v>52321</v>
      </c>
      <c r="H1058" s="1229">
        <f>SUM(H1059:H1065)</f>
        <v>76140.5</v>
      </c>
      <c r="I1058" s="1228">
        <v>78158.825399999987</v>
      </c>
      <c r="J1058" s="1228">
        <v>79174.890130199987</v>
      </c>
      <c r="K1058" s="1126" t="s">
        <v>1868</v>
      </c>
      <c r="L1058" s="185" t="s">
        <v>34</v>
      </c>
      <c r="M1058" s="185">
        <v>100</v>
      </c>
      <c r="N1058" s="185">
        <v>100</v>
      </c>
      <c r="O1058" s="185">
        <v>100</v>
      </c>
      <c r="P1058" s="185">
        <v>100</v>
      </c>
      <c r="Q1058" s="185">
        <v>100</v>
      </c>
    </row>
    <row r="1059" spans="1:17" x14ac:dyDescent="0.25">
      <c r="A1059" s="765"/>
      <c r="B1059" s="766"/>
      <c r="C1059" s="765">
        <v>1</v>
      </c>
      <c r="D1059" s="767"/>
      <c r="E1059" s="1418" t="s">
        <v>1406</v>
      </c>
      <c r="F1059" s="768">
        <v>11263.58</v>
      </c>
      <c r="G1059" s="1226">
        <v>8999</v>
      </c>
      <c r="H1059" s="1139">
        <v>12246.8</v>
      </c>
      <c r="I1059" s="1226">
        <v>12995.777</v>
      </c>
      <c r="J1059" s="1226">
        <v>13164.722100999999</v>
      </c>
      <c r="K1059" s="1212" t="s">
        <v>976</v>
      </c>
      <c r="L1059" s="143" t="s">
        <v>35</v>
      </c>
      <c r="M1059" s="143">
        <v>100</v>
      </c>
      <c r="N1059" s="143">
        <v>100</v>
      </c>
      <c r="O1059" s="143">
        <v>100</v>
      </c>
      <c r="P1059" s="143">
        <v>100</v>
      </c>
      <c r="Q1059" s="143">
        <v>100</v>
      </c>
    </row>
    <row r="1060" spans="1:17" ht="30" x14ac:dyDescent="0.25">
      <c r="A1060" s="765"/>
      <c r="B1060" s="766"/>
      <c r="C1060" s="765">
        <v>2</v>
      </c>
      <c r="D1060" s="767"/>
      <c r="E1060" s="1235" t="s">
        <v>394</v>
      </c>
      <c r="F1060" s="768">
        <v>6286.63</v>
      </c>
      <c r="G1060" s="1226">
        <v>4985.1000000000004</v>
      </c>
      <c r="H1060" s="1139">
        <v>7243.6</v>
      </c>
      <c r="I1060" s="1226">
        <v>7400.9779999999992</v>
      </c>
      <c r="J1060" s="1226">
        <v>7497.1907139999994</v>
      </c>
      <c r="K1060" s="1212" t="s">
        <v>1869</v>
      </c>
      <c r="L1060" s="143" t="s">
        <v>34</v>
      </c>
      <c r="M1060" s="143">
        <v>100</v>
      </c>
      <c r="N1060" s="143">
        <v>100</v>
      </c>
      <c r="O1060" s="143">
        <v>100</v>
      </c>
      <c r="P1060" s="143">
        <v>100</v>
      </c>
      <c r="Q1060" s="143">
        <v>100</v>
      </c>
    </row>
    <row r="1061" spans="1:17" ht="30" x14ac:dyDescent="0.25">
      <c r="A1061" s="765"/>
      <c r="B1061" s="766"/>
      <c r="C1061" s="765">
        <v>3</v>
      </c>
      <c r="D1061" s="767"/>
      <c r="E1061" s="1235" t="s">
        <v>842</v>
      </c>
      <c r="F1061" s="768">
        <v>7596.38</v>
      </c>
      <c r="G1061" s="1226">
        <v>6084</v>
      </c>
      <c r="H1061" s="1139">
        <v>8382.2999999999993</v>
      </c>
      <c r="I1061" s="1226">
        <v>8541.919899999999</v>
      </c>
      <c r="J1061" s="1226">
        <v>8652.9648586999992</v>
      </c>
      <c r="K1061" s="32" t="s">
        <v>1870</v>
      </c>
      <c r="L1061" s="143" t="s">
        <v>34</v>
      </c>
      <c r="M1061" s="143">
        <v>90</v>
      </c>
      <c r="N1061" s="143">
        <v>90</v>
      </c>
      <c r="O1061" s="143">
        <v>90</v>
      </c>
      <c r="P1061" s="143">
        <v>90</v>
      </c>
      <c r="Q1061" s="143">
        <v>90</v>
      </c>
    </row>
    <row r="1062" spans="1:17" ht="30" x14ac:dyDescent="0.25">
      <c r="A1062" s="765"/>
      <c r="B1062" s="766"/>
      <c r="C1062" s="765">
        <v>4</v>
      </c>
      <c r="D1062" s="767"/>
      <c r="E1062" s="1235" t="s">
        <v>396</v>
      </c>
      <c r="F1062" s="768">
        <v>2881.41</v>
      </c>
      <c r="G1062" s="1226">
        <v>2299</v>
      </c>
      <c r="H1062" s="1139">
        <v>3577.8</v>
      </c>
      <c r="I1062" s="1226">
        <v>3624.3114</v>
      </c>
      <c r="J1062" s="1226">
        <v>3671.4274482000001</v>
      </c>
      <c r="K1062" s="1212" t="s">
        <v>1871</v>
      </c>
      <c r="L1062" s="299" t="s">
        <v>1872</v>
      </c>
      <c r="M1062" s="769">
        <v>10</v>
      </c>
      <c r="N1062" s="143">
        <v>10</v>
      </c>
      <c r="O1062" s="143">
        <v>10</v>
      </c>
      <c r="P1062" s="143">
        <v>10</v>
      </c>
      <c r="Q1062" s="143">
        <v>10</v>
      </c>
    </row>
    <row r="1063" spans="1:17" ht="45" x14ac:dyDescent="0.25">
      <c r="A1063" s="765"/>
      <c r="B1063" s="766"/>
      <c r="C1063" s="765">
        <v>5</v>
      </c>
      <c r="D1063" s="767"/>
      <c r="E1063" s="1235" t="s">
        <v>1873</v>
      </c>
      <c r="F1063" s="768">
        <v>5173.46</v>
      </c>
      <c r="G1063" s="1226">
        <v>4124</v>
      </c>
      <c r="H1063" s="1139">
        <v>5823.8</v>
      </c>
      <c r="I1063" s="1226">
        <v>6000.8093999999992</v>
      </c>
      <c r="J1063" s="1226">
        <v>6078.8199221999994</v>
      </c>
      <c r="K1063" s="1212" t="s">
        <v>1874</v>
      </c>
      <c r="L1063" s="143" t="s">
        <v>822</v>
      </c>
      <c r="M1063" s="143">
        <v>204</v>
      </c>
      <c r="N1063" s="143">
        <v>282</v>
      </c>
      <c r="O1063" s="143">
        <v>282</v>
      </c>
      <c r="P1063" s="143">
        <v>282</v>
      </c>
      <c r="Q1063" s="143">
        <v>282</v>
      </c>
    </row>
    <row r="1064" spans="1:17" x14ac:dyDescent="0.25">
      <c r="A1064" s="765"/>
      <c r="B1064" s="766"/>
      <c r="C1064" s="765">
        <v>6</v>
      </c>
      <c r="D1064" s="767"/>
      <c r="E1064" s="1217" t="s">
        <v>534</v>
      </c>
      <c r="F1064" s="1226">
        <v>26914.75</v>
      </c>
      <c r="G1064" s="1226">
        <v>21530.9</v>
      </c>
      <c r="H1064" s="1139">
        <v>32629</v>
      </c>
      <c r="I1064" s="1226">
        <v>32840.649599999997</v>
      </c>
      <c r="J1064" s="1226">
        <v>33267.578044799993</v>
      </c>
      <c r="K1064" s="1138"/>
      <c r="L1064" s="143" t="s">
        <v>34</v>
      </c>
      <c r="M1064" s="143">
        <v>100</v>
      </c>
      <c r="N1064" s="143">
        <v>100</v>
      </c>
      <c r="O1064" s="143">
        <v>100</v>
      </c>
      <c r="P1064" s="143">
        <v>100</v>
      </c>
      <c r="Q1064" s="143">
        <v>100</v>
      </c>
    </row>
    <row r="1065" spans="1:17" ht="30" x14ac:dyDescent="0.25">
      <c r="A1065" s="765"/>
      <c r="B1065" s="766"/>
      <c r="C1065" s="765">
        <v>7</v>
      </c>
      <c r="D1065" s="767"/>
      <c r="E1065" s="1212" t="s">
        <v>1875</v>
      </c>
      <c r="F1065" s="1226">
        <v>5369.89</v>
      </c>
      <c r="G1065" s="1226">
        <v>4299</v>
      </c>
      <c r="H1065" s="1139">
        <v>6237.2</v>
      </c>
      <c r="I1065" s="1226">
        <v>6754.3801000000003</v>
      </c>
      <c r="J1065" s="1226">
        <v>6842.1870412999997</v>
      </c>
      <c r="K1065" s="1138"/>
      <c r="L1065" s="143" t="s">
        <v>34</v>
      </c>
      <c r="M1065" s="143">
        <v>100</v>
      </c>
      <c r="N1065" s="143">
        <v>100</v>
      </c>
      <c r="O1065" s="143">
        <v>100</v>
      </c>
      <c r="P1065" s="143">
        <v>100</v>
      </c>
      <c r="Q1065" s="143">
        <v>100</v>
      </c>
    </row>
    <row r="1066" spans="1:17" ht="88.5" x14ac:dyDescent="0.25">
      <c r="A1066" s="762">
        <v>45</v>
      </c>
      <c r="B1066" s="758">
        <v>2</v>
      </c>
      <c r="C1066" s="770"/>
      <c r="D1066" s="770"/>
      <c r="E1066" s="1434" t="s">
        <v>3113</v>
      </c>
      <c r="F1066" s="1229">
        <v>187343.59999999998</v>
      </c>
      <c r="G1066" s="1229">
        <v>325034.5</v>
      </c>
      <c r="H1066" s="1229">
        <f>SUM(H1067:H1070)</f>
        <v>345617.19999999995</v>
      </c>
      <c r="I1066" s="1229">
        <v>433315.5111</v>
      </c>
      <c r="J1066" s="1229">
        <v>438948.61274429993</v>
      </c>
      <c r="K1066" s="771" t="s">
        <v>1876</v>
      </c>
      <c r="L1066" s="19" t="s">
        <v>34</v>
      </c>
      <c r="M1066" s="19">
        <v>90</v>
      </c>
      <c r="N1066" s="25">
        <v>90</v>
      </c>
      <c r="O1066" s="25">
        <v>90</v>
      </c>
      <c r="P1066" s="25">
        <v>90</v>
      </c>
      <c r="Q1066" s="25">
        <v>90</v>
      </c>
    </row>
    <row r="1067" spans="1:17" ht="60" x14ac:dyDescent="0.25">
      <c r="A1067" s="1222"/>
      <c r="B1067" s="772"/>
      <c r="C1067" s="1224" t="s">
        <v>4</v>
      </c>
      <c r="D1067" s="1224"/>
      <c r="E1067" s="1212" t="s">
        <v>1877</v>
      </c>
      <c r="F1067" s="1226">
        <v>12694.4</v>
      </c>
      <c r="G1067" s="1226">
        <v>13119.9</v>
      </c>
      <c r="H1067" s="1139">
        <v>17848.8</v>
      </c>
      <c r="I1067" s="1226">
        <v>17072.089</v>
      </c>
      <c r="J1067" s="1226">
        <v>17294.026157</v>
      </c>
      <c r="K1067" s="1212" t="s">
        <v>1878</v>
      </c>
      <c r="L1067" s="143" t="s">
        <v>34</v>
      </c>
      <c r="M1067" s="143">
        <v>85</v>
      </c>
      <c r="N1067" s="767">
        <v>85</v>
      </c>
      <c r="O1067" s="767">
        <v>85</v>
      </c>
      <c r="P1067" s="767">
        <v>85</v>
      </c>
      <c r="Q1067" s="767">
        <v>85</v>
      </c>
    </row>
    <row r="1068" spans="1:17" x14ac:dyDescent="0.25">
      <c r="A1068" s="2064"/>
      <c r="B1068" s="2065"/>
      <c r="C1068" s="2067" t="s">
        <v>5</v>
      </c>
      <c r="D1068" s="2067"/>
      <c r="E1068" s="1746" t="s">
        <v>1879</v>
      </c>
      <c r="F1068" s="1226">
        <v>138059.1</v>
      </c>
      <c r="G1068" s="1226">
        <v>138631.9</v>
      </c>
      <c r="H1068" s="1139">
        <v>143352</v>
      </c>
      <c r="I1068" s="1226">
        <v>145215.576</v>
      </c>
      <c r="J1068" s="1226">
        <v>147103.37848799999</v>
      </c>
      <c r="K1068" s="2086" t="s">
        <v>1880</v>
      </c>
      <c r="L1068" s="143" t="s">
        <v>34</v>
      </c>
      <c r="M1068" s="143">
        <v>87</v>
      </c>
      <c r="N1068" s="767">
        <v>87</v>
      </c>
      <c r="O1068" s="767">
        <v>87</v>
      </c>
      <c r="P1068" s="767">
        <v>87</v>
      </c>
      <c r="Q1068" s="767">
        <v>87</v>
      </c>
    </row>
    <row r="1069" spans="1:17" x14ac:dyDescent="0.25">
      <c r="A1069" s="2064"/>
      <c r="B1069" s="2066"/>
      <c r="C1069" s="2067"/>
      <c r="D1069" s="2067"/>
      <c r="E1069" s="1747"/>
      <c r="F1069" s="1226">
        <v>1657.8</v>
      </c>
      <c r="G1069" s="1226">
        <v>1500</v>
      </c>
      <c r="H1069" s="1139">
        <v>1917.3</v>
      </c>
      <c r="I1069" s="1226">
        <v>1519.5</v>
      </c>
      <c r="J1069" s="1226">
        <v>1539.2535</v>
      </c>
      <c r="K1069" s="2087"/>
      <c r="L1069" s="143" t="s">
        <v>34</v>
      </c>
      <c r="M1069" s="143">
        <v>87</v>
      </c>
      <c r="N1069" s="767">
        <v>87</v>
      </c>
      <c r="O1069" s="767">
        <v>87</v>
      </c>
      <c r="P1069" s="767">
        <v>87</v>
      </c>
      <c r="Q1069" s="767">
        <v>87</v>
      </c>
    </row>
    <row r="1070" spans="1:17" ht="30" x14ac:dyDescent="0.25">
      <c r="A1070" s="1222"/>
      <c r="B1070" s="772"/>
      <c r="C1070" s="1224" t="s">
        <v>7</v>
      </c>
      <c r="D1070" s="1224"/>
      <c r="E1070" s="1212" t="s">
        <v>1881</v>
      </c>
      <c r="F1070" s="1226">
        <v>34932.300000000003</v>
      </c>
      <c r="G1070" s="1226">
        <v>171782.7</v>
      </c>
      <c r="H1070" s="773">
        <v>182499.1</v>
      </c>
      <c r="I1070" s="1226">
        <v>269508.34609999997</v>
      </c>
      <c r="J1070" s="1226">
        <v>273011.95459929993</v>
      </c>
      <c r="K1070" s="1125" t="s">
        <v>1882</v>
      </c>
      <c r="L1070" s="143"/>
      <c r="M1070" s="143"/>
      <c r="N1070" s="767"/>
      <c r="O1070" s="767"/>
      <c r="P1070" s="767"/>
      <c r="Q1070" s="767"/>
    </row>
    <row r="1071" spans="1:17" ht="30" x14ac:dyDescent="0.25">
      <c r="A1071" s="2088">
        <v>45</v>
      </c>
      <c r="B1071" s="2080">
        <v>3</v>
      </c>
      <c r="C1071" s="2072"/>
      <c r="D1071" s="2072"/>
      <c r="E1071" s="2053" t="s">
        <v>1883</v>
      </c>
      <c r="F1071" s="2091">
        <v>524340.80000000005</v>
      </c>
      <c r="G1071" s="2091">
        <v>375047.5</v>
      </c>
      <c r="H1071" s="2094">
        <f>SUM(H1075:H1079)</f>
        <v>424346.5</v>
      </c>
      <c r="I1071" s="2091">
        <v>396460.84899999993</v>
      </c>
      <c r="J1071" s="2091">
        <v>401614.8400369999</v>
      </c>
      <c r="K1071" s="1212" t="s">
        <v>1884</v>
      </c>
      <c r="L1071" s="143" t="s">
        <v>823</v>
      </c>
      <c r="M1071" s="774">
        <v>531569.4</v>
      </c>
      <c r="N1071" s="767"/>
      <c r="O1071" s="767"/>
      <c r="P1071" s="767"/>
      <c r="Q1071" s="767"/>
    </row>
    <row r="1072" spans="1:17" x14ac:dyDescent="0.25">
      <c r="A1072" s="2089"/>
      <c r="B1072" s="2081"/>
      <c r="C1072" s="2073"/>
      <c r="D1072" s="2073"/>
      <c r="E1072" s="1702"/>
      <c r="F1072" s="2092"/>
      <c r="G1072" s="2092"/>
      <c r="H1072" s="2095"/>
      <c r="I1072" s="2092"/>
      <c r="J1072" s="2092"/>
      <c r="K1072" s="1217" t="s">
        <v>1885</v>
      </c>
      <c r="L1072" s="185" t="s">
        <v>1633</v>
      </c>
      <c r="M1072" s="185">
        <v>102</v>
      </c>
      <c r="N1072" s="767"/>
      <c r="O1072" s="767"/>
      <c r="P1072" s="767"/>
      <c r="Q1072" s="767"/>
    </row>
    <row r="1073" spans="1:17" x14ac:dyDescent="0.25">
      <c r="A1073" s="2089"/>
      <c r="B1073" s="2081"/>
      <c r="C1073" s="2073"/>
      <c r="D1073" s="2073"/>
      <c r="E1073" s="1702"/>
      <c r="F1073" s="2092"/>
      <c r="G1073" s="2092"/>
      <c r="H1073" s="2095"/>
      <c r="I1073" s="2092"/>
      <c r="J1073" s="2092"/>
      <c r="K1073" s="1217" t="s">
        <v>1886</v>
      </c>
      <c r="L1073" s="185" t="s">
        <v>1633</v>
      </c>
      <c r="M1073" s="185">
        <v>20976</v>
      </c>
      <c r="N1073" s="767"/>
      <c r="O1073" s="767"/>
      <c r="P1073" s="767"/>
      <c r="Q1073" s="767"/>
    </row>
    <row r="1074" spans="1:17" x14ac:dyDescent="0.25">
      <c r="A1074" s="2090"/>
      <c r="B1074" s="2082"/>
      <c r="C1074" s="2074"/>
      <c r="D1074" s="2074"/>
      <c r="E1074" s="1703"/>
      <c r="F1074" s="2093"/>
      <c r="G1074" s="2093"/>
      <c r="H1074" s="2096"/>
      <c r="I1074" s="2093"/>
      <c r="J1074" s="2093"/>
      <c r="K1074" s="1217" t="s">
        <v>1887</v>
      </c>
      <c r="L1074" s="185" t="s">
        <v>243</v>
      </c>
      <c r="M1074" s="185">
        <v>21298</v>
      </c>
      <c r="N1074" s="764"/>
      <c r="O1074" s="764"/>
      <c r="P1074" s="764"/>
      <c r="Q1074" s="764"/>
    </row>
    <row r="1075" spans="1:17" x14ac:dyDescent="0.25">
      <c r="A1075" s="2064"/>
      <c r="B1075" s="2065"/>
      <c r="C1075" s="2067" t="s">
        <v>4</v>
      </c>
      <c r="D1075" s="2067"/>
      <c r="E1075" s="1746" t="s">
        <v>1888</v>
      </c>
      <c r="F1075" s="2078">
        <v>495162.80000000005</v>
      </c>
      <c r="G1075" s="2078">
        <v>359315.7</v>
      </c>
      <c r="H1075" s="1815">
        <v>387332.8</v>
      </c>
      <c r="I1075" s="2078">
        <v>359183.76589999994</v>
      </c>
      <c r="J1075" s="2078">
        <v>363853.15485669993</v>
      </c>
      <c r="K1075" s="1212" t="s">
        <v>1889</v>
      </c>
      <c r="L1075" s="143" t="s">
        <v>823</v>
      </c>
      <c r="M1075" s="775">
        <v>526045.4</v>
      </c>
      <c r="N1075" s="767"/>
      <c r="O1075" s="767"/>
      <c r="P1075" s="767"/>
      <c r="Q1075" s="767"/>
    </row>
    <row r="1076" spans="1:17" x14ac:dyDescent="0.25">
      <c r="A1076" s="2064"/>
      <c r="B1076" s="2077"/>
      <c r="C1076" s="2067"/>
      <c r="D1076" s="2067"/>
      <c r="E1076" s="2039"/>
      <c r="F1076" s="2078"/>
      <c r="G1076" s="2078"/>
      <c r="H1076" s="1815"/>
      <c r="I1076" s="2078"/>
      <c r="J1076" s="2078"/>
      <c r="K1076" s="1217" t="s">
        <v>1885</v>
      </c>
      <c r="L1076" s="143" t="s">
        <v>1633</v>
      </c>
      <c r="M1076" s="143">
        <v>102</v>
      </c>
      <c r="N1076" s="767"/>
      <c r="O1076" s="767"/>
      <c r="P1076" s="767"/>
      <c r="Q1076" s="767"/>
    </row>
    <row r="1077" spans="1:17" x14ac:dyDescent="0.25">
      <c r="A1077" s="2064"/>
      <c r="B1077" s="2077"/>
      <c r="C1077" s="2067"/>
      <c r="D1077" s="2067"/>
      <c r="E1077" s="2039"/>
      <c r="F1077" s="2078"/>
      <c r="G1077" s="2078"/>
      <c r="H1077" s="1815"/>
      <c r="I1077" s="2078"/>
      <c r="J1077" s="2078"/>
      <c r="K1077" s="1217" t="s">
        <v>1886</v>
      </c>
      <c r="L1077" s="143" t="s">
        <v>1633</v>
      </c>
      <c r="M1077" s="143">
        <v>20976</v>
      </c>
      <c r="N1077" s="767"/>
      <c r="O1077" s="767"/>
      <c r="P1077" s="767"/>
      <c r="Q1077" s="767"/>
    </row>
    <row r="1078" spans="1:17" x14ac:dyDescent="0.25">
      <c r="A1078" s="2064"/>
      <c r="B1078" s="2066"/>
      <c r="C1078" s="2067"/>
      <c r="D1078" s="2067"/>
      <c r="E1078" s="1747"/>
      <c r="F1078" s="2078"/>
      <c r="G1078" s="2078"/>
      <c r="H1078" s="1815"/>
      <c r="I1078" s="2078"/>
      <c r="J1078" s="2078"/>
      <c r="K1078" s="1217" t="s">
        <v>1887</v>
      </c>
      <c r="L1078" s="143" t="s">
        <v>243</v>
      </c>
      <c r="M1078" s="143">
        <v>21298</v>
      </c>
      <c r="N1078" s="767"/>
      <c r="O1078" s="767"/>
      <c r="P1078" s="767"/>
      <c r="Q1078" s="767"/>
    </row>
    <row r="1079" spans="1:17" ht="90" x14ac:dyDescent="0.25">
      <c r="A1079" s="1222"/>
      <c r="B1079" s="772"/>
      <c r="C1079" s="1224" t="s">
        <v>5</v>
      </c>
      <c r="D1079" s="1224"/>
      <c r="E1079" s="1212" t="s">
        <v>1890</v>
      </c>
      <c r="F1079" s="1226">
        <v>29178</v>
      </c>
      <c r="G1079" s="1226">
        <v>15731.8</v>
      </c>
      <c r="H1079" s="1139">
        <v>37013.699999999997</v>
      </c>
      <c r="I1079" s="1226">
        <v>37277.083099999996</v>
      </c>
      <c r="J1079" s="1226">
        <v>37761.685180299995</v>
      </c>
      <c r="K1079" s="1212" t="s">
        <v>1889</v>
      </c>
      <c r="L1079" s="143" t="s">
        <v>823</v>
      </c>
      <c r="M1079" s="186">
        <v>5524</v>
      </c>
      <c r="N1079" s="767"/>
      <c r="O1079" s="767"/>
      <c r="P1079" s="767"/>
      <c r="Q1079" s="767"/>
    </row>
    <row r="1080" spans="1:17" ht="28.5" x14ac:dyDescent="0.25">
      <c r="A1080" s="2079">
        <v>45</v>
      </c>
      <c r="B1080" s="2080">
        <v>4</v>
      </c>
      <c r="C1080" s="2067"/>
      <c r="D1080" s="2067"/>
      <c r="E1080" s="2053" t="s">
        <v>1891</v>
      </c>
      <c r="F1080" s="2083">
        <v>1385222.2</v>
      </c>
      <c r="G1080" s="2083">
        <v>1271957.3</v>
      </c>
      <c r="H1080" s="2084">
        <f>SUM(H1083:H1087)</f>
        <v>1287960.2</v>
      </c>
      <c r="I1080" s="2083">
        <v>1288162.1726099998</v>
      </c>
      <c r="J1080" s="2083">
        <v>1304908.2808539297</v>
      </c>
      <c r="K1080" s="178" t="s">
        <v>1892</v>
      </c>
      <c r="L1080" s="185" t="s">
        <v>1334</v>
      </c>
      <c r="M1080" s="185">
        <v>321</v>
      </c>
      <c r="N1080" s="764"/>
      <c r="O1080" s="764"/>
      <c r="P1080" s="764"/>
      <c r="Q1080" s="764"/>
    </row>
    <row r="1081" spans="1:17" x14ac:dyDescent="0.25">
      <c r="A1081" s="2079"/>
      <c r="B1081" s="2081"/>
      <c r="C1081" s="2067"/>
      <c r="D1081" s="2067"/>
      <c r="E1081" s="1702"/>
      <c r="F1081" s="2083"/>
      <c r="G1081" s="2083"/>
      <c r="H1081" s="2084"/>
      <c r="I1081" s="2083"/>
      <c r="J1081" s="2083"/>
      <c r="K1081" s="178" t="s">
        <v>1893</v>
      </c>
      <c r="L1081" s="185" t="s">
        <v>1334</v>
      </c>
      <c r="M1081" s="185">
        <v>88</v>
      </c>
      <c r="N1081" s="764"/>
      <c r="O1081" s="764"/>
      <c r="P1081" s="764"/>
      <c r="Q1081" s="764"/>
    </row>
    <row r="1082" spans="1:17" ht="42.75" x14ac:dyDescent="0.25">
      <c r="A1082" s="2079"/>
      <c r="B1082" s="2082"/>
      <c r="C1082" s="2067"/>
      <c r="D1082" s="2067"/>
      <c r="E1082" s="1703"/>
      <c r="F1082" s="2083"/>
      <c r="G1082" s="2083"/>
      <c r="H1082" s="2084"/>
      <c r="I1082" s="2083"/>
      <c r="J1082" s="2083"/>
      <c r="K1082" s="178" t="s">
        <v>1894</v>
      </c>
      <c r="L1082" s="143" t="s">
        <v>823</v>
      </c>
      <c r="M1082" s="185">
        <v>622630.9</v>
      </c>
      <c r="N1082" s="764"/>
      <c r="O1082" s="764"/>
      <c r="P1082" s="764"/>
      <c r="Q1082" s="764"/>
    </row>
    <row r="1083" spans="1:17" x14ac:dyDescent="0.25">
      <c r="A1083" s="2064"/>
      <c r="B1083" s="2065"/>
      <c r="C1083" s="2067" t="s">
        <v>4</v>
      </c>
      <c r="D1083" s="2067"/>
      <c r="E1083" s="1746" t="s">
        <v>1895</v>
      </c>
      <c r="F1083" s="1226">
        <v>872797.7</v>
      </c>
      <c r="G1083" s="1226">
        <v>476083.1</v>
      </c>
      <c r="H1083" s="1139">
        <f>1282130.9</f>
        <v>1282130.8999999999</v>
      </c>
      <c r="I1083" s="1226">
        <v>1282743.4633999998</v>
      </c>
      <c r="J1083" s="1226">
        <v>1299419.1284241998</v>
      </c>
      <c r="K1083" s="1746" t="s">
        <v>1896</v>
      </c>
      <c r="L1083" s="143" t="s">
        <v>1334</v>
      </c>
      <c r="M1083" s="143">
        <v>321</v>
      </c>
      <c r="N1083" s="767"/>
      <c r="O1083" s="767"/>
      <c r="P1083" s="767"/>
      <c r="Q1083" s="767"/>
    </row>
    <row r="1084" spans="1:17" x14ac:dyDescent="0.25">
      <c r="A1084" s="2064"/>
      <c r="B1084" s="2066"/>
      <c r="C1084" s="2067"/>
      <c r="D1084" s="2067"/>
      <c r="E1084" s="1747"/>
      <c r="F1084" s="1226">
        <v>4620</v>
      </c>
      <c r="G1084" s="1226">
        <v>3106</v>
      </c>
      <c r="H1084" s="1130">
        <v>5829.3</v>
      </c>
      <c r="I1084" s="1226">
        <v>5418.70921</v>
      </c>
      <c r="J1084" s="1226">
        <v>5489.1524297299993</v>
      </c>
      <c r="K1084" s="1747"/>
      <c r="L1084" s="143"/>
      <c r="M1084" s="143"/>
      <c r="N1084" s="767"/>
      <c r="O1084" s="767"/>
      <c r="P1084" s="767"/>
      <c r="Q1084" s="767"/>
    </row>
    <row r="1085" spans="1:17" x14ac:dyDescent="0.25">
      <c r="A1085" s="2069"/>
      <c r="B1085" s="1426"/>
      <c r="C1085" s="2072" t="s">
        <v>5</v>
      </c>
      <c r="D1085" s="2072"/>
      <c r="E1085" s="1684" t="s">
        <v>1897</v>
      </c>
      <c r="F1085" s="2075">
        <v>507404.5</v>
      </c>
      <c r="G1085" s="2075">
        <v>790582.1</v>
      </c>
      <c r="H1085" s="1774">
        <v>0</v>
      </c>
      <c r="I1085" s="2075">
        <v>0</v>
      </c>
      <c r="J1085" s="2075">
        <v>0</v>
      </c>
      <c r="K1085" s="1217" t="s">
        <v>1898</v>
      </c>
      <c r="L1085" s="143" t="s">
        <v>1334</v>
      </c>
      <c r="M1085" s="143">
        <v>88</v>
      </c>
      <c r="N1085" s="767"/>
      <c r="O1085" s="767"/>
      <c r="P1085" s="767"/>
      <c r="Q1085" s="767"/>
    </row>
    <row r="1086" spans="1:17" ht="30" x14ac:dyDescent="0.25">
      <c r="A1086" s="2070"/>
      <c r="B1086" s="1225"/>
      <c r="C1086" s="2073"/>
      <c r="D1086" s="2073"/>
      <c r="E1086" s="1685"/>
      <c r="F1086" s="2076"/>
      <c r="G1086" s="2076"/>
      <c r="H1086" s="1775"/>
      <c r="I1086" s="2076"/>
      <c r="J1086" s="2076"/>
      <c r="K1086" s="1402" t="s">
        <v>1894</v>
      </c>
      <c r="L1086" s="143" t="s">
        <v>823</v>
      </c>
      <c r="M1086" s="143">
        <v>622630.9</v>
      </c>
      <c r="N1086" s="776"/>
      <c r="O1086" s="767"/>
      <c r="P1086" s="767"/>
      <c r="Q1086" s="767"/>
    </row>
    <row r="1087" spans="1:17" ht="30" x14ac:dyDescent="0.25">
      <c r="A1087" s="2071"/>
      <c r="B1087" s="1223"/>
      <c r="C1087" s="2074"/>
      <c r="D1087" s="2074"/>
      <c r="E1087" s="1686"/>
      <c r="F1087" s="1226">
        <v>400</v>
      </c>
      <c r="G1087" s="1226">
        <v>2186.1</v>
      </c>
      <c r="H1087" s="1139">
        <v>0</v>
      </c>
      <c r="I1087" s="1226">
        <v>0</v>
      </c>
      <c r="J1087" s="1226">
        <v>0</v>
      </c>
      <c r="K1087" s="1402" t="s">
        <v>1894</v>
      </c>
      <c r="L1087" s="143"/>
      <c r="M1087" s="143"/>
      <c r="N1087" s="767"/>
      <c r="O1087" s="767"/>
      <c r="P1087" s="767"/>
      <c r="Q1087" s="767"/>
    </row>
    <row r="1088" spans="1:17" ht="147.75" x14ac:dyDescent="0.25">
      <c r="A1088" s="1227">
        <v>45</v>
      </c>
      <c r="B1088" s="777">
        <v>5</v>
      </c>
      <c r="C1088" s="1224"/>
      <c r="D1088" s="1224"/>
      <c r="E1088" s="1195" t="s">
        <v>1899</v>
      </c>
      <c r="F1088" s="1228">
        <v>25117.399999999998</v>
      </c>
      <c r="G1088" s="1228">
        <v>22318.6</v>
      </c>
      <c r="H1088" s="1229">
        <f>SUM(H1089:H1092)</f>
        <v>25827.9</v>
      </c>
      <c r="I1088" s="1228">
        <v>25852.063900000005</v>
      </c>
      <c r="J1088" s="1228">
        <v>26188.140730700001</v>
      </c>
      <c r="K1088" s="178" t="s">
        <v>1900</v>
      </c>
      <c r="L1088" s="185" t="s">
        <v>1334</v>
      </c>
      <c r="M1088" s="185">
        <v>34373</v>
      </c>
      <c r="N1088" s="185">
        <v>34373</v>
      </c>
      <c r="O1088" s="185">
        <v>33912</v>
      </c>
      <c r="P1088" s="185">
        <v>34932</v>
      </c>
      <c r="Q1088" s="185">
        <v>35952</v>
      </c>
    </row>
    <row r="1089" spans="1:17" x14ac:dyDescent="0.25">
      <c r="A1089" s="2064"/>
      <c r="B1089" s="2065"/>
      <c r="C1089" s="2067" t="s">
        <v>4</v>
      </c>
      <c r="D1089" s="2067"/>
      <c r="E1089" s="1746" t="s">
        <v>1901</v>
      </c>
      <c r="F1089" s="1226">
        <v>13767.4</v>
      </c>
      <c r="G1089" s="1226">
        <v>11525.2</v>
      </c>
      <c r="H1089" s="1139">
        <v>13729.5</v>
      </c>
      <c r="I1089" s="1226">
        <v>13782.0676</v>
      </c>
      <c r="J1089" s="1226">
        <v>13961.234478799999</v>
      </c>
      <c r="K1089" s="1626" t="s">
        <v>1902</v>
      </c>
      <c r="L1089" s="143" t="s">
        <v>1334</v>
      </c>
      <c r="M1089" s="143">
        <v>33728</v>
      </c>
      <c r="N1089" s="143">
        <v>33728</v>
      </c>
      <c r="O1089" s="143">
        <v>33748</v>
      </c>
      <c r="P1089" s="767">
        <v>34748</v>
      </c>
      <c r="Q1089" s="767">
        <v>35748</v>
      </c>
    </row>
    <row r="1090" spans="1:17" x14ac:dyDescent="0.25">
      <c r="A1090" s="2064"/>
      <c r="B1090" s="2066"/>
      <c r="C1090" s="2067"/>
      <c r="D1090" s="2067"/>
      <c r="E1090" s="1747"/>
      <c r="F1090" s="1226">
        <v>20</v>
      </c>
      <c r="G1090" s="1226">
        <v>720</v>
      </c>
      <c r="H1090" s="1139">
        <v>748.1</v>
      </c>
      <c r="I1090" s="1226">
        <v>729.36</v>
      </c>
      <c r="J1090" s="1226">
        <v>738.84168</v>
      </c>
      <c r="K1090" s="1627"/>
      <c r="L1090" s="143" t="s">
        <v>1334</v>
      </c>
      <c r="M1090" s="143">
        <v>368</v>
      </c>
      <c r="N1090" s="143">
        <v>368</v>
      </c>
      <c r="O1090" s="143"/>
      <c r="P1090" s="767"/>
      <c r="Q1090" s="767"/>
    </row>
    <row r="1091" spans="1:17" x14ac:dyDescent="0.25">
      <c r="A1091" s="2064"/>
      <c r="B1091" s="2065"/>
      <c r="C1091" s="2067" t="s">
        <v>5</v>
      </c>
      <c r="D1091" s="2067"/>
      <c r="E1091" s="1746" t="s">
        <v>1903</v>
      </c>
      <c r="F1091" s="1226">
        <v>10269.4</v>
      </c>
      <c r="G1091" s="1226">
        <v>8873.4</v>
      </c>
      <c r="H1091" s="1335">
        <v>9825.2000000000007</v>
      </c>
      <c r="I1091" s="1226">
        <v>10094.6463</v>
      </c>
      <c r="J1091" s="1226">
        <v>10225.876701900001</v>
      </c>
      <c r="K1091" s="1626" t="s">
        <v>1904</v>
      </c>
      <c r="L1091" s="143" t="s">
        <v>1334</v>
      </c>
      <c r="M1091" s="143">
        <v>158</v>
      </c>
      <c r="N1091" s="143">
        <v>158</v>
      </c>
      <c r="O1091" s="143">
        <v>164</v>
      </c>
      <c r="P1091" s="767">
        <v>184</v>
      </c>
      <c r="Q1091" s="767">
        <v>204</v>
      </c>
    </row>
    <row r="1092" spans="1:17" x14ac:dyDescent="0.25">
      <c r="A1092" s="2064"/>
      <c r="B1092" s="2066"/>
      <c r="C1092" s="2067"/>
      <c r="D1092" s="2067"/>
      <c r="E1092" s="2039"/>
      <c r="F1092" s="1226">
        <v>1060.5999999999999</v>
      </c>
      <c r="G1092" s="1226">
        <v>1200</v>
      </c>
      <c r="H1092" s="1139">
        <v>1525.1</v>
      </c>
      <c r="I1092" s="1226">
        <v>1245.99</v>
      </c>
      <c r="J1092" s="1226">
        <v>1262.18787</v>
      </c>
      <c r="K1092" s="2068"/>
      <c r="L1092" s="143" t="s">
        <v>1334</v>
      </c>
      <c r="M1092" s="143">
        <v>119</v>
      </c>
      <c r="N1092" s="143">
        <v>119</v>
      </c>
      <c r="O1092" s="143"/>
      <c r="P1092" s="767"/>
      <c r="Q1092" s="767"/>
    </row>
    <row r="1093" spans="1:17" x14ac:dyDescent="0.25">
      <c r="A1093" s="1708" t="s">
        <v>1905</v>
      </c>
      <c r="B1093" s="1709"/>
      <c r="C1093" s="1715"/>
      <c r="D1093" s="1715"/>
      <c r="E1093" s="1715"/>
      <c r="F1093" s="42">
        <v>2187510.1</v>
      </c>
      <c r="G1093" s="42">
        <v>2046678.9000000001</v>
      </c>
      <c r="H1093" s="42">
        <f>H1058+H1066+H1071+H1080+H1088</f>
        <v>2159892.2999999998</v>
      </c>
      <c r="I1093" s="42">
        <v>2221949.4220099994</v>
      </c>
      <c r="J1093" s="42">
        <v>2250834.7644961295</v>
      </c>
      <c r="K1093" s="15"/>
      <c r="L1093" s="21"/>
      <c r="M1093" s="17"/>
      <c r="N1093" s="17"/>
      <c r="O1093" s="17"/>
      <c r="P1093" s="17"/>
      <c r="Q1093" s="16"/>
    </row>
    <row r="1094" spans="1:17" ht="15.75" thickBot="1" x14ac:dyDescent="0.3">
      <c r="A1094" s="1648" t="s">
        <v>1906</v>
      </c>
      <c r="B1094" s="1649"/>
      <c r="C1094" s="1649"/>
      <c r="D1094" s="1649"/>
      <c r="E1094" s="1649"/>
      <c r="F1094" s="1649"/>
      <c r="G1094" s="1649"/>
      <c r="H1094" s="1649"/>
      <c r="I1094" s="1649"/>
      <c r="J1094" s="1649"/>
      <c r="K1094" s="1649"/>
      <c r="L1094" s="1649"/>
      <c r="M1094" s="1649"/>
      <c r="N1094" s="1649"/>
      <c r="O1094" s="1649"/>
      <c r="P1094" s="1649"/>
      <c r="Q1094" s="1650"/>
    </row>
    <row r="1095" spans="1:17" ht="74.25" x14ac:dyDescent="0.25">
      <c r="A1095" s="402">
        <v>46</v>
      </c>
      <c r="B1095" s="1154">
        <v>1</v>
      </c>
      <c r="C1095" s="1114"/>
      <c r="D1095" s="48"/>
      <c r="E1095" s="672" t="s">
        <v>3112</v>
      </c>
      <c r="F1095" s="1230">
        <v>13472.009999999998</v>
      </c>
      <c r="G1095" s="1230">
        <v>26197.47</v>
      </c>
      <c r="H1095" s="1230">
        <f>SUM(H1096:H1102)</f>
        <v>10399.5</v>
      </c>
      <c r="I1095" s="1230">
        <v>3212.8</v>
      </c>
      <c r="J1095" s="1230">
        <v>3255.3</v>
      </c>
      <c r="K1095" s="1195" t="s">
        <v>1907</v>
      </c>
      <c r="L1095" s="1174" t="s">
        <v>34</v>
      </c>
      <c r="M1095" s="272">
        <v>21.6</v>
      </c>
      <c r="N1095" s="272">
        <v>21.671667719519899</v>
      </c>
      <c r="O1095" s="272">
        <v>21.671667719519899</v>
      </c>
      <c r="P1095" s="272">
        <v>21.667071776451422</v>
      </c>
      <c r="Q1095" s="272">
        <v>21.665918678754149</v>
      </c>
    </row>
    <row r="1096" spans="1:17" x14ac:dyDescent="0.25">
      <c r="A1096" s="1324"/>
      <c r="B1096" s="1325"/>
      <c r="C1096" s="1370">
        <v>1</v>
      </c>
      <c r="D1096" s="1251"/>
      <c r="E1096" s="1418" t="s">
        <v>1406</v>
      </c>
      <c r="F1096" s="1192">
        <v>497.19</v>
      </c>
      <c r="G1096" s="1192">
        <v>485.43</v>
      </c>
      <c r="H1096" s="1192">
        <v>10399.5</v>
      </c>
      <c r="I1096" s="1192">
        <v>494.2</v>
      </c>
      <c r="J1096" s="1192">
        <v>500.8</v>
      </c>
      <c r="K1096" s="1212" t="s">
        <v>438</v>
      </c>
      <c r="L1096" s="1214" t="s">
        <v>35</v>
      </c>
      <c r="M1096" s="1214">
        <v>1</v>
      </c>
      <c r="N1096" s="1214">
        <v>1</v>
      </c>
      <c r="O1096" s="1214">
        <v>1</v>
      </c>
      <c r="P1096" s="1214">
        <v>1</v>
      </c>
      <c r="Q1096" s="1214">
        <v>1</v>
      </c>
    </row>
    <row r="1097" spans="1:17" ht="30" x14ac:dyDescent="0.25">
      <c r="A1097" s="1324"/>
      <c r="B1097" s="1427"/>
      <c r="C1097" s="326">
        <v>2</v>
      </c>
      <c r="D1097" s="1251"/>
      <c r="E1097" s="1235" t="s">
        <v>394</v>
      </c>
      <c r="F1097" s="1192">
        <v>994.37</v>
      </c>
      <c r="G1097" s="1192">
        <v>987.19</v>
      </c>
      <c r="H1097" s="1192"/>
      <c r="I1097" s="1192">
        <v>988.7</v>
      </c>
      <c r="J1097" s="1192">
        <v>1001.7</v>
      </c>
      <c r="K1097" s="1212" t="s">
        <v>1908</v>
      </c>
      <c r="L1097" s="1214" t="s">
        <v>34</v>
      </c>
      <c r="M1097" s="1214">
        <v>100</v>
      </c>
      <c r="N1097" s="1214">
        <v>100</v>
      </c>
      <c r="O1097" s="1214">
        <v>100</v>
      </c>
      <c r="P1097" s="1214">
        <v>100</v>
      </c>
      <c r="Q1097" s="1214">
        <v>100</v>
      </c>
    </row>
    <row r="1098" spans="1:17" ht="30" x14ac:dyDescent="0.25">
      <c r="A1098" s="1324"/>
      <c r="B1098" s="1427"/>
      <c r="C1098" s="326">
        <v>3</v>
      </c>
      <c r="D1098" s="1251"/>
      <c r="E1098" s="1235" t="s">
        <v>842</v>
      </c>
      <c r="F1098" s="1192">
        <v>248.59</v>
      </c>
      <c r="G1098" s="1192">
        <v>235.70000000000002</v>
      </c>
      <c r="H1098" s="1192"/>
      <c r="I1098" s="1192">
        <v>247.1</v>
      </c>
      <c r="J1098" s="1192">
        <v>250.4</v>
      </c>
      <c r="K1098" s="1212" t="s">
        <v>1909</v>
      </c>
      <c r="L1098" s="1214" t="s">
        <v>34</v>
      </c>
      <c r="M1098" s="459"/>
      <c r="N1098" s="459"/>
      <c r="O1098" s="459"/>
      <c r="P1098" s="459"/>
      <c r="Q1098" s="459"/>
    </row>
    <row r="1099" spans="1:17" ht="30" x14ac:dyDescent="0.25">
      <c r="A1099" s="1324"/>
      <c r="B1099" s="1427"/>
      <c r="C1099" s="326">
        <v>4</v>
      </c>
      <c r="D1099" s="1251"/>
      <c r="E1099" s="1235" t="s">
        <v>396</v>
      </c>
      <c r="F1099" s="1192"/>
      <c r="G1099" s="1192"/>
      <c r="H1099" s="1192"/>
      <c r="I1099" s="1192"/>
      <c r="J1099" s="1192"/>
      <c r="K1099" s="1212" t="s">
        <v>1871</v>
      </c>
      <c r="L1099" s="1196" t="s">
        <v>1910</v>
      </c>
      <c r="M1099" s="459"/>
      <c r="N1099" s="459"/>
      <c r="O1099" s="459"/>
      <c r="P1099" s="459"/>
      <c r="Q1099" s="459"/>
    </row>
    <row r="1100" spans="1:17" ht="30" x14ac:dyDescent="0.25">
      <c r="A1100" s="1324"/>
      <c r="B1100" s="1427"/>
      <c r="C1100" s="326">
        <v>5</v>
      </c>
      <c r="D1100" s="1251"/>
      <c r="E1100" s="1235" t="s">
        <v>1873</v>
      </c>
      <c r="F1100" s="1192"/>
      <c r="G1100" s="1192"/>
      <c r="H1100" s="1192"/>
      <c r="I1100" s="1192"/>
      <c r="J1100" s="1192"/>
      <c r="K1100" s="1212" t="s">
        <v>1911</v>
      </c>
      <c r="L1100" s="1214" t="s">
        <v>1633</v>
      </c>
      <c r="M1100" s="459"/>
      <c r="N1100" s="459"/>
      <c r="O1100" s="459"/>
      <c r="P1100" s="459"/>
      <c r="Q1100" s="459"/>
    </row>
    <row r="1101" spans="1:17" ht="30" x14ac:dyDescent="0.25">
      <c r="A1101" s="1324"/>
      <c r="B1101" s="1325"/>
      <c r="C1101" s="1170">
        <v>6</v>
      </c>
      <c r="D1101" s="1251"/>
      <c r="E1101" s="1217" t="s">
        <v>534</v>
      </c>
      <c r="F1101" s="1192">
        <v>1491.56</v>
      </c>
      <c r="G1101" s="1192">
        <v>1489.1499999999999</v>
      </c>
      <c r="H1101" s="1192"/>
      <c r="I1101" s="1198">
        <v>1482.8</v>
      </c>
      <c r="J1101" s="1192">
        <v>1502.4</v>
      </c>
      <c r="K1101" s="1212" t="s">
        <v>1912</v>
      </c>
      <c r="L1101" s="1214" t="s">
        <v>34</v>
      </c>
      <c r="M1101" s="1214">
        <v>10</v>
      </c>
      <c r="N1101" s="1214">
        <v>10</v>
      </c>
      <c r="O1101" s="1214">
        <v>10</v>
      </c>
      <c r="P1101" s="1214">
        <v>10</v>
      </c>
      <c r="Q1101" s="1214">
        <v>10</v>
      </c>
    </row>
    <row r="1102" spans="1:17" x14ac:dyDescent="0.25">
      <c r="A1102" s="1324"/>
      <c r="B1102" s="1325"/>
      <c r="C1102" s="1170">
        <v>38</v>
      </c>
      <c r="D1102" s="1251"/>
      <c r="E1102" s="1217" t="s">
        <v>1913</v>
      </c>
      <c r="F1102" s="1409">
        <v>10240.299999999999</v>
      </c>
      <c r="G1102" s="1192">
        <v>23000</v>
      </c>
      <c r="H1102" s="1192"/>
      <c r="I1102" s="1192"/>
      <c r="J1102" s="1192"/>
      <c r="K1102" s="1205"/>
      <c r="L1102" s="1214"/>
      <c r="M1102" s="459"/>
      <c r="N1102" s="459"/>
      <c r="O1102" s="459"/>
      <c r="P1102" s="459"/>
      <c r="Q1102" s="459"/>
    </row>
    <row r="1103" spans="1:17" ht="42.75" x14ac:dyDescent="0.25">
      <c r="A1103" s="1324">
        <v>46</v>
      </c>
      <c r="B1103" s="1427">
        <v>2</v>
      </c>
      <c r="C1103" s="326"/>
      <c r="D1103" s="778"/>
      <c r="E1103" s="178" t="s">
        <v>1914</v>
      </c>
      <c r="F1103" s="1428">
        <v>7996.8900000000012</v>
      </c>
      <c r="G1103" s="1428">
        <v>11726.48</v>
      </c>
      <c r="H1103" s="1428">
        <f>SUM(H1104:H1111)</f>
        <v>2795.8</v>
      </c>
      <c r="I1103" s="1428">
        <v>11908.1</v>
      </c>
      <c r="J1103" s="1428">
        <v>12065.599999999999</v>
      </c>
      <c r="K1103" s="1138" t="s">
        <v>1915</v>
      </c>
      <c r="L1103" s="1138"/>
      <c r="M1103" s="10"/>
      <c r="N1103" s="10"/>
      <c r="O1103" s="10"/>
      <c r="P1103" s="10"/>
      <c r="Q1103" s="10"/>
    </row>
    <row r="1104" spans="1:17" x14ac:dyDescent="0.25">
      <c r="A1104" s="1678"/>
      <c r="B1104" s="1751"/>
      <c r="C1104" s="1642" t="s">
        <v>4</v>
      </c>
      <c r="D1104" s="1642"/>
      <c r="E1104" s="1632" t="s">
        <v>1916</v>
      </c>
      <c r="F1104" s="1804">
        <v>2060.89</v>
      </c>
      <c r="G1104" s="1804">
        <v>2994.87</v>
      </c>
      <c r="H1104" s="1804">
        <v>2795.8</v>
      </c>
      <c r="I1104" s="1804">
        <v>3040.1</v>
      </c>
      <c r="J1104" s="1804">
        <v>3080.3</v>
      </c>
      <c r="K1104" s="1217" t="s">
        <v>1917</v>
      </c>
      <c r="L1104" s="1196" t="s">
        <v>1918</v>
      </c>
      <c r="M1104" s="706">
        <v>20</v>
      </c>
      <c r="N1104" s="706">
        <v>22</v>
      </c>
      <c r="O1104" s="706">
        <v>23</v>
      </c>
      <c r="P1104" s="706">
        <v>23</v>
      </c>
      <c r="Q1104" s="706">
        <v>23</v>
      </c>
    </row>
    <row r="1105" spans="1:17" x14ac:dyDescent="0.25">
      <c r="A1105" s="1679"/>
      <c r="B1105" s="1752"/>
      <c r="C1105" s="1644"/>
      <c r="D1105" s="1644"/>
      <c r="E1105" s="1632"/>
      <c r="F1105" s="1805"/>
      <c r="G1105" s="1805"/>
      <c r="H1105" s="1805"/>
      <c r="I1105" s="1805"/>
      <c r="J1105" s="1805"/>
      <c r="K1105" s="1217" t="s">
        <v>1919</v>
      </c>
      <c r="L1105" s="1196" t="s">
        <v>1920</v>
      </c>
      <c r="M1105" s="706">
        <v>6</v>
      </c>
      <c r="N1105" s="706">
        <v>6</v>
      </c>
      <c r="O1105" s="706">
        <v>8</v>
      </c>
      <c r="P1105" s="706">
        <v>8</v>
      </c>
      <c r="Q1105" s="706">
        <v>8</v>
      </c>
    </row>
    <row r="1106" spans="1:17" x14ac:dyDescent="0.25">
      <c r="A1106" s="1678"/>
      <c r="B1106" s="1751"/>
      <c r="C1106" s="1642" t="s">
        <v>5</v>
      </c>
      <c r="D1106" s="1642"/>
      <c r="E1106" s="1632" t="s">
        <v>1921</v>
      </c>
      <c r="F1106" s="1804">
        <v>2061.1999999999998</v>
      </c>
      <c r="G1106" s="1806">
        <v>2994.87</v>
      </c>
      <c r="H1106" s="1804"/>
      <c r="I1106" s="1804">
        <v>3040.1</v>
      </c>
      <c r="J1106" s="1804">
        <v>3080.3</v>
      </c>
      <c r="K1106" s="1217" t="s">
        <v>1922</v>
      </c>
      <c r="L1106" s="1138" t="s">
        <v>244</v>
      </c>
      <c r="M1106" s="706">
        <v>7</v>
      </c>
      <c r="N1106" s="706">
        <v>7</v>
      </c>
      <c r="O1106" s="706">
        <v>7</v>
      </c>
      <c r="P1106" s="706">
        <v>7</v>
      </c>
      <c r="Q1106" s="706">
        <v>7</v>
      </c>
    </row>
    <row r="1107" spans="1:17" ht="30" x14ac:dyDescent="0.25">
      <c r="A1107" s="1679"/>
      <c r="B1107" s="1752"/>
      <c r="C1107" s="1644"/>
      <c r="D1107" s="1644"/>
      <c r="E1107" s="1632"/>
      <c r="F1107" s="1805"/>
      <c r="G1107" s="1807"/>
      <c r="H1107" s="1805"/>
      <c r="I1107" s="1805"/>
      <c r="J1107" s="1805"/>
      <c r="K1107" s="1217" t="s">
        <v>1923</v>
      </c>
      <c r="L1107" s="1138" t="s">
        <v>245</v>
      </c>
      <c r="M1107" s="39">
        <v>3</v>
      </c>
      <c r="N1107" s="39">
        <v>3</v>
      </c>
      <c r="O1107" s="39">
        <v>3</v>
      </c>
      <c r="P1107" s="39">
        <v>3</v>
      </c>
      <c r="Q1107" s="39">
        <v>3</v>
      </c>
    </row>
    <row r="1108" spans="1:17" x14ac:dyDescent="0.25">
      <c r="A1108" s="1678"/>
      <c r="B1108" s="1751"/>
      <c r="C1108" s="1642" t="s">
        <v>7</v>
      </c>
      <c r="D1108" s="1642"/>
      <c r="E1108" s="1632" t="s">
        <v>1924</v>
      </c>
      <c r="F1108" s="1804">
        <v>3304.2000000000003</v>
      </c>
      <c r="G1108" s="1804">
        <v>4247.87</v>
      </c>
      <c r="H1108" s="1804"/>
      <c r="I1108" s="1804">
        <v>4306.7</v>
      </c>
      <c r="J1108" s="1804">
        <v>4363.7</v>
      </c>
      <c r="K1108" s="1217" t="s">
        <v>1925</v>
      </c>
      <c r="L1108" s="1138" t="s">
        <v>246</v>
      </c>
      <c r="M1108" s="39">
        <v>30</v>
      </c>
      <c r="N1108" s="39">
        <v>30</v>
      </c>
      <c r="O1108" s="39">
        <v>30</v>
      </c>
      <c r="P1108" s="39">
        <v>30</v>
      </c>
      <c r="Q1108" s="39">
        <v>30</v>
      </c>
    </row>
    <row r="1109" spans="1:17" x14ac:dyDescent="0.25">
      <c r="A1109" s="1679"/>
      <c r="B1109" s="1752"/>
      <c r="C1109" s="1644"/>
      <c r="D1109" s="1644"/>
      <c r="E1109" s="1632"/>
      <c r="F1109" s="1805"/>
      <c r="G1109" s="1805"/>
      <c r="H1109" s="1805"/>
      <c r="I1109" s="1805"/>
      <c r="J1109" s="1805"/>
      <c r="K1109" s="1138"/>
      <c r="L1109" s="1138"/>
      <c r="M1109" s="706"/>
      <c r="N1109" s="706"/>
      <c r="O1109" s="706"/>
      <c r="P1109" s="706"/>
      <c r="Q1109" s="706"/>
    </row>
    <row r="1110" spans="1:17" x14ac:dyDescent="0.25">
      <c r="A1110" s="1678"/>
      <c r="B1110" s="1751"/>
      <c r="C1110" s="1642" t="s">
        <v>9</v>
      </c>
      <c r="D1110" s="1642"/>
      <c r="E1110" s="1791" t="s">
        <v>1926</v>
      </c>
      <c r="F1110" s="1804">
        <v>570.59999999999991</v>
      </c>
      <c r="G1110" s="1804">
        <v>1488.87</v>
      </c>
      <c r="H1110" s="1804"/>
      <c r="I1110" s="1804">
        <v>1521.2</v>
      </c>
      <c r="J1110" s="1804">
        <v>1541.3</v>
      </c>
      <c r="K1110" s="1138"/>
      <c r="L1110" s="1138"/>
      <c r="M1110" s="706"/>
      <c r="N1110" s="706"/>
      <c r="O1110" s="706"/>
      <c r="P1110" s="706"/>
      <c r="Q1110" s="706"/>
    </row>
    <row r="1111" spans="1:17" x14ac:dyDescent="0.25">
      <c r="A1111" s="1679"/>
      <c r="B1111" s="1752"/>
      <c r="C1111" s="1644"/>
      <c r="D1111" s="1644"/>
      <c r="E1111" s="1791"/>
      <c r="F1111" s="1805"/>
      <c r="G1111" s="1805"/>
      <c r="H1111" s="1805"/>
      <c r="I1111" s="1805"/>
      <c r="J1111" s="1805"/>
      <c r="K1111" s="1138"/>
      <c r="L1111" s="1138"/>
      <c r="M1111" s="1138"/>
      <c r="N1111" s="1138"/>
      <c r="O1111" s="1138"/>
      <c r="P1111" s="1138"/>
      <c r="Q1111" s="1138"/>
    </row>
    <row r="1112" spans="1:17" x14ac:dyDescent="0.25">
      <c r="A1112" s="1652" t="s">
        <v>1927</v>
      </c>
      <c r="B1112" s="1715"/>
      <c r="C1112" s="1715"/>
      <c r="D1112" s="1715"/>
      <c r="E1112" s="1715"/>
      <c r="F1112" s="42">
        <v>21468.9</v>
      </c>
      <c r="G1112" s="42">
        <v>37923.949999999997</v>
      </c>
      <c r="H1112" s="42">
        <f>H1095+H1103</f>
        <v>13195.3</v>
      </c>
      <c r="I1112" s="42">
        <v>15120.900000000001</v>
      </c>
      <c r="J1112" s="42">
        <v>15320.899999999998</v>
      </c>
      <c r="K1112" s="15"/>
      <c r="L1112" s="1281"/>
      <c r="M1112" s="1282"/>
      <c r="N1112" s="1282"/>
      <c r="O1112" s="1282"/>
      <c r="P1112" s="1282"/>
      <c r="Q1112" s="1283"/>
    </row>
    <row r="1113" spans="1:17" x14ac:dyDescent="0.25">
      <c r="A1113" s="1648" t="s">
        <v>1928</v>
      </c>
      <c r="B1113" s="1649"/>
      <c r="C1113" s="1649"/>
      <c r="D1113" s="1649"/>
      <c r="E1113" s="1649"/>
      <c r="F1113" s="1649"/>
      <c r="G1113" s="1649"/>
      <c r="H1113" s="1649"/>
      <c r="I1113" s="1649"/>
      <c r="J1113" s="1649"/>
      <c r="K1113" s="1649"/>
      <c r="L1113" s="1649"/>
      <c r="M1113" s="1649"/>
      <c r="N1113" s="1649"/>
      <c r="O1113" s="1649"/>
      <c r="P1113" s="1649"/>
      <c r="Q1113" s="1650"/>
    </row>
    <row r="1114" spans="1:17" ht="74.25" x14ac:dyDescent="0.25">
      <c r="A1114" s="1324">
        <v>47</v>
      </c>
      <c r="B1114" s="1325">
        <v>1</v>
      </c>
      <c r="C1114" s="1403"/>
      <c r="D1114" s="4"/>
      <c r="E1114" s="672" t="s">
        <v>3112</v>
      </c>
      <c r="F1114" s="122">
        <v>129424.7</v>
      </c>
      <c r="G1114" s="122">
        <v>156048.4</v>
      </c>
      <c r="H1114" s="122">
        <f>SUM(H1115:H1120)</f>
        <v>254662.5</v>
      </c>
      <c r="I1114" s="122">
        <v>182626.87087717606</v>
      </c>
      <c r="J1114" s="122">
        <v>184499.8806633802</v>
      </c>
      <c r="K1114" s="1195" t="s">
        <v>1907</v>
      </c>
      <c r="L1114" s="1403" t="s">
        <v>34</v>
      </c>
      <c r="M1114" s="1403" t="s">
        <v>247</v>
      </c>
      <c r="N1114" s="1403" t="s">
        <v>248</v>
      </c>
      <c r="O1114" s="1403"/>
      <c r="P1114" s="1403"/>
      <c r="Q1114" s="1403"/>
    </row>
    <row r="1115" spans="1:17" ht="30" x14ac:dyDescent="0.25">
      <c r="A1115" s="1324"/>
      <c r="B1115" s="1325"/>
      <c r="C1115" s="1317" t="s">
        <v>4</v>
      </c>
      <c r="D1115" s="1251"/>
      <c r="E1115" s="1418" t="s">
        <v>1406</v>
      </c>
      <c r="F1115" s="704">
        <v>12259.3</v>
      </c>
      <c r="G1115" s="704">
        <v>10587.5</v>
      </c>
      <c r="H1115" s="1120">
        <f>7990.3+1933.5</f>
        <v>9923.7999999999993</v>
      </c>
      <c r="I1115" s="1121">
        <v>8183.1847681381259</v>
      </c>
      <c r="J1115" s="1121">
        <v>8267.1155270180752</v>
      </c>
      <c r="K1115" s="1205" t="s">
        <v>1929</v>
      </c>
      <c r="L1115" s="1214" t="s">
        <v>241</v>
      </c>
      <c r="M1115" s="1214">
        <v>20.5</v>
      </c>
      <c r="N1115" s="1214">
        <v>20.5</v>
      </c>
      <c r="O1115" s="1214">
        <v>20.5</v>
      </c>
      <c r="P1115" s="1214">
        <v>20.5</v>
      </c>
      <c r="Q1115" s="1214"/>
    </row>
    <row r="1116" spans="1:17" ht="30" x14ac:dyDescent="0.25">
      <c r="A1116" s="1324"/>
      <c r="B1116" s="1427"/>
      <c r="C1116" s="1429" t="s">
        <v>5</v>
      </c>
      <c r="D1116" s="1251"/>
      <c r="E1116" s="1235" t="s">
        <v>394</v>
      </c>
      <c r="F1116" s="704"/>
      <c r="G1116" s="704"/>
      <c r="H1116" s="1120">
        <f>7438+1399.5</f>
        <v>8837.5</v>
      </c>
      <c r="I1116" s="1121"/>
      <c r="J1116" s="1121"/>
      <c r="K1116" s="1205"/>
      <c r="L1116" s="1214"/>
      <c r="M1116" s="1214"/>
      <c r="N1116" s="1214"/>
      <c r="O1116" s="1214"/>
      <c r="P1116" s="1214"/>
      <c r="Q1116" s="1214"/>
    </row>
    <row r="1117" spans="1:17" x14ac:dyDescent="0.25">
      <c r="A1117" s="1430"/>
      <c r="B1117" s="1431"/>
      <c r="C1117" s="333" t="s">
        <v>13</v>
      </c>
      <c r="D1117" s="677"/>
      <c r="E1117" s="1235" t="s">
        <v>1930</v>
      </c>
      <c r="F1117" s="779">
        <v>12383.5</v>
      </c>
      <c r="G1117" s="779">
        <v>11167.9</v>
      </c>
      <c r="H1117" s="780"/>
      <c r="I1117" s="1152">
        <v>7544.6405748758852</v>
      </c>
      <c r="J1117" s="1152">
        <v>7622.0221111441751</v>
      </c>
      <c r="K1117" s="1212" t="s">
        <v>1908</v>
      </c>
      <c r="L1117" s="1196" t="s">
        <v>34</v>
      </c>
      <c r="M1117" s="1196">
        <v>100</v>
      </c>
      <c r="N1117" s="1196">
        <v>100</v>
      </c>
      <c r="O1117" s="1196">
        <v>100</v>
      </c>
      <c r="P1117" s="1196">
        <v>100</v>
      </c>
      <c r="Q1117" s="1196">
        <v>100</v>
      </c>
    </row>
    <row r="1118" spans="1:17" ht="30" x14ac:dyDescent="0.25">
      <c r="A1118" s="1324"/>
      <c r="B1118" s="1325"/>
      <c r="C1118" s="1117" t="s">
        <v>7</v>
      </c>
      <c r="D1118" s="1251"/>
      <c r="E1118" s="1235" t="s">
        <v>842</v>
      </c>
      <c r="F1118" s="704"/>
      <c r="G1118" s="704"/>
      <c r="H1118" s="1120">
        <f>6008.3+711.8</f>
        <v>6720.1</v>
      </c>
      <c r="I1118" s="1121">
        <v>6069.5539888902431</v>
      </c>
      <c r="J1118" s="1121">
        <v>6131.8063132339212</v>
      </c>
      <c r="K1118" s="1212" t="s">
        <v>1909</v>
      </c>
      <c r="L1118" s="1214" t="s">
        <v>34</v>
      </c>
      <c r="M1118" s="1214">
        <v>70.599999999999994</v>
      </c>
      <c r="N1118" s="1196" t="s">
        <v>1343</v>
      </c>
      <c r="O1118" s="1196" t="s">
        <v>1343</v>
      </c>
      <c r="P1118" s="1196" t="s">
        <v>1343</v>
      </c>
      <c r="Q1118" s="1196" t="s">
        <v>1343</v>
      </c>
    </row>
    <row r="1119" spans="1:17" ht="30" x14ac:dyDescent="0.25">
      <c r="A1119" s="1324"/>
      <c r="B1119" s="1325"/>
      <c r="C1119" s="1317" t="s">
        <v>9</v>
      </c>
      <c r="D1119" s="1250"/>
      <c r="E1119" s="1235" t="s">
        <v>396</v>
      </c>
      <c r="F1119" s="1432"/>
      <c r="G1119" s="1432"/>
      <c r="H1119" s="1433">
        <f>4019+616.7</f>
        <v>4635.7</v>
      </c>
      <c r="I1119" s="1319">
        <v>4059.9732838489899</v>
      </c>
      <c r="J1119" s="1319">
        <v>4101.6143622800337</v>
      </c>
      <c r="K1119" s="1212" t="s">
        <v>1871</v>
      </c>
      <c r="L1119" s="1322" t="s">
        <v>1633</v>
      </c>
      <c r="M1119" s="1322" t="s">
        <v>249</v>
      </c>
      <c r="N1119" s="1196" t="s">
        <v>1343</v>
      </c>
      <c r="O1119" s="1196" t="s">
        <v>1343</v>
      </c>
      <c r="P1119" s="1196" t="s">
        <v>1343</v>
      </c>
      <c r="Q1119" s="1196" t="s">
        <v>1343</v>
      </c>
    </row>
    <row r="1120" spans="1:17" ht="30" x14ac:dyDescent="0.25">
      <c r="A1120" s="1324"/>
      <c r="B1120" s="1325"/>
      <c r="C1120" s="1317" t="s">
        <v>13</v>
      </c>
      <c r="D1120" s="12"/>
      <c r="E1120" s="1217" t="s">
        <v>534</v>
      </c>
      <c r="F1120" s="1432">
        <v>104781.9</v>
      </c>
      <c r="G1120" s="1432">
        <v>134293</v>
      </c>
      <c r="H1120" s="1120">
        <f>206020.6+18524.8</f>
        <v>224545.4</v>
      </c>
      <c r="I1120" s="1319">
        <v>156769.4182614228</v>
      </c>
      <c r="J1120" s="1319">
        <v>158377.32234970399</v>
      </c>
      <c r="K1120" s="1212" t="s">
        <v>1912</v>
      </c>
      <c r="L1120" s="1322" t="s">
        <v>34</v>
      </c>
      <c r="M1120" s="1196" t="s">
        <v>1931</v>
      </c>
      <c r="N1120" s="1196" t="s">
        <v>1931</v>
      </c>
      <c r="O1120" s="1196" t="s">
        <v>1931</v>
      </c>
      <c r="P1120" s="1196" t="s">
        <v>1931</v>
      </c>
      <c r="Q1120" s="1196" t="s">
        <v>1931</v>
      </c>
    </row>
    <row r="1121" spans="1:17" ht="28.5" x14ac:dyDescent="0.25">
      <c r="A1121" s="1324">
        <v>47</v>
      </c>
      <c r="B1121" s="1297">
        <v>2</v>
      </c>
      <c r="C1121" s="1117"/>
      <c r="D1121" s="1275"/>
      <c r="E1121" s="1434" t="s">
        <v>1932</v>
      </c>
      <c r="F1121" s="1404">
        <v>742863.4</v>
      </c>
      <c r="G1121" s="1404">
        <v>1082131.7999999998</v>
      </c>
      <c r="H1121" s="1404">
        <f>SUM(H1122:H1124)</f>
        <v>1448047.5999999999</v>
      </c>
      <c r="I1121" s="1404">
        <v>1435782.5291197486</v>
      </c>
      <c r="J1121" s="1404">
        <v>1450508.5193486768</v>
      </c>
      <c r="K1121" s="1435" t="s">
        <v>1933</v>
      </c>
      <c r="L1121" s="1322"/>
      <c r="M1121" s="1436">
        <v>104.3</v>
      </c>
      <c r="N1121" s="1436">
        <v>114.3</v>
      </c>
      <c r="O1121" s="1436">
        <v>106.1</v>
      </c>
      <c r="P1121" s="1436">
        <v>105.1</v>
      </c>
      <c r="Q1121" s="1436"/>
    </row>
    <row r="1122" spans="1:17" ht="30" x14ac:dyDescent="0.25">
      <c r="A1122" s="1115"/>
      <c r="B1122" s="1154"/>
      <c r="C1122" s="1155" t="s">
        <v>4</v>
      </c>
      <c r="D1122" s="1245"/>
      <c r="E1122" s="348" t="s">
        <v>1934</v>
      </c>
      <c r="F1122" s="1121">
        <v>376982.2</v>
      </c>
      <c r="G1122" s="1433">
        <v>647651.69999999995</v>
      </c>
      <c r="H1122" s="1433">
        <v>676960.8</v>
      </c>
      <c r="I1122" s="1319">
        <v>657073.69312763039</v>
      </c>
      <c r="J1122" s="1319">
        <v>663812.96338326228</v>
      </c>
      <c r="K1122" s="348" t="s">
        <v>1935</v>
      </c>
      <c r="L1122" s="1322" t="s">
        <v>34</v>
      </c>
      <c r="M1122" s="1437">
        <v>97.7</v>
      </c>
      <c r="N1122" s="1437">
        <v>100</v>
      </c>
      <c r="O1122" s="1437">
        <v>100</v>
      </c>
      <c r="P1122" s="1437">
        <v>100</v>
      </c>
      <c r="Q1122" s="1437">
        <v>100</v>
      </c>
    </row>
    <row r="1123" spans="1:17" ht="30" x14ac:dyDescent="0.25">
      <c r="A1123" s="1430"/>
      <c r="B1123" s="1438"/>
      <c r="C1123" s="1399" t="s">
        <v>5</v>
      </c>
      <c r="D1123" s="1400"/>
      <c r="E1123" s="348" t="s">
        <v>1936</v>
      </c>
      <c r="F1123" s="1439">
        <v>365881.2</v>
      </c>
      <c r="G1123" s="1439">
        <v>434480.1</v>
      </c>
      <c r="H1123" s="1439">
        <v>433885.6</v>
      </c>
      <c r="I1123" s="1440">
        <v>438069.90509343176</v>
      </c>
      <c r="J1123" s="1440">
        <v>442562.96502287599</v>
      </c>
      <c r="K1123" s="348" t="s">
        <v>1937</v>
      </c>
      <c r="L1123" s="1401" t="s">
        <v>1633</v>
      </c>
      <c r="M1123" s="1441">
        <v>27259</v>
      </c>
      <c r="N1123" s="1441">
        <v>50000</v>
      </c>
      <c r="O1123" s="1441" t="s">
        <v>75</v>
      </c>
      <c r="P1123" s="1441" t="s">
        <v>75</v>
      </c>
      <c r="Q1123" s="1441" t="s">
        <v>75</v>
      </c>
    </row>
    <row r="1124" spans="1:17" ht="30" x14ac:dyDescent="0.25">
      <c r="A1124" s="1442"/>
      <c r="B1124" s="1431"/>
      <c r="C1124" s="1105" t="s">
        <v>7</v>
      </c>
      <c r="D1124" s="253"/>
      <c r="E1124" s="348" t="s">
        <v>1938</v>
      </c>
      <c r="F1124" s="1439"/>
      <c r="G1124" s="1439"/>
      <c r="H1124" s="1439">
        <v>337201.2</v>
      </c>
      <c r="I1124" s="1440">
        <v>340638.93089868629</v>
      </c>
      <c r="J1124" s="1440">
        <v>344132.69094253861</v>
      </c>
      <c r="K1124" s="348" t="s">
        <v>1939</v>
      </c>
      <c r="L1124" s="1401" t="s">
        <v>34</v>
      </c>
      <c r="M1124" s="1441">
        <v>5</v>
      </c>
      <c r="N1124" s="1441">
        <v>5</v>
      </c>
      <c r="O1124" s="1441">
        <v>5</v>
      </c>
      <c r="P1124" s="1441">
        <v>5</v>
      </c>
      <c r="Q1124" s="1441">
        <v>5</v>
      </c>
    </row>
    <row r="1125" spans="1:17" x14ac:dyDescent="0.25">
      <c r="A1125" s="2062" t="s">
        <v>1940</v>
      </c>
      <c r="B1125" s="2063"/>
      <c r="C1125" s="1709"/>
      <c r="D1125" s="1709"/>
      <c r="E1125" s="1709"/>
      <c r="F1125" s="552">
        <v>872288.1</v>
      </c>
      <c r="G1125" s="552">
        <v>1238180.1999999997</v>
      </c>
      <c r="H1125" s="552">
        <f>H1114+H1121</f>
        <v>1702710.0999999999</v>
      </c>
      <c r="I1125" s="552">
        <v>1618409.3999969247</v>
      </c>
      <c r="J1125" s="552">
        <v>1635008.400012057</v>
      </c>
      <c r="K1125" s="553"/>
      <c r="L1125" s="554"/>
      <c r="M1125" s="554"/>
      <c r="N1125" s="554"/>
      <c r="O1125" s="554"/>
      <c r="P1125" s="554"/>
      <c r="Q1125" s="554"/>
    </row>
    <row r="1126" spans="1:17" ht="15.75" thickBot="1" x14ac:dyDescent="0.3">
      <c r="A1126" s="1648" t="s">
        <v>1941</v>
      </c>
      <c r="B1126" s="1649"/>
      <c r="C1126" s="1649"/>
      <c r="D1126" s="1649"/>
      <c r="E1126" s="1649"/>
      <c r="F1126" s="1649"/>
      <c r="G1126" s="1649"/>
      <c r="H1126" s="1649"/>
      <c r="I1126" s="1649"/>
      <c r="J1126" s="1649"/>
      <c r="K1126" s="1649"/>
      <c r="L1126" s="1649"/>
      <c r="M1126" s="1649"/>
      <c r="N1126" s="1649"/>
      <c r="O1126" s="1649"/>
      <c r="P1126" s="1649"/>
      <c r="Q1126" s="1650"/>
    </row>
    <row r="1127" spans="1:17" ht="74.25" x14ac:dyDescent="0.25">
      <c r="A1127" s="402">
        <v>48</v>
      </c>
      <c r="B1127" s="1154">
        <v>1</v>
      </c>
      <c r="C1127" s="1114"/>
      <c r="D1127" s="48"/>
      <c r="E1127" s="672" t="s">
        <v>3112</v>
      </c>
      <c r="F1127" s="1230">
        <v>205974.80000000002</v>
      </c>
      <c r="G1127" s="1230">
        <v>191643.7</v>
      </c>
      <c r="H1127" s="1230">
        <f>SUM(H1128:H1134)</f>
        <v>357442.39999999997</v>
      </c>
      <c r="I1127" s="1230">
        <v>179139.5</v>
      </c>
      <c r="J1127" s="1230">
        <v>180889.7</v>
      </c>
      <c r="K1127" s="1195" t="s">
        <v>1907</v>
      </c>
      <c r="L1127" s="1174" t="s">
        <v>34</v>
      </c>
      <c r="M1127" s="1174" t="s">
        <v>63</v>
      </c>
      <c r="N1127" s="1174" t="s">
        <v>63</v>
      </c>
      <c r="O1127" s="1174" t="s">
        <v>63</v>
      </c>
      <c r="P1127" s="1174" t="s">
        <v>63</v>
      </c>
      <c r="Q1127" s="1174" t="s">
        <v>63</v>
      </c>
    </row>
    <row r="1128" spans="1:17" x14ac:dyDescent="0.25">
      <c r="A1128" s="1324"/>
      <c r="B1128" s="1325"/>
      <c r="C1128" s="1370">
        <v>1</v>
      </c>
      <c r="D1128" s="1251"/>
      <c r="E1128" s="1418" t="s">
        <v>1406</v>
      </c>
      <c r="F1128" s="1139">
        <v>27798.6</v>
      </c>
      <c r="G1128" s="1139">
        <v>13364.2</v>
      </c>
      <c r="H1128" s="1139">
        <f>38320.3+1970.1</f>
        <v>40290.400000000001</v>
      </c>
      <c r="I1128" s="1139">
        <v>20932.599999999999</v>
      </c>
      <c r="J1128" s="1139">
        <v>21087.3</v>
      </c>
      <c r="K1128" s="1212" t="s">
        <v>438</v>
      </c>
      <c r="L1128" s="1214" t="s">
        <v>35</v>
      </c>
      <c r="M1128" s="459">
        <v>9.1</v>
      </c>
      <c r="N1128" s="459" t="s">
        <v>63</v>
      </c>
      <c r="O1128" s="459" t="s">
        <v>63</v>
      </c>
      <c r="P1128" s="459" t="s">
        <v>63</v>
      </c>
      <c r="Q1128" s="459" t="s">
        <v>63</v>
      </c>
    </row>
    <row r="1129" spans="1:17" ht="30" x14ac:dyDescent="0.25">
      <c r="A1129" s="1324"/>
      <c r="B1129" s="1427"/>
      <c r="C1129" s="326">
        <v>2</v>
      </c>
      <c r="D1129" s="1251"/>
      <c r="E1129" s="1235" t="s">
        <v>394</v>
      </c>
      <c r="F1129" s="1139">
        <v>23843.4</v>
      </c>
      <c r="G1129" s="1139">
        <v>19855.400000000001</v>
      </c>
      <c r="H1129" s="1139">
        <f>44513.5+4967.2</f>
        <v>49480.7</v>
      </c>
      <c r="I1129" s="1139">
        <v>26022.799999999999</v>
      </c>
      <c r="J1129" s="1139">
        <v>26332.5</v>
      </c>
      <c r="K1129" s="1205" t="s">
        <v>1942</v>
      </c>
      <c r="L1129" s="1214" t="s">
        <v>34</v>
      </c>
      <c r="M1129" s="459">
        <v>99.4</v>
      </c>
      <c r="N1129" s="459">
        <v>100</v>
      </c>
      <c r="O1129" s="459">
        <v>100</v>
      </c>
      <c r="P1129" s="459">
        <v>100</v>
      </c>
      <c r="Q1129" s="459">
        <v>100</v>
      </c>
    </row>
    <row r="1130" spans="1:17" ht="30" x14ac:dyDescent="0.25">
      <c r="A1130" s="1324"/>
      <c r="B1130" s="1427"/>
      <c r="C1130" s="326">
        <v>3</v>
      </c>
      <c r="D1130" s="1251"/>
      <c r="E1130" s="1235" t="s">
        <v>842</v>
      </c>
      <c r="F1130" s="1139">
        <v>31728.6</v>
      </c>
      <c r="G1130" s="1139">
        <v>21000.799999999999</v>
      </c>
      <c r="H1130" s="1139">
        <f>41451.4+5435.2</f>
        <v>46886.6</v>
      </c>
      <c r="I1130" s="1139">
        <v>25379.5</v>
      </c>
      <c r="J1130" s="1139">
        <v>25702.7</v>
      </c>
      <c r="K1130" s="1212" t="s">
        <v>1909</v>
      </c>
      <c r="L1130" s="1214" t="s">
        <v>34</v>
      </c>
      <c r="M1130" s="459" t="s">
        <v>1943</v>
      </c>
      <c r="N1130" s="459" t="s">
        <v>63</v>
      </c>
      <c r="O1130" s="459" t="s">
        <v>63</v>
      </c>
      <c r="P1130" s="459" t="s">
        <v>63</v>
      </c>
      <c r="Q1130" s="459" t="s">
        <v>63</v>
      </c>
    </row>
    <row r="1131" spans="1:17" ht="30" x14ac:dyDescent="0.25">
      <c r="A1131" s="1324"/>
      <c r="B1131" s="1427"/>
      <c r="C1131" s="326">
        <v>4</v>
      </c>
      <c r="D1131" s="1251"/>
      <c r="E1131" s="1235" t="s">
        <v>396</v>
      </c>
      <c r="F1131" s="1139">
        <v>10494.8</v>
      </c>
      <c r="G1131" s="1139">
        <v>8018.5</v>
      </c>
      <c r="H1131" s="1139">
        <f>23830+3017.2</f>
        <v>26847.200000000001</v>
      </c>
      <c r="I1131" s="1139">
        <v>12915.6</v>
      </c>
      <c r="J1131" s="1139">
        <v>13083.8</v>
      </c>
      <c r="K1131" s="1212" t="s">
        <v>1871</v>
      </c>
      <c r="L1131" s="1196" t="s">
        <v>1944</v>
      </c>
      <c r="M1131" s="459">
        <v>30</v>
      </c>
      <c r="N1131" s="459" t="s">
        <v>63</v>
      </c>
      <c r="O1131" s="459" t="s">
        <v>63</v>
      </c>
      <c r="P1131" s="459" t="s">
        <v>63</v>
      </c>
      <c r="Q1131" s="459" t="s">
        <v>63</v>
      </c>
    </row>
    <row r="1132" spans="1:17" ht="30" x14ac:dyDescent="0.25">
      <c r="A1132" s="1324"/>
      <c r="B1132" s="1427"/>
      <c r="C1132" s="326">
        <v>5</v>
      </c>
      <c r="D1132" s="1251"/>
      <c r="E1132" s="1235" t="s">
        <v>1873</v>
      </c>
      <c r="F1132" s="1139">
        <v>30467.5</v>
      </c>
      <c r="G1132" s="1139">
        <v>24819.200000000001</v>
      </c>
      <c r="H1132" s="1139">
        <f>50542.3+5677.5</f>
        <v>56219.8</v>
      </c>
      <c r="I1132" s="1139">
        <v>30817.200000000001</v>
      </c>
      <c r="J1132" s="1139">
        <v>31187.5</v>
      </c>
      <c r="K1132" s="1212" t="s">
        <v>1911</v>
      </c>
      <c r="L1132" s="1214" t="s">
        <v>1633</v>
      </c>
      <c r="M1132" s="459">
        <v>82</v>
      </c>
      <c r="N1132" s="459" t="s">
        <v>63</v>
      </c>
      <c r="O1132" s="459" t="s">
        <v>63</v>
      </c>
      <c r="P1132" s="459" t="s">
        <v>63</v>
      </c>
      <c r="Q1132" s="459" t="s">
        <v>63</v>
      </c>
    </row>
    <row r="1133" spans="1:17" ht="45" x14ac:dyDescent="0.25">
      <c r="A1133" s="1324"/>
      <c r="B1133" s="1325"/>
      <c r="C1133" s="1170">
        <v>6</v>
      </c>
      <c r="D1133" s="1251"/>
      <c r="E1133" s="1217" t="s">
        <v>534</v>
      </c>
      <c r="F1133" s="1139">
        <v>56270.5</v>
      </c>
      <c r="G1133" s="1139">
        <v>86439.5</v>
      </c>
      <c r="H1133" s="1139">
        <f>60107.9+18644.5</f>
        <v>78752.399999999994</v>
      </c>
      <c r="I1133" s="1139">
        <v>30274.9</v>
      </c>
      <c r="J1133" s="1139">
        <v>30274.9</v>
      </c>
      <c r="K1133" s="1212" t="s">
        <v>1945</v>
      </c>
      <c r="L1133" s="1214" t="s">
        <v>34</v>
      </c>
      <c r="M1133" s="781">
        <v>20</v>
      </c>
      <c r="N1133" s="459">
        <v>20</v>
      </c>
      <c r="O1133" s="459">
        <v>20</v>
      </c>
      <c r="P1133" s="459">
        <v>20</v>
      </c>
      <c r="Q1133" s="459">
        <v>20</v>
      </c>
    </row>
    <row r="1134" spans="1:17" ht="30" x14ac:dyDescent="0.25">
      <c r="A1134" s="1324"/>
      <c r="B1134" s="1325"/>
      <c r="C1134" s="1170">
        <v>7</v>
      </c>
      <c r="D1134" s="1251"/>
      <c r="E1134" s="1138" t="s">
        <v>1946</v>
      </c>
      <c r="F1134" s="1139">
        <v>25371.4</v>
      </c>
      <c r="G1134" s="1139">
        <v>18146.099999999999</v>
      </c>
      <c r="H1134" s="1139">
        <f>51927.5+7037.8</f>
        <v>58965.3</v>
      </c>
      <c r="I1134" s="1139">
        <v>32796.9</v>
      </c>
      <c r="J1134" s="1139">
        <v>33221</v>
      </c>
      <c r="K1134" s="1212" t="s">
        <v>1947</v>
      </c>
      <c r="L1134" s="1214" t="s">
        <v>1633</v>
      </c>
      <c r="M1134" s="459" t="s">
        <v>63</v>
      </c>
      <c r="N1134" s="459" t="s">
        <v>63</v>
      </c>
      <c r="O1134" s="459" t="s">
        <v>63</v>
      </c>
      <c r="P1134" s="459" t="s">
        <v>63</v>
      </c>
      <c r="Q1134" s="459" t="s">
        <v>63</v>
      </c>
    </row>
    <row r="1135" spans="1:17" ht="42.75" x14ac:dyDescent="0.25">
      <c r="A1135" s="1324">
        <v>48</v>
      </c>
      <c r="B1135" s="1325">
        <v>2</v>
      </c>
      <c r="C1135" s="1115"/>
      <c r="D1135" s="1443"/>
      <c r="E1135" s="1195" t="s">
        <v>1948</v>
      </c>
      <c r="F1135" s="1229">
        <v>137319.20000000001</v>
      </c>
      <c r="G1135" s="1229">
        <v>48492.800000000003</v>
      </c>
      <c r="H1135" s="1229">
        <f>SUM(H1136:H1137)</f>
        <v>95151.1</v>
      </c>
      <c r="I1135" s="1229">
        <v>50962</v>
      </c>
      <c r="J1135" s="1229">
        <v>51608.6</v>
      </c>
      <c r="K1135" s="1217" t="s">
        <v>1949</v>
      </c>
      <c r="L1135" s="1138"/>
      <c r="M1135" s="1138"/>
      <c r="N1135" s="10"/>
      <c r="O1135" s="10"/>
      <c r="P1135" s="10"/>
      <c r="Q1135" s="10"/>
    </row>
    <row r="1136" spans="1:17" ht="30" x14ac:dyDescent="0.25">
      <c r="A1136" s="1324"/>
      <c r="B1136" s="1325"/>
      <c r="C1136" s="1170">
        <v>1</v>
      </c>
      <c r="D1136" s="1444"/>
      <c r="E1136" s="1217" t="s">
        <v>1950</v>
      </c>
      <c r="F1136" s="1335">
        <v>129645.5</v>
      </c>
      <c r="G1136" s="1335">
        <v>46965.5</v>
      </c>
      <c r="H1136" s="1139">
        <f>76271+12247.3</f>
        <v>88518.3</v>
      </c>
      <c r="I1136" s="1139">
        <v>48555.4</v>
      </c>
      <c r="J1136" s="1139">
        <v>49174.7</v>
      </c>
      <c r="K1136" s="1217" t="s">
        <v>1951</v>
      </c>
      <c r="L1136" s="1138">
        <v>98.4</v>
      </c>
      <c r="M1136" s="1138">
        <v>100</v>
      </c>
      <c r="N1136" s="39">
        <v>100</v>
      </c>
      <c r="O1136" s="39">
        <v>100</v>
      </c>
      <c r="P1136" s="39">
        <v>100</v>
      </c>
      <c r="Q1136" s="39">
        <v>100</v>
      </c>
    </row>
    <row r="1137" spans="1:17" ht="30" x14ac:dyDescent="0.25">
      <c r="A1137" s="1324"/>
      <c r="B1137" s="1325"/>
      <c r="C1137" s="1170">
        <v>2</v>
      </c>
      <c r="D1137" s="1444"/>
      <c r="E1137" s="1217" t="s">
        <v>1952</v>
      </c>
      <c r="F1137" s="1335">
        <v>7673.7</v>
      </c>
      <c r="G1137" s="1335">
        <v>1527.3</v>
      </c>
      <c r="H1137" s="1139">
        <f>5919+713.8</f>
        <v>6632.8</v>
      </c>
      <c r="I1137" s="1139">
        <v>2406.6</v>
      </c>
      <c r="J1137" s="1139">
        <v>2433.9</v>
      </c>
      <c r="K1137" s="1217" t="s">
        <v>1953</v>
      </c>
      <c r="L1137" s="1138" t="s">
        <v>63</v>
      </c>
      <c r="M1137" s="1138">
        <v>9</v>
      </c>
      <c r="N1137" s="40">
        <v>3</v>
      </c>
      <c r="O1137" s="39" t="s">
        <v>63</v>
      </c>
      <c r="P1137" s="39" t="s">
        <v>63</v>
      </c>
      <c r="Q1137" s="39" t="s">
        <v>63</v>
      </c>
    </row>
    <row r="1138" spans="1:17" ht="58.5" x14ac:dyDescent="0.25">
      <c r="A1138" s="1324">
        <v>48</v>
      </c>
      <c r="B1138" s="1325">
        <v>3</v>
      </c>
      <c r="C1138" s="1115"/>
      <c r="D1138" s="1443"/>
      <c r="E1138" s="1195" t="s">
        <v>1954</v>
      </c>
      <c r="F1138" s="1229">
        <v>310965.8</v>
      </c>
      <c r="G1138" s="1229">
        <v>331731.40000000002</v>
      </c>
      <c r="H1138" s="1229">
        <f>H1139</f>
        <v>589745.9</v>
      </c>
      <c r="I1138" s="1229">
        <v>349309.5</v>
      </c>
      <c r="J1138" s="1229">
        <v>354579.8</v>
      </c>
      <c r="K1138" s="1217" t="s">
        <v>1955</v>
      </c>
      <c r="L1138" s="1138"/>
      <c r="M1138" s="1138"/>
      <c r="N1138" s="10"/>
      <c r="O1138" s="10"/>
      <c r="P1138" s="10"/>
      <c r="Q1138" s="10"/>
    </row>
    <row r="1139" spans="1:17" ht="30" x14ac:dyDescent="0.25">
      <c r="A1139" s="1678"/>
      <c r="B1139" s="1751"/>
      <c r="C1139" s="1642">
        <v>1</v>
      </c>
      <c r="D1139" s="1669"/>
      <c r="E1139" s="1791" t="s">
        <v>1956</v>
      </c>
      <c r="F1139" s="1774">
        <v>310965.8</v>
      </c>
      <c r="G1139" s="1774">
        <v>331731.40000000002</v>
      </c>
      <c r="H1139" s="1774">
        <f>527723.3+62022.6</f>
        <v>589745.9</v>
      </c>
      <c r="I1139" s="1774">
        <v>349309.5</v>
      </c>
      <c r="J1139" s="1774">
        <v>354579.8</v>
      </c>
      <c r="K1139" s="1217" t="s">
        <v>1957</v>
      </c>
      <c r="L1139" s="1138">
        <v>195</v>
      </c>
      <c r="M1139" s="1214" t="s">
        <v>63</v>
      </c>
      <c r="N1139" s="39" t="s">
        <v>63</v>
      </c>
      <c r="O1139" s="39" t="s">
        <v>63</v>
      </c>
      <c r="P1139" s="39" t="s">
        <v>63</v>
      </c>
      <c r="Q1139" s="39" t="s">
        <v>63</v>
      </c>
    </row>
    <row r="1140" spans="1:17" ht="30" x14ac:dyDescent="0.25">
      <c r="A1140" s="1679"/>
      <c r="B1140" s="1752"/>
      <c r="C1140" s="1644"/>
      <c r="D1140" s="1670"/>
      <c r="E1140" s="1791"/>
      <c r="F1140" s="1775"/>
      <c r="G1140" s="1775"/>
      <c r="H1140" s="1775"/>
      <c r="I1140" s="1775"/>
      <c r="J1140" s="1775"/>
      <c r="K1140" s="1217" t="s">
        <v>1958</v>
      </c>
      <c r="L1140" s="1138"/>
      <c r="M1140" s="1214" t="s">
        <v>63</v>
      </c>
      <c r="N1140" s="39" t="s">
        <v>63</v>
      </c>
      <c r="O1140" s="39" t="s">
        <v>63</v>
      </c>
      <c r="P1140" s="39" t="s">
        <v>63</v>
      </c>
      <c r="Q1140" s="39" t="s">
        <v>63</v>
      </c>
    </row>
    <row r="1141" spans="1:17" x14ac:dyDescent="0.25">
      <c r="A1141" s="1652" t="s">
        <v>1959</v>
      </c>
      <c r="B1141" s="1715"/>
      <c r="C1141" s="1715"/>
      <c r="D1141" s="1715"/>
      <c r="E1141" s="1715"/>
      <c r="F1141" s="42">
        <v>654259.80000000005</v>
      </c>
      <c r="G1141" s="42">
        <v>571867.9</v>
      </c>
      <c r="H1141" s="42">
        <f>H1127+H1135+H1138</f>
        <v>1042339.4</v>
      </c>
      <c r="I1141" s="42">
        <v>579411</v>
      </c>
      <c r="J1141" s="42">
        <v>587078.1</v>
      </c>
      <c r="K1141" s="15"/>
      <c r="L1141" s="554"/>
      <c r="M1141" s="554"/>
      <c r="N1141" s="554"/>
      <c r="O1141" s="554"/>
      <c r="P1141" s="554"/>
      <c r="Q1141" s="554"/>
    </row>
    <row r="1142" spans="1:17" x14ac:dyDescent="0.25">
      <c r="A1142" s="1648" t="s">
        <v>1960</v>
      </c>
      <c r="B1142" s="1649"/>
      <c r="C1142" s="1649"/>
      <c r="D1142" s="1649"/>
      <c r="E1142" s="1649"/>
      <c r="F1142" s="1649"/>
      <c r="G1142" s="1649"/>
      <c r="H1142" s="1649"/>
      <c r="I1142" s="1649"/>
      <c r="J1142" s="1649"/>
      <c r="K1142" s="1649"/>
      <c r="L1142" s="1649"/>
      <c r="M1142" s="1649"/>
      <c r="N1142" s="1649"/>
      <c r="O1142" s="1649"/>
      <c r="P1142" s="1649"/>
      <c r="Q1142" s="1650"/>
    </row>
    <row r="1143" spans="1:17" ht="71.25" x14ac:dyDescent="0.25">
      <c r="A1143" s="1991">
        <v>49</v>
      </c>
      <c r="B1143" s="2060">
        <v>2</v>
      </c>
      <c r="C1143" s="2051"/>
      <c r="D1143" s="2055"/>
      <c r="E1143" s="1630" t="s">
        <v>1961</v>
      </c>
      <c r="F1143" s="1904">
        <v>9853.7000000000007</v>
      </c>
      <c r="G1143" s="1904">
        <v>11692.6</v>
      </c>
      <c r="H1143" s="1999">
        <f>SUM(H1145:H1150)</f>
        <v>11692.6</v>
      </c>
      <c r="I1143" s="2001">
        <v>11846.8</v>
      </c>
      <c r="J1143" s="2001">
        <v>12003.6</v>
      </c>
      <c r="K1143" s="1195" t="s">
        <v>1962</v>
      </c>
      <c r="L1143" s="1196" t="s">
        <v>1334</v>
      </c>
      <c r="M1143" s="1196">
        <v>420</v>
      </c>
      <c r="N1143" s="1196">
        <v>450</v>
      </c>
      <c r="O1143" s="1196">
        <v>450</v>
      </c>
      <c r="P1143" s="1196">
        <v>450</v>
      </c>
      <c r="Q1143" s="1196">
        <v>450</v>
      </c>
    </row>
    <row r="1144" spans="1:17" ht="57" x14ac:dyDescent="0.25">
      <c r="A1144" s="1992"/>
      <c r="B1144" s="2061"/>
      <c r="C1144" s="2059"/>
      <c r="D1144" s="2056"/>
      <c r="E1144" s="1630"/>
      <c r="F1144" s="1905"/>
      <c r="G1144" s="1905"/>
      <c r="H1144" s="1999"/>
      <c r="I1144" s="2001"/>
      <c r="J1144" s="2001"/>
      <c r="K1144" s="1195" t="s">
        <v>1963</v>
      </c>
      <c r="L1144" s="1196" t="s">
        <v>825</v>
      </c>
      <c r="M1144" s="1196" t="s">
        <v>250</v>
      </c>
      <c r="N1144" s="1196" t="s">
        <v>251</v>
      </c>
      <c r="O1144" s="1196" t="s">
        <v>252</v>
      </c>
      <c r="P1144" s="1196" t="s">
        <v>253</v>
      </c>
      <c r="Q1144" s="1196" t="s">
        <v>254</v>
      </c>
    </row>
    <row r="1145" spans="1:17" ht="30" x14ac:dyDescent="0.25">
      <c r="A1145" s="1786"/>
      <c r="B1145" s="1787"/>
      <c r="C1145" s="1789" t="s">
        <v>4</v>
      </c>
      <c r="D1145" s="2055"/>
      <c r="E1145" s="1791" t="s">
        <v>1964</v>
      </c>
      <c r="F1145" s="1740">
        <v>1598.3</v>
      </c>
      <c r="G1145" s="1740">
        <v>1610</v>
      </c>
      <c r="H1145" s="1742">
        <v>1716</v>
      </c>
      <c r="I1145" s="1744">
        <v>1610</v>
      </c>
      <c r="J1145" s="1744">
        <v>1610</v>
      </c>
      <c r="K1145" s="1212" t="s">
        <v>1965</v>
      </c>
      <c r="L1145" s="1196" t="s">
        <v>825</v>
      </c>
      <c r="M1145" s="1196">
        <v>6</v>
      </c>
      <c r="N1145" s="688">
        <v>8</v>
      </c>
      <c r="O1145" s="688">
        <v>9</v>
      </c>
      <c r="P1145" s="688">
        <v>10</v>
      </c>
      <c r="Q1145" s="688">
        <v>10</v>
      </c>
    </row>
    <row r="1146" spans="1:17" x14ac:dyDescent="0.25">
      <c r="A1146" s="1786"/>
      <c r="B1146" s="1788"/>
      <c r="C1146" s="1789"/>
      <c r="D1146" s="2056"/>
      <c r="E1146" s="1791"/>
      <c r="F1146" s="1741"/>
      <c r="G1146" s="1741"/>
      <c r="H1146" s="2054"/>
      <c r="I1146" s="2050"/>
      <c r="J1146" s="2050"/>
      <c r="K1146" s="1212" t="s">
        <v>1966</v>
      </c>
      <c r="L1146" s="1196" t="s">
        <v>1334</v>
      </c>
      <c r="M1146" s="1196">
        <v>774</v>
      </c>
      <c r="N1146" s="688">
        <v>2100</v>
      </c>
      <c r="O1146" s="688">
        <v>2150</v>
      </c>
      <c r="P1146" s="688">
        <v>2200</v>
      </c>
      <c r="Q1146" s="688">
        <v>2200</v>
      </c>
    </row>
    <row r="1147" spans="1:17" x14ac:dyDescent="0.25">
      <c r="A1147" s="1132"/>
      <c r="B1147" s="1787"/>
      <c r="C1147" s="2037" t="s">
        <v>5</v>
      </c>
      <c r="D1147" s="2055"/>
      <c r="E1147" s="1746" t="s">
        <v>1967</v>
      </c>
      <c r="F1147" s="1740">
        <v>105.9</v>
      </c>
      <c r="G1147" s="1740">
        <v>106</v>
      </c>
      <c r="H1147" s="1744">
        <v>59.5</v>
      </c>
      <c r="I1147" s="1744">
        <v>107.3</v>
      </c>
      <c r="J1147" s="1744">
        <v>107.7</v>
      </c>
      <c r="K1147" s="1212"/>
      <c r="L1147" s="1196"/>
      <c r="M1147" s="1196"/>
      <c r="N1147" s="688"/>
      <c r="O1147" s="688"/>
      <c r="P1147" s="688"/>
      <c r="Q1147" s="688"/>
    </row>
    <row r="1148" spans="1:17" ht="30" x14ac:dyDescent="0.25">
      <c r="A1148" s="1161"/>
      <c r="B1148" s="2036"/>
      <c r="C1148" s="2038"/>
      <c r="D1148" s="2057"/>
      <c r="E1148" s="2039"/>
      <c r="F1148" s="1977"/>
      <c r="G1148" s="1977"/>
      <c r="H1148" s="2058"/>
      <c r="I1148" s="2058"/>
      <c r="J1148" s="2058"/>
      <c r="K1148" s="1212" t="s">
        <v>1968</v>
      </c>
      <c r="L1148" s="1196" t="s">
        <v>825</v>
      </c>
      <c r="M1148" s="1196">
        <v>162</v>
      </c>
      <c r="N1148" s="1196">
        <v>160</v>
      </c>
      <c r="O1148" s="1196">
        <v>165</v>
      </c>
      <c r="P1148" s="1196">
        <v>170</v>
      </c>
      <c r="Q1148" s="1196">
        <v>175</v>
      </c>
    </row>
    <row r="1149" spans="1:17" ht="30" x14ac:dyDescent="0.25">
      <c r="A1149" s="1161"/>
      <c r="B1149" s="1788"/>
      <c r="C1149" s="1859"/>
      <c r="D1149" s="2056"/>
      <c r="E1149" s="1747"/>
      <c r="F1149" s="1741"/>
      <c r="G1149" s="1741"/>
      <c r="H1149" s="2050"/>
      <c r="I1149" s="2050"/>
      <c r="J1149" s="2050"/>
      <c r="K1149" s="1212" t="s">
        <v>1969</v>
      </c>
      <c r="L1149" s="1401" t="s">
        <v>825</v>
      </c>
      <c r="M1149" s="1401">
        <v>5821</v>
      </c>
      <c r="N1149" s="1401">
        <v>6150</v>
      </c>
      <c r="O1149" s="1401">
        <v>6200</v>
      </c>
      <c r="P1149" s="1401">
        <v>6250</v>
      </c>
      <c r="Q1149" s="1401">
        <v>6300</v>
      </c>
    </row>
    <row r="1150" spans="1:17" ht="45" x14ac:dyDescent="0.25">
      <c r="A1150" s="1132"/>
      <c r="B1150" s="372"/>
      <c r="C1150" s="1134" t="s">
        <v>7</v>
      </c>
      <c r="D1150" s="178"/>
      <c r="E1150" s="1212" t="s">
        <v>1970</v>
      </c>
      <c r="F1150" s="755">
        <v>8149.5</v>
      </c>
      <c r="G1150" s="755">
        <v>9976.6</v>
      </c>
      <c r="H1150" s="1439">
        <v>9917.1</v>
      </c>
      <c r="I1150" s="1440">
        <v>10129.5</v>
      </c>
      <c r="J1150" s="1440">
        <v>10285.9</v>
      </c>
      <c r="K1150" s="1212" t="s">
        <v>1971</v>
      </c>
      <c r="L1150" s="1401" t="s">
        <v>34</v>
      </c>
      <c r="M1150" s="1401">
        <v>30</v>
      </c>
      <c r="N1150" s="1445">
        <v>50</v>
      </c>
      <c r="O1150" s="1445">
        <v>55</v>
      </c>
      <c r="P1150" s="1445">
        <v>60</v>
      </c>
      <c r="Q1150" s="1445">
        <v>65</v>
      </c>
    </row>
    <row r="1151" spans="1:17" ht="42.75" x14ac:dyDescent="0.25">
      <c r="A1151" s="1991">
        <v>49</v>
      </c>
      <c r="B1151" s="1989">
        <v>3</v>
      </c>
      <c r="C1151" s="2051"/>
      <c r="D1151" s="2055"/>
      <c r="E1151" s="2053" t="s">
        <v>1972</v>
      </c>
      <c r="F1151" s="1904">
        <v>50999.7</v>
      </c>
      <c r="G1151" s="1904">
        <v>28008.7</v>
      </c>
      <c r="H1151" s="1999">
        <f>SUM(H1153:H1156)</f>
        <v>28008.7</v>
      </c>
      <c r="I1151" s="2001">
        <v>28378.2</v>
      </c>
      <c r="J1151" s="2001">
        <v>28753.600526299997</v>
      </c>
      <c r="K1151" s="1195" t="s">
        <v>1973</v>
      </c>
      <c r="L1151" s="343" t="s">
        <v>1334</v>
      </c>
      <c r="M1151" s="1196">
        <v>195</v>
      </c>
      <c r="N1151" s="1196">
        <v>201</v>
      </c>
      <c r="O1151" s="1196">
        <v>259</v>
      </c>
      <c r="P1151" s="1196">
        <v>270</v>
      </c>
      <c r="Q1151" s="1196">
        <v>270</v>
      </c>
    </row>
    <row r="1152" spans="1:17" ht="60" x14ac:dyDescent="0.25">
      <c r="A1152" s="1992"/>
      <c r="B1152" s="1990"/>
      <c r="C1152" s="2059"/>
      <c r="D1152" s="2056"/>
      <c r="E1152" s="1703"/>
      <c r="F1152" s="1905"/>
      <c r="G1152" s="1905"/>
      <c r="H1152" s="1999"/>
      <c r="I1152" s="2001"/>
      <c r="J1152" s="2001"/>
      <c r="K1152" s="1212" t="s">
        <v>1974</v>
      </c>
      <c r="L1152" s="696" t="s">
        <v>823</v>
      </c>
      <c r="M1152" s="782">
        <v>171580</v>
      </c>
      <c r="N1152" s="1214">
        <v>160273</v>
      </c>
      <c r="O1152" s="1214">
        <v>160273</v>
      </c>
      <c r="P1152" s="1214">
        <v>162356</v>
      </c>
      <c r="Q1152" s="1214">
        <v>164467</v>
      </c>
    </row>
    <row r="1153" spans="1:17" ht="30" x14ac:dyDescent="0.25">
      <c r="A1153" s="1786"/>
      <c r="B1153" s="1787"/>
      <c r="C1153" s="1789" t="s">
        <v>4</v>
      </c>
      <c r="D1153" s="2055"/>
      <c r="E1153" s="1791" t="s">
        <v>1975</v>
      </c>
      <c r="F1153" s="1740">
        <v>32223.7</v>
      </c>
      <c r="G1153" s="1740">
        <v>19232.7</v>
      </c>
      <c r="H1153" s="1742">
        <v>19232.7</v>
      </c>
      <c r="I1153" s="1865">
        <v>19482.7</v>
      </c>
      <c r="J1153" s="1865">
        <v>19736.000526299998</v>
      </c>
      <c r="K1153" s="1212" t="s">
        <v>1976</v>
      </c>
      <c r="L1153" s="1246" t="s">
        <v>40</v>
      </c>
      <c r="M1153" s="1247">
        <v>13423</v>
      </c>
      <c r="N1153" s="1247">
        <v>13500</v>
      </c>
      <c r="O1153" s="1247">
        <v>13500</v>
      </c>
      <c r="P1153" s="783">
        <v>13700</v>
      </c>
      <c r="Q1153" s="783">
        <v>14000</v>
      </c>
    </row>
    <row r="1154" spans="1:17" ht="45" x14ac:dyDescent="0.25">
      <c r="A1154" s="1786"/>
      <c r="B1154" s="1788"/>
      <c r="C1154" s="1789"/>
      <c r="D1154" s="2056"/>
      <c r="E1154" s="1791"/>
      <c r="F1154" s="1741"/>
      <c r="G1154" s="1741"/>
      <c r="H1154" s="2054"/>
      <c r="I1154" s="1865"/>
      <c r="J1154" s="1865"/>
      <c r="K1154" s="1212" t="s">
        <v>1977</v>
      </c>
      <c r="L1154" s="696" t="s">
        <v>823</v>
      </c>
      <c r="M1154" s="22">
        <v>9062</v>
      </c>
      <c r="N1154" s="688">
        <v>10000</v>
      </c>
      <c r="O1154" s="688">
        <v>10000</v>
      </c>
      <c r="P1154" s="688">
        <v>10000</v>
      </c>
      <c r="Q1154" s="688">
        <v>10000</v>
      </c>
    </row>
    <row r="1155" spans="1:17" x14ac:dyDescent="0.25">
      <c r="A1155" s="1786"/>
      <c r="B1155" s="1787"/>
      <c r="C1155" s="1789" t="s">
        <v>5</v>
      </c>
      <c r="D1155" s="2055"/>
      <c r="E1155" s="1738" t="s">
        <v>1978</v>
      </c>
      <c r="F1155" s="1740">
        <v>18776</v>
      </c>
      <c r="G1155" s="1740">
        <v>8776</v>
      </c>
      <c r="H1155" s="1742">
        <v>8776</v>
      </c>
      <c r="I1155" s="1744">
        <v>8895.5</v>
      </c>
      <c r="J1155" s="1744">
        <v>9017.6</v>
      </c>
      <c r="K1155" s="784"/>
      <c r="L1155" s="785"/>
      <c r="M1155" s="1446"/>
      <c r="N1155" s="785"/>
      <c r="O1155" s="785"/>
      <c r="P1155" s="785"/>
      <c r="Q1155" s="785"/>
    </row>
    <row r="1156" spans="1:17" x14ac:dyDescent="0.25">
      <c r="A1156" s="1786"/>
      <c r="B1156" s="1788"/>
      <c r="C1156" s="1789"/>
      <c r="D1156" s="2056"/>
      <c r="E1156" s="1739"/>
      <c r="F1156" s="1741"/>
      <c r="G1156" s="1741"/>
      <c r="H1156" s="2054"/>
      <c r="I1156" s="2050"/>
      <c r="J1156" s="2050"/>
      <c r="K1156" s="784"/>
      <c r="L1156" s="785"/>
      <c r="M1156" s="786"/>
      <c r="N1156" s="785"/>
      <c r="O1156" s="785"/>
      <c r="P1156" s="785"/>
      <c r="Q1156" s="785"/>
    </row>
    <row r="1157" spans="1:17" x14ac:dyDescent="0.25">
      <c r="A1157" s="1651" t="s">
        <v>1979</v>
      </c>
      <c r="B1157" s="1651"/>
      <c r="C1157" s="1651"/>
      <c r="D1157" s="1651"/>
      <c r="E1157" s="1652"/>
      <c r="F1157" s="42">
        <v>60853.399999999994</v>
      </c>
      <c r="G1157" s="42">
        <v>39701.300000000003</v>
      </c>
      <c r="H1157" s="42">
        <f>H1143+H1151</f>
        <v>39701.300000000003</v>
      </c>
      <c r="I1157" s="42">
        <v>40225</v>
      </c>
      <c r="J1157" s="42">
        <v>40757.200526299996</v>
      </c>
      <c r="K1157" s="15"/>
      <c r="L1157" s="1231"/>
      <c r="M1157" s="1231"/>
      <c r="N1157" s="1231"/>
      <c r="O1157" s="1231"/>
      <c r="P1157" s="1231"/>
      <c r="Q1157" s="1231"/>
    </row>
    <row r="1158" spans="1:17" x14ac:dyDescent="0.25">
      <c r="A1158" s="1648" t="s">
        <v>1980</v>
      </c>
      <c r="B1158" s="1649"/>
      <c r="C1158" s="1649"/>
      <c r="D1158" s="1649"/>
      <c r="E1158" s="1649"/>
      <c r="F1158" s="1649"/>
      <c r="G1158" s="1649"/>
      <c r="H1158" s="1649"/>
      <c r="I1158" s="1649"/>
      <c r="J1158" s="1649"/>
      <c r="K1158" s="1649"/>
      <c r="L1158" s="1649"/>
      <c r="M1158" s="1649"/>
      <c r="N1158" s="1649"/>
      <c r="O1158" s="1649"/>
      <c r="P1158" s="1649"/>
      <c r="Q1158" s="1650"/>
    </row>
    <row r="1159" spans="1:17" ht="74.25" x14ac:dyDescent="0.25">
      <c r="A1159" s="1232">
        <v>50</v>
      </c>
      <c r="B1159" s="386">
        <v>1</v>
      </c>
      <c r="C1159" s="1105"/>
      <c r="D1159" s="753"/>
      <c r="E1159" s="672" t="s">
        <v>3112</v>
      </c>
      <c r="F1159" s="787">
        <v>5775.1</v>
      </c>
      <c r="G1159" s="787">
        <v>5851.8</v>
      </c>
      <c r="H1159" s="787">
        <f>SUM(H1160:H1163)</f>
        <v>32535.899999999998</v>
      </c>
      <c r="I1159" s="787">
        <v>5930.4</v>
      </c>
      <c r="J1159" s="787">
        <v>6007.5</v>
      </c>
      <c r="K1159" s="1195" t="s">
        <v>1907</v>
      </c>
      <c r="L1159" s="343" t="s">
        <v>34</v>
      </c>
      <c r="M1159" s="788">
        <v>1</v>
      </c>
      <c r="N1159" s="788">
        <v>1</v>
      </c>
      <c r="O1159" s="343"/>
      <c r="P1159" s="343"/>
      <c r="Q1159" s="343"/>
    </row>
    <row r="1160" spans="1:17" x14ac:dyDescent="0.25">
      <c r="A1160" s="1447"/>
      <c r="B1160" s="1448"/>
      <c r="C1160" s="1399" t="s">
        <v>4</v>
      </c>
      <c r="D1160" s="671"/>
      <c r="E1160" s="1418" t="s">
        <v>1406</v>
      </c>
      <c r="F1160" s="755">
        <v>2180.1</v>
      </c>
      <c r="G1160" s="755">
        <v>2209</v>
      </c>
      <c r="H1160" s="1151">
        <v>1451.2</v>
      </c>
      <c r="I1160" s="1152">
        <v>2251.1</v>
      </c>
      <c r="J1160" s="1152">
        <v>2280.3000000000002</v>
      </c>
      <c r="K1160" s="1195"/>
      <c r="L1160" s="343"/>
      <c r="M1160" s="788"/>
      <c r="N1160" s="788"/>
      <c r="O1160" s="343"/>
      <c r="P1160" s="343"/>
      <c r="Q1160" s="343"/>
    </row>
    <row r="1161" spans="1:17" ht="30" x14ac:dyDescent="0.25">
      <c r="A1161" s="1447"/>
      <c r="B1161" s="1449"/>
      <c r="C1161" s="789" t="s">
        <v>5</v>
      </c>
      <c r="D1161" s="677"/>
      <c r="E1161" s="1235" t="s">
        <v>394</v>
      </c>
      <c r="F1161" s="755">
        <v>3595</v>
      </c>
      <c r="G1161" s="755">
        <v>3642.8</v>
      </c>
      <c r="H1161" s="1151">
        <v>1378.6</v>
      </c>
      <c r="I1161" s="1152">
        <v>3679.3</v>
      </c>
      <c r="J1161" s="1152">
        <v>3727.2</v>
      </c>
      <c r="K1161" s="1212" t="s">
        <v>1908</v>
      </c>
      <c r="L1161" s="1196" t="s">
        <v>34</v>
      </c>
      <c r="M1161" s="790">
        <v>1</v>
      </c>
      <c r="N1161" s="790">
        <v>1</v>
      </c>
      <c r="O1161" s="343"/>
      <c r="P1161" s="343"/>
      <c r="Q1161" s="343"/>
    </row>
    <row r="1162" spans="1:17" x14ac:dyDescent="0.25">
      <c r="A1162" s="1447"/>
      <c r="B1162" s="1449"/>
      <c r="C1162" s="1450" t="s">
        <v>7</v>
      </c>
      <c r="D1162" s="1199"/>
      <c r="E1162" s="1235" t="s">
        <v>842</v>
      </c>
      <c r="F1162" s="1451"/>
      <c r="G1162" s="1451"/>
      <c r="H1162" s="1439">
        <v>237</v>
      </c>
      <c r="I1162" s="1440"/>
      <c r="J1162" s="1440"/>
      <c r="K1162" s="1452"/>
      <c r="L1162" s="1401"/>
      <c r="M1162" s="1453"/>
      <c r="N1162" s="1453"/>
      <c r="O1162" s="1454"/>
      <c r="P1162" s="1454"/>
      <c r="Q1162" s="1454"/>
    </row>
    <row r="1163" spans="1:17" ht="30" x14ac:dyDescent="0.25">
      <c r="A1163" s="1447"/>
      <c r="B1163" s="1449"/>
      <c r="C1163" s="1450" t="s">
        <v>15</v>
      </c>
      <c r="D1163" s="791"/>
      <c r="E1163" s="1138" t="s">
        <v>1946</v>
      </c>
      <c r="F1163" s="1451"/>
      <c r="G1163" s="1451"/>
      <c r="H1163" s="1439">
        <v>29469.1</v>
      </c>
      <c r="I1163" s="1440"/>
      <c r="J1163" s="1440"/>
      <c r="K1163" s="1452"/>
      <c r="L1163" s="1401"/>
      <c r="M1163" s="1453"/>
      <c r="N1163" s="1453"/>
      <c r="O1163" s="1454"/>
      <c r="P1163" s="1454"/>
      <c r="Q1163" s="1454"/>
    </row>
    <row r="1164" spans="1:17" x14ac:dyDescent="0.25">
      <c r="A1164" s="1991">
        <v>50</v>
      </c>
      <c r="B1164" s="1989">
        <v>2</v>
      </c>
      <c r="C1164" s="2051"/>
      <c r="D1164" s="2053"/>
      <c r="E1164" s="1630" t="s">
        <v>1981</v>
      </c>
      <c r="F1164" s="2001">
        <v>12542.2</v>
      </c>
      <c r="G1164" s="1906">
        <v>24551.699999999997</v>
      </c>
      <c r="H1164" s="1906">
        <f>SUM(H1166:H1178)</f>
        <v>0</v>
      </c>
      <c r="I1164" s="1906">
        <v>24874.1</v>
      </c>
      <c r="J1164" s="1906">
        <v>25204.7</v>
      </c>
      <c r="K1164" s="1435"/>
      <c r="L1164" s="1454"/>
      <c r="M1164" s="1454"/>
      <c r="N1164" s="1454"/>
      <c r="O1164" s="1454"/>
      <c r="P1164" s="1454"/>
      <c r="Q1164" s="1454"/>
    </row>
    <row r="1165" spans="1:17" ht="30" x14ac:dyDescent="0.25">
      <c r="A1165" s="2041"/>
      <c r="B1165" s="1990"/>
      <c r="C1165" s="2052"/>
      <c r="D1165" s="1703"/>
      <c r="E1165" s="1630"/>
      <c r="F1165" s="2001">
        <v>24549.7</v>
      </c>
      <c r="G1165" s="1907">
        <v>24550.7</v>
      </c>
      <c r="H1165" s="1907">
        <v>24551.699999999997</v>
      </c>
      <c r="I1165" s="1907">
        <v>24552.7</v>
      </c>
      <c r="J1165" s="1907">
        <v>24553.7</v>
      </c>
      <c r="K1165" s="1138" t="s">
        <v>1915</v>
      </c>
      <c r="L1165" s="1220"/>
      <c r="M1165" s="1220"/>
      <c r="N1165" s="1220"/>
      <c r="O1165" s="1220"/>
      <c r="P1165" s="1220"/>
      <c r="Q1165" s="1220"/>
    </row>
    <row r="1166" spans="1:17" ht="45" x14ac:dyDescent="0.25">
      <c r="A1166" s="1991"/>
      <c r="B1166" s="1455"/>
      <c r="C1166" s="2037" t="s">
        <v>4</v>
      </c>
      <c r="D1166" s="2053"/>
      <c r="E1166" s="1746" t="s">
        <v>1982</v>
      </c>
      <c r="F1166" s="1740">
        <v>1200</v>
      </c>
      <c r="G1166" s="1740">
        <v>3524.9</v>
      </c>
      <c r="H1166" s="1742"/>
      <c r="I1166" s="1744">
        <v>3684.7</v>
      </c>
      <c r="J1166" s="1744">
        <v>3798.2</v>
      </c>
      <c r="K1166" s="1452" t="s">
        <v>1983</v>
      </c>
      <c r="L1166" s="1401"/>
      <c r="M1166" s="1456">
        <v>0.5</v>
      </c>
      <c r="N1166" s="1401"/>
      <c r="O1166" s="1401"/>
      <c r="P1166" s="1401"/>
      <c r="Q1166" s="1401"/>
    </row>
    <row r="1167" spans="1:17" x14ac:dyDescent="0.25">
      <c r="A1167" s="2041"/>
      <c r="B1167" s="1194"/>
      <c r="C1167" s="1859"/>
      <c r="D1167" s="1703"/>
      <c r="E1167" s="1747"/>
      <c r="F1167" s="1741"/>
      <c r="G1167" s="1741"/>
      <c r="H1167" s="2054"/>
      <c r="I1167" s="2050">
        <v>3571.5</v>
      </c>
      <c r="J1167" s="2050">
        <v>3585.2</v>
      </c>
      <c r="K1167" s="1296"/>
      <c r="L1167" s="1247"/>
      <c r="M1167" s="1247"/>
      <c r="N1167" s="1247"/>
      <c r="O1167" s="1247"/>
      <c r="P1167" s="1247"/>
      <c r="Q1167" s="1247"/>
    </row>
    <row r="1168" spans="1:17" ht="30" x14ac:dyDescent="0.25">
      <c r="A1168" s="1430"/>
      <c r="B1168" s="1438"/>
      <c r="C1168" s="1399" t="s">
        <v>5</v>
      </c>
      <c r="D1168" s="253"/>
      <c r="E1168" s="1212" t="s">
        <v>1984</v>
      </c>
      <c r="F1168" s="755">
        <v>1600</v>
      </c>
      <c r="G1168" s="755">
        <v>4092.5</v>
      </c>
      <c r="H1168" s="1151"/>
      <c r="I1168" s="1152">
        <v>4133.5</v>
      </c>
      <c r="J1168" s="1152">
        <v>4726.1000000000004</v>
      </c>
      <c r="K1168" s="1212" t="s">
        <v>1985</v>
      </c>
      <c r="L1168" s="1196"/>
      <c r="M1168" s="679">
        <v>1</v>
      </c>
      <c r="N1168" s="792">
        <v>1</v>
      </c>
      <c r="O1168" s="1234"/>
      <c r="P1168" s="1234"/>
      <c r="Q1168" s="1234"/>
    </row>
    <row r="1169" spans="1:17" ht="30" x14ac:dyDescent="0.25">
      <c r="A1169" s="1430"/>
      <c r="B1169" s="1438"/>
      <c r="C1169" s="1399" t="s">
        <v>7</v>
      </c>
      <c r="D1169" s="1400"/>
      <c r="E1169" s="1212" t="s">
        <v>1986</v>
      </c>
      <c r="F1169" s="755"/>
      <c r="G1169" s="755">
        <v>3295.1</v>
      </c>
      <c r="H1169" s="1151"/>
      <c r="I1169" s="1152">
        <v>3280</v>
      </c>
      <c r="J1169" s="1152">
        <v>3322.6</v>
      </c>
      <c r="K1169" s="1212" t="s">
        <v>1985</v>
      </c>
      <c r="L1169" s="1196"/>
      <c r="M1169" s="1196"/>
      <c r="N1169" s="1125"/>
      <c r="O1169" s="1125"/>
      <c r="P1169" s="1125"/>
      <c r="Q1169" s="1125"/>
    </row>
    <row r="1170" spans="1:17" x14ac:dyDescent="0.25">
      <c r="A1170" s="2033"/>
      <c r="B1170" s="1457"/>
      <c r="C1170" s="2037" t="s">
        <v>9</v>
      </c>
      <c r="D1170" s="1626"/>
      <c r="E1170" s="1791" t="s">
        <v>1987</v>
      </c>
      <c r="F1170" s="1740">
        <v>0</v>
      </c>
      <c r="G1170" s="1740">
        <v>300</v>
      </c>
      <c r="H1170" s="1744"/>
      <c r="I1170" s="1744">
        <v>303</v>
      </c>
      <c r="J1170" s="1744">
        <v>306.89999999999998</v>
      </c>
      <c r="K1170" s="1212" t="s">
        <v>1988</v>
      </c>
      <c r="L1170" s="1196"/>
      <c r="M1170" s="679">
        <v>1</v>
      </c>
      <c r="N1170" s="1125">
        <v>1</v>
      </c>
      <c r="O1170" s="1125"/>
      <c r="P1170" s="1125"/>
      <c r="Q1170" s="1125"/>
    </row>
    <row r="1171" spans="1:17" x14ac:dyDescent="0.25">
      <c r="A1171" s="2035"/>
      <c r="B1171" s="1133"/>
      <c r="C1171" s="1859"/>
      <c r="D1171" s="1627"/>
      <c r="E1171" s="1791"/>
      <c r="F1171" s="1741"/>
      <c r="G1171" s="1741"/>
      <c r="H1171" s="2050"/>
      <c r="I1171" s="2050"/>
      <c r="J1171" s="2050"/>
      <c r="K1171" s="1212" t="s">
        <v>1985</v>
      </c>
      <c r="L1171" s="1196"/>
      <c r="M1171" s="1196"/>
      <c r="N1171" s="1125"/>
      <c r="O1171" s="1125"/>
      <c r="P1171" s="1125"/>
      <c r="Q1171" s="1125"/>
    </row>
    <row r="1172" spans="1:17" ht="90" x14ac:dyDescent="0.25">
      <c r="A1172" s="1430"/>
      <c r="B1172" s="1438"/>
      <c r="C1172" s="1399" t="s">
        <v>11</v>
      </c>
      <c r="D1172" s="1400"/>
      <c r="E1172" s="1212" t="s">
        <v>1989</v>
      </c>
      <c r="F1172" s="755">
        <v>1700</v>
      </c>
      <c r="G1172" s="755">
        <v>2119.6</v>
      </c>
      <c r="H1172" s="1151"/>
      <c r="I1172" s="1152">
        <v>2140.8000000000002</v>
      </c>
      <c r="J1172" s="1152">
        <v>2168.6</v>
      </c>
      <c r="K1172" s="1452" t="s">
        <v>1983</v>
      </c>
      <c r="L1172" s="1196"/>
      <c r="M1172" s="679">
        <v>1</v>
      </c>
      <c r="N1172" s="1125">
        <v>1</v>
      </c>
      <c r="O1172" s="1234"/>
      <c r="P1172" s="1234"/>
      <c r="Q1172" s="1234"/>
    </row>
    <row r="1173" spans="1:17" x14ac:dyDescent="0.25">
      <c r="A1173" s="1430"/>
      <c r="B1173" s="1438"/>
      <c r="C1173" s="1399" t="s">
        <v>13</v>
      </c>
      <c r="D1173" s="1400"/>
      <c r="E1173" s="1212" t="s">
        <v>1990</v>
      </c>
      <c r="F1173" s="755">
        <v>1600</v>
      </c>
      <c r="G1173" s="755">
        <v>1059.8</v>
      </c>
      <c r="H1173" s="1151"/>
      <c r="I1173" s="1152">
        <v>1070.4000000000001</v>
      </c>
      <c r="J1173" s="1152">
        <v>1084.3</v>
      </c>
      <c r="K1173" s="1212" t="s">
        <v>1985</v>
      </c>
      <c r="L1173" s="1196"/>
      <c r="M1173" s="1196"/>
      <c r="N1173" s="1234"/>
      <c r="O1173" s="1234"/>
      <c r="P1173" s="1234"/>
      <c r="Q1173" s="1234"/>
    </row>
    <row r="1174" spans="1:17" x14ac:dyDescent="0.25">
      <c r="A1174" s="1430"/>
      <c r="B1174" s="1438"/>
      <c r="C1174" s="1399" t="s">
        <v>15</v>
      </c>
      <c r="D1174" s="1400"/>
      <c r="E1174" s="1212" t="s">
        <v>1991</v>
      </c>
      <c r="F1174" s="755"/>
      <c r="G1174" s="755">
        <v>1059.8</v>
      </c>
      <c r="H1174" s="1151"/>
      <c r="I1174" s="1152">
        <v>1070.4000000000001</v>
      </c>
      <c r="J1174" s="1152">
        <v>1084.3</v>
      </c>
      <c r="K1174" s="1212" t="s">
        <v>1985</v>
      </c>
      <c r="L1174" s="1196"/>
      <c r="M1174" s="1196"/>
      <c r="N1174" s="1234"/>
      <c r="O1174" s="1234"/>
      <c r="P1174" s="1234"/>
      <c r="Q1174" s="1234"/>
    </row>
    <row r="1175" spans="1:17" ht="60" x14ac:dyDescent="0.25">
      <c r="A1175" s="1430"/>
      <c r="B1175" s="1438"/>
      <c r="C1175" s="1399" t="s">
        <v>16</v>
      </c>
      <c r="D1175" s="1400"/>
      <c r="E1175" s="1212" t="s">
        <v>1992</v>
      </c>
      <c r="F1175" s="755">
        <v>1142.2</v>
      </c>
      <c r="G1175" s="755">
        <v>2800</v>
      </c>
      <c r="H1175" s="1151"/>
      <c r="I1175" s="1152">
        <v>2828.1</v>
      </c>
      <c r="J1175" s="1152">
        <v>2864.8</v>
      </c>
      <c r="K1175" s="1212" t="s">
        <v>1985</v>
      </c>
      <c r="L1175" s="1196"/>
      <c r="M1175" s="1196"/>
      <c r="N1175" s="1234"/>
      <c r="O1175" s="1234"/>
      <c r="P1175" s="1234"/>
      <c r="Q1175" s="1234"/>
    </row>
    <row r="1176" spans="1:17" x14ac:dyDescent="0.25">
      <c r="A1176" s="2033"/>
      <c r="B1176" s="1457"/>
      <c r="C1176" s="1789" t="s">
        <v>18</v>
      </c>
      <c r="D1176" s="1632"/>
      <c r="E1176" s="1791" t="s">
        <v>1993</v>
      </c>
      <c r="F1176" s="1740">
        <v>5000</v>
      </c>
      <c r="G1176" s="1740">
        <v>6000</v>
      </c>
      <c r="H1176" s="1742"/>
      <c r="I1176" s="1744">
        <v>6060.2</v>
      </c>
      <c r="J1176" s="1744">
        <v>5542</v>
      </c>
      <c r="K1176" s="1212" t="s">
        <v>1985</v>
      </c>
      <c r="L1176" s="1196"/>
      <c r="M1176" s="1196"/>
      <c r="N1176" s="1196"/>
      <c r="O1176" s="1196"/>
      <c r="P1176" s="1196"/>
      <c r="Q1176" s="1196"/>
    </row>
    <row r="1177" spans="1:17" x14ac:dyDescent="0.25">
      <c r="A1177" s="2034"/>
      <c r="B1177" s="1211"/>
      <c r="C1177" s="1789"/>
      <c r="D1177" s="1632"/>
      <c r="E1177" s="1791"/>
      <c r="F1177" s="1741"/>
      <c r="G1177" s="1741"/>
      <c r="H1177" s="1743"/>
      <c r="I1177" s="1745"/>
      <c r="J1177" s="1745"/>
      <c r="K1177" s="1212"/>
      <c r="L1177" s="1196"/>
      <c r="M1177" s="1196"/>
      <c r="N1177" s="1196"/>
      <c r="O1177" s="1196"/>
      <c r="P1177" s="1196"/>
      <c r="Q1177" s="1196"/>
    </row>
    <row r="1178" spans="1:17" ht="45" x14ac:dyDescent="0.25">
      <c r="A1178" s="793"/>
      <c r="B1178" s="1143"/>
      <c r="C1178" s="1105" t="s">
        <v>20</v>
      </c>
      <c r="D1178" s="253"/>
      <c r="E1178" s="1212" t="s">
        <v>1994</v>
      </c>
      <c r="F1178" s="755">
        <v>300</v>
      </c>
      <c r="G1178" s="755">
        <v>300</v>
      </c>
      <c r="H1178" s="1284"/>
      <c r="I1178" s="794">
        <v>303</v>
      </c>
      <c r="J1178" s="1221">
        <v>306.89999999999998</v>
      </c>
      <c r="K1178" s="1212" t="s">
        <v>255</v>
      </c>
      <c r="L1178" s="1196"/>
      <c r="M1178" s="1196"/>
      <c r="N1178" s="1125"/>
      <c r="O1178" s="1125"/>
      <c r="P1178" s="1125"/>
      <c r="Q1178" s="1125"/>
    </row>
    <row r="1179" spans="1:17" x14ac:dyDescent="0.25">
      <c r="A1179" s="1652" t="s">
        <v>1995</v>
      </c>
      <c r="B1179" s="1715"/>
      <c r="C1179" s="1715"/>
      <c r="D1179" s="1715"/>
      <c r="E1179" s="1715"/>
      <c r="F1179" s="42">
        <v>18317.300000000003</v>
      </c>
      <c r="G1179" s="42">
        <v>30403.499999999996</v>
      </c>
      <c r="H1179" s="42">
        <f>H1159+H1164</f>
        <v>32535.899999999998</v>
      </c>
      <c r="I1179" s="42">
        <v>30804.5</v>
      </c>
      <c r="J1179" s="42">
        <v>31212.2</v>
      </c>
      <c r="K1179" s="15"/>
      <c r="L1179" s="1281"/>
      <c r="M1179" s="1282"/>
      <c r="N1179" s="1282"/>
      <c r="O1179" s="1282"/>
      <c r="P1179" s="1282"/>
      <c r="Q1179" s="1283"/>
    </row>
    <row r="1180" spans="1:17" x14ac:dyDescent="0.25">
      <c r="A1180" s="2044" t="s">
        <v>1996</v>
      </c>
      <c r="B1180" s="2045"/>
      <c r="C1180" s="2045"/>
      <c r="D1180" s="2045"/>
      <c r="E1180" s="2045"/>
      <c r="F1180" s="2045"/>
      <c r="G1180" s="2045"/>
      <c r="H1180" s="2045"/>
      <c r="I1180" s="2045"/>
      <c r="J1180" s="2045"/>
      <c r="K1180" s="2045"/>
      <c r="L1180" s="2045"/>
      <c r="M1180" s="2045"/>
      <c r="N1180" s="2045"/>
      <c r="O1180" s="2045"/>
      <c r="P1180" s="2045"/>
      <c r="Q1180" s="2046"/>
    </row>
    <row r="1181" spans="1:17" ht="74.25" x14ac:dyDescent="0.25">
      <c r="A1181" s="1115">
        <v>51</v>
      </c>
      <c r="B1181" s="1297">
        <v>1</v>
      </c>
      <c r="C1181" s="1171"/>
      <c r="D1181" s="12"/>
      <c r="E1181" s="672" t="s">
        <v>3112</v>
      </c>
      <c r="F1181" s="1229">
        <v>14880.300000000001</v>
      </c>
      <c r="G1181" s="1229">
        <v>14797.3</v>
      </c>
      <c r="H1181" s="1229">
        <f>SUM(H1182:H1187)</f>
        <v>18089.8</v>
      </c>
      <c r="I1181" s="1229">
        <v>15062.5</v>
      </c>
      <c r="J1181" s="1229">
        <v>15422.400000000001</v>
      </c>
      <c r="K1181" s="1195" t="s">
        <v>1907</v>
      </c>
      <c r="L1181" s="1214" t="s">
        <v>34</v>
      </c>
      <c r="M1181" s="459">
        <v>4.5</v>
      </c>
      <c r="N1181" s="459">
        <v>4.5</v>
      </c>
      <c r="O1181" s="459">
        <v>4.5</v>
      </c>
      <c r="P1181" s="459">
        <v>4.5</v>
      </c>
      <c r="Q1181" s="459">
        <v>4.5</v>
      </c>
    </row>
    <row r="1182" spans="1:17" x14ac:dyDescent="0.25">
      <c r="A1182" s="1170"/>
      <c r="B1182" s="1248"/>
      <c r="C1182" s="1117" t="s">
        <v>4</v>
      </c>
      <c r="D1182" s="12"/>
      <c r="E1182" s="1418" t="s">
        <v>1406</v>
      </c>
      <c r="F1182" s="1139">
        <v>6300.4</v>
      </c>
      <c r="G1182" s="1139">
        <v>6211.7</v>
      </c>
      <c r="H1182" s="1139">
        <v>5156.2</v>
      </c>
      <c r="I1182" s="1139">
        <v>6377.5</v>
      </c>
      <c r="J1182" s="1139">
        <v>6708.7</v>
      </c>
      <c r="K1182" s="1212" t="s">
        <v>438</v>
      </c>
      <c r="L1182" s="1214"/>
      <c r="M1182" s="459"/>
      <c r="N1182" s="459"/>
      <c r="O1182" s="459"/>
      <c r="P1182" s="459"/>
      <c r="Q1182" s="459"/>
    </row>
    <row r="1183" spans="1:17" ht="30" x14ac:dyDescent="0.25">
      <c r="A1183" s="1170"/>
      <c r="B1183" s="1248"/>
      <c r="C1183" s="1117" t="s">
        <v>5</v>
      </c>
      <c r="D1183" s="12"/>
      <c r="E1183" s="1235" t="s">
        <v>394</v>
      </c>
      <c r="F1183" s="1139">
        <v>1796</v>
      </c>
      <c r="G1183" s="1139">
        <v>1794.2</v>
      </c>
      <c r="H1183" s="1139">
        <v>3724.7</v>
      </c>
      <c r="I1183" s="1139">
        <v>1818</v>
      </c>
      <c r="J1183" s="1139">
        <v>1824</v>
      </c>
      <c r="K1183" s="1205" t="s">
        <v>1942</v>
      </c>
      <c r="L1183" s="1214"/>
      <c r="M1183" s="1214">
        <v>52</v>
      </c>
      <c r="N1183" s="1214">
        <v>54</v>
      </c>
      <c r="O1183" s="1214">
        <v>56</v>
      </c>
      <c r="P1183" s="1214">
        <v>60</v>
      </c>
      <c r="Q1183" s="1214">
        <v>62</v>
      </c>
    </row>
    <row r="1184" spans="1:17" ht="30" x14ac:dyDescent="0.25">
      <c r="A1184" s="1170"/>
      <c r="B1184" s="1248"/>
      <c r="C1184" s="1117" t="s">
        <v>7</v>
      </c>
      <c r="D1184" s="12"/>
      <c r="E1184" s="1235" t="s">
        <v>842</v>
      </c>
      <c r="F1184" s="1139">
        <v>2219.5</v>
      </c>
      <c r="G1184" s="1139">
        <v>2231.4</v>
      </c>
      <c r="H1184" s="1139">
        <v>2365.5</v>
      </c>
      <c r="I1184" s="1139">
        <v>2246.6</v>
      </c>
      <c r="J1184" s="1139">
        <v>2254</v>
      </c>
      <c r="K1184" s="1212" t="s">
        <v>1909</v>
      </c>
      <c r="L1184" s="1214"/>
      <c r="M1184" s="2047">
        <v>40</v>
      </c>
      <c r="N1184" s="2047">
        <v>45</v>
      </c>
      <c r="O1184" s="2047">
        <v>50</v>
      </c>
      <c r="P1184" s="2047">
        <v>55</v>
      </c>
      <c r="Q1184" s="2047">
        <v>60</v>
      </c>
    </row>
    <row r="1185" spans="1:17" ht="30" x14ac:dyDescent="0.25">
      <c r="A1185" s="1170"/>
      <c r="B1185" s="1248"/>
      <c r="C1185" s="1117" t="s">
        <v>11</v>
      </c>
      <c r="D1185" s="12"/>
      <c r="E1185" s="1235" t="s">
        <v>1873</v>
      </c>
      <c r="F1185" s="1139">
        <v>546</v>
      </c>
      <c r="G1185" s="1139">
        <v>545.5</v>
      </c>
      <c r="H1185" s="1139">
        <v>525.5</v>
      </c>
      <c r="I1185" s="1139">
        <v>552.79999999999995</v>
      </c>
      <c r="J1185" s="1139">
        <v>555</v>
      </c>
      <c r="K1185" s="1212" t="s">
        <v>1911</v>
      </c>
      <c r="L1185" s="1214"/>
      <c r="M1185" s="2047"/>
      <c r="N1185" s="2047"/>
      <c r="O1185" s="2047"/>
      <c r="P1185" s="2047"/>
      <c r="Q1185" s="2047"/>
    </row>
    <row r="1186" spans="1:17" ht="30" x14ac:dyDescent="0.25">
      <c r="A1186" s="1170"/>
      <c r="B1186" s="1248"/>
      <c r="C1186" s="1117" t="s">
        <v>9</v>
      </c>
      <c r="D1186" s="12"/>
      <c r="E1186" s="1235" t="s">
        <v>396</v>
      </c>
      <c r="F1186" s="1139">
        <v>2337.3000000000002</v>
      </c>
      <c r="G1186" s="1139">
        <v>2335</v>
      </c>
      <c r="H1186" s="1139">
        <v>2185</v>
      </c>
      <c r="I1186" s="1139">
        <v>2365.9</v>
      </c>
      <c r="J1186" s="1139">
        <v>2373.5</v>
      </c>
      <c r="K1186" s="1212" t="s">
        <v>1909</v>
      </c>
      <c r="L1186" s="1214"/>
      <c r="M1186" s="1214">
        <v>28</v>
      </c>
      <c r="N1186" s="1214">
        <v>20</v>
      </c>
      <c r="O1186" s="1214">
        <v>16</v>
      </c>
      <c r="P1186" s="1214">
        <v>12</v>
      </c>
      <c r="Q1186" s="1214">
        <v>10</v>
      </c>
    </row>
    <row r="1187" spans="1:17" ht="30" x14ac:dyDescent="0.25">
      <c r="A1187" s="1170"/>
      <c r="B1187" s="1248"/>
      <c r="C1187" s="1117" t="s">
        <v>13</v>
      </c>
      <c r="D1187" s="12"/>
      <c r="E1187" s="1217" t="s">
        <v>534</v>
      </c>
      <c r="F1187" s="1139">
        <v>1681.1</v>
      </c>
      <c r="G1187" s="1139">
        <v>1679.5</v>
      </c>
      <c r="H1187" s="1139">
        <v>4132.8999999999996</v>
      </c>
      <c r="I1187" s="1139">
        <v>1701.7</v>
      </c>
      <c r="J1187" s="1139">
        <v>1707.2</v>
      </c>
      <c r="K1187" s="1212" t="s">
        <v>1912</v>
      </c>
      <c r="L1187" s="1214"/>
      <c r="M1187" s="1214">
        <v>5</v>
      </c>
      <c r="N1187" s="1214"/>
      <c r="O1187" s="1214"/>
      <c r="P1187" s="1214"/>
      <c r="Q1187" s="1214"/>
    </row>
    <row r="1188" spans="1:17" ht="42.75" x14ac:dyDescent="0.25">
      <c r="A1188" s="1115">
        <v>51</v>
      </c>
      <c r="B1188" s="1297">
        <v>2</v>
      </c>
      <c r="C1188" s="1171"/>
      <c r="D1188" s="12"/>
      <c r="E1188" s="178" t="s">
        <v>1997</v>
      </c>
      <c r="F1188" s="1229">
        <v>18601.199999999997</v>
      </c>
      <c r="G1188" s="1229">
        <v>19465</v>
      </c>
      <c r="H1188" s="1229">
        <f>SUM(H1189:H1190)</f>
        <v>36360.050000000003</v>
      </c>
      <c r="I1188" s="1229">
        <v>16048.6</v>
      </c>
      <c r="J1188" s="1229">
        <v>16100.400000000001</v>
      </c>
      <c r="K1188" s="1205"/>
      <c r="L1188" s="1214"/>
      <c r="M1188" s="1214"/>
      <c r="N1188" s="1214"/>
      <c r="O1188" s="1214"/>
      <c r="P1188" s="1214"/>
      <c r="Q1188" s="1214"/>
    </row>
    <row r="1189" spans="1:17" ht="45" x14ac:dyDescent="0.25">
      <c r="A1189" s="1170"/>
      <c r="B1189" s="1248"/>
      <c r="C1189" s="1170">
        <v>1</v>
      </c>
      <c r="D1189" s="12"/>
      <c r="E1189" s="1217" t="s">
        <v>1998</v>
      </c>
      <c r="F1189" s="1139">
        <v>9705.4</v>
      </c>
      <c r="G1189" s="1139">
        <v>7954.4</v>
      </c>
      <c r="H1189" s="1139">
        <v>21274.7</v>
      </c>
      <c r="I1189" s="1139">
        <v>8024.5</v>
      </c>
      <c r="J1189" s="1139">
        <v>8050.3</v>
      </c>
      <c r="K1189" s="1302" t="s">
        <v>1999</v>
      </c>
      <c r="L1189" s="1214" t="s">
        <v>34</v>
      </c>
      <c r="M1189" s="1138">
        <v>26</v>
      </c>
      <c r="N1189" s="1138">
        <v>26</v>
      </c>
      <c r="O1189" s="1138">
        <v>28</v>
      </c>
      <c r="P1189" s="1138">
        <v>29</v>
      </c>
      <c r="Q1189" s="1138">
        <v>30</v>
      </c>
    </row>
    <row r="1190" spans="1:17" ht="28.5" x14ac:dyDescent="0.25">
      <c r="A1190" s="1170"/>
      <c r="B1190" s="1248"/>
      <c r="C1190" s="1170">
        <v>2</v>
      </c>
      <c r="D1190" s="12"/>
      <c r="E1190" s="1217" t="s">
        <v>2000</v>
      </c>
      <c r="F1190" s="1139">
        <v>8895.7999999999993</v>
      </c>
      <c r="G1190" s="1139">
        <v>11510.6</v>
      </c>
      <c r="H1190" s="1139">
        <f>11239.25+3842.5+3.6</f>
        <v>15085.35</v>
      </c>
      <c r="I1190" s="1139">
        <v>8024.1</v>
      </c>
      <c r="J1190" s="1139">
        <v>8050.1</v>
      </c>
      <c r="K1190" s="20" t="s">
        <v>2001</v>
      </c>
      <c r="L1190" s="1214" t="s">
        <v>1633</v>
      </c>
      <c r="M1190" s="1138">
        <v>26</v>
      </c>
      <c r="N1190" s="1138">
        <v>26</v>
      </c>
      <c r="O1190" s="1138">
        <v>26</v>
      </c>
      <c r="P1190" s="1138">
        <v>26</v>
      </c>
      <c r="Q1190" s="1138">
        <v>26</v>
      </c>
    </row>
    <row r="1191" spans="1:17" ht="28.5" x14ac:dyDescent="0.25">
      <c r="A1191" s="1115">
        <v>51</v>
      </c>
      <c r="B1191" s="1297">
        <v>992</v>
      </c>
      <c r="C1191" s="1170"/>
      <c r="D1191" s="12"/>
      <c r="E1191" s="460" t="s">
        <v>801</v>
      </c>
      <c r="F1191" s="1119">
        <v>0</v>
      </c>
      <c r="G1191" s="1119">
        <v>0</v>
      </c>
      <c r="H1191" s="1119">
        <f>H1192</f>
        <v>1496789.6</v>
      </c>
      <c r="I1191" s="1119">
        <v>2903211.4</v>
      </c>
      <c r="J1191" s="1119">
        <v>2108417.5</v>
      </c>
      <c r="K1191" s="796"/>
      <c r="L1191" s="1127"/>
      <c r="M1191" s="1129"/>
      <c r="N1191" s="1129"/>
      <c r="O1191" s="1129"/>
      <c r="P1191" s="1129"/>
      <c r="Q1191" s="1129"/>
    </row>
    <row r="1192" spans="1:17" ht="30" x14ac:dyDescent="0.25">
      <c r="A1192" s="1170"/>
      <c r="B1192" s="1248"/>
      <c r="C1192" s="1170">
        <v>1</v>
      </c>
      <c r="D1192" s="12"/>
      <c r="E1192" s="1183" t="s">
        <v>1262</v>
      </c>
      <c r="F1192" s="1121"/>
      <c r="G1192" s="1121"/>
      <c r="H1192" s="1121">
        <v>1496789.6</v>
      </c>
      <c r="I1192" s="1121">
        <v>2903211.4</v>
      </c>
      <c r="J1192" s="1121">
        <v>2108417.5</v>
      </c>
      <c r="K1192" s="796"/>
      <c r="L1192" s="1127"/>
      <c r="M1192" s="1129"/>
      <c r="N1192" s="1129"/>
      <c r="O1192" s="1129"/>
      <c r="P1192" s="1129"/>
      <c r="Q1192" s="1129"/>
    </row>
    <row r="1193" spans="1:17" x14ac:dyDescent="0.25">
      <c r="A1193" s="2048" t="s">
        <v>2002</v>
      </c>
      <c r="B1193" s="2049"/>
      <c r="C1193" s="2049"/>
      <c r="D1193" s="2049"/>
      <c r="E1193" s="2049"/>
      <c r="F1193" s="797">
        <v>33481.5</v>
      </c>
      <c r="G1193" s="797">
        <v>34262.300000000003</v>
      </c>
      <c r="H1193" s="797">
        <f>H1181+H1188+H1191</f>
        <v>1551239.4500000002</v>
      </c>
      <c r="I1193" s="797">
        <v>2934322.5</v>
      </c>
      <c r="J1193" s="797">
        <v>2139940.2999999998</v>
      </c>
      <c r="K1193" s="798"/>
      <c r="L1193" s="799"/>
      <c r="M1193" s="799"/>
      <c r="N1193" s="799"/>
      <c r="O1193" s="799"/>
      <c r="P1193" s="799"/>
      <c r="Q1193" s="799"/>
    </row>
    <row r="1194" spans="1:17" x14ac:dyDescent="0.25">
      <c r="A1194" s="1648" t="s">
        <v>2003</v>
      </c>
      <c r="B1194" s="1649"/>
      <c r="C1194" s="1649"/>
      <c r="D1194" s="1649"/>
      <c r="E1194" s="1649"/>
      <c r="F1194" s="1649"/>
      <c r="G1194" s="1649"/>
      <c r="H1194" s="1649"/>
      <c r="I1194" s="1649"/>
      <c r="J1194" s="1649"/>
      <c r="K1194" s="1649"/>
      <c r="L1194" s="1649"/>
      <c r="M1194" s="1649"/>
      <c r="N1194" s="1649"/>
      <c r="O1194" s="1649"/>
      <c r="P1194" s="1649"/>
      <c r="Q1194" s="1650"/>
    </row>
    <row r="1195" spans="1:17" ht="74.25" x14ac:dyDescent="0.25">
      <c r="A1195" s="1193">
        <v>52</v>
      </c>
      <c r="B1195" s="44">
        <v>1</v>
      </c>
      <c r="C1195" s="1196"/>
      <c r="D1195" s="1196"/>
      <c r="E1195" s="178" t="s">
        <v>2004</v>
      </c>
      <c r="F1195" s="1213">
        <v>38672.300000000003</v>
      </c>
      <c r="G1195" s="1213">
        <v>38672.300000000003</v>
      </c>
      <c r="H1195" s="1213">
        <f>SUM(H1196:H1202)</f>
        <v>119665.60000000001</v>
      </c>
      <c r="I1195" s="1213">
        <v>26256.899999999998</v>
      </c>
      <c r="J1195" s="1213">
        <v>25256.899999999998</v>
      </c>
      <c r="K1195" s="1195" t="s">
        <v>2005</v>
      </c>
      <c r="L1195" s="1196" t="s">
        <v>34</v>
      </c>
      <c r="M1195" s="1196"/>
      <c r="N1195" s="1196"/>
      <c r="O1195" s="1196"/>
      <c r="P1195" s="1196"/>
      <c r="Q1195" s="1196"/>
    </row>
    <row r="1196" spans="1:17" x14ac:dyDescent="0.25">
      <c r="A1196" s="1132"/>
      <c r="B1196" s="372"/>
      <c r="C1196" s="1132">
        <v>1</v>
      </c>
      <c r="D1196" s="1196"/>
      <c r="E1196" s="1418" t="s">
        <v>1406</v>
      </c>
      <c r="F1196" s="1125">
        <v>3567.4</v>
      </c>
      <c r="G1196" s="1125">
        <v>3567.4</v>
      </c>
      <c r="H1196" s="1125">
        <v>3841.6000000000004</v>
      </c>
      <c r="I1196" s="1125">
        <v>3841.6000000000004</v>
      </c>
      <c r="J1196" s="1125">
        <v>3841.6000000000004</v>
      </c>
      <c r="K1196" s="1212" t="s">
        <v>438</v>
      </c>
      <c r="L1196" s="1196" t="s">
        <v>35</v>
      </c>
      <c r="M1196" s="1196"/>
      <c r="N1196" s="1196"/>
      <c r="O1196" s="1196"/>
      <c r="P1196" s="1196"/>
      <c r="Q1196" s="1196"/>
    </row>
    <row r="1197" spans="1:17" ht="30" x14ac:dyDescent="0.25">
      <c r="A1197" s="1132"/>
      <c r="B1197" s="372"/>
      <c r="C1197" s="1132">
        <v>2</v>
      </c>
      <c r="D1197" s="1196"/>
      <c r="E1197" s="1235" t="s">
        <v>394</v>
      </c>
      <c r="F1197" s="1125">
        <v>1705.2</v>
      </c>
      <c r="G1197" s="1125">
        <v>1705.2</v>
      </c>
      <c r="H1197" s="1125">
        <v>3180</v>
      </c>
      <c r="I1197" s="1125">
        <v>3180</v>
      </c>
      <c r="J1197" s="1125">
        <v>3180</v>
      </c>
      <c r="K1197" s="1212" t="s">
        <v>1908</v>
      </c>
      <c r="L1197" s="1196" t="s">
        <v>34</v>
      </c>
      <c r="M1197" s="1196"/>
      <c r="N1197" s="1196"/>
      <c r="O1197" s="1196">
        <v>100</v>
      </c>
      <c r="P1197" s="1196">
        <v>100</v>
      </c>
      <c r="Q1197" s="1196">
        <v>100</v>
      </c>
    </row>
    <row r="1198" spans="1:17" ht="30" x14ac:dyDescent="0.25">
      <c r="A1198" s="1132"/>
      <c r="B1198" s="372"/>
      <c r="C1198" s="1132">
        <v>3</v>
      </c>
      <c r="D1198" s="1196"/>
      <c r="E1198" s="1235" t="s">
        <v>842</v>
      </c>
      <c r="F1198" s="1125">
        <v>1058.9000000000001</v>
      </c>
      <c r="G1198" s="1125">
        <v>1058.9000000000001</v>
      </c>
      <c r="H1198" s="1125">
        <v>5019.3999999999996</v>
      </c>
      <c r="I1198" s="1125">
        <v>5019.3999999999996</v>
      </c>
      <c r="J1198" s="1125">
        <v>5019.3999999999996</v>
      </c>
      <c r="K1198" s="1212" t="s">
        <v>1909</v>
      </c>
      <c r="L1198" s="1196" t="s">
        <v>34</v>
      </c>
      <c r="M1198" s="1196"/>
      <c r="N1198" s="1196"/>
      <c r="O1198" s="1196">
        <v>100</v>
      </c>
      <c r="P1198" s="1196">
        <v>100</v>
      </c>
      <c r="Q1198" s="1196">
        <v>100</v>
      </c>
    </row>
    <row r="1199" spans="1:17" ht="30" x14ac:dyDescent="0.25">
      <c r="A1199" s="1132"/>
      <c r="B1199" s="372"/>
      <c r="C1199" s="1132">
        <v>4</v>
      </c>
      <c r="D1199" s="1196"/>
      <c r="E1199" s="1235" t="s">
        <v>396</v>
      </c>
      <c r="F1199" s="1125">
        <v>178.6</v>
      </c>
      <c r="G1199" s="1125">
        <v>178.6</v>
      </c>
      <c r="H1199" s="1125">
        <v>1923.3</v>
      </c>
      <c r="I1199" s="1125">
        <v>1923.3</v>
      </c>
      <c r="J1199" s="1125">
        <v>1923.3</v>
      </c>
      <c r="K1199" s="1212" t="s">
        <v>1871</v>
      </c>
      <c r="L1199" s="1196" t="s">
        <v>1944</v>
      </c>
      <c r="M1199" s="1196"/>
      <c r="N1199" s="1196"/>
      <c r="O1199" s="1196">
        <v>100</v>
      </c>
      <c r="P1199" s="1196">
        <v>100</v>
      </c>
      <c r="Q1199" s="1196">
        <v>100</v>
      </c>
    </row>
    <row r="1200" spans="1:17" ht="30" x14ac:dyDescent="0.25">
      <c r="A1200" s="1132"/>
      <c r="B1200" s="372"/>
      <c r="C1200" s="1132">
        <v>5</v>
      </c>
      <c r="D1200" s="1196"/>
      <c r="E1200" s="1235" t="s">
        <v>1873</v>
      </c>
      <c r="F1200" s="1125">
        <v>1980</v>
      </c>
      <c r="G1200" s="1125">
        <v>1980</v>
      </c>
      <c r="H1200" s="1125">
        <f>1878.3+494.1</f>
        <v>2372.4</v>
      </c>
      <c r="I1200" s="1125">
        <v>1878.3</v>
      </c>
      <c r="J1200" s="1125">
        <v>1878.3</v>
      </c>
      <c r="K1200" s="1212" t="s">
        <v>1911</v>
      </c>
      <c r="L1200" s="1196" t="s">
        <v>780</v>
      </c>
      <c r="M1200" s="1196"/>
      <c r="N1200" s="1196"/>
      <c r="O1200" s="1196">
        <v>15</v>
      </c>
      <c r="P1200" s="1196">
        <v>15</v>
      </c>
      <c r="Q1200" s="1196">
        <v>15</v>
      </c>
    </row>
    <row r="1201" spans="1:17" ht="60" x14ac:dyDescent="0.25">
      <c r="A1201" s="1132"/>
      <c r="B1201" s="372"/>
      <c r="C1201" s="1132">
        <v>39</v>
      </c>
      <c r="D1201" s="1196"/>
      <c r="E1201" s="1212" t="s">
        <v>2006</v>
      </c>
      <c r="F1201" s="1125">
        <v>30182.2</v>
      </c>
      <c r="G1201" s="1125">
        <v>30182.2</v>
      </c>
      <c r="H1201" s="1125">
        <v>1414.3</v>
      </c>
      <c r="I1201" s="1125">
        <v>1414.3</v>
      </c>
      <c r="J1201" s="1125">
        <v>1414.3</v>
      </c>
      <c r="K1201" s="1217" t="s">
        <v>2007</v>
      </c>
      <c r="L1201" s="1196" t="s">
        <v>34</v>
      </c>
      <c r="M1201" s="1196"/>
      <c r="N1201" s="1196"/>
      <c r="O1201" s="1196">
        <v>15</v>
      </c>
      <c r="P1201" s="1196">
        <v>15</v>
      </c>
      <c r="Q1201" s="1196">
        <v>15</v>
      </c>
    </row>
    <row r="1202" spans="1:17" ht="30" x14ac:dyDescent="0.25">
      <c r="A1202" s="1132"/>
      <c r="B1202" s="372"/>
      <c r="C1202" s="1134" t="s">
        <v>256</v>
      </c>
      <c r="D1202" s="1134"/>
      <c r="E1202" s="1212" t="s">
        <v>2008</v>
      </c>
      <c r="F1202" s="1125"/>
      <c r="G1202" s="1125"/>
      <c r="H1202" s="1125">
        <f>94883.1+7431.5-400</f>
        <v>101914.6</v>
      </c>
      <c r="I1202" s="1125">
        <v>9000</v>
      </c>
      <c r="J1202" s="1125">
        <v>8000</v>
      </c>
      <c r="K1202" s="1212" t="s">
        <v>2009</v>
      </c>
      <c r="L1202" s="1196" t="s">
        <v>780</v>
      </c>
      <c r="M1202" s="1196"/>
      <c r="N1202" s="1196"/>
      <c r="O1202" s="823" t="s">
        <v>1343</v>
      </c>
      <c r="P1202" s="823" t="s">
        <v>1343</v>
      </c>
      <c r="Q1202" s="823" t="s">
        <v>1343</v>
      </c>
    </row>
    <row r="1203" spans="1:17" ht="89.25" x14ac:dyDescent="0.25">
      <c r="A1203" s="1193">
        <v>52</v>
      </c>
      <c r="B1203" s="44">
        <v>2</v>
      </c>
      <c r="C1203" s="800"/>
      <c r="D1203" s="800"/>
      <c r="E1203" s="1195" t="s">
        <v>2010</v>
      </c>
      <c r="F1203" s="1213">
        <v>150492.20000000001</v>
      </c>
      <c r="G1203" s="1213">
        <v>151096.20000000001</v>
      </c>
      <c r="H1203" s="1213">
        <f>SUM(H1204:H1225)</f>
        <v>92017.7</v>
      </c>
      <c r="I1203" s="1213">
        <v>146983.5</v>
      </c>
      <c r="J1203" s="1213">
        <v>147318.9</v>
      </c>
      <c r="K1203" s="1195" t="s">
        <v>2011</v>
      </c>
      <c r="L1203" s="343" t="s">
        <v>1181</v>
      </c>
      <c r="M1203" s="343">
        <v>71</v>
      </c>
      <c r="N1203" s="343">
        <v>99</v>
      </c>
      <c r="O1203" s="343">
        <v>99</v>
      </c>
      <c r="P1203" s="343">
        <v>71</v>
      </c>
      <c r="Q1203" s="343">
        <v>71</v>
      </c>
    </row>
    <row r="1204" spans="1:17" ht="45" x14ac:dyDescent="0.25">
      <c r="A1204" s="2033"/>
      <c r="B1204" s="1787"/>
      <c r="C1204" s="2037" t="s">
        <v>4</v>
      </c>
      <c r="D1204" s="2037"/>
      <c r="E1204" s="1791" t="s">
        <v>2012</v>
      </c>
      <c r="F1204" s="1765">
        <v>2780</v>
      </c>
      <c r="G1204" s="1765">
        <v>2781</v>
      </c>
      <c r="H1204" s="1765">
        <v>2078.8000000000002</v>
      </c>
      <c r="I1204" s="1765">
        <v>2278.8000000000002</v>
      </c>
      <c r="J1204" s="1765">
        <v>2478.8000000000002</v>
      </c>
      <c r="K1204" s="1212" t="s">
        <v>2013</v>
      </c>
      <c r="L1204" s="1196" t="s">
        <v>780</v>
      </c>
      <c r="M1204" s="1196">
        <v>1</v>
      </c>
      <c r="N1204" s="1196">
        <v>2</v>
      </c>
      <c r="O1204" s="1196">
        <v>3</v>
      </c>
      <c r="P1204" s="1196">
        <v>3</v>
      </c>
      <c r="Q1204" s="1196">
        <v>3</v>
      </c>
    </row>
    <row r="1205" spans="1:17" ht="75" x14ac:dyDescent="0.25">
      <c r="A1205" s="2035"/>
      <c r="B1205" s="1788"/>
      <c r="C1205" s="1859"/>
      <c r="D1205" s="1859"/>
      <c r="E1205" s="1791"/>
      <c r="F1205" s="1765"/>
      <c r="G1205" s="1765"/>
      <c r="H1205" s="1765"/>
      <c r="I1205" s="1765"/>
      <c r="J1205" s="1765"/>
      <c r="K1205" s="1212" t="s">
        <v>2014</v>
      </c>
      <c r="L1205" s="1196" t="s">
        <v>780</v>
      </c>
      <c r="M1205" s="1196">
        <v>12</v>
      </c>
      <c r="N1205" s="1196">
        <v>12</v>
      </c>
      <c r="O1205" s="1196">
        <v>15</v>
      </c>
      <c r="P1205" s="1196">
        <v>15</v>
      </c>
      <c r="Q1205" s="1196">
        <v>15</v>
      </c>
    </row>
    <row r="1206" spans="1:17" ht="30" x14ac:dyDescent="0.25">
      <c r="A1206" s="2033"/>
      <c r="B1206" s="1787"/>
      <c r="C1206" s="2037" t="s">
        <v>5</v>
      </c>
      <c r="D1206" s="2037"/>
      <c r="E1206" s="1791" t="s">
        <v>2015</v>
      </c>
      <c r="F1206" s="1765">
        <v>5603</v>
      </c>
      <c r="G1206" s="1765">
        <v>5604</v>
      </c>
      <c r="H1206" s="1765">
        <v>3276</v>
      </c>
      <c r="I1206" s="1765">
        <v>4306.1000000000004</v>
      </c>
      <c r="J1206" s="1765">
        <v>4306.1000000000004</v>
      </c>
      <c r="K1206" s="1212" t="s">
        <v>2016</v>
      </c>
      <c r="L1206" s="1196" t="s">
        <v>780</v>
      </c>
      <c r="M1206" s="1196">
        <v>1717</v>
      </c>
      <c r="N1206" s="1196" t="s">
        <v>2017</v>
      </c>
      <c r="O1206" s="1196" t="s">
        <v>2018</v>
      </c>
      <c r="P1206" s="1196" t="s">
        <v>2017</v>
      </c>
      <c r="Q1206" s="1196" t="s">
        <v>2018</v>
      </c>
    </row>
    <row r="1207" spans="1:17" ht="60" x14ac:dyDescent="0.25">
      <c r="A1207" s="2034"/>
      <c r="B1207" s="2036"/>
      <c r="C1207" s="2038"/>
      <c r="D1207" s="2038"/>
      <c r="E1207" s="1791"/>
      <c r="F1207" s="1765"/>
      <c r="G1207" s="1765"/>
      <c r="H1207" s="1765"/>
      <c r="I1207" s="1765"/>
      <c r="J1207" s="1765"/>
      <c r="K1207" s="1212" t="s">
        <v>2019</v>
      </c>
      <c r="L1207" s="1196" t="s">
        <v>780</v>
      </c>
      <c r="M1207" s="1196">
        <v>1653</v>
      </c>
      <c r="N1207" s="1196" t="s">
        <v>2020</v>
      </c>
      <c r="O1207" s="1196" t="s">
        <v>2020</v>
      </c>
      <c r="P1207" s="1196" t="s">
        <v>2020</v>
      </c>
      <c r="Q1207" s="1196" t="s">
        <v>2020</v>
      </c>
    </row>
    <row r="1208" spans="1:17" ht="60" x14ac:dyDescent="0.25">
      <c r="A1208" s="2034"/>
      <c r="B1208" s="2036"/>
      <c r="C1208" s="2038"/>
      <c r="D1208" s="2038"/>
      <c r="E1208" s="1791"/>
      <c r="F1208" s="1765"/>
      <c r="G1208" s="1765"/>
      <c r="H1208" s="1765"/>
      <c r="I1208" s="1765"/>
      <c r="J1208" s="1765"/>
      <c r="K1208" s="1212" t="s">
        <v>2021</v>
      </c>
      <c r="L1208" s="1196" t="s">
        <v>780</v>
      </c>
      <c r="M1208" s="1196">
        <v>64</v>
      </c>
      <c r="N1208" s="1196" t="s">
        <v>2020</v>
      </c>
      <c r="O1208" s="1196" t="s">
        <v>2020</v>
      </c>
      <c r="P1208" s="1196" t="s">
        <v>2020</v>
      </c>
      <c r="Q1208" s="1196" t="s">
        <v>2020</v>
      </c>
    </row>
    <row r="1209" spans="1:17" ht="60" x14ac:dyDescent="0.25">
      <c r="A1209" s="2034"/>
      <c r="B1209" s="2036"/>
      <c r="C1209" s="2038"/>
      <c r="D1209" s="2038"/>
      <c r="E1209" s="1791"/>
      <c r="F1209" s="1765"/>
      <c r="G1209" s="1765"/>
      <c r="H1209" s="1765"/>
      <c r="I1209" s="1765"/>
      <c r="J1209" s="1765"/>
      <c r="K1209" s="1212" t="s">
        <v>2022</v>
      </c>
      <c r="L1209" s="1196" t="s">
        <v>780</v>
      </c>
      <c r="M1209" s="1196">
        <v>792</v>
      </c>
      <c r="N1209" s="1196" t="s">
        <v>2020</v>
      </c>
      <c r="O1209" s="1196" t="s">
        <v>2020</v>
      </c>
      <c r="P1209" s="1196" t="s">
        <v>2020</v>
      </c>
      <c r="Q1209" s="1196" t="s">
        <v>2020</v>
      </c>
    </row>
    <row r="1210" spans="1:17" ht="60" x14ac:dyDescent="0.25">
      <c r="A1210" s="2034"/>
      <c r="B1210" s="2036"/>
      <c r="C1210" s="2038"/>
      <c r="D1210" s="2038"/>
      <c r="E1210" s="1791"/>
      <c r="F1210" s="1765"/>
      <c r="G1210" s="1765"/>
      <c r="H1210" s="1765"/>
      <c r="I1210" s="1765"/>
      <c r="J1210" s="1765"/>
      <c r="K1210" s="1212" t="s">
        <v>2023</v>
      </c>
      <c r="L1210" s="1196" t="s">
        <v>780</v>
      </c>
      <c r="M1210" s="1196">
        <v>254</v>
      </c>
      <c r="N1210" s="1196" t="s">
        <v>2020</v>
      </c>
      <c r="O1210" s="1196" t="s">
        <v>2020</v>
      </c>
      <c r="P1210" s="1196" t="s">
        <v>2020</v>
      </c>
      <c r="Q1210" s="1196" t="s">
        <v>2020</v>
      </c>
    </row>
    <row r="1211" spans="1:17" ht="60" x14ac:dyDescent="0.25">
      <c r="A1211" s="2034"/>
      <c r="B1211" s="2036"/>
      <c r="C1211" s="2038"/>
      <c r="D1211" s="2038"/>
      <c r="E1211" s="1791"/>
      <c r="F1211" s="1765"/>
      <c r="G1211" s="1765"/>
      <c r="H1211" s="1765"/>
      <c r="I1211" s="1765"/>
      <c r="J1211" s="1765"/>
      <c r="K1211" s="1212" t="s">
        <v>2024</v>
      </c>
      <c r="L1211" s="1196"/>
      <c r="M1211" s="1196">
        <v>1309</v>
      </c>
      <c r="N1211" s="1196" t="s">
        <v>2020</v>
      </c>
      <c r="O1211" s="1196" t="s">
        <v>2020</v>
      </c>
      <c r="P1211" s="1196" t="s">
        <v>2020</v>
      </c>
      <c r="Q1211" s="1196" t="s">
        <v>2020</v>
      </c>
    </row>
    <row r="1212" spans="1:17" ht="60" x14ac:dyDescent="0.25">
      <c r="A1212" s="2035"/>
      <c r="B1212" s="1788"/>
      <c r="C1212" s="1859"/>
      <c r="D1212" s="1859"/>
      <c r="E1212" s="1791"/>
      <c r="F1212" s="1765"/>
      <c r="G1212" s="1765"/>
      <c r="H1212" s="1765"/>
      <c r="I1212" s="1765"/>
      <c r="J1212" s="1765"/>
      <c r="K1212" s="1302" t="s">
        <v>2025</v>
      </c>
      <c r="L1212" s="1196"/>
      <c r="M1212" s="1196">
        <v>546</v>
      </c>
      <c r="N1212" s="1196" t="s">
        <v>2020</v>
      </c>
      <c r="O1212" s="1196" t="s">
        <v>2020</v>
      </c>
      <c r="P1212" s="1196" t="s">
        <v>2020</v>
      </c>
      <c r="Q1212" s="1196" t="s">
        <v>2020</v>
      </c>
    </row>
    <row r="1213" spans="1:17" ht="30" x14ac:dyDescent="0.25">
      <c r="A1213" s="2033"/>
      <c r="B1213" s="1787"/>
      <c r="C1213" s="2037" t="s">
        <v>7</v>
      </c>
      <c r="D1213" s="2037"/>
      <c r="E1213" s="1791" t="s">
        <v>2026</v>
      </c>
      <c r="F1213" s="1765">
        <v>51435.4</v>
      </c>
      <c r="G1213" s="1765">
        <v>51436.4</v>
      </c>
      <c r="H1213" s="1765">
        <f>72172.4+8945.6</f>
        <v>81118</v>
      </c>
      <c r="I1213" s="1765">
        <v>78161.8</v>
      </c>
      <c r="J1213" s="1765">
        <v>78161.8</v>
      </c>
      <c r="K1213" s="1302" t="s">
        <v>2027</v>
      </c>
      <c r="L1213" s="802" t="s">
        <v>780</v>
      </c>
      <c r="M1213" s="1196">
        <v>1643</v>
      </c>
      <c r="N1213" s="823" t="s">
        <v>1343</v>
      </c>
      <c r="O1213" s="823" t="s">
        <v>1343</v>
      </c>
      <c r="P1213" s="823" t="s">
        <v>1343</v>
      </c>
      <c r="Q1213" s="823" t="s">
        <v>1343</v>
      </c>
    </row>
    <row r="1214" spans="1:17" ht="30" x14ac:dyDescent="0.25">
      <c r="A1214" s="2034"/>
      <c r="B1214" s="2036"/>
      <c r="C1214" s="2038"/>
      <c r="D1214" s="2038"/>
      <c r="E1214" s="1791"/>
      <c r="F1214" s="1765"/>
      <c r="G1214" s="1765"/>
      <c r="H1214" s="1765"/>
      <c r="I1214" s="1765"/>
      <c r="J1214" s="1765"/>
      <c r="K1214" s="1302" t="s">
        <v>2028</v>
      </c>
      <c r="L1214" s="802" t="s">
        <v>780</v>
      </c>
      <c r="M1214" s="1196">
        <v>10974</v>
      </c>
      <c r="N1214" s="823" t="s">
        <v>1343</v>
      </c>
      <c r="O1214" s="823" t="s">
        <v>1343</v>
      </c>
      <c r="P1214" s="823" t="s">
        <v>1343</v>
      </c>
      <c r="Q1214" s="823" t="s">
        <v>1343</v>
      </c>
    </row>
    <row r="1215" spans="1:17" ht="30" x14ac:dyDescent="0.25">
      <c r="A1215" s="2034"/>
      <c r="B1215" s="2036"/>
      <c r="C1215" s="2038"/>
      <c r="D1215" s="2038"/>
      <c r="E1215" s="1791"/>
      <c r="F1215" s="1765"/>
      <c r="G1215" s="1765"/>
      <c r="H1215" s="1765"/>
      <c r="I1215" s="1765"/>
      <c r="J1215" s="1765"/>
      <c r="K1215" s="1302" t="s">
        <v>2029</v>
      </c>
      <c r="L1215" s="73" t="s">
        <v>780</v>
      </c>
      <c r="M1215" s="1196">
        <v>5879</v>
      </c>
      <c r="N1215" s="823" t="s">
        <v>1343</v>
      </c>
      <c r="O1215" s="823" t="s">
        <v>1343</v>
      </c>
      <c r="P1215" s="823" t="s">
        <v>1343</v>
      </c>
      <c r="Q1215" s="823" t="s">
        <v>1343</v>
      </c>
    </row>
    <row r="1216" spans="1:17" ht="30" x14ac:dyDescent="0.25">
      <c r="A1216" s="2034"/>
      <c r="B1216" s="2036"/>
      <c r="C1216" s="2038"/>
      <c r="D1216" s="2038"/>
      <c r="E1216" s="1791"/>
      <c r="F1216" s="1765"/>
      <c r="G1216" s="1765"/>
      <c r="H1216" s="1765"/>
      <c r="I1216" s="1765"/>
      <c r="J1216" s="1765"/>
      <c r="K1216" s="1302" t="s">
        <v>2030</v>
      </c>
      <c r="L1216" s="1196" t="s">
        <v>780</v>
      </c>
      <c r="M1216" s="1196">
        <v>17</v>
      </c>
      <c r="N1216" s="1196">
        <v>17</v>
      </c>
      <c r="O1216" s="1196">
        <v>17</v>
      </c>
      <c r="P1216" s="1196">
        <v>17</v>
      </c>
      <c r="Q1216" s="1196">
        <v>17</v>
      </c>
    </row>
    <row r="1217" spans="1:17" ht="30" x14ac:dyDescent="0.25">
      <c r="A1217" s="2035"/>
      <c r="B1217" s="1788"/>
      <c r="C1217" s="1859"/>
      <c r="D1217" s="1859"/>
      <c r="E1217" s="1791"/>
      <c r="F1217" s="1765"/>
      <c r="G1217" s="1765"/>
      <c r="H1217" s="1765"/>
      <c r="I1217" s="1765"/>
      <c r="J1217" s="1765"/>
      <c r="K1217" s="1302" t="s">
        <v>2031</v>
      </c>
      <c r="L1217" s="1196" t="s">
        <v>780</v>
      </c>
      <c r="M1217" s="1196">
        <v>0</v>
      </c>
      <c r="N1217" s="1196">
        <v>36</v>
      </c>
      <c r="O1217" s="1196">
        <v>45</v>
      </c>
      <c r="P1217" s="1196">
        <v>61</v>
      </c>
      <c r="Q1217" s="1196">
        <v>61</v>
      </c>
    </row>
    <row r="1218" spans="1:17" ht="60" x14ac:dyDescent="0.25">
      <c r="A1218" s="2033"/>
      <c r="B1218" s="1787"/>
      <c r="C1218" s="2037" t="s">
        <v>9</v>
      </c>
      <c r="D1218" s="2037"/>
      <c r="E1218" s="1791" t="s">
        <v>2032</v>
      </c>
      <c r="F1218" s="1765">
        <v>7273.8</v>
      </c>
      <c r="G1218" s="1765">
        <v>7274.8</v>
      </c>
      <c r="H1218" s="1765">
        <v>4521.8999999999996</v>
      </c>
      <c r="I1218" s="1765">
        <v>7824.6</v>
      </c>
      <c r="J1218" s="1765">
        <v>7960</v>
      </c>
      <c r="K1218" s="1212" t="s">
        <v>2033</v>
      </c>
      <c r="L1218" s="1196" t="s">
        <v>825</v>
      </c>
      <c r="M1218" s="1196">
        <v>1</v>
      </c>
      <c r="N1218" s="1196">
        <v>1</v>
      </c>
      <c r="O1218" s="1196">
        <v>1</v>
      </c>
      <c r="P1218" s="1196">
        <v>1</v>
      </c>
      <c r="Q1218" s="1196">
        <v>1</v>
      </c>
    </row>
    <row r="1219" spans="1:17" ht="60" x14ac:dyDescent="0.25">
      <c r="A1219" s="2034"/>
      <c r="B1219" s="2036"/>
      <c r="C1219" s="2038"/>
      <c r="D1219" s="2038"/>
      <c r="E1219" s="1791"/>
      <c r="F1219" s="1765"/>
      <c r="G1219" s="1765"/>
      <c r="H1219" s="1765"/>
      <c r="I1219" s="1765"/>
      <c r="J1219" s="1765"/>
      <c r="K1219" s="1212" t="s">
        <v>2033</v>
      </c>
      <c r="L1219" s="1196" t="s">
        <v>825</v>
      </c>
      <c r="M1219" s="1196">
        <v>2</v>
      </c>
      <c r="N1219" s="1196">
        <v>2</v>
      </c>
      <c r="O1219" s="1196">
        <v>2</v>
      </c>
      <c r="P1219" s="1196">
        <v>2</v>
      </c>
      <c r="Q1219" s="1196">
        <v>2</v>
      </c>
    </row>
    <row r="1220" spans="1:17" ht="60" x14ac:dyDescent="0.25">
      <c r="A1220" s="2035"/>
      <c r="B1220" s="1788"/>
      <c r="C1220" s="1859"/>
      <c r="D1220" s="1859"/>
      <c r="E1220" s="1791"/>
      <c r="F1220" s="1765"/>
      <c r="G1220" s="1765"/>
      <c r="H1220" s="1765"/>
      <c r="I1220" s="1765"/>
      <c r="J1220" s="1765"/>
      <c r="K1220" s="1212" t="s">
        <v>2034</v>
      </c>
      <c r="L1220" s="1196" t="s">
        <v>825</v>
      </c>
      <c r="M1220" s="1196">
        <v>3</v>
      </c>
      <c r="N1220" s="1196">
        <v>3</v>
      </c>
      <c r="O1220" s="1196">
        <v>3</v>
      </c>
      <c r="P1220" s="1196">
        <v>3</v>
      </c>
      <c r="Q1220" s="1196">
        <v>3</v>
      </c>
    </row>
    <row r="1221" spans="1:17" ht="30" x14ac:dyDescent="0.25">
      <c r="A1221" s="2033"/>
      <c r="B1221" s="1787"/>
      <c r="C1221" s="2037" t="s">
        <v>11</v>
      </c>
      <c r="D1221" s="2037"/>
      <c r="E1221" s="1791" t="s">
        <v>2035</v>
      </c>
      <c r="F1221" s="1765">
        <v>83400</v>
      </c>
      <c r="G1221" s="1765">
        <v>84000</v>
      </c>
      <c r="H1221" s="1765">
        <f>5000-3977</f>
        <v>1023</v>
      </c>
      <c r="I1221" s="1765">
        <v>5000</v>
      </c>
      <c r="J1221" s="1765">
        <v>5000</v>
      </c>
      <c r="K1221" s="1212" t="s">
        <v>2036</v>
      </c>
      <c r="L1221" s="1196" t="s">
        <v>825</v>
      </c>
      <c r="M1221" s="1196">
        <v>100</v>
      </c>
      <c r="N1221" s="1196">
        <v>100</v>
      </c>
      <c r="O1221" s="1196">
        <v>100</v>
      </c>
      <c r="P1221" s="1196">
        <v>100</v>
      </c>
      <c r="Q1221" s="1196">
        <v>100</v>
      </c>
    </row>
    <row r="1222" spans="1:17" ht="30" x14ac:dyDescent="0.25">
      <c r="A1222" s="2034"/>
      <c r="B1222" s="2036"/>
      <c r="C1222" s="2038"/>
      <c r="D1222" s="2038"/>
      <c r="E1222" s="1791"/>
      <c r="F1222" s="1765"/>
      <c r="G1222" s="1765"/>
      <c r="H1222" s="1765"/>
      <c r="I1222" s="1765"/>
      <c r="J1222" s="1765"/>
      <c r="K1222" s="1212" t="s">
        <v>2037</v>
      </c>
      <c r="L1222" s="1196" t="s">
        <v>825</v>
      </c>
      <c r="M1222" s="1196">
        <v>5</v>
      </c>
      <c r="N1222" s="1196">
        <v>5</v>
      </c>
      <c r="O1222" s="1196">
        <v>5</v>
      </c>
      <c r="P1222" s="1196">
        <v>5</v>
      </c>
      <c r="Q1222" s="1196">
        <v>5</v>
      </c>
    </row>
    <row r="1223" spans="1:17" x14ac:dyDescent="0.25">
      <c r="A1223" s="2034"/>
      <c r="B1223" s="2036"/>
      <c r="C1223" s="2038"/>
      <c r="D1223" s="2038"/>
      <c r="E1223" s="1791"/>
      <c r="F1223" s="1765"/>
      <c r="G1223" s="1765"/>
      <c r="H1223" s="1765"/>
      <c r="I1223" s="1765"/>
      <c r="J1223" s="1765"/>
      <c r="K1223" s="1212" t="s">
        <v>2038</v>
      </c>
      <c r="L1223" s="1196" t="s">
        <v>258</v>
      </c>
      <c r="M1223" s="1196">
        <v>33</v>
      </c>
      <c r="N1223" s="1196">
        <v>33</v>
      </c>
      <c r="O1223" s="1196">
        <v>33</v>
      </c>
      <c r="P1223" s="1196">
        <v>33</v>
      </c>
      <c r="Q1223" s="1196">
        <v>33</v>
      </c>
    </row>
    <row r="1224" spans="1:17" x14ac:dyDescent="0.25">
      <c r="A1224" s="2035"/>
      <c r="B1224" s="1788"/>
      <c r="C1224" s="1859"/>
      <c r="D1224" s="1859"/>
      <c r="E1224" s="1791"/>
      <c r="F1224" s="1765"/>
      <c r="G1224" s="1765"/>
      <c r="H1224" s="1765"/>
      <c r="I1224" s="1765"/>
      <c r="J1224" s="1765"/>
      <c r="K1224" s="1212" t="s">
        <v>2039</v>
      </c>
      <c r="L1224" s="1196" t="s">
        <v>825</v>
      </c>
      <c r="M1224" s="1196">
        <v>30</v>
      </c>
      <c r="N1224" s="1196">
        <v>30</v>
      </c>
      <c r="O1224" s="1196">
        <v>30</v>
      </c>
      <c r="P1224" s="1196">
        <v>30</v>
      </c>
      <c r="Q1224" s="1196">
        <v>30</v>
      </c>
    </row>
    <row r="1225" spans="1:17" ht="30" x14ac:dyDescent="0.25">
      <c r="A1225" s="1132"/>
      <c r="B1225" s="372"/>
      <c r="C1225" s="1134" t="s">
        <v>13</v>
      </c>
      <c r="D1225" s="1134"/>
      <c r="E1225" s="1212" t="s">
        <v>2040</v>
      </c>
      <c r="F1225" s="1125"/>
      <c r="G1225" s="1125"/>
      <c r="H1225" s="1125"/>
      <c r="I1225" s="1125">
        <v>49412.2</v>
      </c>
      <c r="J1225" s="1125">
        <v>49412.2</v>
      </c>
      <c r="K1225" s="1212" t="s">
        <v>2041</v>
      </c>
      <c r="L1225" s="1196" t="s">
        <v>780</v>
      </c>
      <c r="M1225" s="1196"/>
      <c r="N1225" s="1196"/>
      <c r="O1225" s="823" t="s">
        <v>1343</v>
      </c>
      <c r="P1225" s="823" t="s">
        <v>1343</v>
      </c>
      <c r="Q1225" s="823" t="s">
        <v>1343</v>
      </c>
    </row>
    <row r="1226" spans="1:17" ht="74.25" x14ac:dyDescent="0.25">
      <c r="A1226" s="1193">
        <v>52</v>
      </c>
      <c r="B1226" s="44">
        <v>3</v>
      </c>
      <c r="C1226" s="1134"/>
      <c r="D1226" s="1134"/>
      <c r="E1226" s="1195" t="s">
        <v>2042</v>
      </c>
      <c r="F1226" s="1213">
        <v>287343.90000000002</v>
      </c>
      <c r="G1226" s="1213">
        <v>328545.3</v>
      </c>
      <c r="H1226" s="1213">
        <f>SUM(H1227:H1238)</f>
        <v>285325.89999999997</v>
      </c>
      <c r="I1226" s="1213">
        <v>344642.89999999997</v>
      </c>
      <c r="J1226" s="1213">
        <v>350892.49999999994</v>
      </c>
      <c r="K1226" s="1212" t="s">
        <v>2043</v>
      </c>
      <c r="L1226" s="343" t="s">
        <v>224</v>
      </c>
      <c r="M1226" s="343">
        <v>767548.29999999993</v>
      </c>
      <c r="N1226" s="343">
        <v>768637</v>
      </c>
      <c r="O1226" s="343">
        <v>768637</v>
      </c>
      <c r="P1226" s="343">
        <v>768637</v>
      </c>
      <c r="Q1226" s="343">
        <v>768637</v>
      </c>
    </row>
    <row r="1227" spans="1:17" ht="45" x14ac:dyDescent="0.25">
      <c r="A1227" s="1786"/>
      <c r="B1227" s="1787"/>
      <c r="C1227" s="1789" t="s">
        <v>4</v>
      </c>
      <c r="D1227" s="1789"/>
      <c r="E1227" s="1791" t="s">
        <v>2044</v>
      </c>
      <c r="F1227" s="1765">
        <v>211693.2</v>
      </c>
      <c r="G1227" s="1765">
        <v>230899.20000000001</v>
      </c>
      <c r="H1227" s="1765">
        <f>181824.7+4850.1</f>
        <v>186674.80000000002</v>
      </c>
      <c r="I1227" s="1765">
        <v>187392.4</v>
      </c>
      <c r="J1227" s="1765">
        <v>187392.4</v>
      </c>
      <c r="K1227" s="1212" t="s">
        <v>2045</v>
      </c>
      <c r="L1227" s="1196" t="s">
        <v>224</v>
      </c>
      <c r="M1227" s="1196">
        <v>2546323</v>
      </c>
      <c r="N1227" s="1196">
        <v>2546323</v>
      </c>
      <c r="O1227" s="1196">
        <v>2546323</v>
      </c>
      <c r="P1227" s="1196">
        <v>2546323</v>
      </c>
      <c r="Q1227" s="1196">
        <v>2546323</v>
      </c>
    </row>
    <row r="1228" spans="1:17" ht="30" x14ac:dyDescent="0.25">
      <c r="A1228" s="1786"/>
      <c r="B1228" s="1788"/>
      <c r="C1228" s="1789"/>
      <c r="D1228" s="1789"/>
      <c r="E1228" s="1791"/>
      <c r="F1228" s="1765"/>
      <c r="G1228" s="1765"/>
      <c r="H1228" s="1765"/>
      <c r="I1228" s="1765"/>
      <c r="J1228" s="1765"/>
      <c r="K1228" s="1212" t="s">
        <v>2046</v>
      </c>
      <c r="L1228" s="1196" t="s">
        <v>34</v>
      </c>
      <c r="M1228" s="1196">
        <v>100</v>
      </c>
      <c r="N1228" s="1196">
        <v>100</v>
      </c>
      <c r="O1228" s="1196">
        <v>100</v>
      </c>
      <c r="P1228" s="1196">
        <v>100</v>
      </c>
      <c r="Q1228" s="1196">
        <v>100</v>
      </c>
    </row>
    <row r="1229" spans="1:17" ht="45" x14ac:dyDescent="0.25">
      <c r="A1229" s="1132"/>
      <c r="B1229" s="372"/>
      <c r="C1229" s="1134" t="s">
        <v>5</v>
      </c>
      <c r="D1229" s="1134"/>
      <c r="E1229" s="1212" t="s">
        <v>2047</v>
      </c>
      <c r="F1229" s="1125">
        <v>1726.4</v>
      </c>
      <c r="G1229" s="1125">
        <v>2779.5</v>
      </c>
      <c r="H1229" s="1125">
        <v>1500</v>
      </c>
      <c r="I1229" s="1125">
        <v>2833.8</v>
      </c>
      <c r="J1229" s="1125">
        <v>2833.8</v>
      </c>
      <c r="K1229" s="1212" t="s">
        <v>2048</v>
      </c>
      <c r="L1229" s="1196" t="s">
        <v>34</v>
      </c>
      <c r="M1229" s="1196">
        <v>100</v>
      </c>
      <c r="N1229" s="1196">
        <v>100</v>
      </c>
      <c r="O1229" s="1196">
        <v>100</v>
      </c>
      <c r="P1229" s="1196">
        <v>100</v>
      </c>
      <c r="Q1229" s="1196">
        <v>100</v>
      </c>
    </row>
    <row r="1230" spans="1:17" x14ac:dyDescent="0.25">
      <c r="A1230" s="1786"/>
      <c r="B1230" s="1787"/>
      <c r="C1230" s="1789" t="s">
        <v>7</v>
      </c>
      <c r="D1230" s="1789"/>
      <c r="E1230" s="1791" t="s">
        <v>2049</v>
      </c>
      <c r="F1230" s="1765">
        <v>71362.599999999991</v>
      </c>
      <c r="G1230" s="1765">
        <v>90469.9</v>
      </c>
      <c r="H1230" s="1765">
        <f>51273.8+17599.2</f>
        <v>68873</v>
      </c>
      <c r="I1230" s="1765">
        <v>70183.8</v>
      </c>
      <c r="J1230" s="1765">
        <v>70183.8</v>
      </c>
      <c r="K1230" s="1212" t="s">
        <v>2050</v>
      </c>
      <c r="L1230" s="1196" t="s">
        <v>34</v>
      </c>
      <c r="M1230" s="1196">
        <v>59</v>
      </c>
      <c r="N1230" s="1196">
        <v>60</v>
      </c>
      <c r="O1230" s="1196">
        <v>61</v>
      </c>
      <c r="P1230" s="1196">
        <v>62</v>
      </c>
      <c r="Q1230" s="1196">
        <v>62</v>
      </c>
    </row>
    <row r="1231" spans="1:17" ht="30" x14ac:dyDescent="0.25">
      <c r="A1231" s="1786"/>
      <c r="B1231" s="2036"/>
      <c r="C1231" s="1789"/>
      <c r="D1231" s="1789"/>
      <c r="E1231" s="1791"/>
      <c r="F1231" s="1765"/>
      <c r="G1231" s="1765"/>
      <c r="H1231" s="1765"/>
      <c r="I1231" s="1765"/>
      <c r="J1231" s="1765"/>
      <c r="K1231" s="1212" t="s">
        <v>2051</v>
      </c>
      <c r="L1231" s="1196" t="s">
        <v>224</v>
      </c>
      <c r="M1231" s="1196">
        <v>1100</v>
      </c>
      <c r="N1231" s="1196">
        <v>1110</v>
      </c>
      <c r="O1231" s="1196">
        <v>1120</v>
      </c>
      <c r="P1231" s="1196">
        <v>1130</v>
      </c>
      <c r="Q1231" s="1196">
        <v>1130</v>
      </c>
    </row>
    <row r="1232" spans="1:17" x14ac:dyDescent="0.25">
      <c r="A1232" s="1786"/>
      <c r="B1232" s="1788"/>
      <c r="C1232" s="1789"/>
      <c r="D1232" s="1789"/>
      <c r="E1232" s="1791"/>
      <c r="F1232" s="1765"/>
      <c r="G1232" s="1765"/>
      <c r="H1232" s="1765"/>
      <c r="I1232" s="1765"/>
      <c r="J1232" s="1765"/>
      <c r="K1232" s="1212" t="s">
        <v>2052</v>
      </c>
      <c r="L1232" s="1196" t="s">
        <v>1698</v>
      </c>
      <c r="M1232" s="1196">
        <v>15</v>
      </c>
      <c r="N1232" s="1196">
        <v>15</v>
      </c>
      <c r="O1232" s="1196">
        <v>13</v>
      </c>
      <c r="P1232" s="1196">
        <v>13</v>
      </c>
      <c r="Q1232" s="1196">
        <v>13</v>
      </c>
    </row>
    <row r="1233" spans="1:17" ht="30" x14ac:dyDescent="0.25">
      <c r="A1233" s="1132"/>
      <c r="B1233" s="372"/>
      <c r="C1233" s="1134" t="s">
        <v>9</v>
      </c>
      <c r="D1233" s="1134"/>
      <c r="E1233" s="1212" t="s">
        <v>2053</v>
      </c>
      <c r="F1233" s="1125">
        <v>1377.3</v>
      </c>
      <c r="G1233" s="1125">
        <v>2965.7</v>
      </c>
      <c r="H1233" s="1125">
        <f>3097.5+1759.7</f>
        <v>4857.2</v>
      </c>
      <c r="I1233" s="1125">
        <v>3185.8</v>
      </c>
      <c r="J1233" s="1125">
        <v>3281.3</v>
      </c>
      <c r="K1233" s="1212" t="s">
        <v>2054</v>
      </c>
      <c r="L1233" s="1196" t="s">
        <v>224</v>
      </c>
      <c r="M1233" s="1196">
        <v>309.60000000000002</v>
      </c>
      <c r="N1233" s="1196">
        <v>754</v>
      </c>
      <c r="O1233" s="1196">
        <v>754</v>
      </c>
      <c r="P1233" s="1196">
        <v>754</v>
      </c>
      <c r="Q1233" s="1196">
        <v>760</v>
      </c>
    </row>
    <row r="1234" spans="1:17" ht="30" x14ac:dyDescent="0.25">
      <c r="A1234" s="1786"/>
      <c r="B1234" s="1787"/>
      <c r="C1234" s="1789" t="s">
        <v>11</v>
      </c>
      <c r="D1234" s="1789"/>
      <c r="E1234" s="1791" t="s">
        <v>2055</v>
      </c>
      <c r="F1234" s="1765">
        <v>1184.4000000000001</v>
      </c>
      <c r="G1234" s="1765">
        <v>1431</v>
      </c>
      <c r="H1234" s="1765">
        <f>1613+215.5</f>
        <v>1828.5</v>
      </c>
      <c r="I1234" s="1765">
        <v>1679.7</v>
      </c>
      <c r="J1234" s="1765">
        <v>1730.1</v>
      </c>
      <c r="K1234" s="1212" t="s">
        <v>2056</v>
      </c>
      <c r="L1234" s="1196" t="s">
        <v>2057</v>
      </c>
      <c r="M1234" s="1196">
        <v>0</v>
      </c>
      <c r="N1234" s="346">
        <v>2.5</v>
      </c>
      <c r="O1234" s="346">
        <v>5</v>
      </c>
      <c r="P1234" s="346">
        <v>10</v>
      </c>
      <c r="Q1234" s="346">
        <v>15</v>
      </c>
    </row>
    <row r="1235" spans="1:17" x14ac:dyDescent="0.25">
      <c r="A1235" s="1786"/>
      <c r="B1235" s="1788"/>
      <c r="C1235" s="1789"/>
      <c r="D1235" s="1789"/>
      <c r="E1235" s="1791"/>
      <c r="F1235" s="1765"/>
      <c r="G1235" s="1765"/>
      <c r="H1235" s="1765"/>
      <c r="I1235" s="1765"/>
      <c r="J1235" s="1765"/>
      <c r="K1235" s="1212" t="s">
        <v>2058</v>
      </c>
      <c r="L1235" s="1196" t="s">
        <v>2057</v>
      </c>
      <c r="M1235" s="1196">
        <v>1000</v>
      </c>
      <c r="N1235" s="1196">
        <v>1010</v>
      </c>
      <c r="O1235" s="1196">
        <v>1020</v>
      </c>
      <c r="P1235" s="1196">
        <v>1030</v>
      </c>
      <c r="Q1235" s="1196">
        <v>1040</v>
      </c>
    </row>
    <row r="1236" spans="1:17" ht="60" x14ac:dyDescent="0.25">
      <c r="A1236" s="1132"/>
      <c r="B1236" s="372"/>
      <c r="C1236" s="1134" t="s">
        <v>13</v>
      </c>
      <c r="D1236" s="1134"/>
      <c r="E1236" s="1212" t="s">
        <v>2059</v>
      </c>
      <c r="F1236" s="1125"/>
      <c r="G1236" s="1125"/>
      <c r="H1236" s="1125">
        <v>2867.3</v>
      </c>
      <c r="I1236" s="1125">
        <v>2887.6</v>
      </c>
      <c r="J1236" s="1125">
        <v>2974.3</v>
      </c>
      <c r="K1236" s="1212" t="s">
        <v>2060</v>
      </c>
      <c r="L1236" s="1196" t="s">
        <v>34</v>
      </c>
      <c r="M1236" s="1196">
        <v>0.7</v>
      </c>
      <c r="N1236" s="1196">
        <v>0.7</v>
      </c>
      <c r="O1236" s="1196">
        <v>0.7</v>
      </c>
      <c r="P1236" s="1196">
        <v>0.7</v>
      </c>
      <c r="Q1236" s="1196">
        <v>0.7</v>
      </c>
    </row>
    <row r="1237" spans="1:17" ht="60" x14ac:dyDescent="0.25">
      <c r="A1237" s="1132"/>
      <c r="B1237" s="372"/>
      <c r="C1237" s="1134" t="s">
        <v>15</v>
      </c>
      <c r="D1237" s="1134"/>
      <c r="E1237" s="1212" t="s">
        <v>2061</v>
      </c>
      <c r="F1237" s="1125"/>
      <c r="G1237" s="1125"/>
      <c r="H1237" s="1125">
        <f>17610.4+1114.7</f>
        <v>18725.100000000002</v>
      </c>
      <c r="I1237" s="1125">
        <v>31479.8</v>
      </c>
      <c r="J1237" s="1125">
        <v>37496.800000000003</v>
      </c>
      <c r="K1237" s="1212" t="s">
        <v>2062</v>
      </c>
      <c r="L1237" s="1196" t="s">
        <v>34</v>
      </c>
      <c r="M1237" s="1196">
        <v>29.6</v>
      </c>
      <c r="N1237" s="1196">
        <v>29.6</v>
      </c>
      <c r="O1237" s="1196">
        <v>29.6</v>
      </c>
      <c r="P1237" s="1196">
        <v>29.6</v>
      </c>
      <c r="Q1237" s="1196">
        <v>29.6</v>
      </c>
    </row>
    <row r="1238" spans="1:17" ht="30" x14ac:dyDescent="0.25">
      <c r="A1238" s="1132"/>
      <c r="B1238" s="372"/>
      <c r="C1238" s="1134" t="s">
        <v>16</v>
      </c>
      <c r="D1238" s="1134"/>
      <c r="E1238" s="1212" t="s">
        <v>2063</v>
      </c>
      <c r="F1238" s="1125"/>
      <c r="G1238" s="1125"/>
      <c r="H1238" s="1125"/>
      <c r="I1238" s="1125">
        <v>45000</v>
      </c>
      <c r="J1238" s="1125">
        <v>45000</v>
      </c>
      <c r="K1238" s="1212" t="s">
        <v>2041</v>
      </c>
      <c r="L1238" s="1196" t="s">
        <v>780</v>
      </c>
      <c r="M1238" s="1196"/>
      <c r="N1238" s="1196"/>
      <c r="O1238" s="823" t="s">
        <v>1343</v>
      </c>
      <c r="P1238" s="823" t="s">
        <v>1343</v>
      </c>
      <c r="Q1238" s="823" t="s">
        <v>1343</v>
      </c>
    </row>
    <row r="1239" spans="1:17" ht="156.75" x14ac:dyDescent="0.25">
      <c r="A1239" s="1193">
        <v>52</v>
      </c>
      <c r="B1239" s="44">
        <v>4</v>
      </c>
      <c r="C1239" s="1134"/>
      <c r="D1239" s="1134"/>
      <c r="E1239" s="1195" t="s">
        <v>2064</v>
      </c>
      <c r="F1239" s="1213">
        <v>36085.100000000006</v>
      </c>
      <c r="G1239" s="1213">
        <v>42500</v>
      </c>
      <c r="H1239" s="1213">
        <f>SUM(H1240:H1254)</f>
        <v>52483.199999999997</v>
      </c>
      <c r="I1239" s="1213">
        <v>49000</v>
      </c>
      <c r="J1239" s="1213">
        <v>49000</v>
      </c>
      <c r="K1239" s="1195" t="s">
        <v>2065</v>
      </c>
      <c r="L1239" s="343" t="s">
        <v>2066</v>
      </c>
      <c r="M1239" s="803">
        <v>6240.02</v>
      </c>
      <c r="N1239" s="803">
        <v>7003.86</v>
      </c>
      <c r="O1239" s="803">
        <v>3665.49</v>
      </c>
      <c r="P1239" s="803">
        <v>4641.8999999999996</v>
      </c>
      <c r="Q1239" s="803">
        <v>4641.8999999999996</v>
      </c>
    </row>
    <row r="1240" spans="1:17" ht="60" x14ac:dyDescent="0.25">
      <c r="A1240" s="1132"/>
      <c r="B1240" s="372"/>
      <c r="C1240" s="1134" t="s">
        <v>4</v>
      </c>
      <c r="D1240" s="1134"/>
      <c r="E1240" s="1212" t="s">
        <v>2067</v>
      </c>
      <c r="F1240" s="1125"/>
      <c r="G1240" s="1125"/>
      <c r="H1240" s="1125">
        <f>5364.1+11769</f>
        <v>17133.099999999999</v>
      </c>
      <c r="I1240" s="1125">
        <v>6980</v>
      </c>
      <c r="J1240" s="1125">
        <v>6980</v>
      </c>
      <c r="K1240" s="1212" t="s">
        <v>2068</v>
      </c>
      <c r="L1240" s="343" t="s">
        <v>34</v>
      </c>
      <c r="M1240" s="803"/>
      <c r="N1240" s="803"/>
      <c r="O1240" s="803"/>
      <c r="P1240" s="803"/>
      <c r="Q1240" s="803"/>
    </row>
    <row r="1241" spans="1:17" ht="30" x14ac:dyDescent="0.25">
      <c r="A1241" s="1132"/>
      <c r="B1241" s="372"/>
      <c r="C1241" s="1134" t="s">
        <v>5</v>
      </c>
      <c r="D1241" s="1134"/>
      <c r="E1241" s="1212" t="s">
        <v>2069</v>
      </c>
      <c r="F1241" s="1125">
        <v>16132.2</v>
      </c>
      <c r="G1241" s="1125">
        <v>19000</v>
      </c>
      <c r="H1241" s="1125">
        <f>10989+299.4</f>
        <v>11288.4</v>
      </c>
      <c r="I1241" s="1125">
        <v>10987</v>
      </c>
      <c r="J1241" s="1125">
        <v>10987</v>
      </c>
      <c r="K1241" s="1212" t="s">
        <v>2070</v>
      </c>
      <c r="L1241" s="1196" t="s">
        <v>1618</v>
      </c>
      <c r="M1241" s="803"/>
      <c r="N1241" s="803"/>
      <c r="O1241" s="1196">
        <v>558.29999999999995</v>
      </c>
      <c r="P1241" s="1196">
        <v>1116.5999999999999</v>
      </c>
      <c r="Q1241" s="1196">
        <v>1116.5999999999999</v>
      </c>
    </row>
    <row r="1242" spans="1:17" x14ac:dyDescent="0.25">
      <c r="A1242" s="2033"/>
      <c r="B1242" s="1787"/>
      <c r="C1242" s="2037" t="s">
        <v>7</v>
      </c>
      <c r="D1242" s="2037"/>
      <c r="E1242" s="1791" t="s">
        <v>2071</v>
      </c>
      <c r="F1242" s="1765">
        <v>10931.7</v>
      </c>
      <c r="G1242" s="1765">
        <v>12875</v>
      </c>
      <c r="H1242" s="1765">
        <f>6038.3+7286.7</f>
        <v>13325</v>
      </c>
      <c r="I1242" s="1765">
        <v>13325</v>
      </c>
      <c r="J1242" s="1765">
        <v>13325</v>
      </c>
      <c r="K1242" s="1212" t="s">
        <v>2072</v>
      </c>
      <c r="L1242" s="1196" t="s">
        <v>1618</v>
      </c>
      <c r="M1242" s="1196">
        <v>479.9</v>
      </c>
      <c r="N1242" s="1196">
        <v>333.6</v>
      </c>
      <c r="O1242" s="1196">
        <v>308.29000000000002</v>
      </c>
      <c r="P1242" s="1196">
        <v>303.3</v>
      </c>
      <c r="Q1242" s="1196">
        <v>293.8</v>
      </c>
    </row>
    <row r="1243" spans="1:17" x14ac:dyDescent="0.25">
      <c r="A1243" s="2034"/>
      <c r="B1243" s="2036"/>
      <c r="C1243" s="2038"/>
      <c r="D1243" s="2038"/>
      <c r="E1243" s="1791"/>
      <c r="F1243" s="1765"/>
      <c r="G1243" s="1765"/>
      <c r="H1243" s="1765"/>
      <c r="I1243" s="1765"/>
      <c r="J1243" s="1765"/>
      <c r="K1243" s="1212" t="s">
        <v>2073</v>
      </c>
      <c r="L1243" s="1196" t="s">
        <v>1618</v>
      </c>
      <c r="M1243" s="1196">
        <v>479.9</v>
      </c>
      <c r="N1243" s="1196">
        <v>333.6</v>
      </c>
      <c r="O1243" s="1196">
        <v>308.29000000000002</v>
      </c>
      <c r="P1243" s="1196">
        <v>303.3</v>
      </c>
      <c r="Q1243" s="1196">
        <v>293.8</v>
      </c>
    </row>
    <row r="1244" spans="1:17" ht="30" x14ac:dyDescent="0.25">
      <c r="A1244" s="2034"/>
      <c r="B1244" s="2036"/>
      <c r="C1244" s="2038"/>
      <c r="D1244" s="2038"/>
      <c r="E1244" s="1791"/>
      <c r="F1244" s="1765"/>
      <c r="G1244" s="1765"/>
      <c r="H1244" s="1765"/>
      <c r="I1244" s="1765"/>
      <c r="J1244" s="1765"/>
      <c r="K1244" s="1212" t="s">
        <v>2074</v>
      </c>
      <c r="L1244" s="1196" t="s">
        <v>780</v>
      </c>
      <c r="M1244" s="1196">
        <v>2635</v>
      </c>
      <c r="N1244" s="1196">
        <v>1835</v>
      </c>
      <c r="O1244" s="1196">
        <v>1769</v>
      </c>
      <c r="P1244" s="1196">
        <v>1689</v>
      </c>
      <c r="Q1244" s="1196">
        <v>1451</v>
      </c>
    </row>
    <row r="1245" spans="1:17" x14ac:dyDescent="0.25">
      <c r="A1245" s="2035"/>
      <c r="B1245" s="1788"/>
      <c r="C1245" s="1859"/>
      <c r="D1245" s="1859"/>
      <c r="E1245" s="1791"/>
      <c r="F1245" s="1765"/>
      <c r="G1245" s="1765"/>
      <c r="H1245" s="1765"/>
      <c r="I1245" s="1765"/>
      <c r="J1245" s="1765"/>
      <c r="K1245" s="1212" t="s">
        <v>2075</v>
      </c>
      <c r="L1245" s="1196" t="s">
        <v>780</v>
      </c>
      <c r="M1245" s="1196">
        <v>11</v>
      </c>
      <c r="N1245" s="1196">
        <v>11</v>
      </c>
      <c r="O1245" s="1196">
        <v>12</v>
      </c>
      <c r="P1245" s="1196">
        <v>14</v>
      </c>
      <c r="Q1245" s="1196">
        <v>7</v>
      </c>
    </row>
    <row r="1246" spans="1:17" ht="30" x14ac:dyDescent="0.25">
      <c r="A1246" s="2033"/>
      <c r="B1246" s="1787"/>
      <c r="C1246" s="2037" t="s">
        <v>9</v>
      </c>
      <c r="D1246" s="2037"/>
      <c r="E1246" s="1791" t="s">
        <v>2076</v>
      </c>
      <c r="F1246" s="1765">
        <v>9021.2000000000007</v>
      </c>
      <c r="G1246" s="1765">
        <v>10625</v>
      </c>
      <c r="H1246" s="1765">
        <f>4028.6+4093.1</f>
        <v>8121.7</v>
      </c>
      <c r="I1246" s="1765">
        <v>10093</v>
      </c>
      <c r="J1246" s="1765">
        <v>10093</v>
      </c>
      <c r="K1246" s="1212" t="s">
        <v>2077</v>
      </c>
      <c r="L1246" s="1196" t="s">
        <v>1618</v>
      </c>
      <c r="M1246" s="1196">
        <v>2631.3</v>
      </c>
      <c r="N1246" s="1196">
        <v>4491.6000000000004</v>
      </c>
      <c r="O1246" s="1196">
        <v>1274.5</v>
      </c>
      <c r="P1246" s="1196">
        <v>1341.7</v>
      </c>
      <c r="Q1246" s="1196">
        <v>1000</v>
      </c>
    </row>
    <row r="1247" spans="1:17" ht="30" x14ac:dyDescent="0.25">
      <c r="A1247" s="2034"/>
      <c r="B1247" s="2036"/>
      <c r="C1247" s="2038"/>
      <c r="D1247" s="2038"/>
      <c r="E1247" s="1791"/>
      <c r="F1247" s="1765"/>
      <c r="G1247" s="1765"/>
      <c r="H1247" s="1765"/>
      <c r="I1247" s="1765"/>
      <c r="J1247" s="1765"/>
      <c r="K1247" s="1212" t="s">
        <v>2078</v>
      </c>
      <c r="L1247" s="1196" t="s">
        <v>825</v>
      </c>
      <c r="M1247" s="1196">
        <v>750</v>
      </c>
      <c r="N1247" s="1196">
        <v>800</v>
      </c>
      <c r="O1247" s="1196">
        <v>350</v>
      </c>
      <c r="P1247" s="1196">
        <v>365</v>
      </c>
      <c r="Q1247" s="1196">
        <v>317</v>
      </c>
    </row>
    <row r="1248" spans="1:17" ht="30" x14ac:dyDescent="0.25">
      <c r="A1248" s="2034"/>
      <c r="B1248" s="2036"/>
      <c r="C1248" s="2038"/>
      <c r="D1248" s="2038"/>
      <c r="E1248" s="1791"/>
      <c r="F1248" s="1765"/>
      <c r="G1248" s="1765"/>
      <c r="H1248" s="1765"/>
      <c r="I1248" s="1765"/>
      <c r="J1248" s="1765"/>
      <c r="K1248" s="1212" t="s">
        <v>2079</v>
      </c>
      <c r="L1248" s="1196" t="s">
        <v>259</v>
      </c>
      <c r="M1248" s="1196">
        <v>4300</v>
      </c>
      <c r="N1248" s="1196">
        <v>4300</v>
      </c>
      <c r="O1248" s="1196">
        <v>1800</v>
      </c>
      <c r="P1248" s="1196">
        <v>2100</v>
      </c>
      <c r="Q1248" s="1196">
        <v>1650</v>
      </c>
    </row>
    <row r="1249" spans="1:17" x14ac:dyDescent="0.25">
      <c r="A1249" s="2035"/>
      <c r="B1249" s="1788"/>
      <c r="C1249" s="1859"/>
      <c r="D1249" s="1859"/>
      <c r="E1249" s="1791"/>
      <c r="F1249" s="1765"/>
      <c r="G1249" s="1765"/>
      <c r="H1249" s="1765"/>
      <c r="I1249" s="1765"/>
      <c r="J1249" s="1765"/>
      <c r="K1249" s="1212" t="s">
        <v>2080</v>
      </c>
      <c r="L1249" s="1196" t="s">
        <v>825</v>
      </c>
      <c r="M1249" s="1196">
        <v>2</v>
      </c>
      <c r="N1249" s="1196">
        <v>2</v>
      </c>
      <c r="O1249" s="1196">
        <v>2</v>
      </c>
      <c r="P1249" s="1196">
        <v>1</v>
      </c>
      <c r="Q1249" s="1196">
        <v>1</v>
      </c>
    </row>
    <row r="1250" spans="1:17" x14ac:dyDescent="0.25">
      <c r="A1250" s="2033"/>
      <c r="B1250" s="1787"/>
      <c r="C1250" s="2037" t="s">
        <v>11</v>
      </c>
      <c r="D1250" s="2037"/>
      <c r="E1250" s="1791" t="s">
        <v>2081</v>
      </c>
      <c r="F1250" s="1765"/>
      <c r="G1250" s="1765"/>
      <c r="H1250" s="1765">
        <v>2615</v>
      </c>
      <c r="I1250" s="1765">
        <v>2615</v>
      </c>
      <c r="J1250" s="1765">
        <v>2615</v>
      </c>
      <c r="K1250" s="1212" t="s">
        <v>2082</v>
      </c>
      <c r="L1250" s="1196" t="s">
        <v>1618</v>
      </c>
      <c r="M1250" s="1196">
        <v>3111.2</v>
      </c>
      <c r="N1250" s="1196">
        <v>4825.2</v>
      </c>
      <c r="O1250" s="1196">
        <v>2141.1</v>
      </c>
      <c r="P1250" s="1196">
        <v>2761.6</v>
      </c>
      <c r="Q1250" s="1196">
        <v>1293.8</v>
      </c>
    </row>
    <row r="1251" spans="1:17" ht="30" x14ac:dyDescent="0.25">
      <c r="A1251" s="2034"/>
      <c r="B1251" s="2036"/>
      <c r="C1251" s="2038"/>
      <c r="D1251" s="2038"/>
      <c r="E1251" s="1791"/>
      <c r="F1251" s="1765"/>
      <c r="G1251" s="1765"/>
      <c r="H1251" s="1765"/>
      <c r="I1251" s="1765"/>
      <c r="J1251" s="1765"/>
      <c r="K1251" s="1212" t="s">
        <v>2083</v>
      </c>
      <c r="L1251" s="1196" t="s">
        <v>825</v>
      </c>
      <c r="M1251" s="1196">
        <v>33054</v>
      </c>
      <c r="N1251" s="1196">
        <v>33773</v>
      </c>
      <c r="O1251" s="1196">
        <v>34345</v>
      </c>
      <c r="P1251" s="1196">
        <v>34556</v>
      </c>
      <c r="Q1251" s="1196">
        <v>17859</v>
      </c>
    </row>
    <row r="1252" spans="1:17" x14ac:dyDescent="0.25">
      <c r="A1252" s="2034"/>
      <c r="B1252" s="2036"/>
      <c r="C1252" s="2038"/>
      <c r="D1252" s="2038"/>
      <c r="E1252" s="1791"/>
      <c r="F1252" s="1765"/>
      <c r="G1252" s="1765"/>
      <c r="H1252" s="1765"/>
      <c r="I1252" s="1765"/>
      <c r="J1252" s="1765"/>
      <c r="K1252" s="1212" t="s">
        <v>2084</v>
      </c>
      <c r="L1252" s="1196" t="s">
        <v>825</v>
      </c>
      <c r="M1252" s="1196">
        <v>104</v>
      </c>
      <c r="N1252" s="1196">
        <v>138</v>
      </c>
      <c r="O1252" s="1196">
        <v>154</v>
      </c>
      <c r="P1252" s="1196">
        <v>182</v>
      </c>
      <c r="Q1252" s="1196">
        <v>91</v>
      </c>
    </row>
    <row r="1253" spans="1:17" x14ac:dyDescent="0.25">
      <c r="A1253" s="2035"/>
      <c r="B1253" s="1788"/>
      <c r="C1253" s="1859"/>
      <c r="D1253" s="1859"/>
      <c r="E1253" s="1791"/>
      <c r="F1253" s="1765"/>
      <c r="G1253" s="1765"/>
      <c r="H1253" s="1765"/>
      <c r="I1253" s="1765"/>
      <c r="J1253" s="1765"/>
      <c r="K1253" s="1212" t="s">
        <v>2085</v>
      </c>
      <c r="L1253" s="1196" t="s">
        <v>825</v>
      </c>
      <c r="M1253" s="1196">
        <v>223</v>
      </c>
      <c r="N1253" s="1196">
        <v>236</v>
      </c>
      <c r="O1253" s="1196">
        <v>264</v>
      </c>
      <c r="P1253" s="1196">
        <v>282</v>
      </c>
      <c r="Q1253" s="1196">
        <v>148</v>
      </c>
    </row>
    <row r="1254" spans="1:17" ht="30" x14ac:dyDescent="0.25">
      <c r="A1254" s="1132"/>
      <c r="B1254" s="372"/>
      <c r="C1254" s="1134" t="s">
        <v>13</v>
      </c>
      <c r="D1254" s="1134"/>
      <c r="E1254" s="1212" t="s">
        <v>2086</v>
      </c>
      <c r="F1254" s="1125"/>
      <c r="G1254" s="1125"/>
      <c r="H1254" s="1125"/>
      <c r="I1254" s="1125">
        <v>5000</v>
      </c>
      <c r="J1254" s="1125">
        <v>5000</v>
      </c>
      <c r="K1254" s="1212" t="s">
        <v>2009</v>
      </c>
      <c r="L1254" s="1196" t="s">
        <v>780</v>
      </c>
      <c r="M1254" s="1196"/>
      <c r="N1254" s="1196"/>
      <c r="O1254" s="823" t="s">
        <v>1343</v>
      </c>
      <c r="P1254" s="823" t="s">
        <v>1343</v>
      </c>
      <c r="Q1254" s="823" t="s">
        <v>1343</v>
      </c>
    </row>
    <row r="1255" spans="1:17" ht="42.75" x14ac:dyDescent="0.25">
      <c r="A1255" s="1991">
        <v>52</v>
      </c>
      <c r="B1255" s="1989">
        <v>5</v>
      </c>
      <c r="C1255" s="2037"/>
      <c r="D1255" s="2037"/>
      <c r="E1255" s="1630" t="s">
        <v>2087</v>
      </c>
      <c r="F1255" s="2043">
        <v>225779.80000000002</v>
      </c>
      <c r="G1255" s="2043">
        <v>200830.8</v>
      </c>
      <c r="H1255" s="2043">
        <f>SUM(H1258:H1286)</f>
        <v>231082.80000000002</v>
      </c>
      <c r="I1255" s="2043">
        <v>223791.30000000002</v>
      </c>
      <c r="J1255" s="2043">
        <v>223791.30000000002</v>
      </c>
      <c r="K1255" s="1195" t="s">
        <v>2088</v>
      </c>
      <c r="L1255" s="1196" t="s">
        <v>780</v>
      </c>
      <c r="M1255" s="343">
        <v>58</v>
      </c>
      <c r="N1255" s="343">
        <v>58</v>
      </c>
      <c r="O1255" s="343">
        <v>58</v>
      </c>
      <c r="P1255" s="343">
        <v>58</v>
      </c>
      <c r="Q1255" s="343">
        <v>58</v>
      </c>
    </row>
    <row r="1256" spans="1:17" ht="28.5" x14ac:dyDescent="0.25">
      <c r="A1256" s="2040"/>
      <c r="B1256" s="2042"/>
      <c r="C1256" s="2038"/>
      <c r="D1256" s="2038"/>
      <c r="E1256" s="1630"/>
      <c r="F1256" s="2043"/>
      <c r="G1256" s="2043"/>
      <c r="H1256" s="2043"/>
      <c r="I1256" s="2043"/>
      <c r="J1256" s="2043"/>
      <c r="K1256" s="1195" t="s">
        <v>2089</v>
      </c>
      <c r="L1256" s="1196" t="s">
        <v>780</v>
      </c>
      <c r="M1256" s="343">
        <v>57</v>
      </c>
      <c r="N1256" s="343">
        <v>57</v>
      </c>
      <c r="O1256" s="343">
        <v>57</v>
      </c>
      <c r="P1256" s="343">
        <v>57</v>
      </c>
      <c r="Q1256" s="343">
        <v>57</v>
      </c>
    </row>
    <row r="1257" spans="1:17" ht="42.75" x14ac:dyDescent="0.25">
      <c r="A1257" s="2041"/>
      <c r="B1257" s="1990"/>
      <c r="C1257" s="1859"/>
      <c r="D1257" s="1859"/>
      <c r="E1257" s="1630"/>
      <c r="F1257" s="2043"/>
      <c r="G1257" s="2043"/>
      <c r="H1257" s="2043"/>
      <c r="I1257" s="2043"/>
      <c r="J1257" s="2043"/>
      <c r="K1257" s="1195" t="s">
        <v>2090</v>
      </c>
      <c r="L1257" s="1196" t="s">
        <v>780</v>
      </c>
      <c r="M1257" s="343">
        <v>85</v>
      </c>
      <c r="N1257" s="343">
        <v>85</v>
      </c>
      <c r="O1257" s="343">
        <v>85</v>
      </c>
      <c r="P1257" s="343">
        <v>85</v>
      </c>
      <c r="Q1257" s="343">
        <v>85</v>
      </c>
    </row>
    <row r="1258" spans="1:17" ht="60" x14ac:dyDescent="0.25">
      <c r="A1258" s="2033"/>
      <c r="B1258" s="1787"/>
      <c r="C1258" s="2037" t="s">
        <v>4</v>
      </c>
      <c r="D1258" s="2037"/>
      <c r="E1258" s="1791" t="s">
        <v>2091</v>
      </c>
      <c r="F1258" s="1765">
        <v>93703</v>
      </c>
      <c r="G1258" s="1765">
        <v>93703</v>
      </c>
      <c r="H1258" s="1765">
        <f>101329.2+2658.5</f>
        <v>103987.7</v>
      </c>
      <c r="I1258" s="1765">
        <v>96007.3</v>
      </c>
      <c r="J1258" s="1765">
        <v>96007.3</v>
      </c>
      <c r="K1258" s="1212" t="s">
        <v>2092</v>
      </c>
      <c r="L1258" s="343" t="s">
        <v>34</v>
      </c>
      <c r="M1258" s="803"/>
      <c r="N1258" s="803"/>
      <c r="O1258" s="803"/>
      <c r="P1258" s="803"/>
      <c r="Q1258" s="803"/>
    </row>
    <row r="1259" spans="1:17" ht="30" x14ac:dyDescent="0.25">
      <c r="A1259" s="2034"/>
      <c r="B1259" s="2036"/>
      <c r="C1259" s="2038"/>
      <c r="D1259" s="2038"/>
      <c r="E1259" s="1791"/>
      <c r="F1259" s="1765"/>
      <c r="G1259" s="1765"/>
      <c r="H1259" s="1765"/>
      <c r="I1259" s="1765"/>
      <c r="J1259" s="1765"/>
      <c r="K1259" s="1212" t="s">
        <v>2093</v>
      </c>
      <c r="L1259" s="1196" t="s">
        <v>780</v>
      </c>
      <c r="M1259" s="1196">
        <v>5</v>
      </c>
      <c r="N1259" s="1196">
        <v>7</v>
      </c>
      <c r="O1259" s="1196">
        <v>20</v>
      </c>
      <c r="P1259" s="1196">
        <v>22</v>
      </c>
      <c r="Q1259" s="1196">
        <v>22</v>
      </c>
    </row>
    <row r="1260" spans="1:17" ht="30" x14ac:dyDescent="0.25">
      <c r="A1260" s="2034"/>
      <c r="B1260" s="2036"/>
      <c r="C1260" s="2038"/>
      <c r="D1260" s="2038"/>
      <c r="E1260" s="1791"/>
      <c r="F1260" s="1765"/>
      <c r="G1260" s="1765"/>
      <c r="H1260" s="1765"/>
      <c r="I1260" s="1765"/>
      <c r="J1260" s="1765"/>
      <c r="K1260" s="1212" t="s">
        <v>2094</v>
      </c>
      <c r="L1260" s="1196" t="s">
        <v>260</v>
      </c>
      <c r="M1260" s="1196">
        <v>7.38</v>
      </c>
      <c r="N1260" s="1196">
        <v>7.38</v>
      </c>
      <c r="O1260" s="1196">
        <v>7.6</v>
      </c>
      <c r="P1260" s="1196">
        <v>8</v>
      </c>
      <c r="Q1260" s="1196">
        <v>10</v>
      </c>
    </row>
    <row r="1261" spans="1:17" ht="30" x14ac:dyDescent="0.25">
      <c r="A1261" s="2034"/>
      <c r="B1261" s="2036"/>
      <c r="C1261" s="2038"/>
      <c r="D1261" s="2038"/>
      <c r="E1261" s="1791"/>
      <c r="F1261" s="1765"/>
      <c r="G1261" s="1765"/>
      <c r="H1261" s="1765"/>
      <c r="I1261" s="1765"/>
      <c r="J1261" s="1765"/>
      <c r="K1261" s="1212" t="s">
        <v>2095</v>
      </c>
      <c r="L1261" s="1196" t="s">
        <v>2066</v>
      </c>
      <c r="M1261" s="1196">
        <v>1476121.6000000001</v>
      </c>
      <c r="N1261" s="1196">
        <v>1476121.6000000001</v>
      </c>
      <c r="O1261" s="1196">
        <v>1516121.6</v>
      </c>
      <c r="P1261" s="1196">
        <v>1616121.6</v>
      </c>
      <c r="Q1261" s="1196"/>
    </row>
    <row r="1262" spans="1:17" ht="30" x14ac:dyDescent="0.25">
      <c r="A1262" s="2034"/>
      <c r="B1262" s="2036"/>
      <c r="C1262" s="2038"/>
      <c r="D1262" s="2038"/>
      <c r="E1262" s="1791"/>
      <c r="F1262" s="1765"/>
      <c r="G1262" s="1765"/>
      <c r="H1262" s="1765"/>
      <c r="I1262" s="1765"/>
      <c r="J1262" s="1765"/>
      <c r="K1262" s="1212" t="s">
        <v>2096</v>
      </c>
      <c r="L1262" s="1196" t="s">
        <v>780</v>
      </c>
      <c r="M1262" s="1196">
        <v>0</v>
      </c>
      <c r="N1262" s="1196">
        <v>0</v>
      </c>
      <c r="O1262" s="1196">
        <v>1</v>
      </c>
      <c r="P1262" s="1196">
        <v>5</v>
      </c>
      <c r="Q1262" s="1196">
        <v>6</v>
      </c>
    </row>
    <row r="1263" spans="1:17" x14ac:dyDescent="0.25">
      <c r="A1263" s="2034"/>
      <c r="B1263" s="2036"/>
      <c r="C1263" s="2038"/>
      <c r="D1263" s="2038"/>
      <c r="E1263" s="1791"/>
      <c r="F1263" s="1765"/>
      <c r="G1263" s="1765"/>
      <c r="H1263" s="1765"/>
      <c r="I1263" s="1765"/>
      <c r="J1263" s="1765"/>
      <c r="K1263" s="1212" t="s">
        <v>2097</v>
      </c>
      <c r="L1263" s="1196" t="s">
        <v>780</v>
      </c>
      <c r="M1263" s="1196">
        <v>0</v>
      </c>
      <c r="N1263" s="1196">
        <v>0</v>
      </c>
      <c r="O1263" s="1196">
        <v>1</v>
      </c>
      <c r="P1263" s="1196">
        <v>2</v>
      </c>
      <c r="Q1263" s="1196">
        <v>3</v>
      </c>
    </row>
    <row r="1264" spans="1:17" ht="30" x14ac:dyDescent="0.25">
      <c r="A1264" s="2035"/>
      <c r="B1264" s="1788"/>
      <c r="C1264" s="1859"/>
      <c r="D1264" s="1859"/>
      <c r="E1264" s="1791"/>
      <c r="F1264" s="1765"/>
      <c r="G1264" s="1765"/>
      <c r="H1264" s="1765"/>
      <c r="I1264" s="1765"/>
      <c r="J1264" s="1765"/>
      <c r="K1264" s="1212" t="s">
        <v>2098</v>
      </c>
      <c r="L1264" s="1196" t="s">
        <v>780</v>
      </c>
      <c r="M1264" s="1196"/>
      <c r="N1264" s="1196"/>
      <c r="O1264" s="1196"/>
      <c r="P1264" s="1196"/>
      <c r="Q1264" s="1196"/>
    </row>
    <row r="1265" spans="1:17" ht="30" x14ac:dyDescent="0.25">
      <c r="A1265" s="2033"/>
      <c r="B1265" s="1787"/>
      <c r="C1265" s="2037" t="s">
        <v>5</v>
      </c>
      <c r="D1265" s="2037"/>
      <c r="E1265" s="1746" t="s">
        <v>2099</v>
      </c>
      <c r="F1265" s="1765">
        <v>93703.3</v>
      </c>
      <c r="G1265" s="1765">
        <v>93703.3</v>
      </c>
      <c r="H1265" s="1765">
        <f>38115+5120</f>
        <v>43235</v>
      </c>
      <c r="I1265" s="1765">
        <v>39139</v>
      </c>
      <c r="J1265" s="1765">
        <v>39139</v>
      </c>
      <c r="K1265" s="1212" t="s">
        <v>2100</v>
      </c>
      <c r="L1265" s="1196" t="s">
        <v>780</v>
      </c>
      <c r="M1265" s="1196"/>
      <c r="N1265" s="1196"/>
      <c r="O1265" s="1196"/>
      <c r="P1265" s="1196"/>
      <c r="Q1265" s="1196"/>
    </row>
    <row r="1266" spans="1:17" ht="30" x14ac:dyDescent="0.25">
      <c r="A1266" s="2034"/>
      <c r="B1266" s="2036"/>
      <c r="C1266" s="2038"/>
      <c r="D1266" s="2038"/>
      <c r="E1266" s="2039"/>
      <c r="F1266" s="1765"/>
      <c r="G1266" s="1765"/>
      <c r="H1266" s="1765"/>
      <c r="I1266" s="1765"/>
      <c r="J1266" s="1765"/>
      <c r="K1266" s="1212" t="s">
        <v>2101</v>
      </c>
      <c r="L1266" s="1196" t="s">
        <v>780</v>
      </c>
      <c r="M1266" s="1196"/>
      <c r="N1266" s="1196"/>
      <c r="O1266" s="1196"/>
      <c r="P1266" s="1196"/>
      <c r="Q1266" s="1196"/>
    </row>
    <row r="1267" spans="1:17" x14ac:dyDescent="0.25">
      <c r="A1267" s="2034"/>
      <c r="B1267" s="2036"/>
      <c r="C1267" s="2038"/>
      <c r="D1267" s="2038"/>
      <c r="E1267" s="2039"/>
      <c r="F1267" s="1765"/>
      <c r="G1267" s="1765"/>
      <c r="H1267" s="1765"/>
      <c r="I1267" s="1765"/>
      <c r="J1267" s="1765"/>
      <c r="K1267" s="1212" t="s">
        <v>2102</v>
      </c>
      <c r="L1267" s="1196" t="s">
        <v>780</v>
      </c>
      <c r="M1267" s="1196"/>
      <c r="N1267" s="1196"/>
      <c r="O1267" s="1196"/>
      <c r="P1267" s="1196"/>
      <c r="Q1267" s="1196"/>
    </row>
    <row r="1268" spans="1:17" ht="45" x14ac:dyDescent="0.25">
      <c r="A1268" s="2034"/>
      <c r="B1268" s="2036"/>
      <c r="C1268" s="2038"/>
      <c r="D1268" s="2038"/>
      <c r="E1268" s="2039"/>
      <c r="F1268" s="1765"/>
      <c r="G1268" s="1765"/>
      <c r="H1268" s="1765"/>
      <c r="I1268" s="1765"/>
      <c r="J1268" s="1765"/>
      <c r="K1268" s="1212" t="s">
        <v>2103</v>
      </c>
      <c r="L1268" s="1196" t="s">
        <v>34</v>
      </c>
      <c r="M1268" s="1196"/>
      <c r="N1268" s="1196"/>
      <c r="O1268" s="1196"/>
      <c r="P1268" s="1196"/>
      <c r="Q1268" s="1196"/>
    </row>
    <row r="1269" spans="1:17" ht="60" x14ac:dyDescent="0.25">
      <c r="A1269" s="2035"/>
      <c r="B1269" s="1788"/>
      <c r="C1269" s="1859"/>
      <c r="D1269" s="1859"/>
      <c r="E1269" s="1747"/>
      <c r="F1269" s="1765"/>
      <c r="G1269" s="1765"/>
      <c r="H1269" s="1765"/>
      <c r="I1269" s="1765"/>
      <c r="J1269" s="1765"/>
      <c r="K1269" s="1212" t="s">
        <v>2104</v>
      </c>
      <c r="L1269" s="1196" t="s">
        <v>780</v>
      </c>
      <c r="M1269" s="1196">
        <v>25</v>
      </c>
      <c r="N1269" s="1196">
        <v>20</v>
      </c>
      <c r="O1269" s="1196">
        <v>10</v>
      </c>
      <c r="P1269" s="1196">
        <v>5</v>
      </c>
      <c r="Q1269" s="1196"/>
    </row>
    <row r="1270" spans="1:17" x14ac:dyDescent="0.25">
      <c r="A1270" s="1132"/>
      <c r="B1270" s="372"/>
      <c r="C1270" s="1134" t="s">
        <v>7</v>
      </c>
      <c r="D1270" s="1134"/>
      <c r="E1270" s="1212" t="s">
        <v>2105</v>
      </c>
      <c r="F1270" s="1125"/>
      <c r="G1270" s="1125"/>
      <c r="H1270" s="1125">
        <f>3840+9257.8</f>
        <v>13097.8</v>
      </c>
      <c r="I1270" s="1125">
        <v>10000</v>
      </c>
      <c r="J1270" s="1125">
        <v>10000</v>
      </c>
      <c r="K1270" s="1212" t="s">
        <v>2106</v>
      </c>
      <c r="L1270" s="1196" t="s">
        <v>780</v>
      </c>
      <c r="M1270" s="1196">
        <v>53</v>
      </c>
      <c r="N1270" s="1196">
        <v>53</v>
      </c>
      <c r="O1270" s="1196"/>
      <c r="P1270" s="1196"/>
      <c r="Q1270" s="1196"/>
    </row>
    <row r="1271" spans="1:17" ht="30" x14ac:dyDescent="0.25">
      <c r="A1271" s="2033"/>
      <c r="B1271" s="1787"/>
      <c r="C1271" s="2037" t="s">
        <v>9</v>
      </c>
      <c r="D1271" s="2037"/>
      <c r="E1271" s="1791" t="s">
        <v>2107</v>
      </c>
      <c r="F1271" s="1765">
        <v>11029.2</v>
      </c>
      <c r="G1271" s="1765">
        <v>4821.7</v>
      </c>
      <c r="H1271" s="1765">
        <f>1816.6+25195</f>
        <v>27011.599999999999</v>
      </c>
      <c r="I1271" s="1765">
        <v>26681.600000000002</v>
      </c>
      <c r="J1271" s="1765">
        <v>26681.600000000002</v>
      </c>
      <c r="K1271" s="1212" t="s">
        <v>2108</v>
      </c>
      <c r="L1271" s="1196" t="s">
        <v>780</v>
      </c>
      <c r="M1271" s="1196">
        <v>14</v>
      </c>
      <c r="N1271" s="1196">
        <v>14</v>
      </c>
      <c r="O1271" s="1196">
        <v>14</v>
      </c>
      <c r="P1271" s="1196">
        <v>15</v>
      </c>
      <c r="Q1271" s="1196">
        <v>15</v>
      </c>
    </row>
    <row r="1272" spans="1:17" ht="45" x14ac:dyDescent="0.25">
      <c r="A1272" s="2034"/>
      <c r="B1272" s="2036"/>
      <c r="C1272" s="2038"/>
      <c r="D1272" s="2038"/>
      <c r="E1272" s="1791"/>
      <c r="F1272" s="1765"/>
      <c r="G1272" s="1765"/>
      <c r="H1272" s="1765"/>
      <c r="I1272" s="1765"/>
      <c r="J1272" s="1765"/>
      <c r="K1272" s="1212" t="s">
        <v>2109</v>
      </c>
      <c r="L1272" s="1196" t="s">
        <v>780</v>
      </c>
      <c r="M1272" s="1196">
        <v>12</v>
      </c>
      <c r="N1272" s="1196">
        <v>12</v>
      </c>
      <c r="O1272" s="1196">
        <v>12</v>
      </c>
      <c r="P1272" s="1196">
        <v>14</v>
      </c>
      <c r="Q1272" s="1196">
        <v>15</v>
      </c>
    </row>
    <row r="1273" spans="1:17" x14ac:dyDescent="0.25">
      <c r="A1273" s="2034"/>
      <c r="B1273" s="2036"/>
      <c r="C1273" s="2038"/>
      <c r="D1273" s="2038"/>
      <c r="E1273" s="1791"/>
      <c r="F1273" s="1765"/>
      <c r="G1273" s="1765"/>
      <c r="H1273" s="1765"/>
      <c r="I1273" s="1765"/>
      <c r="J1273" s="1765"/>
      <c r="K1273" s="1212" t="s">
        <v>2110</v>
      </c>
      <c r="L1273" s="1196" t="s">
        <v>780</v>
      </c>
      <c r="M1273" s="1196">
        <v>0</v>
      </c>
      <c r="N1273" s="1196">
        <v>0</v>
      </c>
      <c r="O1273" s="1196">
        <v>0</v>
      </c>
      <c r="P1273" s="1196">
        <v>2</v>
      </c>
      <c r="Q1273" s="1196">
        <v>5</v>
      </c>
    </row>
    <row r="1274" spans="1:17" ht="45" x14ac:dyDescent="0.25">
      <c r="A1274" s="2035"/>
      <c r="B1274" s="1788"/>
      <c r="C1274" s="1859"/>
      <c r="D1274" s="1859"/>
      <c r="E1274" s="1791"/>
      <c r="F1274" s="1765"/>
      <c r="G1274" s="1765"/>
      <c r="H1274" s="1765"/>
      <c r="I1274" s="1765"/>
      <c r="J1274" s="1765"/>
      <c r="K1274" s="1212" t="s">
        <v>2111</v>
      </c>
      <c r="L1274" s="1196" t="s">
        <v>780</v>
      </c>
      <c r="M1274" s="1196">
        <v>26</v>
      </c>
      <c r="N1274" s="1196">
        <v>26</v>
      </c>
      <c r="O1274" s="1196">
        <v>26</v>
      </c>
      <c r="P1274" s="1196">
        <v>29</v>
      </c>
      <c r="Q1274" s="1196">
        <v>30</v>
      </c>
    </row>
    <row r="1275" spans="1:17" x14ac:dyDescent="0.25">
      <c r="A1275" s="2033"/>
      <c r="B1275" s="1787"/>
      <c r="C1275" s="2037" t="s">
        <v>11</v>
      </c>
      <c r="D1275" s="2037"/>
      <c r="E1275" s="1791" t="s">
        <v>2112</v>
      </c>
      <c r="F1275" s="1765">
        <v>10775.1</v>
      </c>
      <c r="G1275" s="1765">
        <v>4551.3999999999996</v>
      </c>
      <c r="H1275" s="1765">
        <f>2946.9+12047.6-393</f>
        <v>14601.5</v>
      </c>
      <c r="I1275" s="1765">
        <v>20981.7</v>
      </c>
      <c r="J1275" s="1765">
        <v>20981.7</v>
      </c>
      <c r="K1275" s="1212" t="s">
        <v>2113</v>
      </c>
      <c r="L1275" s="1196" t="s">
        <v>780</v>
      </c>
      <c r="M1275" s="1196">
        <v>1350</v>
      </c>
      <c r="N1275" s="1196">
        <v>1200</v>
      </c>
      <c r="O1275" s="1196">
        <v>1200</v>
      </c>
      <c r="P1275" s="1196">
        <v>1100</v>
      </c>
      <c r="Q1275" s="1196">
        <v>1000</v>
      </c>
    </row>
    <row r="1276" spans="1:17" ht="30" x14ac:dyDescent="0.25">
      <c r="A1276" s="2034"/>
      <c r="B1276" s="2036"/>
      <c r="C1276" s="2038"/>
      <c r="D1276" s="2038"/>
      <c r="E1276" s="1791"/>
      <c r="F1276" s="1765"/>
      <c r="G1276" s="1765"/>
      <c r="H1276" s="1765"/>
      <c r="I1276" s="1765"/>
      <c r="J1276" s="1765"/>
      <c r="K1276" s="1212" t="s">
        <v>2114</v>
      </c>
      <c r="L1276" s="1196" t="s">
        <v>780</v>
      </c>
      <c r="M1276" s="1196">
        <v>85</v>
      </c>
      <c r="N1276" s="1196">
        <v>85</v>
      </c>
      <c r="O1276" s="1196">
        <v>85</v>
      </c>
      <c r="P1276" s="1196">
        <v>85</v>
      </c>
      <c r="Q1276" s="1196">
        <v>85</v>
      </c>
    </row>
    <row r="1277" spans="1:17" ht="30" x14ac:dyDescent="0.25">
      <c r="A1277" s="2034"/>
      <c r="B1277" s="2036"/>
      <c r="C1277" s="2038"/>
      <c r="D1277" s="2038"/>
      <c r="E1277" s="1791"/>
      <c r="F1277" s="1765"/>
      <c r="G1277" s="1765"/>
      <c r="H1277" s="1765"/>
      <c r="I1277" s="1765"/>
      <c r="J1277" s="1765"/>
      <c r="K1277" s="1212" t="s">
        <v>2115</v>
      </c>
      <c r="L1277" s="1196" t="s">
        <v>780</v>
      </c>
      <c r="M1277" s="1196">
        <v>273</v>
      </c>
      <c r="N1277" s="1196">
        <v>273</v>
      </c>
      <c r="O1277" s="1196">
        <v>273</v>
      </c>
      <c r="P1277" s="1196">
        <v>277</v>
      </c>
      <c r="Q1277" s="1196">
        <v>279</v>
      </c>
    </row>
    <row r="1278" spans="1:17" ht="45" x14ac:dyDescent="0.25">
      <c r="A1278" s="2035"/>
      <c r="B1278" s="1788"/>
      <c r="C1278" s="1859"/>
      <c r="D1278" s="1859"/>
      <c r="E1278" s="1791"/>
      <c r="F1278" s="1765"/>
      <c r="G1278" s="1765"/>
      <c r="H1278" s="1765"/>
      <c r="I1278" s="1765"/>
      <c r="J1278" s="1765"/>
      <c r="K1278" s="1212" t="s">
        <v>2116</v>
      </c>
      <c r="L1278" s="1196" t="s">
        <v>780</v>
      </c>
      <c r="M1278" s="1196">
        <v>0</v>
      </c>
      <c r="N1278" s="1196">
        <v>0</v>
      </c>
      <c r="O1278" s="1196">
        <v>2</v>
      </c>
      <c r="P1278" s="1196">
        <v>4</v>
      </c>
      <c r="Q1278" s="1196">
        <v>6</v>
      </c>
    </row>
    <row r="1279" spans="1:17" ht="30" x14ac:dyDescent="0.25">
      <c r="A1279" s="2033"/>
      <c r="B1279" s="1787"/>
      <c r="C1279" s="2037" t="s">
        <v>13</v>
      </c>
      <c r="D1279" s="2037"/>
      <c r="E1279" s="1791" t="s">
        <v>2117</v>
      </c>
      <c r="F1279" s="1765">
        <v>16569.2</v>
      </c>
      <c r="G1279" s="1765">
        <v>4051.4</v>
      </c>
      <c r="H1279" s="1765">
        <f>18841.7+10307.5</f>
        <v>29149.200000000001</v>
      </c>
      <c r="I1279" s="1765">
        <v>20981.7</v>
      </c>
      <c r="J1279" s="1765">
        <v>20981.7</v>
      </c>
      <c r="K1279" s="1212" t="s">
        <v>2118</v>
      </c>
      <c r="L1279" s="1196" t="s">
        <v>780</v>
      </c>
      <c r="M1279" s="1196" t="s">
        <v>261</v>
      </c>
      <c r="N1279" s="1196" t="s">
        <v>262</v>
      </c>
      <c r="O1279" s="1196" t="s">
        <v>263</v>
      </c>
      <c r="P1279" s="1196" t="s">
        <v>264</v>
      </c>
      <c r="Q1279" s="1196" t="s">
        <v>264</v>
      </c>
    </row>
    <row r="1280" spans="1:17" ht="30" x14ac:dyDescent="0.25">
      <c r="A1280" s="2034"/>
      <c r="B1280" s="2036"/>
      <c r="C1280" s="2038"/>
      <c r="D1280" s="2038"/>
      <c r="E1280" s="1791"/>
      <c r="F1280" s="1765"/>
      <c r="G1280" s="1765"/>
      <c r="H1280" s="1765"/>
      <c r="I1280" s="1765"/>
      <c r="J1280" s="1765"/>
      <c r="K1280" s="1212" t="s">
        <v>2119</v>
      </c>
      <c r="L1280" s="1196" t="s">
        <v>780</v>
      </c>
      <c r="M1280" s="1196">
        <v>445</v>
      </c>
      <c r="N1280" s="1196">
        <v>425</v>
      </c>
      <c r="O1280" s="1196">
        <v>420</v>
      </c>
      <c r="P1280" s="1196">
        <v>415</v>
      </c>
      <c r="Q1280" s="1196">
        <v>410</v>
      </c>
    </row>
    <row r="1281" spans="1:17" ht="30" x14ac:dyDescent="0.25">
      <c r="A1281" s="2034"/>
      <c r="B1281" s="2036"/>
      <c r="C1281" s="2038"/>
      <c r="D1281" s="2038"/>
      <c r="E1281" s="1791"/>
      <c r="F1281" s="1765"/>
      <c r="G1281" s="1765"/>
      <c r="H1281" s="1765"/>
      <c r="I1281" s="1765"/>
      <c r="J1281" s="1765"/>
      <c r="K1281" s="1212" t="s">
        <v>2120</v>
      </c>
      <c r="L1281" s="1196" t="s">
        <v>34</v>
      </c>
      <c r="M1281" s="1196">
        <v>90</v>
      </c>
      <c r="N1281" s="1196">
        <v>90</v>
      </c>
      <c r="O1281" s="1196">
        <v>90</v>
      </c>
      <c r="P1281" s="1196">
        <v>90</v>
      </c>
      <c r="Q1281" s="1196">
        <v>90</v>
      </c>
    </row>
    <row r="1282" spans="1:17" ht="30" x14ac:dyDescent="0.25">
      <c r="A1282" s="2034"/>
      <c r="B1282" s="2036"/>
      <c r="C1282" s="2038"/>
      <c r="D1282" s="2038"/>
      <c r="E1282" s="1791"/>
      <c r="F1282" s="1765"/>
      <c r="G1282" s="1765"/>
      <c r="H1282" s="1765"/>
      <c r="I1282" s="1765"/>
      <c r="J1282" s="1765"/>
      <c r="K1282" s="1212" t="s">
        <v>2121</v>
      </c>
      <c r="L1282" s="1196" t="s">
        <v>1618</v>
      </c>
      <c r="M1282" s="1196">
        <v>8402.9</v>
      </c>
      <c r="N1282" s="1196">
        <v>8823</v>
      </c>
      <c r="O1282" s="1196">
        <v>9264.2000000000007</v>
      </c>
      <c r="P1282" s="1196">
        <v>9727.4</v>
      </c>
      <c r="Q1282" s="1196">
        <v>10190.6</v>
      </c>
    </row>
    <row r="1283" spans="1:17" ht="45" x14ac:dyDescent="0.25">
      <c r="A1283" s="2034"/>
      <c r="B1283" s="2036"/>
      <c r="C1283" s="2038"/>
      <c r="D1283" s="2038"/>
      <c r="E1283" s="1791"/>
      <c r="F1283" s="1765"/>
      <c r="G1283" s="1765"/>
      <c r="H1283" s="1765"/>
      <c r="I1283" s="1765"/>
      <c r="J1283" s="1765"/>
      <c r="K1283" s="1212" t="s">
        <v>2122</v>
      </c>
      <c r="L1283" s="1196" t="s">
        <v>780</v>
      </c>
      <c r="M1283" s="1196">
        <v>7</v>
      </c>
      <c r="N1283" s="1196">
        <v>7</v>
      </c>
      <c r="O1283" s="1196">
        <v>9</v>
      </c>
      <c r="P1283" s="1196">
        <v>9</v>
      </c>
      <c r="Q1283" s="1196">
        <v>9</v>
      </c>
    </row>
    <row r="1284" spans="1:17" ht="60" x14ac:dyDescent="0.25">
      <c r="A1284" s="2034"/>
      <c r="B1284" s="2036"/>
      <c r="C1284" s="2038"/>
      <c r="D1284" s="2038"/>
      <c r="E1284" s="1791"/>
      <c r="F1284" s="1765"/>
      <c r="G1284" s="1765"/>
      <c r="H1284" s="1765"/>
      <c r="I1284" s="1765"/>
      <c r="J1284" s="1765"/>
      <c r="K1284" s="1212" t="s">
        <v>2123</v>
      </c>
      <c r="L1284" s="1196" t="s">
        <v>2124</v>
      </c>
      <c r="M1284" s="1196">
        <v>50</v>
      </c>
      <c r="N1284" s="1196">
        <v>50</v>
      </c>
      <c r="O1284" s="1196">
        <v>62</v>
      </c>
      <c r="P1284" s="1196">
        <v>70</v>
      </c>
      <c r="Q1284" s="1196">
        <v>75</v>
      </c>
    </row>
    <row r="1285" spans="1:17" ht="30" x14ac:dyDescent="0.25">
      <c r="A1285" s="2035"/>
      <c r="B1285" s="1788"/>
      <c r="C1285" s="1859"/>
      <c r="D1285" s="1859"/>
      <c r="E1285" s="1791"/>
      <c r="F1285" s="1765"/>
      <c r="G1285" s="1765"/>
      <c r="H1285" s="1765"/>
      <c r="I1285" s="1765"/>
      <c r="J1285" s="1765"/>
      <c r="K1285" s="1212" t="s">
        <v>2125</v>
      </c>
      <c r="L1285" s="1196" t="s">
        <v>780</v>
      </c>
      <c r="M1285" s="1196">
        <v>17000</v>
      </c>
      <c r="N1285" s="1196">
        <v>18000</v>
      </c>
      <c r="O1285" s="1196">
        <v>19000</v>
      </c>
      <c r="P1285" s="1196">
        <v>20000</v>
      </c>
      <c r="Q1285" s="1196">
        <v>21000</v>
      </c>
    </row>
    <row r="1286" spans="1:17" ht="30" x14ac:dyDescent="0.25">
      <c r="A1286" s="1132"/>
      <c r="B1286" s="372"/>
      <c r="C1286" s="1134" t="s">
        <v>15</v>
      </c>
      <c r="D1286" s="1134"/>
      <c r="E1286" s="1212" t="s">
        <v>2040</v>
      </c>
      <c r="F1286" s="1125"/>
      <c r="G1286" s="1125"/>
      <c r="H1286" s="1125"/>
      <c r="I1286" s="1125">
        <v>10000</v>
      </c>
      <c r="J1286" s="1125">
        <v>10000</v>
      </c>
      <c r="K1286" s="1212" t="s">
        <v>2126</v>
      </c>
      <c r="L1286" s="1196" t="s">
        <v>780</v>
      </c>
      <c r="M1286" s="1196"/>
      <c r="N1286" s="1196"/>
      <c r="O1286" s="823" t="s">
        <v>1343</v>
      </c>
      <c r="P1286" s="823" t="s">
        <v>1343</v>
      </c>
      <c r="Q1286" s="823" t="s">
        <v>1343</v>
      </c>
    </row>
    <row r="1287" spans="1:17" ht="28.5" x14ac:dyDescent="0.25">
      <c r="A1287" s="1193">
        <v>52</v>
      </c>
      <c r="B1287" s="44">
        <v>6</v>
      </c>
      <c r="C1287" s="1134"/>
      <c r="D1287" s="1134"/>
      <c r="E1287" s="460" t="s">
        <v>801</v>
      </c>
      <c r="F1287" s="1119">
        <v>0</v>
      </c>
      <c r="G1287" s="1119">
        <v>0</v>
      </c>
      <c r="H1287" s="1119">
        <f>H1288</f>
        <v>195440</v>
      </c>
      <c r="I1287" s="1119">
        <v>246750</v>
      </c>
      <c r="J1287" s="1119">
        <v>427200</v>
      </c>
      <c r="K1287" s="1212"/>
      <c r="L1287" s="1196"/>
      <c r="M1287" s="1196"/>
      <c r="N1287" s="1196"/>
      <c r="O1287" s="1196"/>
      <c r="P1287" s="1196"/>
      <c r="Q1287" s="1196"/>
    </row>
    <row r="1288" spans="1:17" ht="30" x14ac:dyDescent="0.25">
      <c r="A1288" s="1132"/>
      <c r="B1288" s="372"/>
      <c r="C1288" s="1134" t="s">
        <v>4</v>
      </c>
      <c r="D1288" s="1134"/>
      <c r="E1288" s="1183" t="s">
        <v>1262</v>
      </c>
      <c r="F1288" s="1121"/>
      <c r="G1288" s="1121"/>
      <c r="H1288" s="1121">
        <v>195440</v>
      </c>
      <c r="I1288" s="1121">
        <v>246750</v>
      </c>
      <c r="J1288" s="1121">
        <v>427200</v>
      </c>
      <c r="K1288" s="1212"/>
      <c r="L1288" s="1196"/>
      <c r="M1288" s="1196"/>
      <c r="N1288" s="1196"/>
      <c r="O1288" s="1196"/>
      <c r="P1288" s="1196"/>
      <c r="Q1288" s="1196"/>
    </row>
    <row r="1289" spans="1:17" x14ac:dyDescent="0.25">
      <c r="A1289" s="1708" t="s">
        <v>2127</v>
      </c>
      <c r="B1289" s="1709"/>
      <c r="C1289" s="1715"/>
      <c r="D1289" s="1715"/>
      <c r="E1289" s="1715"/>
      <c r="F1289" s="71">
        <v>738373.3</v>
      </c>
      <c r="G1289" s="71">
        <v>761644.60000000009</v>
      </c>
      <c r="H1289" s="71">
        <f>H1195+H1203+H1226+H1239+H1255+H1287</f>
        <v>976015.2</v>
      </c>
      <c r="I1289" s="71">
        <v>1037424.6</v>
      </c>
      <c r="J1289" s="71">
        <v>1223459.6000000001</v>
      </c>
      <c r="K1289" s="553"/>
      <c r="L1289" s="552"/>
      <c r="M1289" s="552"/>
      <c r="N1289" s="552"/>
      <c r="O1289" s="552"/>
      <c r="P1289" s="552"/>
      <c r="Q1289" s="552"/>
    </row>
    <row r="1290" spans="1:17" x14ac:dyDescent="0.25">
      <c r="A1290" s="1648" t="s">
        <v>2128</v>
      </c>
      <c r="B1290" s="1649"/>
      <c r="C1290" s="1649"/>
      <c r="D1290" s="1649"/>
      <c r="E1290" s="1649"/>
      <c r="F1290" s="1649"/>
      <c r="G1290" s="1649"/>
      <c r="H1290" s="1649"/>
      <c r="I1290" s="1649"/>
      <c r="J1290" s="1649"/>
      <c r="K1290" s="1649"/>
      <c r="L1290" s="1649"/>
      <c r="M1290" s="1649"/>
      <c r="N1290" s="1649"/>
      <c r="O1290" s="1649"/>
      <c r="P1290" s="1649"/>
      <c r="Q1290" s="1650"/>
    </row>
    <row r="1291" spans="1:17" ht="74.25" x14ac:dyDescent="0.25">
      <c r="A1291" s="416">
        <v>53</v>
      </c>
      <c r="B1291" s="58">
        <v>1</v>
      </c>
      <c r="C1291" s="24"/>
      <c r="D1291" s="24"/>
      <c r="E1291" s="672" t="s">
        <v>3112</v>
      </c>
      <c r="F1291" s="1119">
        <v>0</v>
      </c>
      <c r="G1291" s="1119">
        <v>250239.5</v>
      </c>
      <c r="H1291" s="1119">
        <f>SUM(H1292:H1298)</f>
        <v>414898.60000000003</v>
      </c>
      <c r="I1291" s="1119">
        <v>543658.27</v>
      </c>
      <c r="J1291" s="1119">
        <v>356240.44999999995</v>
      </c>
      <c r="K1291" s="1212" t="s">
        <v>2129</v>
      </c>
      <c r="L1291" s="459" t="s">
        <v>34</v>
      </c>
      <c r="M1291" s="459"/>
      <c r="N1291" s="459"/>
      <c r="O1291" s="459"/>
      <c r="P1291" s="459"/>
      <c r="Q1291" s="459"/>
    </row>
    <row r="1292" spans="1:17" x14ac:dyDescent="0.25">
      <c r="A1292" s="1161"/>
      <c r="B1292" s="373"/>
      <c r="C1292" s="1163" t="s">
        <v>4</v>
      </c>
      <c r="D1292" s="1163"/>
      <c r="E1292" s="1418" t="s">
        <v>1406</v>
      </c>
      <c r="F1292" s="704"/>
      <c r="G1292" s="744">
        <v>20289.7</v>
      </c>
      <c r="H1292" s="744">
        <f>6747.3+5740.9</f>
        <v>12488.2</v>
      </c>
      <c r="I1292" s="744">
        <v>30740.69052</v>
      </c>
      <c r="J1292" s="744">
        <v>31936.4578</v>
      </c>
      <c r="K1292" s="1212" t="s">
        <v>438</v>
      </c>
      <c r="L1292" s="459" t="s">
        <v>35</v>
      </c>
      <c r="M1292" s="1214"/>
      <c r="N1292" s="459"/>
      <c r="O1292" s="459"/>
      <c r="P1292" s="459"/>
      <c r="Q1292" s="459"/>
    </row>
    <row r="1293" spans="1:17" ht="30" x14ac:dyDescent="0.25">
      <c r="A1293" s="1161"/>
      <c r="B1293" s="373"/>
      <c r="C1293" s="1163" t="s">
        <v>5</v>
      </c>
      <c r="D1293" s="1163"/>
      <c r="E1293" s="1235" t="s">
        <v>394</v>
      </c>
      <c r="F1293" s="704"/>
      <c r="G1293" s="744">
        <v>22544.1</v>
      </c>
      <c r="H1293" s="744">
        <f>3761.8+4286.3</f>
        <v>8048.1</v>
      </c>
      <c r="I1293" s="744">
        <v>22057.99452</v>
      </c>
      <c r="J1293" s="744">
        <v>22916.017800000001</v>
      </c>
      <c r="K1293" s="1212" t="s">
        <v>2130</v>
      </c>
      <c r="L1293" s="459" t="s">
        <v>34</v>
      </c>
      <c r="M1293" s="1214"/>
      <c r="N1293" s="1214"/>
      <c r="O1293" s="1214"/>
      <c r="P1293" s="1214"/>
      <c r="Q1293" s="1214"/>
    </row>
    <row r="1294" spans="1:17" ht="30" x14ac:dyDescent="0.25">
      <c r="A1294" s="1161"/>
      <c r="B1294" s="373"/>
      <c r="C1294" s="1163" t="s">
        <v>7</v>
      </c>
      <c r="D1294" s="1163"/>
      <c r="E1294" s="1235" t="s">
        <v>842</v>
      </c>
      <c r="F1294" s="704"/>
      <c r="G1294" s="744">
        <v>13526.5</v>
      </c>
      <c r="H1294" s="744">
        <f>2806.8+3125.2</f>
        <v>5932</v>
      </c>
      <c r="I1294" s="744">
        <v>17032.624559999997</v>
      </c>
      <c r="J1294" s="744">
        <v>17695.168399999999</v>
      </c>
      <c r="K1294" s="1212" t="s">
        <v>2131</v>
      </c>
      <c r="L1294" s="459" t="s">
        <v>34</v>
      </c>
      <c r="M1294" s="805"/>
      <c r="N1294" s="806"/>
      <c r="O1294" s="807"/>
      <c r="P1294" s="808"/>
      <c r="Q1294" s="809"/>
    </row>
    <row r="1295" spans="1:17" ht="30" x14ac:dyDescent="0.25">
      <c r="A1295" s="1161"/>
      <c r="B1295" s="373"/>
      <c r="C1295" s="1163" t="s">
        <v>9</v>
      </c>
      <c r="D1295" s="1163"/>
      <c r="E1295" s="1235" t="s">
        <v>396</v>
      </c>
      <c r="F1295" s="704"/>
      <c r="G1295" s="744">
        <v>18035.3</v>
      </c>
      <c r="H1295" s="744">
        <f>2871.2+3191</f>
        <v>6062.2</v>
      </c>
      <c r="I1295" s="744">
        <v>16953.587100000001</v>
      </c>
      <c r="J1295" s="744">
        <v>17613.056499999999</v>
      </c>
      <c r="K1295" s="1212" t="s">
        <v>2132</v>
      </c>
      <c r="L1295" s="343" t="s">
        <v>1910</v>
      </c>
      <c r="M1295" s="805"/>
      <c r="N1295" s="806"/>
      <c r="O1295" s="807"/>
      <c r="P1295" s="808"/>
      <c r="Q1295" s="809"/>
    </row>
    <row r="1296" spans="1:17" ht="30" x14ac:dyDescent="0.25">
      <c r="A1296" s="1161"/>
      <c r="B1296" s="373"/>
      <c r="C1296" s="1163" t="s">
        <v>11</v>
      </c>
      <c r="D1296" s="1163"/>
      <c r="E1296" s="1235" t="s">
        <v>1873</v>
      </c>
      <c r="F1296" s="704"/>
      <c r="G1296" s="744">
        <v>13526.5</v>
      </c>
      <c r="H1296" s="744">
        <f>2822.3+3134.1</f>
        <v>5956.4</v>
      </c>
      <c r="I1296" s="744">
        <v>17023.173299999999</v>
      </c>
      <c r="J1296" s="744">
        <v>17685.3495</v>
      </c>
      <c r="K1296" s="1212" t="s">
        <v>2133</v>
      </c>
      <c r="L1296" s="1196" t="s">
        <v>780</v>
      </c>
      <c r="M1296" s="459"/>
      <c r="N1296" s="459"/>
      <c r="O1296" s="459"/>
      <c r="P1296" s="459"/>
      <c r="Q1296" s="459"/>
    </row>
    <row r="1297" spans="1:17" ht="45" x14ac:dyDescent="0.25">
      <c r="A1297" s="1161"/>
      <c r="B1297" s="373"/>
      <c r="C1297" s="1163" t="s">
        <v>13</v>
      </c>
      <c r="D1297" s="1163"/>
      <c r="E1297" s="1217" t="s">
        <v>534</v>
      </c>
      <c r="F1297" s="704"/>
      <c r="G1297" s="744">
        <v>126246.9</v>
      </c>
      <c r="H1297" s="744">
        <f>138343.1+243484.6-15647</f>
        <v>366180.7</v>
      </c>
      <c r="I1297" s="744">
        <v>411094</v>
      </c>
      <c r="J1297" s="744">
        <v>218527.3</v>
      </c>
      <c r="K1297" s="1212" t="s">
        <v>2134</v>
      </c>
      <c r="L1297" s="459" t="s">
        <v>34</v>
      </c>
      <c r="M1297" s="459"/>
      <c r="N1297" s="459"/>
      <c r="O1297" s="459"/>
      <c r="P1297" s="459"/>
      <c r="Q1297" s="459"/>
    </row>
    <row r="1298" spans="1:17" ht="60" x14ac:dyDescent="0.25">
      <c r="A1298" s="1161"/>
      <c r="B1298" s="373"/>
      <c r="C1298" s="1163" t="s">
        <v>15</v>
      </c>
      <c r="D1298" s="1163"/>
      <c r="E1298" s="1138" t="s">
        <v>1946</v>
      </c>
      <c r="F1298" s="704"/>
      <c r="G1298" s="1458">
        <v>36070.5</v>
      </c>
      <c r="H1298" s="744">
        <f>5039.4+5191.6</f>
        <v>10231</v>
      </c>
      <c r="I1298" s="744">
        <v>28756.2</v>
      </c>
      <c r="J1298" s="744">
        <v>29867.1</v>
      </c>
      <c r="K1298" s="1212" t="s">
        <v>2135</v>
      </c>
      <c r="L1298" s="459" t="s">
        <v>34</v>
      </c>
      <c r="M1298" s="459"/>
      <c r="N1298" s="459"/>
      <c r="O1298" s="459"/>
      <c r="P1298" s="459"/>
      <c r="Q1298" s="459"/>
    </row>
    <row r="1299" spans="1:17" ht="28.5" x14ac:dyDescent="0.25">
      <c r="A1299" s="416">
        <v>53</v>
      </c>
      <c r="B1299" s="58">
        <v>2</v>
      </c>
      <c r="C1299" s="1163"/>
      <c r="D1299" s="1163"/>
      <c r="E1299" s="1195" t="s">
        <v>2136</v>
      </c>
      <c r="F1299" s="122">
        <v>0</v>
      </c>
      <c r="G1299" s="122">
        <v>217826.8</v>
      </c>
      <c r="H1299" s="122">
        <f>SUM(H1300:H1301)</f>
        <v>288952.40000000002</v>
      </c>
      <c r="I1299" s="122">
        <v>269477.8</v>
      </c>
      <c r="J1299" s="122">
        <v>276662.90000000002</v>
      </c>
      <c r="K1299" s="1195" t="s">
        <v>2137</v>
      </c>
      <c r="L1299" s="459" t="s">
        <v>34</v>
      </c>
      <c r="M1299" s="1436"/>
      <c r="N1299" s="1436"/>
      <c r="O1299" s="1436"/>
      <c r="P1299" s="1436"/>
      <c r="Q1299" s="1436"/>
    </row>
    <row r="1300" spans="1:17" x14ac:dyDescent="0.25">
      <c r="A1300" s="1161"/>
      <c r="B1300" s="373"/>
      <c r="C1300" s="1163" t="s">
        <v>4</v>
      </c>
      <c r="D1300" s="1163"/>
      <c r="E1300" s="1212" t="s">
        <v>2138</v>
      </c>
      <c r="F1300" s="704"/>
      <c r="G1300" s="704">
        <v>130696.1</v>
      </c>
      <c r="H1300" s="810">
        <f>117683.9+91085.8</f>
        <v>208769.7</v>
      </c>
      <c r="I1300" s="1139">
        <v>188634.46</v>
      </c>
      <c r="J1300" s="1139">
        <v>193664.03</v>
      </c>
      <c r="K1300" s="1212" t="s">
        <v>2139</v>
      </c>
      <c r="L1300" s="228" t="s">
        <v>825</v>
      </c>
      <c r="M1300" s="1335">
        <v>876.9</v>
      </c>
      <c r="N1300" s="1335">
        <v>964.6</v>
      </c>
      <c r="O1300" s="1335">
        <v>1061.0999999999999</v>
      </c>
      <c r="P1300" s="1335">
        <v>1145.9000000000001</v>
      </c>
      <c r="Q1300" s="1335">
        <v>1260.5</v>
      </c>
    </row>
    <row r="1301" spans="1:17" x14ac:dyDescent="0.25">
      <c r="A1301" s="1161"/>
      <c r="B1301" s="373"/>
      <c r="C1301" s="1163" t="s">
        <v>5</v>
      </c>
      <c r="D1301" s="1163"/>
      <c r="E1301" s="1212" t="s">
        <v>2140</v>
      </c>
      <c r="F1301" s="704"/>
      <c r="G1301" s="704">
        <v>87130.7</v>
      </c>
      <c r="H1301" s="810">
        <f>50445.9+29736.8</f>
        <v>80182.7</v>
      </c>
      <c r="I1301" s="1139">
        <v>80843.34</v>
      </c>
      <c r="J1301" s="1139">
        <v>82998.87000000001</v>
      </c>
      <c r="K1301" s="1212" t="s">
        <v>2141</v>
      </c>
      <c r="L1301" s="228" t="s">
        <v>825</v>
      </c>
      <c r="M1301" s="1335">
        <v>302.39999999999998</v>
      </c>
      <c r="N1301" s="1335">
        <v>332.6</v>
      </c>
      <c r="O1301" s="1335">
        <v>365.9</v>
      </c>
      <c r="P1301" s="1335">
        <v>402.5</v>
      </c>
      <c r="Q1301" s="1139">
        <v>442.7</v>
      </c>
    </row>
    <row r="1302" spans="1:17" ht="28.5" x14ac:dyDescent="0.25">
      <c r="A1302" s="1324">
        <v>53</v>
      </c>
      <c r="B1302" s="1325">
        <v>3</v>
      </c>
      <c r="C1302" s="1317"/>
      <c r="D1302" s="1444"/>
      <c r="E1302" s="1195" t="s">
        <v>2142</v>
      </c>
      <c r="F1302" s="1229">
        <v>0</v>
      </c>
      <c r="G1302" s="1229">
        <v>40306.300000000003</v>
      </c>
      <c r="H1302" s="1229">
        <f>SUM(H1303:H1304)</f>
        <v>182497.6</v>
      </c>
      <c r="I1302" s="1229">
        <v>49234.6</v>
      </c>
      <c r="J1302" s="1229">
        <v>50374.6</v>
      </c>
      <c r="K1302" s="1195" t="s">
        <v>2143</v>
      </c>
      <c r="L1302" s="1138"/>
      <c r="M1302" s="1138"/>
      <c r="N1302" s="10"/>
      <c r="O1302" s="10"/>
      <c r="P1302" s="10"/>
      <c r="Q1302" s="10"/>
    </row>
    <row r="1303" spans="1:17" x14ac:dyDescent="0.25">
      <c r="A1303" s="1324"/>
      <c r="B1303" s="1325"/>
      <c r="C1303" s="1317" t="s">
        <v>4</v>
      </c>
      <c r="D1303" s="1444"/>
      <c r="E1303" s="1217" t="s">
        <v>2144</v>
      </c>
      <c r="F1303" s="1192"/>
      <c r="G1303" s="744">
        <v>18943.900000000001</v>
      </c>
      <c r="H1303" s="744">
        <f>4131.7+93594</f>
        <v>97725.7</v>
      </c>
      <c r="I1303" s="744">
        <v>26094.338</v>
      </c>
      <c r="J1303" s="744">
        <v>26698.538</v>
      </c>
      <c r="K1303" s="1212" t="s">
        <v>2145</v>
      </c>
      <c r="L1303" s="1196" t="s">
        <v>780</v>
      </c>
      <c r="M1303" s="114">
        <v>123548</v>
      </c>
      <c r="N1303" s="811">
        <v>222634</v>
      </c>
      <c r="O1303" s="114">
        <v>233766</v>
      </c>
      <c r="P1303" s="114">
        <v>245454</v>
      </c>
      <c r="Q1303" s="114">
        <v>250363</v>
      </c>
    </row>
    <row r="1304" spans="1:17" x14ac:dyDescent="0.25">
      <c r="A1304" s="1324"/>
      <c r="B1304" s="1325"/>
      <c r="C1304" s="1317" t="s">
        <v>5</v>
      </c>
      <c r="D1304" s="1444"/>
      <c r="E1304" s="1217" t="s">
        <v>2146</v>
      </c>
      <c r="F1304" s="1192"/>
      <c r="G1304" s="744">
        <v>21362.400000000001</v>
      </c>
      <c r="H1304" s="744">
        <f>3679.1+81092.8</f>
        <v>84771.900000000009</v>
      </c>
      <c r="I1304" s="744">
        <v>23140.261999999999</v>
      </c>
      <c r="J1304" s="744">
        <v>23676.061999999998</v>
      </c>
      <c r="K1304" s="1212" t="s">
        <v>2147</v>
      </c>
      <c r="L1304" s="228" t="s">
        <v>825</v>
      </c>
      <c r="M1304" s="1138">
        <v>111156</v>
      </c>
      <c r="N1304" s="811">
        <v>118220</v>
      </c>
      <c r="O1304" s="114">
        <v>120584</v>
      </c>
      <c r="P1304" s="114">
        <v>122996</v>
      </c>
      <c r="Q1304" s="114">
        <v>125456</v>
      </c>
    </row>
    <row r="1305" spans="1:17" x14ac:dyDescent="0.25">
      <c r="A1305" s="812">
        <v>53</v>
      </c>
      <c r="B1305" s="813">
        <v>4</v>
      </c>
      <c r="C1305" s="1117"/>
      <c r="D1305" s="1275"/>
      <c r="E1305" s="1195" t="s">
        <v>2148</v>
      </c>
      <c r="F1305" s="1229">
        <v>0</v>
      </c>
      <c r="G1305" s="1229">
        <v>19446.8</v>
      </c>
      <c r="H1305" s="1229">
        <f>H1306</f>
        <v>21682.300000000003</v>
      </c>
      <c r="I1305" s="1229">
        <v>23393.671781464996</v>
      </c>
      <c r="J1305" s="1229">
        <v>23702.217197039998</v>
      </c>
      <c r="K1305" s="1195" t="s">
        <v>2143</v>
      </c>
      <c r="L1305" s="1138"/>
      <c r="M1305" s="1138"/>
      <c r="N1305" s="39"/>
      <c r="O1305" s="39"/>
      <c r="P1305" s="39"/>
      <c r="Q1305" s="39"/>
    </row>
    <row r="1306" spans="1:17" ht="30" x14ac:dyDescent="0.25">
      <c r="A1306" s="1115"/>
      <c r="B1306" s="1297"/>
      <c r="C1306" s="1117" t="s">
        <v>4</v>
      </c>
      <c r="D1306" s="1275"/>
      <c r="E1306" s="1217" t="s">
        <v>2149</v>
      </c>
      <c r="F1306" s="1409"/>
      <c r="G1306" s="1458">
        <v>19446.8</v>
      </c>
      <c r="H1306" s="744">
        <f>9537.7+12144.6</f>
        <v>21682.300000000003</v>
      </c>
      <c r="I1306" s="744">
        <v>23694.6</v>
      </c>
      <c r="J1306" s="744">
        <v>24323.1</v>
      </c>
      <c r="K1306" s="1212" t="s">
        <v>2150</v>
      </c>
      <c r="L1306" s="1138" t="s">
        <v>34</v>
      </c>
      <c r="M1306" s="1138"/>
      <c r="N1306" s="39"/>
      <c r="O1306" s="39"/>
      <c r="P1306" s="39"/>
      <c r="Q1306" s="39"/>
    </row>
    <row r="1307" spans="1:17" ht="42.75" x14ac:dyDescent="0.25">
      <c r="A1307" s="1115">
        <v>53</v>
      </c>
      <c r="B1307" s="1297">
        <v>5</v>
      </c>
      <c r="C1307" s="1117"/>
      <c r="D1307" s="1275"/>
      <c r="E1307" s="1585" t="s">
        <v>2151</v>
      </c>
      <c r="F1307" s="1428">
        <v>0</v>
      </c>
      <c r="G1307" s="1428">
        <v>255866.19999999998</v>
      </c>
      <c r="H1307" s="1428">
        <f>SUM(H1308:H1309)</f>
        <v>274268.40000000002</v>
      </c>
      <c r="I1307" s="1428">
        <v>276414.95941662998</v>
      </c>
      <c r="J1307" s="1428">
        <v>280060.67050127999</v>
      </c>
      <c r="K1307" s="1195" t="s">
        <v>2152</v>
      </c>
      <c r="L1307" s="228" t="s">
        <v>2153</v>
      </c>
      <c r="M1307" s="1138">
        <v>20878</v>
      </c>
      <c r="N1307" s="40">
        <v>18678</v>
      </c>
      <c r="O1307" s="40">
        <v>18678</v>
      </c>
      <c r="P1307" s="40">
        <v>18678</v>
      </c>
      <c r="Q1307" s="40">
        <v>18678</v>
      </c>
    </row>
    <row r="1308" spans="1:17" ht="45" x14ac:dyDescent="0.25">
      <c r="A1308" s="1115"/>
      <c r="B1308" s="1297"/>
      <c r="C1308" s="1117" t="s">
        <v>4</v>
      </c>
      <c r="D1308" s="1275"/>
      <c r="E1308" s="350" t="s">
        <v>2154</v>
      </c>
      <c r="F1308" s="1335"/>
      <c r="G1308" s="1335">
        <v>254586.8</v>
      </c>
      <c r="H1308" s="1139">
        <f>239507.7+33315.8</f>
        <v>272823.5</v>
      </c>
      <c r="I1308" s="1139">
        <v>259515.7</v>
      </c>
      <c r="J1308" s="1139">
        <v>262505.59999999998</v>
      </c>
      <c r="K1308" s="1212" t="s">
        <v>2155</v>
      </c>
      <c r="L1308" s="228" t="s">
        <v>2156</v>
      </c>
      <c r="M1308" s="1138">
        <v>44783</v>
      </c>
      <c r="N1308" s="40">
        <v>40317</v>
      </c>
      <c r="O1308" s="40">
        <v>40317</v>
      </c>
      <c r="P1308" s="40">
        <v>40317</v>
      </c>
      <c r="Q1308" s="40">
        <v>40317</v>
      </c>
    </row>
    <row r="1309" spans="1:17" ht="90" x14ac:dyDescent="0.25">
      <c r="A1309" s="1115"/>
      <c r="B1309" s="1297"/>
      <c r="C1309" s="1117" t="s">
        <v>5</v>
      </c>
      <c r="D1309" s="1275"/>
      <c r="E1309" s="1217" t="s">
        <v>2157</v>
      </c>
      <c r="F1309" s="1335"/>
      <c r="G1309" s="1335">
        <v>1279.4000000000001</v>
      </c>
      <c r="H1309" s="1139">
        <v>1444.9</v>
      </c>
      <c r="I1309" s="1139">
        <v>1368.4</v>
      </c>
      <c r="J1309" s="1139">
        <v>1386.4</v>
      </c>
      <c r="K1309" s="1212" t="s">
        <v>2158</v>
      </c>
      <c r="L1309" s="228" t="s">
        <v>2153</v>
      </c>
      <c r="M1309" s="1138">
        <v>3774</v>
      </c>
      <c r="N1309" s="40">
        <v>4271</v>
      </c>
      <c r="O1309" s="40">
        <v>4271</v>
      </c>
      <c r="P1309" s="40">
        <v>4271</v>
      </c>
      <c r="Q1309" s="40">
        <v>4271</v>
      </c>
    </row>
    <row r="1310" spans="1:17" ht="85.5" x14ac:dyDescent="0.25">
      <c r="A1310" s="1115">
        <v>53</v>
      </c>
      <c r="B1310" s="1297">
        <v>6</v>
      </c>
      <c r="C1310" s="1117"/>
      <c r="D1310" s="1275"/>
      <c r="E1310" s="1195" t="s">
        <v>2159</v>
      </c>
      <c r="F1310" s="1229">
        <v>0</v>
      </c>
      <c r="G1310" s="1229">
        <v>0</v>
      </c>
      <c r="H1310" s="1229">
        <f>SUM(H1311:H1312)</f>
        <v>0</v>
      </c>
      <c r="I1310" s="1229">
        <v>2431.6587599999998</v>
      </c>
      <c r="J1310" s="1229">
        <v>2463.73056</v>
      </c>
      <c r="K1310" s="1195" t="s">
        <v>2160</v>
      </c>
      <c r="L1310" s="228" t="s">
        <v>2161</v>
      </c>
      <c r="M1310" s="1138" t="s">
        <v>265</v>
      </c>
      <c r="N1310" s="814" t="s">
        <v>266</v>
      </c>
      <c r="O1310" s="814" t="s">
        <v>267</v>
      </c>
      <c r="P1310" s="814" t="s">
        <v>268</v>
      </c>
      <c r="Q1310" s="814" t="s">
        <v>269</v>
      </c>
    </row>
    <row r="1311" spans="1:17" ht="30" x14ac:dyDescent="0.25">
      <c r="A1311" s="1115"/>
      <c r="B1311" s="1297"/>
      <c r="C1311" s="1117" t="s">
        <v>4</v>
      </c>
      <c r="D1311" s="1275"/>
      <c r="E1311" s="1217" t="s">
        <v>2162</v>
      </c>
      <c r="F1311" s="1139"/>
      <c r="G1311" s="1139"/>
      <c r="H1311" s="1139"/>
      <c r="I1311" s="1139">
        <v>1215.9000000000001</v>
      </c>
      <c r="J1311" s="1139">
        <v>1231.9000000000001</v>
      </c>
      <c r="K1311" s="1212" t="s">
        <v>2163</v>
      </c>
      <c r="L1311" s="1138" t="s">
        <v>2164</v>
      </c>
      <c r="M1311" s="1138">
        <v>80</v>
      </c>
      <c r="N1311" s="1138">
        <v>80</v>
      </c>
      <c r="O1311" s="1138">
        <v>80</v>
      </c>
      <c r="P1311" s="1138">
        <v>80</v>
      </c>
      <c r="Q1311" s="1138">
        <v>80</v>
      </c>
    </row>
    <row r="1312" spans="1:17" ht="45" x14ac:dyDescent="0.25">
      <c r="A1312" s="1115"/>
      <c r="B1312" s="1297"/>
      <c r="C1312" s="1117" t="s">
        <v>5</v>
      </c>
      <c r="D1312" s="1275"/>
      <c r="E1312" s="1217" t="s">
        <v>2165</v>
      </c>
      <c r="F1312" s="1139"/>
      <c r="G1312" s="1139"/>
      <c r="H1312" s="1139"/>
      <c r="I1312" s="1139">
        <v>1215.8</v>
      </c>
      <c r="J1312" s="1139">
        <v>1231.8</v>
      </c>
      <c r="K1312" s="1217" t="s">
        <v>2166</v>
      </c>
      <c r="L1312" s="1196" t="s">
        <v>1910</v>
      </c>
      <c r="M1312" s="1138" t="s">
        <v>265</v>
      </c>
      <c r="N1312" s="814" t="s">
        <v>266</v>
      </c>
      <c r="O1312" s="814" t="s">
        <v>267</v>
      </c>
      <c r="P1312" s="814" t="s">
        <v>268</v>
      </c>
      <c r="Q1312" s="814" t="s">
        <v>269</v>
      </c>
    </row>
    <row r="1313" spans="1:17" ht="28.5" x14ac:dyDescent="0.25">
      <c r="A1313" s="1115">
        <v>53</v>
      </c>
      <c r="B1313" s="1297">
        <v>7</v>
      </c>
      <c r="C1313" s="1117"/>
      <c r="D1313" s="1275"/>
      <c r="E1313" s="178" t="s">
        <v>801</v>
      </c>
      <c r="F1313" s="1229">
        <v>0</v>
      </c>
      <c r="G1313" s="1229">
        <v>0</v>
      </c>
      <c r="H1313" s="1229">
        <f>H1314</f>
        <v>115170</v>
      </c>
      <c r="I1313" s="1229">
        <v>229026.3</v>
      </c>
      <c r="J1313" s="1229">
        <v>0</v>
      </c>
      <c r="K1313" s="1138"/>
      <c r="L1313" s="1138"/>
      <c r="M1313" s="1138"/>
      <c r="N1313" s="814"/>
      <c r="O1313" s="814"/>
      <c r="P1313" s="814"/>
      <c r="Q1313" s="814"/>
    </row>
    <row r="1314" spans="1:17" ht="30" x14ac:dyDescent="0.25">
      <c r="A1314" s="1115"/>
      <c r="B1314" s="1297"/>
      <c r="C1314" s="1117" t="s">
        <v>4</v>
      </c>
      <c r="D1314" s="1275"/>
      <c r="E1314" s="1217" t="s">
        <v>1262</v>
      </c>
      <c r="F1314" s="1139"/>
      <c r="G1314" s="1139"/>
      <c r="H1314" s="1139">
        <v>115170</v>
      </c>
      <c r="I1314" s="1139">
        <v>229026.3</v>
      </c>
      <c r="J1314" s="1139"/>
      <c r="K1314" s="1138"/>
      <c r="L1314" s="1138"/>
      <c r="M1314" s="1138"/>
      <c r="N1314" s="814"/>
      <c r="O1314" s="814"/>
      <c r="P1314" s="814"/>
      <c r="Q1314" s="814"/>
    </row>
    <row r="1315" spans="1:17" x14ac:dyDescent="0.25">
      <c r="A1315" s="1652" t="s">
        <v>2167</v>
      </c>
      <c r="B1315" s="1715"/>
      <c r="C1315" s="1715"/>
      <c r="D1315" s="1715"/>
      <c r="E1315" s="1716"/>
      <c r="F1315" s="42">
        <v>0</v>
      </c>
      <c r="G1315" s="42">
        <v>783685.6</v>
      </c>
      <c r="H1315" s="42">
        <f>H1291+H1299+H1302+H1305+H1307+H1310+H1313</f>
        <v>1297469.3</v>
      </c>
      <c r="I1315" s="42">
        <v>1393637.2599580952</v>
      </c>
      <c r="J1315" s="42">
        <v>989504.56825831998</v>
      </c>
      <c r="K1315" s="815"/>
      <c r="L1315" s="16"/>
      <c r="M1315" s="16"/>
      <c r="N1315" s="16"/>
      <c r="O1315" s="16"/>
      <c r="P1315" s="16"/>
      <c r="Q1315" s="16"/>
    </row>
    <row r="1316" spans="1:17" x14ac:dyDescent="0.25">
      <c r="A1316" s="1648" t="s">
        <v>2168</v>
      </c>
      <c r="B1316" s="1649"/>
      <c r="C1316" s="1649"/>
      <c r="D1316" s="1649"/>
      <c r="E1316" s="1649"/>
      <c r="F1316" s="1649"/>
      <c r="G1316" s="1649"/>
      <c r="H1316" s="1649"/>
      <c r="I1316" s="1649"/>
      <c r="J1316" s="1649"/>
      <c r="K1316" s="1649"/>
      <c r="L1316" s="1649"/>
      <c r="M1316" s="1649"/>
      <c r="N1316" s="1649"/>
      <c r="O1316" s="1649"/>
      <c r="P1316" s="1649"/>
      <c r="Q1316" s="1650"/>
    </row>
    <row r="1317" spans="1:17" ht="57" x14ac:dyDescent="0.25">
      <c r="A1317" s="1115">
        <v>54</v>
      </c>
      <c r="B1317" s="1297">
        <v>1</v>
      </c>
      <c r="C1317" s="459"/>
      <c r="D1317" s="816"/>
      <c r="E1317" s="646" t="s">
        <v>2169</v>
      </c>
      <c r="F1317" s="1229">
        <v>82461</v>
      </c>
      <c r="G1317" s="1229">
        <v>74664</v>
      </c>
      <c r="H1317" s="1229">
        <f>SUM(H1318:H1328)</f>
        <v>99094.2</v>
      </c>
      <c r="I1317" s="1229">
        <v>75350.100000000006</v>
      </c>
      <c r="J1317" s="1229">
        <v>76114.900000000009</v>
      </c>
      <c r="K1317" s="1195" t="s">
        <v>2170</v>
      </c>
      <c r="L1317" s="459" t="s">
        <v>34</v>
      </c>
      <c r="M1317" s="817">
        <v>0.21299999999999999</v>
      </c>
      <c r="N1317" s="817">
        <v>0.35099999999999998</v>
      </c>
      <c r="O1317" s="818">
        <v>0.31</v>
      </c>
      <c r="P1317" s="817">
        <v>0.312</v>
      </c>
      <c r="Q1317" s="817">
        <v>0.312</v>
      </c>
    </row>
    <row r="1318" spans="1:17" x14ac:dyDescent="0.25">
      <c r="A1318" s="1170"/>
      <c r="B1318" s="1248"/>
      <c r="C1318" s="1170">
        <v>1</v>
      </c>
      <c r="D1318" s="12"/>
      <c r="E1318" s="1418" t="s">
        <v>1406</v>
      </c>
      <c r="F1318" s="1139">
        <v>18897</v>
      </c>
      <c r="G1318" s="1139">
        <v>16869.7</v>
      </c>
      <c r="H1318" s="1139">
        <v>19365.3</v>
      </c>
      <c r="I1318" s="1139">
        <v>17024.7</v>
      </c>
      <c r="J1318" s="1139">
        <v>17197.5</v>
      </c>
      <c r="K1318" s="1123" t="s">
        <v>2171</v>
      </c>
      <c r="L1318" s="1214" t="s">
        <v>35</v>
      </c>
      <c r="M1318" s="23">
        <v>0.47</v>
      </c>
      <c r="N1318" s="23">
        <v>0.5</v>
      </c>
      <c r="O1318" s="23">
        <v>0.6</v>
      </c>
      <c r="P1318" s="23">
        <v>0.7</v>
      </c>
      <c r="Q1318" s="23">
        <v>0.8</v>
      </c>
    </row>
    <row r="1319" spans="1:17" ht="30" x14ac:dyDescent="0.25">
      <c r="A1319" s="1170"/>
      <c r="B1319" s="1248"/>
      <c r="C1319" s="1170">
        <v>2</v>
      </c>
      <c r="D1319" s="12"/>
      <c r="E1319" s="1235" t="s">
        <v>394</v>
      </c>
      <c r="F1319" s="1139">
        <v>3779.5</v>
      </c>
      <c r="G1319" s="1139">
        <v>3436.4</v>
      </c>
      <c r="H1319" s="1139">
        <v>5790.5</v>
      </c>
      <c r="I1319" s="1139">
        <v>3468</v>
      </c>
      <c r="J1319" s="1139">
        <v>3503.2</v>
      </c>
      <c r="K1319" s="1123" t="s">
        <v>1025</v>
      </c>
      <c r="L1319" s="1214" t="s">
        <v>34</v>
      </c>
      <c r="M1319" s="23">
        <v>0.97</v>
      </c>
      <c r="N1319" s="23">
        <v>0.97</v>
      </c>
      <c r="O1319" s="23">
        <v>0.98</v>
      </c>
      <c r="P1319" s="23">
        <v>0.98</v>
      </c>
      <c r="Q1319" s="23">
        <v>0.99</v>
      </c>
    </row>
    <row r="1320" spans="1:17" ht="30" x14ac:dyDescent="0.25">
      <c r="A1320" s="1642"/>
      <c r="B1320" s="1361"/>
      <c r="C1320" s="1642">
        <v>3</v>
      </c>
      <c r="D1320" s="1639"/>
      <c r="E1320" s="1688" t="s">
        <v>842</v>
      </c>
      <c r="F1320" s="1774">
        <v>2405.1</v>
      </c>
      <c r="G1320" s="1774">
        <v>2186.8000000000002</v>
      </c>
      <c r="H1320" s="1774">
        <v>3684.9</v>
      </c>
      <c r="I1320" s="1774">
        <v>2206.9</v>
      </c>
      <c r="J1320" s="1774">
        <v>2229.3000000000002</v>
      </c>
      <c r="K1320" s="1405" t="s">
        <v>2172</v>
      </c>
      <c r="L1320" s="1214" t="s">
        <v>34</v>
      </c>
      <c r="M1320" s="1214">
        <v>0</v>
      </c>
      <c r="N1320" s="1214">
        <v>0</v>
      </c>
      <c r="O1320" s="1214">
        <v>0</v>
      </c>
      <c r="P1320" s="1214">
        <v>0</v>
      </c>
      <c r="Q1320" s="1214">
        <v>0</v>
      </c>
    </row>
    <row r="1321" spans="1:17" ht="45" x14ac:dyDescent="0.25">
      <c r="A1321" s="1644"/>
      <c r="B1321" s="1159"/>
      <c r="C1321" s="1644"/>
      <c r="D1321" s="1640"/>
      <c r="E1321" s="1698"/>
      <c r="F1321" s="1775"/>
      <c r="G1321" s="1775"/>
      <c r="H1321" s="1775"/>
      <c r="I1321" s="1775"/>
      <c r="J1321" s="1775"/>
      <c r="K1321" s="1405" t="s">
        <v>2173</v>
      </c>
      <c r="L1321" s="1214" t="s">
        <v>34</v>
      </c>
      <c r="M1321" s="23">
        <v>0.18</v>
      </c>
      <c r="N1321" s="823" t="s">
        <v>1343</v>
      </c>
      <c r="O1321" s="823" t="s">
        <v>1343</v>
      </c>
      <c r="P1321" s="823" t="s">
        <v>1343</v>
      </c>
      <c r="Q1321" s="823" t="s">
        <v>1343</v>
      </c>
    </row>
    <row r="1322" spans="1:17" ht="30" x14ac:dyDescent="0.25">
      <c r="A1322" s="1170"/>
      <c r="B1322" s="1248"/>
      <c r="C1322" s="1170">
        <v>4</v>
      </c>
      <c r="D1322" s="12"/>
      <c r="E1322" s="1235" t="s">
        <v>396</v>
      </c>
      <c r="F1322" s="1139">
        <v>5153.8</v>
      </c>
      <c r="G1322" s="1139">
        <v>4686</v>
      </c>
      <c r="H1322" s="1139">
        <v>7134.5</v>
      </c>
      <c r="I1322" s="1139">
        <v>4729.1000000000004</v>
      </c>
      <c r="J1322" s="1139">
        <v>4777.1000000000004</v>
      </c>
      <c r="K1322" s="1212" t="s">
        <v>2174</v>
      </c>
      <c r="L1322" s="1196" t="s">
        <v>1910</v>
      </c>
      <c r="M1322" s="1214" t="s">
        <v>270</v>
      </c>
      <c r="N1322" s="823" t="s">
        <v>1343</v>
      </c>
      <c r="O1322" s="823" t="s">
        <v>1343</v>
      </c>
      <c r="P1322" s="823" t="s">
        <v>1343</v>
      </c>
      <c r="Q1322" s="823" t="s">
        <v>1343</v>
      </c>
    </row>
    <row r="1323" spans="1:17" ht="30" x14ac:dyDescent="0.25">
      <c r="A1323" s="1770"/>
      <c r="B1323" s="1459"/>
      <c r="C1323" s="1642">
        <v>5</v>
      </c>
      <c r="D1323" s="1639"/>
      <c r="E1323" s="1688" t="s">
        <v>1873</v>
      </c>
      <c r="F1323" s="1774">
        <v>343.6</v>
      </c>
      <c r="G1323" s="1774">
        <v>312.39999999999998</v>
      </c>
      <c r="H1323" s="1774">
        <v>3158.3</v>
      </c>
      <c r="I1323" s="1774">
        <v>315.3</v>
      </c>
      <c r="J1323" s="1774">
        <v>318.5</v>
      </c>
      <c r="K1323" s="1405" t="s">
        <v>2175</v>
      </c>
      <c r="L1323" s="1214" t="s">
        <v>780</v>
      </c>
      <c r="M1323" s="1214">
        <v>400</v>
      </c>
      <c r="N1323" s="1214">
        <v>450</v>
      </c>
      <c r="O1323" s="1214">
        <v>500</v>
      </c>
      <c r="P1323" s="1214">
        <v>550</v>
      </c>
      <c r="Q1323" s="1214">
        <v>600</v>
      </c>
    </row>
    <row r="1324" spans="1:17" ht="30" x14ac:dyDescent="0.25">
      <c r="A1324" s="1776"/>
      <c r="B1324" s="1209"/>
      <c r="C1324" s="1643"/>
      <c r="D1324" s="2032"/>
      <c r="E1324" s="1689"/>
      <c r="F1324" s="1778"/>
      <c r="G1324" s="1778"/>
      <c r="H1324" s="1778"/>
      <c r="I1324" s="1778"/>
      <c r="J1324" s="1778"/>
      <c r="K1324" s="1405" t="s">
        <v>2176</v>
      </c>
      <c r="L1324" s="1214" t="s">
        <v>780</v>
      </c>
      <c r="M1324" s="1214">
        <v>800</v>
      </c>
      <c r="N1324" s="1214">
        <v>800</v>
      </c>
      <c r="O1324" s="1214">
        <v>850</v>
      </c>
      <c r="P1324" s="1214">
        <v>900</v>
      </c>
      <c r="Q1324" s="1214">
        <v>900</v>
      </c>
    </row>
    <row r="1325" spans="1:17" ht="45" x14ac:dyDescent="0.25">
      <c r="A1325" s="1771"/>
      <c r="B1325" s="1162"/>
      <c r="C1325" s="1644"/>
      <c r="D1325" s="1640"/>
      <c r="E1325" s="1698"/>
      <c r="F1325" s="1775"/>
      <c r="G1325" s="1775"/>
      <c r="H1325" s="1775"/>
      <c r="I1325" s="1775"/>
      <c r="J1325" s="1775"/>
      <c r="K1325" s="1405" t="s">
        <v>2177</v>
      </c>
      <c r="L1325" s="1214" t="s">
        <v>780</v>
      </c>
      <c r="M1325" s="1214">
        <v>17</v>
      </c>
      <c r="N1325" s="1214">
        <v>20</v>
      </c>
      <c r="O1325" s="1214">
        <v>25</v>
      </c>
      <c r="P1325" s="1214">
        <v>30</v>
      </c>
      <c r="Q1325" s="1214">
        <v>35</v>
      </c>
    </row>
    <row r="1326" spans="1:17" x14ac:dyDescent="0.25">
      <c r="A1326" s="1170"/>
      <c r="B1326" s="1248"/>
      <c r="C1326" s="1170">
        <v>5</v>
      </c>
      <c r="D1326" s="12"/>
      <c r="E1326" s="1280" t="s">
        <v>2178</v>
      </c>
      <c r="F1326" s="1139">
        <v>1717.9</v>
      </c>
      <c r="G1326" s="1139">
        <v>1562</v>
      </c>
      <c r="H1326" s="1139"/>
      <c r="I1326" s="1139">
        <v>1576.4</v>
      </c>
      <c r="J1326" s="1139">
        <v>1592.4</v>
      </c>
      <c r="K1326" s="1212" t="s">
        <v>2179</v>
      </c>
      <c r="L1326" s="1214" t="s">
        <v>780</v>
      </c>
      <c r="M1326" s="1214">
        <v>1</v>
      </c>
      <c r="N1326" s="823" t="s">
        <v>1343</v>
      </c>
      <c r="O1326" s="823" t="s">
        <v>1343</v>
      </c>
      <c r="P1326" s="823" t="s">
        <v>1343</v>
      </c>
      <c r="Q1326" s="823" t="s">
        <v>1343</v>
      </c>
    </row>
    <row r="1327" spans="1:17" ht="60" x14ac:dyDescent="0.25">
      <c r="A1327" s="1170"/>
      <c r="B1327" s="1248"/>
      <c r="C1327" s="1170">
        <v>6</v>
      </c>
      <c r="D1327" s="12"/>
      <c r="E1327" s="1217" t="s">
        <v>534</v>
      </c>
      <c r="F1327" s="1139">
        <v>45353.8</v>
      </c>
      <c r="G1327" s="1139">
        <v>41237.1</v>
      </c>
      <c r="H1327" s="1139">
        <v>53352.5</v>
      </c>
      <c r="I1327" s="1139">
        <v>41615.9</v>
      </c>
      <c r="J1327" s="1139">
        <v>42038.3</v>
      </c>
      <c r="K1327" s="1405" t="s">
        <v>2180</v>
      </c>
      <c r="L1327" s="1214" t="s">
        <v>34</v>
      </c>
      <c r="M1327" s="23">
        <v>0.17</v>
      </c>
      <c r="N1327" s="23">
        <v>0.17</v>
      </c>
      <c r="O1327" s="23">
        <v>0.18</v>
      </c>
      <c r="P1327" s="23">
        <v>0.19</v>
      </c>
      <c r="Q1327" s="23">
        <v>0.2</v>
      </c>
    </row>
    <row r="1328" spans="1:17" ht="45" x14ac:dyDescent="0.25">
      <c r="A1328" s="1170"/>
      <c r="B1328" s="1248"/>
      <c r="C1328" s="1170">
        <v>7</v>
      </c>
      <c r="D1328" s="12"/>
      <c r="E1328" s="1138" t="s">
        <v>1946</v>
      </c>
      <c r="F1328" s="1130">
        <v>4810.3</v>
      </c>
      <c r="G1328" s="1130">
        <v>4373.6000000000004</v>
      </c>
      <c r="H1328" s="1130">
        <v>6608.2</v>
      </c>
      <c r="I1328" s="1130">
        <v>4413.8</v>
      </c>
      <c r="J1328" s="1130">
        <v>4458.6000000000004</v>
      </c>
      <c r="K1328" s="1405" t="s">
        <v>2181</v>
      </c>
      <c r="L1328" s="1214" t="s">
        <v>271</v>
      </c>
      <c r="M1328" s="1214">
        <v>4</v>
      </c>
      <c r="N1328" s="1214">
        <v>4</v>
      </c>
      <c r="O1328" s="1214">
        <v>4</v>
      </c>
      <c r="P1328" s="68">
        <v>4</v>
      </c>
      <c r="Q1328" s="1214">
        <v>4</v>
      </c>
    </row>
    <row r="1329" spans="1:17" ht="73.5" x14ac:dyDescent="0.25">
      <c r="A1329" s="416">
        <v>54</v>
      </c>
      <c r="B1329" s="58">
        <v>3</v>
      </c>
      <c r="C1329" s="1214"/>
      <c r="D1329" s="819"/>
      <c r="E1329" s="1195" t="s">
        <v>2182</v>
      </c>
      <c r="F1329" s="1229">
        <v>64594.799999999988</v>
      </c>
      <c r="G1329" s="1229">
        <v>58731.5</v>
      </c>
      <c r="H1329" s="1229">
        <f>SUM(H1330:H1345)</f>
        <v>66737.100000000006</v>
      </c>
      <c r="I1329" s="1229">
        <v>59271.19999999999</v>
      </c>
      <c r="J1329" s="1229">
        <v>59872.800000000003</v>
      </c>
      <c r="K1329" s="1212" t="s">
        <v>2183</v>
      </c>
      <c r="L1329" s="1214" t="s">
        <v>1181</v>
      </c>
      <c r="M1329" s="1214">
        <v>71</v>
      </c>
      <c r="N1329" s="1214">
        <v>99</v>
      </c>
      <c r="O1329" s="1214">
        <v>71</v>
      </c>
      <c r="P1329" s="1214">
        <v>70</v>
      </c>
      <c r="Q1329" s="1214">
        <v>70</v>
      </c>
    </row>
    <row r="1330" spans="1:17" ht="30" x14ac:dyDescent="0.25">
      <c r="A1330" s="1776"/>
      <c r="B1330" s="1884"/>
      <c r="C1330" s="1772" t="s">
        <v>4</v>
      </c>
      <c r="D1330" s="2025"/>
      <c r="E1330" s="2027" t="s">
        <v>2184</v>
      </c>
      <c r="F1330" s="1774">
        <v>38825.599999999999</v>
      </c>
      <c r="G1330" s="1774">
        <v>35301.4</v>
      </c>
      <c r="H1330" s="1774">
        <v>37711.300000000003</v>
      </c>
      <c r="I1330" s="1774">
        <v>35625.699999999997</v>
      </c>
      <c r="J1330" s="1774">
        <v>35987.300000000003</v>
      </c>
      <c r="K1330" s="1405" t="s">
        <v>2185</v>
      </c>
      <c r="L1330" s="1214" t="s">
        <v>780</v>
      </c>
      <c r="M1330" s="819">
        <v>329</v>
      </c>
      <c r="N1330" s="819">
        <v>325</v>
      </c>
      <c r="O1330" s="819">
        <v>320</v>
      </c>
      <c r="P1330" s="819">
        <v>315</v>
      </c>
      <c r="Q1330" s="819">
        <v>310</v>
      </c>
    </row>
    <row r="1331" spans="1:17" x14ac:dyDescent="0.25">
      <c r="A1331" s="1776"/>
      <c r="B1331" s="2022"/>
      <c r="C1331" s="1777"/>
      <c r="D1331" s="2025"/>
      <c r="E1331" s="2027"/>
      <c r="F1331" s="1778"/>
      <c r="G1331" s="1778"/>
      <c r="H1331" s="1778"/>
      <c r="I1331" s="1778"/>
      <c r="J1331" s="1778"/>
      <c r="K1331" s="1405" t="s">
        <v>2186</v>
      </c>
      <c r="L1331" s="1214" t="s">
        <v>780</v>
      </c>
      <c r="M1331" s="819">
        <v>395</v>
      </c>
      <c r="N1331" s="819">
        <v>395</v>
      </c>
      <c r="O1331" s="819">
        <v>395</v>
      </c>
      <c r="P1331" s="819">
        <v>390</v>
      </c>
      <c r="Q1331" s="819">
        <v>390</v>
      </c>
    </row>
    <row r="1332" spans="1:17" x14ac:dyDescent="0.25">
      <c r="A1332" s="1776"/>
      <c r="B1332" s="2022"/>
      <c r="C1332" s="1777"/>
      <c r="D1332" s="2025"/>
      <c r="E1332" s="2027"/>
      <c r="F1332" s="1778"/>
      <c r="G1332" s="1778"/>
      <c r="H1332" s="1778"/>
      <c r="I1332" s="1778"/>
      <c r="J1332" s="1778"/>
      <c r="K1332" s="1405" t="s">
        <v>2187</v>
      </c>
      <c r="L1332" s="1214" t="s">
        <v>780</v>
      </c>
      <c r="M1332" s="819">
        <v>3048</v>
      </c>
      <c r="N1332" s="819">
        <v>3055</v>
      </c>
      <c r="O1332" s="819">
        <v>3060</v>
      </c>
      <c r="P1332" s="819">
        <v>3065</v>
      </c>
      <c r="Q1332" s="819">
        <v>3070</v>
      </c>
    </row>
    <row r="1333" spans="1:17" ht="30" x14ac:dyDescent="0.25">
      <c r="A1333" s="1776"/>
      <c r="B1333" s="2022"/>
      <c r="C1333" s="1777"/>
      <c r="D1333" s="2025"/>
      <c r="E1333" s="2027"/>
      <c r="F1333" s="1778"/>
      <c r="G1333" s="1778"/>
      <c r="H1333" s="1778"/>
      <c r="I1333" s="1778"/>
      <c r="J1333" s="1778"/>
      <c r="K1333" s="1405" t="s">
        <v>2188</v>
      </c>
      <c r="L1333" s="819" t="s">
        <v>34</v>
      </c>
      <c r="M1333" s="819">
        <v>12</v>
      </c>
      <c r="N1333" s="819">
        <v>12.22</v>
      </c>
      <c r="O1333" s="819">
        <v>12.24</v>
      </c>
      <c r="P1333" s="819">
        <v>12.26</v>
      </c>
      <c r="Q1333" s="819">
        <v>12.28</v>
      </c>
    </row>
    <row r="1334" spans="1:17" ht="45" x14ac:dyDescent="0.25">
      <c r="A1334" s="1771"/>
      <c r="B1334" s="1885"/>
      <c r="C1334" s="1900"/>
      <c r="D1334" s="2026"/>
      <c r="E1334" s="2027"/>
      <c r="F1334" s="1775"/>
      <c r="G1334" s="1775"/>
      <c r="H1334" s="1775"/>
      <c r="I1334" s="1775"/>
      <c r="J1334" s="1775"/>
      <c r="K1334" s="1405" t="s">
        <v>2189</v>
      </c>
      <c r="L1334" s="1214" t="s">
        <v>780</v>
      </c>
      <c r="M1334" s="819">
        <v>1116</v>
      </c>
      <c r="N1334" s="819">
        <v>1100</v>
      </c>
      <c r="O1334" s="819">
        <v>1120</v>
      </c>
      <c r="P1334" s="819">
        <v>1115</v>
      </c>
      <c r="Q1334" s="819">
        <v>1120</v>
      </c>
    </row>
    <row r="1335" spans="1:17" ht="45" x14ac:dyDescent="0.25">
      <c r="A1335" s="1770"/>
      <c r="B1335" s="1884"/>
      <c r="C1335" s="1772" t="s">
        <v>5</v>
      </c>
      <c r="D1335" s="2028"/>
      <c r="E1335" s="2029" t="s">
        <v>2190</v>
      </c>
      <c r="F1335" s="1774">
        <v>6528.2</v>
      </c>
      <c r="G1335" s="1774">
        <v>5935.6</v>
      </c>
      <c r="H1335" s="1774">
        <v>7907.4</v>
      </c>
      <c r="I1335" s="1774">
        <v>5990.2</v>
      </c>
      <c r="J1335" s="1774">
        <v>6051</v>
      </c>
      <c r="K1335" s="1405" t="s">
        <v>2191</v>
      </c>
      <c r="L1335" s="1214" t="s">
        <v>780</v>
      </c>
      <c r="M1335" s="1214">
        <v>1789</v>
      </c>
      <c r="N1335" s="1214">
        <v>1856</v>
      </c>
      <c r="O1335" s="1214">
        <v>1998</v>
      </c>
      <c r="P1335" s="1214">
        <v>2055</v>
      </c>
      <c r="Q1335" s="1214">
        <v>2085</v>
      </c>
    </row>
    <row r="1336" spans="1:17" x14ac:dyDescent="0.25">
      <c r="A1336" s="1776"/>
      <c r="B1336" s="2022"/>
      <c r="C1336" s="1777"/>
      <c r="D1336" s="2025"/>
      <c r="E1336" s="2030"/>
      <c r="F1336" s="1778"/>
      <c r="G1336" s="1778"/>
      <c r="H1336" s="1778"/>
      <c r="I1336" s="1778"/>
      <c r="J1336" s="1778"/>
      <c r="K1336" s="1405" t="s">
        <v>2187</v>
      </c>
      <c r="L1336" s="1214" t="s">
        <v>780</v>
      </c>
      <c r="M1336" s="1214">
        <v>514</v>
      </c>
      <c r="N1336" s="1214">
        <v>720</v>
      </c>
      <c r="O1336" s="1214">
        <v>855</v>
      </c>
      <c r="P1336" s="1214">
        <v>965</v>
      </c>
      <c r="Q1336" s="1214">
        <v>1020</v>
      </c>
    </row>
    <row r="1337" spans="1:17" ht="30" x14ac:dyDescent="0.25">
      <c r="A1337" s="1776"/>
      <c r="B1337" s="2022"/>
      <c r="C1337" s="1777"/>
      <c r="D1337" s="2025"/>
      <c r="E1337" s="2030"/>
      <c r="F1337" s="1778"/>
      <c r="G1337" s="1778"/>
      <c r="H1337" s="1778"/>
      <c r="I1337" s="1778"/>
      <c r="J1337" s="1778"/>
      <c r="K1337" s="1405" t="s">
        <v>2192</v>
      </c>
      <c r="L1337" s="1214" t="s">
        <v>34</v>
      </c>
      <c r="M1337" s="1214">
        <v>3</v>
      </c>
      <c r="N1337" s="1214">
        <v>6</v>
      </c>
      <c r="O1337" s="1214">
        <v>9</v>
      </c>
      <c r="P1337" s="1214">
        <v>12</v>
      </c>
      <c r="Q1337" s="1214">
        <v>15</v>
      </c>
    </row>
    <row r="1338" spans="1:17" ht="45" x14ac:dyDescent="0.25">
      <c r="A1338" s="1771"/>
      <c r="B1338" s="1885"/>
      <c r="C1338" s="1900"/>
      <c r="D1338" s="2026"/>
      <c r="E1338" s="2031"/>
      <c r="F1338" s="1778"/>
      <c r="G1338" s="1778"/>
      <c r="H1338" s="1778"/>
      <c r="I1338" s="1778"/>
      <c r="J1338" s="1778"/>
      <c r="K1338" s="1405" t="s">
        <v>2189</v>
      </c>
      <c r="L1338" s="1214" t="s">
        <v>780</v>
      </c>
      <c r="M1338" s="1214">
        <v>773</v>
      </c>
      <c r="N1338" s="1214">
        <v>780</v>
      </c>
      <c r="O1338" s="1214">
        <v>785</v>
      </c>
      <c r="P1338" s="1214">
        <v>760</v>
      </c>
      <c r="Q1338" s="1214">
        <v>754</v>
      </c>
    </row>
    <row r="1339" spans="1:17" ht="30" x14ac:dyDescent="0.25">
      <c r="A1339" s="1770"/>
      <c r="B1339" s="1884"/>
      <c r="C1339" s="1772" t="s">
        <v>7</v>
      </c>
      <c r="D1339" s="2013"/>
      <c r="E1339" s="1684" t="s">
        <v>2193</v>
      </c>
      <c r="F1339" s="1774">
        <v>16492.3</v>
      </c>
      <c r="G1339" s="1774">
        <v>14995.3</v>
      </c>
      <c r="H1339" s="1774">
        <v>17108.7</v>
      </c>
      <c r="I1339" s="1774">
        <v>15133.1</v>
      </c>
      <c r="J1339" s="1774">
        <v>15286.7</v>
      </c>
      <c r="K1339" s="1405" t="s">
        <v>2194</v>
      </c>
      <c r="L1339" s="819" t="s">
        <v>224</v>
      </c>
      <c r="M1339" s="820">
        <v>292974.95</v>
      </c>
      <c r="N1339" s="820">
        <v>303075</v>
      </c>
      <c r="O1339" s="820">
        <v>312965</v>
      </c>
      <c r="P1339" s="820">
        <v>312985</v>
      </c>
      <c r="Q1339" s="820">
        <v>313087</v>
      </c>
    </row>
    <row r="1340" spans="1:17" x14ac:dyDescent="0.25">
      <c r="A1340" s="1776"/>
      <c r="B1340" s="2022"/>
      <c r="C1340" s="1777"/>
      <c r="D1340" s="2023"/>
      <c r="E1340" s="1685"/>
      <c r="F1340" s="1778"/>
      <c r="G1340" s="1778"/>
      <c r="H1340" s="1778"/>
      <c r="I1340" s="1778"/>
      <c r="J1340" s="1778"/>
      <c r="K1340" s="1405" t="s">
        <v>2187</v>
      </c>
      <c r="L1340" s="819" t="s">
        <v>780</v>
      </c>
      <c r="M1340" s="819">
        <v>1229</v>
      </c>
      <c r="N1340" s="819">
        <v>1250</v>
      </c>
      <c r="O1340" s="819">
        <v>1280</v>
      </c>
      <c r="P1340" s="819">
        <v>1290</v>
      </c>
      <c r="Q1340" s="819">
        <v>1300</v>
      </c>
    </row>
    <row r="1341" spans="1:17" ht="30" x14ac:dyDescent="0.25">
      <c r="A1341" s="1776"/>
      <c r="B1341" s="2022"/>
      <c r="C1341" s="1777"/>
      <c r="D1341" s="2023"/>
      <c r="E1341" s="1685"/>
      <c r="F1341" s="1778"/>
      <c r="G1341" s="1778"/>
      <c r="H1341" s="1778"/>
      <c r="I1341" s="1778"/>
      <c r="J1341" s="1778"/>
      <c r="K1341" s="1405" t="s">
        <v>2192</v>
      </c>
      <c r="L1341" s="819" t="s">
        <v>34</v>
      </c>
      <c r="M1341" s="819">
        <v>5</v>
      </c>
      <c r="N1341" s="819">
        <v>7</v>
      </c>
      <c r="O1341" s="819">
        <v>9</v>
      </c>
      <c r="P1341" s="819">
        <v>10</v>
      </c>
      <c r="Q1341" s="819">
        <v>11</v>
      </c>
    </row>
    <row r="1342" spans="1:17" ht="45" x14ac:dyDescent="0.25">
      <c r="A1342" s="1771"/>
      <c r="B1342" s="1885"/>
      <c r="C1342" s="1900"/>
      <c r="D1342" s="2014"/>
      <c r="E1342" s="1686"/>
      <c r="F1342" s="1775"/>
      <c r="G1342" s="1775"/>
      <c r="H1342" s="1775"/>
      <c r="I1342" s="1775"/>
      <c r="J1342" s="1775"/>
      <c r="K1342" s="1405" t="s">
        <v>2195</v>
      </c>
      <c r="L1342" s="819" t="s">
        <v>34</v>
      </c>
      <c r="M1342" s="819">
        <v>74</v>
      </c>
      <c r="N1342" s="819">
        <v>78</v>
      </c>
      <c r="O1342" s="819">
        <v>79</v>
      </c>
      <c r="P1342" s="819">
        <v>80</v>
      </c>
      <c r="Q1342" s="819">
        <v>81</v>
      </c>
    </row>
    <row r="1343" spans="1:17" x14ac:dyDescent="0.25">
      <c r="A1343" s="2002"/>
      <c r="B1343" s="2005"/>
      <c r="C1343" s="1669" t="s">
        <v>9</v>
      </c>
      <c r="D1343" s="1878"/>
      <c r="E1343" s="1684" t="s">
        <v>2196</v>
      </c>
      <c r="F1343" s="1816">
        <v>2748.7</v>
      </c>
      <c r="G1343" s="1816">
        <v>2499.1999999999998</v>
      </c>
      <c r="H1343" s="1816">
        <v>4009.7</v>
      </c>
      <c r="I1343" s="1816">
        <v>2522.1999999999998</v>
      </c>
      <c r="J1343" s="1816">
        <v>2547.8000000000002</v>
      </c>
      <c r="K1343" s="1405" t="s">
        <v>2187</v>
      </c>
      <c r="L1343" s="819" t="s">
        <v>780</v>
      </c>
      <c r="M1343" s="1160">
        <v>48</v>
      </c>
      <c r="N1343" s="1160">
        <v>50</v>
      </c>
      <c r="O1343" s="1160">
        <v>52</v>
      </c>
      <c r="P1343" s="1160">
        <v>56</v>
      </c>
      <c r="Q1343" s="1160">
        <v>60</v>
      </c>
    </row>
    <row r="1344" spans="1:17" ht="30" x14ac:dyDescent="0.25">
      <c r="A1344" s="2003"/>
      <c r="B1344" s="2006"/>
      <c r="C1344" s="1690"/>
      <c r="D1344" s="1963"/>
      <c r="E1344" s="1685"/>
      <c r="F1344" s="2024"/>
      <c r="G1344" s="2024"/>
      <c r="H1344" s="2024"/>
      <c r="I1344" s="2024"/>
      <c r="J1344" s="2024"/>
      <c r="K1344" s="1405" t="s">
        <v>2197</v>
      </c>
      <c r="L1344" s="1160" t="s">
        <v>34</v>
      </c>
      <c r="M1344" s="1160">
        <v>60</v>
      </c>
      <c r="N1344" s="1160">
        <v>62</v>
      </c>
      <c r="O1344" s="1160">
        <v>64</v>
      </c>
      <c r="P1344" s="1160">
        <v>66</v>
      </c>
      <c r="Q1344" s="1160">
        <v>70</v>
      </c>
    </row>
    <row r="1345" spans="1:17" ht="45" x14ac:dyDescent="0.25">
      <c r="A1345" s="2004"/>
      <c r="B1345" s="2007"/>
      <c r="C1345" s="1670"/>
      <c r="D1345" s="1879"/>
      <c r="E1345" s="1686"/>
      <c r="F1345" s="1817"/>
      <c r="G1345" s="1817"/>
      <c r="H1345" s="1817"/>
      <c r="I1345" s="1817"/>
      <c r="J1345" s="1817"/>
      <c r="K1345" s="1405" t="s">
        <v>2195</v>
      </c>
      <c r="L1345" s="1160" t="s">
        <v>34</v>
      </c>
      <c r="M1345" s="1160">
        <v>30</v>
      </c>
      <c r="N1345" s="1160">
        <v>20</v>
      </c>
      <c r="O1345" s="1160">
        <v>15</v>
      </c>
      <c r="P1345" s="1160">
        <v>10</v>
      </c>
      <c r="Q1345" s="1160">
        <v>5</v>
      </c>
    </row>
    <row r="1346" spans="1:17" ht="30" x14ac:dyDescent="0.25">
      <c r="A1346" s="2015">
        <v>54</v>
      </c>
      <c r="B1346" s="2017">
        <v>4</v>
      </c>
      <c r="C1346" s="1669"/>
      <c r="D1346" s="1963"/>
      <c r="E1346" s="2019" t="s">
        <v>2198</v>
      </c>
      <c r="F1346" s="2020">
        <v>117164</v>
      </c>
      <c r="G1346" s="2020">
        <v>106529.2</v>
      </c>
      <c r="H1346" s="2020">
        <f>SUM(H1348:H1386)</f>
        <v>126681.40000000001</v>
      </c>
      <c r="I1346" s="2020">
        <v>107507.90000000001</v>
      </c>
      <c r="J1346" s="2020">
        <v>108599.1</v>
      </c>
      <c r="K1346" s="1405" t="s">
        <v>2199</v>
      </c>
      <c r="L1346" s="1160" t="s">
        <v>1334</v>
      </c>
      <c r="M1346" s="1160">
        <v>64</v>
      </c>
      <c r="N1346" s="823" t="s">
        <v>1343</v>
      </c>
      <c r="O1346" s="823" t="s">
        <v>1343</v>
      </c>
      <c r="P1346" s="823" t="s">
        <v>1343</v>
      </c>
      <c r="Q1346" s="823" t="s">
        <v>1343</v>
      </c>
    </row>
    <row r="1347" spans="1:17" ht="45" x14ac:dyDescent="0.25">
      <c r="A1347" s="2016"/>
      <c r="B1347" s="2018"/>
      <c r="C1347" s="1670"/>
      <c r="D1347" s="1879"/>
      <c r="E1347" s="1700"/>
      <c r="F1347" s="2021"/>
      <c r="G1347" s="2021"/>
      <c r="H1347" s="2021"/>
      <c r="I1347" s="2021"/>
      <c r="J1347" s="2021"/>
      <c r="K1347" s="1405" t="s">
        <v>2200</v>
      </c>
      <c r="L1347" s="1160" t="s">
        <v>1334</v>
      </c>
      <c r="M1347" s="1160">
        <v>143</v>
      </c>
      <c r="N1347" s="823" t="s">
        <v>1343</v>
      </c>
      <c r="O1347" s="823" t="s">
        <v>1343</v>
      </c>
      <c r="P1347" s="823" t="s">
        <v>1343</v>
      </c>
      <c r="Q1347" s="823" t="s">
        <v>1343</v>
      </c>
    </row>
    <row r="1348" spans="1:17" x14ac:dyDescent="0.25">
      <c r="A1348" s="1203"/>
      <c r="B1348" s="2005"/>
      <c r="C1348" s="1669" t="s">
        <v>4</v>
      </c>
      <c r="D1348" s="1878"/>
      <c r="E1348" s="1684" t="s">
        <v>2201</v>
      </c>
      <c r="F1348" s="1774">
        <v>10307.700000000001</v>
      </c>
      <c r="G1348" s="1774">
        <v>9372.1</v>
      </c>
      <c r="H1348" s="1774">
        <v>11060.4</v>
      </c>
      <c r="I1348" s="1774">
        <v>9458.2000000000007</v>
      </c>
      <c r="J1348" s="1774">
        <v>9554.2000000000007</v>
      </c>
      <c r="K1348" s="1405" t="s">
        <v>2187</v>
      </c>
      <c r="L1348" s="819" t="s">
        <v>780</v>
      </c>
      <c r="M1348" s="1160">
        <v>987</v>
      </c>
      <c r="N1348" s="1160">
        <v>1000</v>
      </c>
      <c r="O1348" s="1160">
        <v>990</v>
      </c>
      <c r="P1348" s="1160">
        <v>1000</v>
      </c>
      <c r="Q1348" s="1160">
        <v>1000</v>
      </c>
    </row>
    <row r="1349" spans="1:17" ht="30" x14ac:dyDescent="0.25">
      <c r="A1349" s="1203"/>
      <c r="B1349" s="2006"/>
      <c r="C1349" s="1690"/>
      <c r="D1349" s="1963"/>
      <c r="E1349" s="1685"/>
      <c r="F1349" s="1778"/>
      <c r="G1349" s="1778"/>
      <c r="H1349" s="1778"/>
      <c r="I1349" s="1778"/>
      <c r="J1349" s="1778"/>
      <c r="K1349" s="1405" t="s">
        <v>2202</v>
      </c>
      <c r="L1349" s="819" t="s">
        <v>780</v>
      </c>
      <c r="M1349" s="1160">
        <v>101</v>
      </c>
      <c r="N1349" s="1160">
        <v>97</v>
      </c>
      <c r="O1349" s="1160">
        <v>95</v>
      </c>
      <c r="P1349" s="1160">
        <v>90</v>
      </c>
      <c r="Q1349" s="1160">
        <v>87</v>
      </c>
    </row>
    <row r="1350" spans="1:17" ht="30" x14ac:dyDescent="0.25">
      <c r="A1350" s="1203"/>
      <c r="B1350" s="2007"/>
      <c r="C1350" s="1670"/>
      <c r="D1350" s="1879"/>
      <c r="E1350" s="1686"/>
      <c r="F1350" s="1775"/>
      <c r="G1350" s="1775"/>
      <c r="H1350" s="1775"/>
      <c r="I1350" s="1775"/>
      <c r="J1350" s="1775"/>
      <c r="K1350" s="1405" t="s">
        <v>2203</v>
      </c>
      <c r="L1350" s="1160" t="s">
        <v>34</v>
      </c>
      <c r="M1350" s="821">
        <v>7.0000000000000007E-2</v>
      </c>
      <c r="N1350" s="821">
        <v>0.08</v>
      </c>
      <c r="O1350" s="821">
        <v>7.0000000000000007E-2</v>
      </c>
      <c r="P1350" s="821">
        <v>0.08</v>
      </c>
      <c r="Q1350" s="821">
        <v>0.08</v>
      </c>
    </row>
    <row r="1351" spans="1:17" x14ac:dyDescent="0.25">
      <c r="A1351" s="2012"/>
      <c r="B1351" s="2005"/>
      <c r="C1351" s="1669" t="s">
        <v>5</v>
      </c>
      <c r="D1351" s="1882"/>
      <c r="E1351" s="1684" t="s">
        <v>2204</v>
      </c>
      <c r="F1351" s="1774">
        <v>15117.9</v>
      </c>
      <c r="G1351" s="1774">
        <v>13745.7</v>
      </c>
      <c r="H1351" s="1774">
        <v>16957.2</v>
      </c>
      <c r="I1351" s="1774">
        <v>13872</v>
      </c>
      <c r="J1351" s="1774">
        <v>14012.8</v>
      </c>
      <c r="K1351" s="1976" t="s">
        <v>2205</v>
      </c>
      <c r="L1351" s="2013" t="s">
        <v>1633</v>
      </c>
      <c r="M1351" s="1878">
        <v>3</v>
      </c>
      <c r="N1351" s="1878">
        <v>0</v>
      </c>
      <c r="O1351" s="1878">
        <v>0</v>
      </c>
      <c r="P1351" s="1878">
        <v>0</v>
      </c>
      <c r="Q1351" s="1878">
        <v>0</v>
      </c>
    </row>
    <row r="1352" spans="1:17" x14ac:dyDescent="0.25">
      <c r="A1352" s="2012"/>
      <c r="B1352" s="2006"/>
      <c r="C1352" s="1690"/>
      <c r="D1352" s="1882"/>
      <c r="E1352" s="1685"/>
      <c r="F1352" s="1778"/>
      <c r="G1352" s="1778"/>
      <c r="H1352" s="1778"/>
      <c r="I1352" s="1778"/>
      <c r="J1352" s="1778"/>
      <c r="K1352" s="1976"/>
      <c r="L1352" s="2014"/>
      <c r="M1352" s="1879"/>
      <c r="N1352" s="1879">
        <v>0</v>
      </c>
      <c r="O1352" s="1879">
        <v>0</v>
      </c>
      <c r="P1352" s="1879">
        <v>0</v>
      </c>
      <c r="Q1352" s="1879">
        <v>0</v>
      </c>
    </row>
    <row r="1353" spans="1:17" x14ac:dyDescent="0.25">
      <c r="A1353" s="2012"/>
      <c r="B1353" s="2006"/>
      <c r="C1353" s="1690"/>
      <c r="D1353" s="1882"/>
      <c r="E1353" s="1685"/>
      <c r="F1353" s="1778"/>
      <c r="G1353" s="1778"/>
      <c r="H1353" s="1778"/>
      <c r="I1353" s="1778"/>
      <c r="J1353" s="1778"/>
      <c r="K1353" s="1405" t="s">
        <v>2206</v>
      </c>
      <c r="L1353" s="819" t="s">
        <v>1633</v>
      </c>
      <c r="M1353" s="1160">
        <v>2956</v>
      </c>
      <c r="N1353" s="1160">
        <v>2958</v>
      </c>
      <c r="O1353" s="1160">
        <v>2971</v>
      </c>
      <c r="P1353" s="1160">
        <v>2973</v>
      </c>
      <c r="Q1353" s="1160">
        <v>2978</v>
      </c>
    </row>
    <row r="1354" spans="1:17" x14ac:dyDescent="0.25">
      <c r="A1354" s="2012"/>
      <c r="B1354" s="2006"/>
      <c r="C1354" s="1690"/>
      <c r="D1354" s="1882"/>
      <c r="E1354" s="1685"/>
      <c r="F1354" s="1778"/>
      <c r="G1354" s="1778"/>
      <c r="H1354" s="1778"/>
      <c r="I1354" s="1778"/>
      <c r="J1354" s="1778"/>
      <c r="K1354" s="1405" t="s">
        <v>2207</v>
      </c>
      <c r="L1354" s="819" t="s">
        <v>1633</v>
      </c>
      <c r="M1354" s="1160">
        <v>594</v>
      </c>
      <c r="N1354" s="1160">
        <v>604</v>
      </c>
      <c r="O1354" s="1160">
        <v>605</v>
      </c>
      <c r="P1354" s="1160">
        <v>596</v>
      </c>
      <c r="Q1354" s="1160">
        <v>606</v>
      </c>
    </row>
    <row r="1355" spans="1:17" ht="30" x14ac:dyDescent="0.25">
      <c r="A1355" s="2012"/>
      <c r="B1355" s="2006"/>
      <c r="C1355" s="1690"/>
      <c r="D1355" s="1882"/>
      <c r="E1355" s="1685"/>
      <c r="F1355" s="1778"/>
      <c r="G1355" s="1778"/>
      <c r="H1355" s="1778"/>
      <c r="I1355" s="1778"/>
      <c r="J1355" s="1778"/>
      <c r="K1355" s="1405" t="s">
        <v>2208</v>
      </c>
      <c r="L1355" s="1160"/>
      <c r="M1355" s="1160">
        <v>13445</v>
      </c>
      <c r="N1355" s="1160">
        <v>13541</v>
      </c>
      <c r="O1355" s="1160">
        <v>13542</v>
      </c>
      <c r="P1355" s="1160">
        <v>13447</v>
      </c>
      <c r="Q1355" s="1160">
        <v>13611</v>
      </c>
    </row>
    <row r="1356" spans="1:17" ht="45" x14ac:dyDescent="0.25">
      <c r="A1356" s="2012"/>
      <c r="B1356" s="2006"/>
      <c r="C1356" s="1690"/>
      <c r="D1356" s="1882"/>
      <c r="E1356" s="1686"/>
      <c r="F1356" s="1778"/>
      <c r="G1356" s="1778"/>
      <c r="H1356" s="1778"/>
      <c r="I1356" s="1778"/>
      <c r="J1356" s="1778"/>
      <c r="K1356" s="1405" t="s">
        <v>2195</v>
      </c>
      <c r="L1356" s="1160" t="s">
        <v>34</v>
      </c>
      <c r="M1356" s="1160">
        <v>10</v>
      </c>
      <c r="N1356" s="1160">
        <v>9</v>
      </c>
      <c r="O1356" s="1160">
        <v>9</v>
      </c>
      <c r="P1356" s="1160">
        <v>9</v>
      </c>
      <c r="Q1356" s="1160">
        <v>8</v>
      </c>
    </row>
    <row r="1357" spans="1:17" x14ac:dyDescent="0.25">
      <c r="A1357" s="2012"/>
      <c r="B1357" s="2006"/>
      <c r="C1357" s="1690"/>
      <c r="D1357" s="1882"/>
      <c r="E1357" s="1684" t="s">
        <v>2209</v>
      </c>
      <c r="F1357" s="1778"/>
      <c r="G1357" s="1778"/>
      <c r="H1357" s="1778"/>
      <c r="I1357" s="1778"/>
      <c r="J1357" s="1778"/>
      <c r="K1357" s="1405" t="s">
        <v>2207</v>
      </c>
      <c r="L1357" s="1234" t="s">
        <v>780</v>
      </c>
      <c r="M1357" s="1160">
        <v>378</v>
      </c>
      <c r="N1357" s="1160">
        <v>600</v>
      </c>
      <c r="O1357" s="1160">
        <v>800</v>
      </c>
      <c r="P1357" s="1160">
        <v>1000</v>
      </c>
      <c r="Q1357" s="1160">
        <v>1200</v>
      </c>
    </row>
    <row r="1358" spans="1:17" ht="30" x14ac:dyDescent="0.25">
      <c r="A1358" s="2012"/>
      <c r="B1358" s="2006"/>
      <c r="C1358" s="1690"/>
      <c r="D1358" s="1882"/>
      <c r="E1358" s="1685"/>
      <c r="F1358" s="1778"/>
      <c r="G1358" s="1778"/>
      <c r="H1358" s="1778"/>
      <c r="I1358" s="1778"/>
      <c r="J1358" s="1778"/>
      <c r="K1358" s="1405" t="s">
        <v>2210</v>
      </c>
      <c r="L1358" s="1234" t="s">
        <v>780</v>
      </c>
      <c r="M1358" s="1160">
        <v>1134</v>
      </c>
      <c r="N1358" s="1160">
        <v>1300</v>
      </c>
      <c r="O1358" s="1160">
        <v>1500</v>
      </c>
      <c r="P1358" s="1160">
        <v>2000</v>
      </c>
      <c r="Q1358" s="1160">
        <v>2400</v>
      </c>
    </row>
    <row r="1359" spans="1:17" ht="45" x14ac:dyDescent="0.25">
      <c r="A1359" s="2012"/>
      <c r="B1359" s="2006"/>
      <c r="C1359" s="1690"/>
      <c r="D1359" s="1882"/>
      <c r="E1359" s="1685"/>
      <c r="F1359" s="1778"/>
      <c r="G1359" s="1778"/>
      <c r="H1359" s="1778"/>
      <c r="I1359" s="1778"/>
      <c r="J1359" s="1778"/>
      <c r="K1359" s="1405" t="s">
        <v>2195</v>
      </c>
      <c r="L1359" s="1160" t="s">
        <v>34</v>
      </c>
      <c r="M1359" s="821">
        <v>0.5</v>
      </c>
      <c r="N1359" s="821">
        <v>0.4</v>
      </c>
      <c r="O1359" s="821">
        <v>0.3</v>
      </c>
      <c r="P1359" s="821">
        <v>0.2</v>
      </c>
      <c r="Q1359" s="821">
        <v>0.1</v>
      </c>
    </row>
    <row r="1360" spans="1:17" ht="30" x14ac:dyDescent="0.25">
      <c r="A1360" s="2012"/>
      <c r="B1360" s="2006"/>
      <c r="C1360" s="1690"/>
      <c r="D1360" s="1882"/>
      <c r="E1360" s="1685"/>
      <c r="F1360" s="1778"/>
      <c r="G1360" s="1778"/>
      <c r="H1360" s="1778"/>
      <c r="I1360" s="1778"/>
      <c r="J1360" s="1778"/>
      <c r="K1360" s="1405" t="s">
        <v>2211</v>
      </c>
      <c r="L1360" s="1234" t="s">
        <v>780</v>
      </c>
      <c r="M1360" s="1160">
        <v>22</v>
      </c>
      <c r="N1360" s="1160">
        <v>0</v>
      </c>
      <c r="O1360" s="1160">
        <v>0</v>
      </c>
      <c r="P1360" s="1160">
        <v>0</v>
      </c>
      <c r="Q1360" s="1160">
        <v>0</v>
      </c>
    </row>
    <row r="1361" spans="1:17" ht="30" x14ac:dyDescent="0.25">
      <c r="A1361" s="2012"/>
      <c r="B1361" s="2006"/>
      <c r="C1361" s="1690"/>
      <c r="D1361" s="1882"/>
      <c r="E1361" s="1686"/>
      <c r="F1361" s="1778"/>
      <c r="G1361" s="1778"/>
      <c r="H1361" s="1778"/>
      <c r="I1361" s="1778"/>
      <c r="J1361" s="1778"/>
      <c r="K1361" s="1405" t="s">
        <v>2212</v>
      </c>
      <c r="L1361" s="1234" t="s">
        <v>780</v>
      </c>
      <c r="M1361" s="1160">
        <v>3576</v>
      </c>
      <c r="N1361" s="1160">
        <v>3000</v>
      </c>
      <c r="O1361" s="1160">
        <v>2500</v>
      </c>
      <c r="P1361" s="1160">
        <v>1700</v>
      </c>
      <c r="Q1361" s="1160">
        <v>1500</v>
      </c>
    </row>
    <row r="1362" spans="1:17" x14ac:dyDescent="0.25">
      <c r="A1362" s="2012"/>
      <c r="B1362" s="2006"/>
      <c r="C1362" s="1690"/>
      <c r="D1362" s="1882"/>
      <c r="E1362" s="1684" t="s">
        <v>2213</v>
      </c>
      <c r="F1362" s="1778"/>
      <c r="G1362" s="1778"/>
      <c r="H1362" s="1778"/>
      <c r="I1362" s="1778"/>
      <c r="J1362" s="1778"/>
      <c r="K1362" s="1405" t="s">
        <v>2187</v>
      </c>
      <c r="L1362" s="1160"/>
      <c r="M1362" s="1160">
        <v>62</v>
      </c>
      <c r="N1362" s="1160">
        <v>90</v>
      </c>
      <c r="O1362" s="1160">
        <v>100</v>
      </c>
      <c r="P1362" s="1160">
        <v>100</v>
      </c>
      <c r="Q1362" s="1160">
        <v>100</v>
      </c>
    </row>
    <row r="1363" spans="1:17" ht="30" x14ac:dyDescent="0.25">
      <c r="A1363" s="2012"/>
      <c r="B1363" s="2006"/>
      <c r="C1363" s="1690"/>
      <c r="D1363" s="1882"/>
      <c r="E1363" s="1685"/>
      <c r="F1363" s="1778"/>
      <c r="G1363" s="1778"/>
      <c r="H1363" s="1778"/>
      <c r="I1363" s="1778"/>
      <c r="J1363" s="1778"/>
      <c r="K1363" s="1405" t="s">
        <v>2214</v>
      </c>
      <c r="L1363" s="1160" t="s">
        <v>34</v>
      </c>
      <c r="M1363" s="1160">
        <v>5</v>
      </c>
      <c r="N1363" s="1160">
        <v>5</v>
      </c>
      <c r="O1363" s="1160">
        <v>6</v>
      </c>
      <c r="P1363" s="1160">
        <v>6.5</v>
      </c>
      <c r="Q1363" s="69">
        <v>7</v>
      </c>
    </row>
    <row r="1364" spans="1:17" ht="45" x14ac:dyDescent="0.25">
      <c r="A1364" s="2012"/>
      <c r="B1364" s="2006"/>
      <c r="C1364" s="1690"/>
      <c r="D1364" s="1882"/>
      <c r="E1364" s="1685"/>
      <c r="F1364" s="1778"/>
      <c r="G1364" s="1778"/>
      <c r="H1364" s="1778"/>
      <c r="I1364" s="1778"/>
      <c r="J1364" s="1778"/>
      <c r="K1364" s="1405" t="s">
        <v>2195</v>
      </c>
      <c r="L1364" s="1160" t="s">
        <v>34</v>
      </c>
      <c r="M1364" s="1160">
        <v>30</v>
      </c>
      <c r="N1364" s="1160">
        <v>30</v>
      </c>
      <c r="O1364" s="1160">
        <v>30</v>
      </c>
      <c r="P1364" s="1160">
        <v>30</v>
      </c>
      <c r="Q1364" s="1160">
        <v>30</v>
      </c>
    </row>
    <row r="1365" spans="1:17" ht="30" x14ac:dyDescent="0.25">
      <c r="A1365" s="2012"/>
      <c r="B1365" s="2006"/>
      <c r="C1365" s="1690"/>
      <c r="D1365" s="1882"/>
      <c r="E1365" s="1685"/>
      <c r="F1365" s="1778"/>
      <c r="G1365" s="1778"/>
      <c r="H1365" s="1778"/>
      <c r="I1365" s="1778"/>
      <c r="J1365" s="1778"/>
      <c r="K1365" s="1405" t="s">
        <v>2215</v>
      </c>
      <c r="L1365" s="1234" t="s">
        <v>780</v>
      </c>
      <c r="M1365" s="1160">
        <v>80</v>
      </c>
      <c r="N1365" s="1160">
        <v>70</v>
      </c>
      <c r="O1365" s="1160">
        <v>70</v>
      </c>
      <c r="P1365" s="1160">
        <v>70</v>
      </c>
      <c r="Q1365" s="1160">
        <v>70</v>
      </c>
    </row>
    <row r="1366" spans="1:17" ht="30" x14ac:dyDescent="0.25">
      <c r="A1366" s="2012"/>
      <c r="B1366" s="2007"/>
      <c r="C1366" s="1670"/>
      <c r="D1366" s="1882"/>
      <c r="E1366" s="1686"/>
      <c r="F1366" s="1775"/>
      <c r="G1366" s="1775"/>
      <c r="H1366" s="1775"/>
      <c r="I1366" s="1775"/>
      <c r="J1366" s="1775"/>
      <c r="K1366" s="1405" t="s">
        <v>2216</v>
      </c>
      <c r="L1366" s="1234" t="s">
        <v>780</v>
      </c>
      <c r="M1366" s="1160">
        <v>62</v>
      </c>
      <c r="N1366" s="1160">
        <v>60</v>
      </c>
      <c r="O1366" s="1160">
        <v>60</v>
      </c>
      <c r="P1366" s="1160">
        <v>55</v>
      </c>
      <c r="Q1366" s="1160">
        <v>54</v>
      </c>
    </row>
    <row r="1367" spans="1:17" x14ac:dyDescent="0.25">
      <c r="A1367" s="2012"/>
      <c r="B1367" s="2005"/>
      <c r="C1367" s="1669" t="s">
        <v>7</v>
      </c>
      <c r="D1367" s="1882"/>
      <c r="E1367" s="1631" t="s">
        <v>2217</v>
      </c>
      <c r="F1367" s="1815">
        <v>33328.199999999997</v>
      </c>
      <c r="G1367" s="1815">
        <v>30303</v>
      </c>
      <c r="H1367" s="1815">
        <v>34289.9</v>
      </c>
      <c r="I1367" s="1815">
        <v>30581.4</v>
      </c>
      <c r="J1367" s="1815">
        <v>30891.8</v>
      </c>
      <c r="K1367" s="1405" t="s">
        <v>2207</v>
      </c>
      <c r="L1367" s="1234" t="s">
        <v>780</v>
      </c>
      <c r="M1367" s="1160">
        <v>3571</v>
      </c>
      <c r="N1367" s="1160">
        <v>3606</v>
      </c>
      <c r="O1367" s="1160">
        <v>3642</v>
      </c>
      <c r="P1367" s="1160">
        <v>3678</v>
      </c>
      <c r="Q1367" s="1160">
        <v>3714</v>
      </c>
    </row>
    <row r="1368" spans="1:17" ht="30" x14ac:dyDescent="0.25">
      <c r="A1368" s="2012"/>
      <c r="B1368" s="2006"/>
      <c r="C1368" s="1690"/>
      <c r="D1368" s="1882"/>
      <c r="E1368" s="1631"/>
      <c r="F1368" s="1815"/>
      <c r="G1368" s="1815"/>
      <c r="H1368" s="1815"/>
      <c r="I1368" s="1815"/>
      <c r="J1368" s="1815"/>
      <c r="K1368" s="1405" t="s">
        <v>2218</v>
      </c>
      <c r="L1368" s="1160" t="s">
        <v>34</v>
      </c>
      <c r="M1368" s="1160">
        <v>100</v>
      </c>
      <c r="N1368" s="1160">
        <v>100</v>
      </c>
      <c r="O1368" s="1160">
        <v>100</v>
      </c>
      <c r="P1368" s="1160">
        <v>100</v>
      </c>
      <c r="Q1368" s="1160">
        <v>100</v>
      </c>
    </row>
    <row r="1369" spans="1:17" ht="30" x14ac:dyDescent="0.25">
      <c r="A1369" s="2012"/>
      <c r="B1369" s="2006"/>
      <c r="C1369" s="1690"/>
      <c r="D1369" s="1882"/>
      <c r="E1369" s="1631"/>
      <c r="F1369" s="1815"/>
      <c r="G1369" s="1815"/>
      <c r="H1369" s="1815"/>
      <c r="I1369" s="1815"/>
      <c r="J1369" s="1815"/>
      <c r="K1369" s="1405" t="s">
        <v>2219</v>
      </c>
      <c r="L1369" s="1160" t="s">
        <v>34</v>
      </c>
      <c r="M1369" s="1160">
        <v>57</v>
      </c>
      <c r="N1369" s="1160">
        <v>62</v>
      </c>
      <c r="O1369" s="1160">
        <v>68</v>
      </c>
      <c r="P1369" s="1160">
        <v>74</v>
      </c>
      <c r="Q1369" s="1160">
        <v>81</v>
      </c>
    </row>
    <row r="1370" spans="1:17" ht="30" x14ac:dyDescent="0.25">
      <c r="A1370" s="2012"/>
      <c r="B1370" s="2007"/>
      <c r="C1370" s="1670"/>
      <c r="D1370" s="1882"/>
      <c r="E1370" s="1631"/>
      <c r="F1370" s="1815"/>
      <c r="G1370" s="1815"/>
      <c r="H1370" s="1815"/>
      <c r="I1370" s="1815"/>
      <c r="J1370" s="1815"/>
      <c r="K1370" s="1405" t="s">
        <v>2220</v>
      </c>
      <c r="L1370" s="1234" t="s">
        <v>780</v>
      </c>
      <c r="M1370" s="1160">
        <v>1810</v>
      </c>
      <c r="N1370" s="1160">
        <v>1629</v>
      </c>
      <c r="O1370" s="1160">
        <v>1467</v>
      </c>
      <c r="P1370" s="1160">
        <v>1321</v>
      </c>
      <c r="Q1370" s="1160">
        <v>1189</v>
      </c>
    </row>
    <row r="1371" spans="1:17" x14ac:dyDescent="0.25">
      <c r="A1371" s="2002"/>
      <c r="B1371" s="2005"/>
      <c r="C1371" s="1669" t="s">
        <v>9</v>
      </c>
      <c r="D1371" s="1878"/>
      <c r="E1371" s="1684" t="s">
        <v>2221</v>
      </c>
      <c r="F1371" s="1815">
        <v>27143.599999999999</v>
      </c>
      <c r="G1371" s="1815">
        <v>24679.8</v>
      </c>
      <c r="H1371" s="1815">
        <v>28818.3</v>
      </c>
      <c r="I1371" s="1815">
        <v>24906.5</v>
      </c>
      <c r="J1371" s="1815">
        <v>25159.3</v>
      </c>
      <c r="K1371" s="1405" t="s">
        <v>2207</v>
      </c>
      <c r="L1371" s="1234" t="s">
        <v>780</v>
      </c>
      <c r="M1371" s="1160">
        <v>2355</v>
      </c>
      <c r="N1371" s="1160">
        <v>2355</v>
      </c>
      <c r="O1371" s="1160">
        <v>3500</v>
      </c>
      <c r="P1371" s="1160">
        <v>3600</v>
      </c>
      <c r="Q1371" s="1160">
        <v>3600</v>
      </c>
    </row>
    <row r="1372" spans="1:17" ht="30" x14ac:dyDescent="0.25">
      <c r="A1372" s="2003"/>
      <c r="B1372" s="2006"/>
      <c r="C1372" s="1690"/>
      <c r="D1372" s="1963"/>
      <c r="E1372" s="1685"/>
      <c r="F1372" s="1815"/>
      <c r="G1372" s="1815"/>
      <c r="H1372" s="1815"/>
      <c r="I1372" s="1815"/>
      <c r="J1372" s="1815"/>
      <c r="K1372" s="1405" t="s">
        <v>2222</v>
      </c>
      <c r="L1372" s="1160" t="s">
        <v>34</v>
      </c>
      <c r="M1372" s="1160">
        <v>52</v>
      </c>
      <c r="N1372" s="1160">
        <v>52</v>
      </c>
      <c r="O1372" s="1160">
        <v>90</v>
      </c>
      <c r="P1372" s="1160">
        <v>92</v>
      </c>
      <c r="Q1372" s="1160">
        <v>92</v>
      </c>
    </row>
    <row r="1373" spans="1:17" ht="45" x14ac:dyDescent="0.25">
      <c r="A1373" s="2003"/>
      <c r="B1373" s="2006"/>
      <c r="C1373" s="1690"/>
      <c r="D1373" s="1963"/>
      <c r="E1373" s="1685"/>
      <c r="F1373" s="1815"/>
      <c r="G1373" s="1815"/>
      <c r="H1373" s="1815"/>
      <c r="I1373" s="1815"/>
      <c r="J1373" s="1815"/>
      <c r="K1373" s="1405" t="s">
        <v>2223</v>
      </c>
      <c r="L1373" s="1234" t="s">
        <v>780</v>
      </c>
      <c r="M1373" s="1160">
        <v>9460</v>
      </c>
      <c r="N1373" s="1160">
        <v>9460</v>
      </c>
      <c r="O1373" s="1160">
        <v>10000</v>
      </c>
      <c r="P1373" s="1160">
        <v>10500</v>
      </c>
      <c r="Q1373" s="1160">
        <v>10500</v>
      </c>
    </row>
    <row r="1374" spans="1:17" ht="30" x14ac:dyDescent="0.25">
      <c r="A1374" s="2003"/>
      <c r="B1374" s="2006"/>
      <c r="C1374" s="1690"/>
      <c r="D1374" s="1963"/>
      <c r="E1374" s="1685"/>
      <c r="F1374" s="1815"/>
      <c r="G1374" s="1815"/>
      <c r="H1374" s="1815"/>
      <c r="I1374" s="1815"/>
      <c r="J1374" s="1815"/>
      <c r="K1374" s="1405" t="s">
        <v>2224</v>
      </c>
      <c r="L1374" s="1234" t="s">
        <v>780</v>
      </c>
      <c r="M1374" s="1160">
        <v>4965</v>
      </c>
      <c r="N1374" s="1160">
        <v>4965</v>
      </c>
      <c r="O1374" s="1160">
        <v>2000</v>
      </c>
      <c r="P1374" s="1160">
        <v>2050</v>
      </c>
      <c r="Q1374" s="1160">
        <v>2050</v>
      </c>
    </row>
    <row r="1375" spans="1:17" ht="30" x14ac:dyDescent="0.25">
      <c r="A1375" s="2004"/>
      <c r="B1375" s="2007"/>
      <c r="C1375" s="1670"/>
      <c r="D1375" s="1879"/>
      <c r="E1375" s="1686"/>
      <c r="F1375" s="1815"/>
      <c r="G1375" s="1815"/>
      <c r="H1375" s="1815"/>
      <c r="I1375" s="1815"/>
      <c r="J1375" s="1815"/>
      <c r="K1375" s="1405" t="s">
        <v>2225</v>
      </c>
      <c r="L1375" s="1234" t="s">
        <v>780</v>
      </c>
      <c r="M1375" s="1160">
        <v>13714</v>
      </c>
      <c r="N1375" s="1160">
        <v>13714</v>
      </c>
      <c r="O1375" s="1160">
        <v>19000</v>
      </c>
      <c r="P1375" s="1160">
        <v>19500</v>
      </c>
      <c r="Q1375" s="1160">
        <v>19500</v>
      </c>
    </row>
    <row r="1376" spans="1:17" x14ac:dyDescent="0.25">
      <c r="A1376" s="2012"/>
      <c r="B1376" s="2005"/>
      <c r="C1376" s="1669" t="s">
        <v>11</v>
      </c>
      <c r="D1376" s="1882"/>
      <c r="E1376" s="1684" t="s">
        <v>2226</v>
      </c>
      <c r="F1376" s="1815">
        <v>16148.7</v>
      </c>
      <c r="G1376" s="1815">
        <v>14682.9</v>
      </c>
      <c r="H1376" s="1815">
        <v>18144.7</v>
      </c>
      <c r="I1376" s="1815">
        <v>14817.8</v>
      </c>
      <c r="J1376" s="1815">
        <v>14968.2</v>
      </c>
      <c r="K1376" s="1405" t="s">
        <v>2207</v>
      </c>
      <c r="L1376" s="1234" t="s">
        <v>780</v>
      </c>
      <c r="M1376" s="1160">
        <v>3399</v>
      </c>
      <c r="N1376" s="1160">
        <v>3500</v>
      </c>
      <c r="O1376" s="1160">
        <v>3700</v>
      </c>
      <c r="P1376" s="1160">
        <v>4000</v>
      </c>
      <c r="Q1376" s="1160">
        <v>4100</v>
      </c>
    </row>
    <row r="1377" spans="1:17" ht="30" x14ac:dyDescent="0.25">
      <c r="A1377" s="2012"/>
      <c r="B1377" s="2006"/>
      <c r="C1377" s="1690"/>
      <c r="D1377" s="1882"/>
      <c r="E1377" s="1685"/>
      <c r="F1377" s="1815"/>
      <c r="G1377" s="1815"/>
      <c r="H1377" s="1815"/>
      <c r="I1377" s="1815"/>
      <c r="J1377" s="1815"/>
      <c r="K1377" s="1405" t="s">
        <v>2222</v>
      </c>
      <c r="L1377" s="1160" t="s">
        <v>34</v>
      </c>
      <c r="M1377" s="1160">
        <v>2</v>
      </c>
      <c r="N1377" s="1160">
        <v>2.5</v>
      </c>
      <c r="O1377" s="1160">
        <v>2.6</v>
      </c>
      <c r="P1377" s="1160">
        <v>2.8</v>
      </c>
      <c r="Q1377" s="1160">
        <v>30</v>
      </c>
    </row>
    <row r="1378" spans="1:17" ht="45" x14ac:dyDescent="0.25">
      <c r="A1378" s="2012"/>
      <c r="B1378" s="2006"/>
      <c r="C1378" s="1690"/>
      <c r="D1378" s="1882"/>
      <c r="E1378" s="1685"/>
      <c r="F1378" s="1815"/>
      <c r="G1378" s="1815"/>
      <c r="H1378" s="1815"/>
      <c r="I1378" s="1815"/>
      <c r="J1378" s="1815"/>
      <c r="K1378" s="1405" t="s">
        <v>2195</v>
      </c>
      <c r="L1378" s="1160" t="s">
        <v>34</v>
      </c>
      <c r="M1378" s="1160">
        <v>62</v>
      </c>
      <c r="N1378" s="1160">
        <v>60</v>
      </c>
      <c r="O1378" s="1160">
        <v>55</v>
      </c>
      <c r="P1378" s="1160">
        <v>50</v>
      </c>
      <c r="Q1378" s="1160">
        <v>45</v>
      </c>
    </row>
    <row r="1379" spans="1:17" ht="30" x14ac:dyDescent="0.25">
      <c r="A1379" s="2012"/>
      <c r="B1379" s="2007"/>
      <c r="C1379" s="1670"/>
      <c r="D1379" s="1882"/>
      <c r="E1379" s="1685"/>
      <c r="F1379" s="1815"/>
      <c r="G1379" s="1815"/>
      <c r="H1379" s="1815"/>
      <c r="I1379" s="1815"/>
      <c r="J1379" s="1815"/>
      <c r="K1379" s="1405" t="s">
        <v>2227</v>
      </c>
      <c r="L1379" s="1160" t="s">
        <v>34</v>
      </c>
      <c r="M1379" s="1160">
        <v>4</v>
      </c>
      <c r="N1379" s="1160">
        <v>5</v>
      </c>
      <c r="O1379" s="1160">
        <v>3</v>
      </c>
      <c r="P1379" s="1160">
        <v>3</v>
      </c>
      <c r="Q1379" s="1160">
        <v>2</v>
      </c>
    </row>
    <row r="1380" spans="1:17" x14ac:dyDescent="0.25">
      <c r="A1380" s="1203"/>
      <c r="B1380" s="2005"/>
      <c r="C1380" s="1669" t="s">
        <v>13</v>
      </c>
      <c r="D1380" s="1878"/>
      <c r="E1380" s="1684" t="s">
        <v>2228</v>
      </c>
      <c r="F1380" s="1774">
        <v>9964.1</v>
      </c>
      <c r="G1380" s="1774">
        <v>9059.7000000000007</v>
      </c>
      <c r="H1380" s="1774">
        <v>9391.2999999999993</v>
      </c>
      <c r="I1380" s="1774">
        <v>9142.9</v>
      </c>
      <c r="J1380" s="1774">
        <v>9235.7000000000007</v>
      </c>
      <c r="K1380" s="1405" t="s">
        <v>2207</v>
      </c>
      <c r="L1380" s="1234" t="s">
        <v>780</v>
      </c>
      <c r="M1380" s="1160">
        <v>0</v>
      </c>
      <c r="N1380" s="1160">
        <v>60</v>
      </c>
      <c r="O1380" s="1160">
        <v>100</v>
      </c>
      <c r="P1380" s="1160">
        <v>130</v>
      </c>
      <c r="Q1380" s="1160">
        <v>120</v>
      </c>
    </row>
    <row r="1381" spans="1:17" ht="30" x14ac:dyDescent="0.25">
      <c r="A1381" s="1203"/>
      <c r="B1381" s="2006"/>
      <c r="C1381" s="1690"/>
      <c r="D1381" s="1963"/>
      <c r="E1381" s="1685"/>
      <c r="F1381" s="1778"/>
      <c r="G1381" s="1778"/>
      <c r="H1381" s="1778"/>
      <c r="I1381" s="1778"/>
      <c r="J1381" s="1778"/>
      <c r="K1381" s="1405" t="s">
        <v>2229</v>
      </c>
      <c r="L1381" s="1160" t="s">
        <v>34</v>
      </c>
      <c r="M1381" s="1160">
        <v>0</v>
      </c>
      <c r="N1381" s="1160">
        <v>15</v>
      </c>
      <c r="O1381" s="1160">
        <v>25</v>
      </c>
      <c r="P1381" s="1160">
        <v>32</v>
      </c>
      <c r="Q1381" s="1160">
        <v>30</v>
      </c>
    </row>
    <row r="1382" spans="1:17" ht="45" x14ac:dyDescent="0.25">
      <c r="A1382" s="1203"/>
      <c r="B1382" s="2007"/>
      <c r="C1382" s="1670"/>
      <c r="D1382" s="1879"/>
      <c r="E1382" s="1685"/>
      <c r="F1382" s="1778"/>
      <c r="G1382" s="1778"/>
      <c r="H1382" s="1778"/>
      <c r="I1382" s="1778"/>
      <c r="J1382" s="1778"/>
      <c r="K1382" s="1405" t="s">
        <v>2195</v>
      </c>
      <c r="L1382" s="1160" t="s">
        <v>34</v>
      </c>
      <c r="M1382" s="1160">
        <v>0</v>
      </c>
      <c r="N1382" s="1160">
        <v>0</v>
      </c>
      <c r="O1382" s="1160">
        <v>30</v>
      </c>
      <c r="P1382" s="1160">
        <v>45</v>
      </c>
      <c r="Q1382" s="1160">
        <v>40</v>
      </c>
    </row>
    <row r="1383" spans="1:17" x14ac:dyDescent="0.25">
      <c r="A1383" s="2002"/>
      <c r="B1383" s="2005"/>
      <c r="C1383" s="1669" t="s">
        <v>15</v>
      </c>
      <c r="D1383" s="1878"/>
      <c r="E1383" s="1684" t="s">
        <v>2230</v>
      </c>
      <c r="F1383" s="1774">
        <v>5153.8</v>
      </c>
      <c r="G1383" s="1774">
        <v>4686</v>
      </c>
      <c r="H1383" s="1774">
        <v>8019.6</v>
      </c>
      <c r="I1383" s="1774">
        <v>4729.1000000000004</v>
      </c>
      <c r="J1383" s="1774">
        <v>4777.1000000000004</v>
      </c>
      <c r="K1383" s="1405" t="s">
        <v>2207</v>
      </c>
      <c r="L1383" s="1196" t="s">
        <v>1910</v>
      </c>
      <c r="M1383" s="1171">
        <v>705</v>
      </c>
      <c r="N1383" s="1171">
        <v>720</v>
      </c>
      <c r="O1383" s="1171">
        <v>735</v>
      </c>
      <c r="P1383" s="1171">
        <v>750</v>
      </c>
      <c r="Q1383" s="1171">
        <v>777</v>
      </c>
    </row>
    <row r="1384" spans="1:17" ht="30" x14ac:dyDescent="0.25">
      <c r="A1384" s="2003"/>
      <c r="B1384" s="2006"/>
      <c r="C1384" s="1690"/>
      <c r="D1384" s="1963"/>
      <c r="E1384" s="1685"/>
      <c r="F1384" s="1778"/>
      <c r="G1384" s="1778"/>
      <c r="H1384" s="1778"/>
      <c r="I1384" s="1778"/>
      <c r="J1384" s="1778"/>
      <c r="K1384" s="1405" t="s">
        <v>2208</v>
      </c>
      <c r="L1384" s="1171" t="s">
        <v>34</v>
      </c>
      <c r="M1384" s="1171">
        <v>30</v>
      </c>
      <c r="N1384" s="1171">
        <v>35</v>
      </c>
      <c r="O1384" s="1171">
        <v>38</v>
      </c>
      <c r="P1384" s="1171">
        <v>42</v>
      </c>
      <c r="Q1384" s="1171">
        <v>46</v>
      </c>
    </row>
    <row r="1385" spans="1:17" ht="45" x14ac:dyDescent="0.25">
      <c r="A1385" s="2003"/>
      <c r="B1385" s="2006"/>
      <c r="C1385" s="1690"/>
      <c r="D1385" s="1963"/>
      <c r="E1385" s="1685"/>
      <c r="F1385" s="1778"/>
      <c r="G1385" s="1778"/>
      <c r="H1385" s="1778"/>
      <c r="I1385" s="1778"/>
      <c r="J1385" s="1778"/>
      <c r="K1385" s="1405" t="s">
        <v>2195</v>
      </c>
      <c r="L1385" s="1171" t="s">
        <v>34</v>
      </c>
      <c r="M1385" s="1171">
        <v>42</v>
      </c>
      <c r="N1385" s="1171">
        <v>46</v>
      </c>
      <c r="O1385" s="1171">
        <v>48</v>
      </c>
      <c r="P1385" s="1171">
        <v>51</v>
      </c>
      <c r="Q1385" s="1171">
        <v>54</v>
      </c>
    </row>
    <row r="1386" spans="1:17" ht="60" x14ac:dyDescent="0.25">
      <c r="A1386" s="2004"/>
      <c r="B1386" s="2007"/>
      <c r="C1386" s="1670"/>
      <c r="D1386" s="1879"/>
      <c r="E1386" s="1686"/>
      <c r="F1386" s="1778"/>
      <c r="G1386" s="1778"/>
      <c r="H1386" s="1778"/>
      <c r="I1386" s="1778"/>
      <c r="J1386" s="1778"/>
      <c r="K1386" s="1405" t="s">
        <v>2231</v>
      </c>
      <c r="L1386" s="1196" t="s">
        <v>1910</v>
      </c>
      <c r="M1386" s="1171">
        <v>293</v>
      </c>
      <c r="N1386" s="1171">
        <v>350</v>
      </c>
      <c r="O1386" s="1171">
        <v>380</v>
      </c>
      <c r="P1386" s="1171">
        <v>420</v>
      </c>
      <c r="Q1386" s="1171">
        <v>450</v>
      </c>
    </row>
    <row r="1387" spans="1:17" x14ac:dyDescent="0.25">
      <c r="A1387" s="1708" t="s">
        <v>2232</v>
      </c>
      <c r="B1387" s="1709"/>
      <c r="C1387" s="2008"/>
      <c r="D1387" s="2008"/>
      <c r="E1387" s="2009"/>
      <c r="F1387" s="42">
        <v>264219.8</v>
      </c>
      <c r="G1387" s="42">
        <v>239924.7</v>
      </c>
      <c r="H1387" s="42">
        <f>H1317+H1329+H1346</f>
        <v>292512.7</v>
      </c>
      <c r="I1387" s="42">
        <v>242129.2</v>
      </c>
      <c r="J1387" s="42">
        <v>244586.80000000005</v>
      </c>
      <c r="K1387" s="553"/>
      <c r="L1387" s="1281"/>
      <c r="M1387" s="1282"/>
      <c r="N1387" s="1282"/>
      <c r="O1387" s="1282"/>
      <c r="P1387" s="1282"/>
      <c r="Q1387" s="1283"/>
    </row>
    <row r="1388" spans="1:17" x14ac:dyDescent="0.25">
      <c r="A1388" s="1648" t="s">
        <v>2233</v>
      </c>
      <c r="B1388" s="1649"/>
      <c r="C1388" s="1649"/>
      <c r="D1388" s="1649"/>
      <c r="E1388" s="1649"/>
      <c r="F1388" s="1649"/>
      <c r="G1388" s="1649"/>
      <c r="H1388" s="1649"/>
      <c r="I1388" s="1649"/>
      <c r="J1388" s="1649"/>
      <c r="K1388" s="1649"/>
      <c r="L1388" s="1649"/>
      <c r="M1388" s="1649"/>
      <c r="N1388" s="1649"/>
      <c r="O1388" s="1649"/>
      <c r="P1388" s="1649"/>
      <c r="Q1388" s="1650"/>
    </row>
    <row r="1389" spans="1:17" ht="74.25" x14ac:dyDescent="0.25">
      <c r="A1389" s="1103">
        <v>55</v>
      </c>
      <c r="B1389" s="1143">
        <v>1</v>
      </c>
      <c r="C1389" s="1105"/>
      <c r="D1389" s="753"/>
      <c r="E1389" s="672" t="s">
        <v>3112</v>
      </c>
      <c r="F1389" s="787">
        <v>47839.5</v>
      </c>
      <c r="G1389" s="787">
        <v>28853.1</v>
      </c>
      <c r="H1389" s="1200">
        <f>SUM(H1390:H1397)</f>
        <v>34550</v>
      </c>
      <c r="I1389" s="1202">
        <v>27283.512946027207</v>
      </c>
      <c r="J1389" s="1202">
        <v>27748.875531061221</v>
      </c>
      <c r="K1389" s="1195" t="s">
        <v>2234</v>
      </c>
      <c r="L1389" s="343" t="s">
        <v>34</v>
      </c>
      <c r="M1389" s="1196">
        <v>48.05</v>
      </c>
      <c r="N1389" s="1196">
        <v>49</v>
      </c>
      <c r="O1389" s="1196">
        <v>49</v>
      </c>
      <c r="P1389" s="1196">
        <v>49</v>
      </c>
      <c r="Q1389" s="1196">
        <v>49</v>
      </c>
    </row>
    <row r="1390" spans="1:17" x14ac:dyDescent="0.25">
      <c r="A1390" s="1103"/>
      <c r="B1390" s="1143"/>
      <c r="C1390" s="1105" t="s">
        <v>4</v>
      </c>
      <c r="D1390" s="1199"/>
      <c r="E1390" s="1418" t="s">
        <v>1406</v>
      </c>
      <c r="F1390" s="1198">
        <v>11303.8</v>
      </c>
      <c r="G1390" s="1198">
        <v>6919.5</v>
      </c>
      <c r="H1390" s="1192">
        <f>6101.2+690.8</f>
        <v>6792</v>
      </c>
      <c r="I1390" s="1192">
        <v>5788.5673495102037</v>
      </c>
      <c r="J1390" s="1192">
        <v>5845.9408188979596</v>
      </c>
      <c r="K1390" s="1212" t="s">
        <v>438</v>
      </c>
      <c r="L1390" s="1196" t="s">
        <v>35</v>
      </c>
      <c r="M1390" s="823">
        <v>32.799999999999997</v>
      </c>
      <c r="N1390" s="1196">
        <v>25</v>
      </c>
      <c r="O1390" s="1196">
        <v>25</v>
      </c>
      <c r="P1390" s="1196">
        <v>25</v>
      </c>
      <c r="Q1390" s="1196">
        <v>25</v>
      </c>
    </row>
    <row r="1391" spans="1:17" ht="30" x14ac:dyDescent="0.25">
      <c r="A1391" s="1103"/>
      <c r="B1391" s="1143"/>
      <c r="C1391" s="1105" t="s">
        <v>5</v>
      </c>
      <c r="D1391" s="1199"/>
      <c r="E1391" s="1235" t="s">
        <v>394</v>
      </c>
      <c r="F1391" s="1198">
        <v>6741.2</v>
      </c>
      <c r="G1391" s="1198">
        <v>4276.7</v>
      </c>
      <c r="H1391" s="1192">
        <f>3795.6+404.5</f>
        <v>4200.1000000000004</v>
      </c>
      <c r="I1391" s="1192">
        <v>3674.3673495102034</v>
      </c>
      <c r="J1391" s="1192">
        <v>3731.7408188979589</v>
      </c>
      <c r="K1391" s="1212" t="s">
        <v>2235</v>
      </c>
      <c r="L1391" s="1196" t="s">
        <v>35</v>
      </c>
      <c r="M1391" s="823">
        <v>97.6</v>
      </c>
      <c r="N1391" s="1196">
        <v>97</v>
      </c>
      <c r="O1391" s="1196">
        <v>97</v>
      </c>
      <c r="P1391" s="1196">
        <v>97</v>
      </c>
      <c r="Q1391" s="1196">
        <v>97</v>
      </c>
    </row>
    <row r="1392" spans="1:17" ht="30" x14ac:dyDescent="0.25">
      <c r="A1392" s="1103"/>
      <c r="B1392" s="1143"/>
      <c r="C1392" s="1105" t="s">
        <v>7</v>
      </c>
      <c r="D1392" s="1199"/>
      <c r="E1392" s="1235" t="s">
        <v>842</v>
      </c>
      <c r="F1392" s="1192">
        <v>2113.5</v>
      </c>
      <c r="G1392" s="1192">
        <v>1079.9000000000001</v>
      </c>
      <c r="H1392" s="1192">
        <f>1284.5+156.1</f>
        <v>1440.6</v>
      </c>
      <c r="I1392" s="1192">
        <v>1246.0224498367347</v>
      </c>
      <c r="J1392" s="1192">
        <v>1265.1469396326531</v>
      </c>
      <c r="K1392" s="1212" t="s">
        <v>2236</v>
      </c>
      <c r="L1392" s="1196" t="s">
        <v>34</v>
      </c>
      <c r="M1392" s="1134" t="s">
        <v>272</v>
      </c>
      <c r="N1392" s="1196">
        <v>50</v>
      </c>
      <c r="O1392" s="1196">
        <v>45</v>
      </c>
      <c r="P1392" s="1196">
        <v>45</v>
      </c>
      <c r="Q1392" s="1196">
        <v>45</v>
      </c>
    </row>
    <row r="1393" spans="1:17" ht="30" x14ac:dyDescent="0.25">
      <c r="A1393" s="1103"/>
      <c r="B1393" s="1143"/>
      <c r="C1393" s="1105" t="s">
        <v>9</v>
      </c>
      <c r="D1393" s="1199"/>
      <c r="E1393" s="1235" t="s">
        <v>396</v>
      </c>
      <c r="F1393" s="1198">
        <v>5227.1000000000004</v>
      </c>
      <c r="G1393" s="1198">
        <v>3039</v>
      </c>
      <c r="H1393" s="1192">
        <f>3512+404.4</f>
        <v>3916.4</v>
      </c>
      <c r="I1393" s="1192">
        <v>3381.0673495102037</v>
      </c>
      <c r="J1393" s="1192">
        <v>3438.4408188979587</v>
      </c>
      <c r="K1393" s="1212" t="s">
        <v>2237</v>
      </c>
      <c r="L1393" s="1196" t="s">
        <v>1910</v>
      </c>
      <c r="M1393" s="824">
        <v>77</v>
      </c>
      <c r="N1393" s="823">
        <v>50</v>
      </c>
      <c r="O1393" s="1196">
        <v>50</v>
      </c>
      <c r="P1393" s="1196">
        <v>50</v>
      </c>
      <c r="Q1393" s="1196">
        <v>50</v>
      </c>
    </row>
    <row r="1394" spans="1:17" ht="30" x14ac:dyDescent="0.25">
      <c r="A1394" s="1103"/>
      <c r="B1394" s="1143"/>
      <c r="C1394" s="1105" t="s">
        <v>11</v>
      </c>
      <c r="D1394" s="1199"/>
      <c r="E1394" s="1217" t="s">
        <v>843</v>
      </c>
      <c r="F1394" s="1198">
        <v>3236.4</v>
      </c>
      <c r="G1394" s="1198">
        <v>2033.4</v>
      </c>
      <c r="H1394" s="1192">
        <f>1990+229.6</f>
        <v>2219.6</v>
      </c>
      <c r="I1394" s="1192">
        <v>1918.0707497278911</v>
      </c>
      <c r="J1394" s="1192">
        <v>1949.944899387755</v>
      </c>
      <c r="K1394" s="1212" t="s">
        <v>2238</v>
      </c>
      <c r="L1394" s="1196" t="s">
        <v>780</v>
      </c>
      <c r="M1394" s="1196">
        <v>2128</v>
      </c>
      <c r="N1394" s="1196">
        <v>2000</v>
      </c>
      <c r="O1394" s="1196">
        <v>2000</v>
      </c>
      <c r="P1394" s="1196">
        <v>2000</v>
      </c>
      <c r="Q1394" s="1196">
        <v>2000</v>
      </c>
    </row>
    <row r="1395" spans="1:17" ht="45" x14ac:dyDescent="0.25">
      <c r="A1395" s="1103"/>
      <c r="B1395" s="1143"/>
      <c r="C1395" s="1105" t="s">
        <v>13</v>
      </c>
      <c r="D1395" s="1199"/>
      <c r="E1395" s="1217" t="s">
        <v>612</v>
      </c>
      <c r="F1395" s="1198">
        <v>19217.5</v>
      </c>
      <c r="G1395" s="1198">
        <v>11504.6</v>
      </c>
      <c r="H1395" s="1192">
        <f>12644.2+1780</f>
        <v>14424.2</v>
      </c>
      <c r="I1395" s="1192">
        <v>9881.2952480952372</v>
      </c>
      <c r="J1395" s="1192">
        <v>10104.414295714283</v>
      </c>
      <c r="K1395" s="1217" t="s">
        <v>2239</v>
      </c>
      <c r="L1395" s="1196" t="s">
        <v>34</v>
      </c>
      <c r="M1395" s="1196">
        <v>24.6</v>
      </c>
      <c r="N1395" s="1234">
        <v>24.7</v>
      </c>
      <c r="O1395" s="1234">
        <v>24.7</v>
      </c>
      <c r="P1395" s="1234">
        <v>24.7</v>
      </c>
      <c r="Q1395" s="1234">
        <v>24.7</v>
      </c>
    </row>
    <row r="1396" spans="1:17" ht="30" x14ac:dyDescent="0.25">
      <c r="A1396" s="1818"/>
      <c r="B1396" s="1438"/>
      <c r="C1396" s="1820" t="s">
        <v>15</v>
      </c>
      <c r="D1396" s="2010"/>
      <c r="E1396" s="1746" t="s">
        <v>1946</v>
      </c>
      <c r="F1396" s="1806"/>
      <c r="G1396" s="1806"/>
      <c r="H1396" s="1804">
        <f>1434+123.1</f>
        <v>1557.1</v>
      </c>
      <c r="I1396" s="1804">
        <v>1394.1224498367349</v>
      </c>
      <c r="J1396" s="1804">
        <v>1413.246939632653</v>
      </c>
      <c r="K1396" s="1217" t="s">
        <v>2240</v>
      </c>
      <c r="L1396" s="1196" t="s">
        <v>81</v>
      </c>
      <c r="M1396" s="825"/>
      <c r="N1396" s="1234">
        <v>50</v>
      </c>
      <c r="O1396" s="1234">
        <v>50</v>
      </c>
      <c r="P1396" s="1234">
        <v>50</v>
      </c>
      <c r="Q1396" s="1234">
        <v>50</v>
      </c>
    </row>
    <row r="1397" spans="1:17" ht="30" x14ac:dyDescent="0.25">
      <c r="A1397" s="1819"/>
      <c r="B1397" s="1104"/>
      <c r="C1397" s="1985"/>
      <c r="D1397" s="2011"/>
      <c r="E1397" s="1747"/>
      <c r="F1397" s="1807"/>
      <c r="G1397" s="1807"/>
      <c r="H1397" s="1805"/>
      <c r="I1397" s="1805"/>
      <c r="J1397" s="1805"/>
      <c r="K1397" s="1212" t="s">
        <v>2241</v>
      </c>
      <c r="L1397" s="1147" t="s">
        <v>81</v>
      </c>
      <c r="M1397" s="1147"/>
      <c r="N1397" s="1234">
        <v>100</v>
      </c>
      <c r="O1397" s="1234">
        <v>100</v>
      </c>
      <c r="P1397" s="1234">
        <v>100</v>
      </c>
      <c r="Q1397" s="1234">
        <v>100</v>
      </c>
    </row>
    <row r="1398" spans="1:17" x14ac:dyDescent="0.25">
      <c r="A1398" s="1733">
        <v>55</v>
      </c>
      <c r="B1398" s="1734">
        <v>2</v>
      </c>
      <c r="C1398" s="1736"/>
      <c r="D1398" s="1997"/>
      <c r="E1398" s="1998" t="s">
        <v>2242</v>
      </c>
      <c r="F1398" s="1904">
        <v>31690.2</v>
      </c>
      <c r="G1398" s="1904">
        <v>25446.800000000003</v>
      </c>
      <c r="H1398" s="1999">
        <f>SUM(H1400:H1405)</f>
        <v>63775.6</v>
      </c>
      <c r="I1398" s="2000">
        <v>24147.040147768708</v>
      </c>
      <c r="J1398" s="2001">
        <v>24408.408174979595</v>
      </c>
      <c r="K1398" s="1217" t="s">
        <v>2243</v>
      </c>
      <c r="L1398" s="1196" t="s">
        <v>273</v>
      </c>
      <c r="M1398" s="1196"/>
      <c r="N1398" s="1234"/>
      <c r="O1398" s="826"/>
      <c r="P1398" s="1234"/>
      <c r="Q1398" s="1234"/>
    </row>
    <row r="1399" spans="1:17" ht="30" x14ac:dyDescent="0.25">
      <c r="A1399" s="1733"/>
      <c r="B1399" s="1735"/>
      <c r="C1399" s="1736"/>
      <c r="D1399" s="1997"/>
      <c r="E1399" s="1998"/>
      <c r="F1399" s="1905"/>
      <c r="G1399" s="1905"/>
      <c r="H1399" s="1999"/>
      <c r="I1399" s="2000"/>
      <c r="J1399" s="2001"/>
      <c r="K1399" s="1217" t="s">
        <v>2244</v>
      </c>
      <c r="L1399" s="1196" t="s">
        <v>34</v>
      </c>
      <c r="M1399" s="1196"/>
      <c r="N1399" s="688"/>
      <c r="O1399" s="688"/>
      <c r="P1399" s="688"/>
      <c r="Q1399" s="688"/>
    </row>
    <row r="1400" spans="1:17" ht="30" x14ac:dyDescent="0.25">
      <c r="A1400" s="1103"/>
      <c r="B1400" s="1143"/>
      <c r="C1400" s="1105" t="s">
        <v>4</v>
      </c>
      <c r="D1400" s="1199"/>
      <c r="E1400" s="831" t="s">
        <v>2245</v>
      </c>
      <c r="F1400" s="755">
        <v>3770.2</v>
      </c>
      <c r="G1400" s="755">
        <v>3163</v>
      </c>
      <c r="H1400" s="1151">
        <f>2978.6+355.1</f>
        <v>3333.7</v>
      </c>
      <c r="I1400" s="1460">
        <v>2885.519049619048</v>
      </c>
      <c r="J1400" s="1152">
        <v>2930.1428591428598</v>
      </c>
      <c r="K1400" s="1217" t="s">
        <v>2246</v>
      </c>
      <c r="L1400" s="1196" t="s">
        <v>825</v>
      </c>
      <c r="M1400" s="1196">
        <v>13</v>
      </c>
      <c r="N1400" s="688">
        <v>8</v>
      </c>
      <c r="O1400" s="688">
        <v>8</v>
      </c>
      <c r="P1400" s="688">
        <v>8</v>
      </c>
      <c r="Q1400" s="688">
        <v>8</v>
      </c>
    </row>
    <row r="1401" spans="1:17" ht="60" x14ac:dyDescent="0.25">
      <c r="A1401" s="1103"/>
      <c r="B1401" s="1143"/>
      <c r="C1401" s="1105" t="s">
        <v>5</v>
      </c>
      <c r="D1401" s="756"/>
      <c r="E1401" s="1150" t="s">
        <v>2247</v>
      </c>
      <c r="F1401" s="755">
        <v>5160.1000000000004</v>
      </c>
      <c r="G1401" s="755">
        <v>4083.6</v>
      </c>
      <c r="H1401" s="1461">
        <f>1013.8+112.4</f>
        <v>1126.2</v>
      </c>
      <c r="I1401" s="725">
        <v>941.94829989115647</v>
      </c>
      <c r="J1401" s="1152">
        <v>954.69795975510203</v>
      </c>
      <c r="K1401" s="827" t="s">
        <v>2248</v>
      </c>
      <c r="L1401" s="828" t="s">
        <v>34</v>
      </c>
      <c r="M1401" s="1196">
        <v>100</v>
      </c>
      <c r="N1401" s="1196">
        <v>100</v>
      </c>
      <c r="O1401" s="1196">
        <v>100</v>
      </c>
      <c r="P1401" s="688">
        <v>100</v>
      </c>
      <c r="Q1401" s="688">
        <v>100</v>
      </c>
    </row>
    <row r="1402" spans="1:17" ht="60" x14ac:dyDescent="0.25">
      <c r="A1402" s="1430"/>
      <c r="B1402" s="1438"/>
      <c r="C1402" s="1399" t="s">
        <v>7</v>
      </c>
      <c r="D1402" s="1106"/>
      <c r="E1402" s="1212" t="s">
        <v>2249</v>
      </c>
      <c r="F1402" s="755">
        <v>13436.1</v>
      </c>
      <c r="G1402" s="755">
        <v>10839.6</v>
      </c>
      <c r="H1402" s="1152">
        <f>6793.2+43401.4</f>
        <v>50194.6</v>
      </c>
      <c r="I1402" s="1152">
        <v>12458.838099238097</v>
      </c>
      <c r="J1402" s="1152">
        <v>12548.085718285716</v>
      </c>
      <c r="K1402" s="831" t="s">
        <v>2250</v>
      </c>
      <c r="L1402" s="1196" t="s">
        <v>825</v>
      </c>
      <c r="M1402" s="1401">
        <v>255</v>
      </c>
      <c r="N1402" s="1401">
        <v>180</v>
      </c>
      <c r="O1402" s="1401">
        <v>180</v>
      </c>
      <c r="P1402" s="1462">
        <v>180</v>
      </c>
      <c r="Q1402" s="1462">
        <v>180</v>
      </c>
    </row>
    <row r="1403" spans="1:17" ht="45" x14ac:dyDescent="0.25">
      <c r="A1403" s="1103"/>
      <c r="B1403" s="1143"/>
      <c r="C1403" s="1105" t="s">
        <v>9</v>
      </c>
      <c r="D1403" s="1106"/>
      <c r="E1403" s="1212" t="s">
        <v>2251</v>
      </c>
      <c r="F1403" s="755"/>
      <c r="G1403" s="755"/>
      <c r="H1403" s="1152"/>
      <c r="I1403" s="1152"/>
      <c r="J1403" s="1152"/>
      <c r="K1403" s="1212" t="s">
        <v>2252</v>
      </c>
      <c r="L1403" s="1125" t="s">
        <v>2253</v>
      </c>
      <c r="M1403" s="1196">
        <v>859</v>
      </c>
      <c r="N1403" s="1196">
        <v>800</v>
      </c>
      <c r="O1403" s="1196">
        <v>800</v>
      </c>
      <c r="P1403" s="688">
        <v>800</v>
      </c>
      <c r="Q1403" s="688">
        <v>800</v>
      </c>
    </row>
    <row r="1404" spans="1:17" ht="60" x14ac:dyDescent="0.25">
      <c r="A1404" s="1103"/>
      <c r="B1404" s="1143"/>
      <c r="C1404" s="1105" t="s">
        <v>11</v>
      </c>
      <c r="D1404" s="1106"/>
      <c r="E1404" s="1212" t="s">
        <v>2254</v>
      </c>
      <c r="F1404" s="1198">
        <v>6177.3</v>
      </c>
      <c r="G1404" s="1198">
        <v>4214.1000000000004</v>
      </c>
      <c r="H1404" s="1192">
        <f>4265.6+462.3</f>
        <v>4727.9000000000005</v>
      </c>
      <c r="I1404" s="1192">
        <v>4072.5673495102037</v>
      </c>
      <c r="J1404" s="1192">
        <v>4129.9408188979578</v>
      </c>
      <c r="K1404" s="829" t="s">
        <v>2255</v>
      </c>
      <c r="L1404" s="1441" t="s">
        <v>825</v>
      </c>
      <c r="M1404" s="1401">
        <v>911</v>
      </c>
      <c r="N1404" s="1445">
        <v>600</v>
      </c>
      <c r="O1404" s="1445">
        <v>600</v>
      </c>
      <c r="P1404" s="1445">
        <v>600</v>
      </c>
      <c r="Q1404" s="1445">
        <v>600</v>
      </c>
    </row>
    <row r="1405" spans="1:17" ht="30" x14ac:dyDescent="0.25">
      <c r="A1405" s="1103"/>
      <c r="B1405" s="1143"/>
      <c r="C1405" s="1105" t="s">
        <v>13</v>
      </c>
      <c r="D1405" s="1106"/>
      <c r="E1405" s="1212" t="s">
        <v>2256</v>
      </c>
      <c r="F1405" s="1198">
        <v>3146.5</v>
      </c>
      <c r="G1405" s="1198">
        <v>3146.5</v>
      </c>
      <c r="H1405" s="830">
        <f>3930.8+462.4</f>
        <v>4393.2</v>
      </c>
      <c r="I1405" s="830">
        <v>3788.1673495102041</v>
      </c>
      <c r="J1405" s="830">
        <v>3845.5408188979591</v>
      </c>
      <c r="K1405" s="1212" t="s">
        <v>2257</v>
      </c>
      <c r="L1405" s="1441" t="s">
        <v>825</v>
      </c>
      <c r="M1405" s="1463">
        <v>369</v>
      </c>
      <c r="N1405" s="1463">
        <v>300</v>
      </c>
      <c r="O1405" s="1463">
        <v>300</v>
      </c>
      <c r="P1405" s="1463">
        <v>300</v>
      </c>
      <c r="Q1405" s="1463">
        <v>300</v>
      </c>
    </row>
    <row r="1406" spans="1:17" ht="75" x14ac:dyDescent="0.25">
      <c r="A1406" s="1430">
        <v>55</v>
      </c>
      <c r="B1406" s="1438">
        <v>3</v>
      </c>
      <c r="C1406" s="1399"/>
      <c r="D1406" s="1399"/>
      <c r="E1406" s="1630" t="s">
        <v>2258</v>
      </c>
      <c r="F1406" s="1464">
        <v>63153.020000000004</v>
      </c>
      <c r="G1406" s="1464">
        <v>12600</v>
      </c>
      <c r="H1406" s="1465">
        <f>SUM(H1407:H1416)</f>
        <v>50668.6</v>
      </c>
      <c r="I1406" s="1466">
        <v>13100</v>
      </c>
      <c r="J1406" s="1467">
        <v>13100</v>
      </c>
      <c r="K1406" s="831" t="s">
        <v>2259</v>
      </c>
      <c r="L1406" s="1468"/>
      <c r="M1406" s="1441"/>
      <c r="N1406" s="1441"/>
      <c r="O1406" s="1441"/>
      <c r="P1406" s="1441"/>
      <c r="Q1406" s="1441"/>
    </row>
    <row r="1407" spans="1:17" x14ac:dyDescent="0.25">
      <c r="A1407" s="1103"/>
      <c r="B1407" s="1143"/>
      <c r="C1407" s="1105" t="s">
        <v>4</v>
      </c>
      <c r="D1407" s="253"/>
      <c r="E1407" s="1630"/>
      <c r="F1407" s="755">
        <v>41719.82</v>
      </c>
      <c r="G1407" s="755">
        <v>4200</v>
      </c>
      <c r="H1407" s="1152">
        <f>2500+22168.6</f>
        <v>24668.6</v>
      </c>
      <c r="I1407" s="1152">
        <v>3100</v>
      </c>
      <c r="J1407" s="1152">
        <v>3100</v>
      </c>
      <c r="K1407" s="756" t="s">
        <v>2260</v>
      </c>
      <c r="L1407" s="1234" t="s">
        <v>274</v>
      </c>
      <c r="M1407" s="1234">
        <v>232.2</v>
      </c>
      <c r="N1407" s="1234">
        <v>180.2</v>
      </c>
      <c r="O1407" s="1234">
        <v>200</v>
      </c>
      <c r="P1407" s="1234">
        <v>200</v>
      </c>
      <c r="Q1407" s="1234">
        <v>200</v>
      </c>
    </row>
    <row r="1408" spans="1:17" ht="60" x14ac:dyDescent="0.25">
      <c r="A1408" s="1818"/>
      <c r="B1408" s="1438"/>
      <c r="C1408" s="1820" t="s">
        <v>5</v>
      </c>
      <c r="D1408" s="1820"/>
      <c r="E1408" s="1912" t="s">
        <v>2261</v>
      </c>
      <c r="F1408" s="1967">
        <v>10622.4</v>
      </c>
      <c r="G1408" s="1967">
        <v>4200</v>
      </c>
      <c r="H1408" s="1967">
        <v>5000</v>
      </c>
      <c r="I1408" s="1967">
        <v>5000</v>
      </c>
      <c r="J1408" s="1967">
        <v>5000</v>
      </c>
      <c r="K1408" s="1217" t="s">
        <v>2262</v>
      </c>
      <c r="L1408" s="1196" t="s">
        <v>2263</v>
      </c>
      <c r="M1408" s="1196">
        <v>44800</v>
      </c>
      <c r="N1408" s="1234">
        <v>45200</v>
      </c>
      <c r="O1408" s="1234">
        <v>45650</v>
      </c>
      <c r="P1408" s="1234">
        <v>46100</v>
      </c>
      <c r="Q1408" s="1234">
        <v>46120</v>
      </c>
    </row>
    <row r="1409" spans="1:17" ht="60" x14ac:dyDescent="0.25">
      <c r="A1409" s="1849"/>
      <c r="B1409" s="1142"/>
      <c r="C1409" s="1840"/>
      <c r="D1409" s="1840"/>
      <c r="E1409" s="1912"/>
      <c r="F1409" s="1967"/>
      <c r="G1409" s="1967"/>
      <c r="H1409" s="1967"/>
      <c r="I1409" s="1967"/>
      <c r="J1409" s="1967"/>
      <c r="K1409" s="1791" t="s">
        <v>2264</v>
      </c>
      <c r="L1409" s="1196" t="s">
        <v>2265</v>
      </c>
      <c r="M1409" s="1247">
        <v>20</v>
      </c>
      <c r="N1409" s="1148">
        <v>20</v>
      </c>
      <c r="O1409" s="1148">
        <v>20</v>
      </c>
      <c r="P1409" s="1148">
        <v>20</v>
      </c>
      <c r="Q1409" s="1148">
        <v>20</v>
      </c>
    </row>
    <row r="1410" spans="1:17" ht="60" x14ac:dyDescent="0.25">
      <c r="A1410" s="1849"/>
      <c r="B1410" s="1142"/>
      <c r="C1410" s="1840"/>
      <c r="D1410" s="1840"/>
      <c r="E1410" s="1912"/>
      <c r="F1410" s="1967"/>
      <c r="G1410" s="1967"/>
      <c r="H1410" s="1967"/>
      <c r="I1410" s="1967"/>
      <c r="J1410" s="1967"/>
      <c r="K1410" s="1791"/>
      <c r="L1410" s="1196" t="s">
        <v>2266</v>
      </c>
      <c r="M1410" s="1247">
        <v>62</v>
      </c>
      <c r="N1410" s="1148">
        <v>60</v>
      </c>
      <c r="O1410" s="1148">
        <v>60</v>
      </c>
      <c r="P1410" s="1148">
        <v>60</v>
      </c>
      <c r="Q1410" s="1148">
        <v>60</v>
      </c>
    </row>
    <row r="1411" spans="1:17" ht="30" x14ac:dyDescent="0.25">
      <c r="A1411" s="1849"/>
      <c r="B1411" s="1142"/>
      <c r="C1411" s="1840"/>
      <c r="D1411" s="1840"/>
      <c r="E1411" s="1912"/>
      <c r="F1411" s="1967"/>
      <c r="G1411" s="1967"/>
      <c r="H1411" s="1967"/>
      <c r="I1411" s="1967"/>
      <c r="J1411" s="1967"/>
      <c r="K1411" s="1212" t="s">
        <v>2267</v>
      </c>
      <c r="L1411" s="1247" t="s">
        <v>2268</v>
      </c>
      <c r="M1411" s="1247">
        <v>61</v>
      </c>
      <c r="N1411" s="1148">
        <v>61</v>
      </c>
      <c r="O1411" s="1148">
        <v>61</v>
      </c>
      <c r="P1411" s="1148">
        <v>61</v>
      </c>
      <c r="Q1411" s="1148">
        <v>61</v>
      </c>
    </row>
    <row r="1412" spans="1:17" ht="75" x14ac:dyDescent="0.25">
      <c r="A1412" s="1849"/>
      <c r="B1412" s="1142"/>
      <c r="C1412" s="1840"/>
      <c r="D1412" s="1840"/>
      <c r="E1412" s="1912"/>
      <c r="F1412" s="1967"/>
      <c r="G1412" s="1967"/>
      <c r="H1412" s="1967"/>
      <c r="I1412" s="1967"/>
      <c r="J1412" s="1967"/>
      <c r="K1412" s="1212" t="s">
        <v>275</v>
      </c>
      <c r="L1412" s="1196" t="s">
        <v>2269</v>
      </c>
      <c r="M1412" s="1247" t="s">
        <v>276</v>
      </c>
      <c r="N1412" s="1247" t="s">
        <v>276</v>
      </c>
      <c r="O1412" s="1247" t="s">
        <v>276</v>
      </c>
      <c r="P1412" s="1247" t="s">
        <v>276</v>
      </c>
      <c r="Q1412" s="1247" t="s">
        <v>276</v>
      </c>
    </row>
    <row r="1413" spans="1:17" ht="45" x14ac:dyDescent="0.25">
      <c r="A1413" s="1849"/>
      <c r="B1413" s="1142"/>
      <c r="C1413" s="1840"/>
      <c r="D1413" s="1840"/>
      <c r="E1413" s="1912"/>
      <c r="F1413" s="1967"/>
      <c r="G1413" s="1967"/>
      <c r="H1413" s="1967"/>
      <c r="I1413" s="1967"/>
      <c r="J1413" s="1967"/>
      <c r="K1413" s="1212" t="s">
        <v>2270</v>
      </c>
      <c r="L1413" s="1196" t="s">
        <v>2271</v>
      </c>
      <c r="M1413" s="1247">
        <v>53</v>
      </c>
      <c r="N1413" s="1148">
        <v>53.5</v>
      </c>
      <c r="O1413" s="1148">
        <v>53.5</v>
      </c>
      <c r="P1413" s="1148">
        <v>53.5</v>
      </c>
      <c r="Q1413" s="1148">
        <v>53.5</v>
      </c>
    </row>
    <row r="1414" spans="1:17" ht="45" x14ac:dyDescent="0.25">
      <c r="A1414" s="1819"/>
      <c r="B1414" s="1104"/>
      <c r="C1414" s="1821"/>
      <c r="D1414" s="1821"/>
      <c r="E1414" s="1912"/>
      <c r="F1414" s="1967"/>
      <c r="G1414" s="1967"/>
      <c r="H1414" s="1967"/>
      <c r="I1414" s="1967"/>
      <c r="J1414" s="1967"/>
      <c r="K1414" s="1212" t="s">
        <v>2272</v>
      </c>
      <c r="L1414" s="1247" t="s">
        <v>2268</v>
      </c>
      <c r="M1414" s="1247">
        <v>4</v>
      </c>
      <c r="N1414" s="1148">
        <v>4</v>
      </c>
      <c r="O1414" s="1148">
        <v>5</v>
      </c>
      <c r="P1414" s="1148">
        <v>5</v>
      </c>
      <c r="Q1414" s="1148">
        <v>5</v>
      </c>
    </row>
    <row r="1415" spans="1:17" ht="30" x14ac:dyDescent="0.25">
      <c r="A1415" s="1733"/>
      <c r="B1415" s="1734"/>
      <c r="C1415" s="1736" t="s">
        <v>7</v>
      </c>
      <c r="D1415" s="1736"/>
      <c r="E1415" s="1976" t="s">
        <v>2273</v>
      </c>
      <c r="F1415" s="1996">
        <v>10810.8</v>
      </c>
      <c r="G1415" s="1996">
        <v>4200</v>
      </c>
      <c r="H1415" s="1967">
        <f>4000+17000</f>
        <v>21000</v>
      </c>
      <c r="I1415" s="1967">
        <v>5000</v>
      </c>
      <c r="J1415" s="1967">
        <v>5000</v>
      </c>
      <c r="K1415" s="1212" t="s">
        <v>2274</v>
      </c>
      <c r="L1415" s="1148" t="s">
        <v>825</v>
      </c>
      <c r="M1415" s="1148">
        <v>1083</v>
      </c>
      <c r="N1415" s="832">
        <v>1000</v>
      </c>
      <c r="O1415" s="832">
        <v>1000</v>
      </c>
      <c r="P1415" s="832">
        <v>1000</v>
      </c>
      <c r="Q1415" s="832">
        <v>1000</v>
      </c>
    </row>
    <row r="1416" spans="1:17" ht="30" x14ac:dyDescent="0.25">
      <c r="A1416" s="1733"/>
      <c r="B1416" s="1735"/>
      <c r="C1416" s="1736"/>
      <c r="D1416" s="1736"/>
      <c r="E1416" s="1976"/>
      <c r="F1416" s="1996"/>
      <c r="G1416" s="1996"/>
      <c r="H1416" s="1967"/>
      <c r="I1416" s="1967"/>
      <c r="J1416" s="1967"/>
      <c r="K1416" s="1212" t="s">
        <v>2275</v>
      </c>
      <c r="L1416" s="1196" t="s">
        <v>277</v>
      </c>
      <c r="M1416" s="833">
        <v>25</v>
      </c>
      <c r="N1416" s="833">
        <v>30</v>
      </c>
      <c r="O1416" s="833">
        <v>30</v>
      </c>
      <c r="P1416" s="833">
        <v>30</v>
      </c>
      <c r="Q1416" s="833">
        <v>30</v>
      </c>
    </row>
    <row r="1417" spans="1:17" ht="75" x14ac:dyDescent="0.25">
      <c r="A1417" s="1991">
        <v>55</v>
      </c>
      <c r="B1417" s="1989">
        <v>4</v>
      </c>
      <c r="C1417" s="1820"/>
      <c r="D1417" s="1820"/>
      <c r="E1417" s="1976" t="s">
        <v>2276</v>
      </c>
      <c r="F1417" s="1904">
        <v>30227.1</v>
      </c>
      <c r="G1417" s="1904">
        <v>35032.5</v>
      </c>
      <c r="H1417" s="1906">
        <f>SUM(H1419:H1422)</f>
        <v>21689.3</v>
      </c>
      <c r="I1417" s="1908">
        <v>35032.5</v>
      </c>
      <c r="J1417" s="1908">
        <v>35032.5</v>
      </c>
      <c r="K1417" s="831" t="s">
        <v>2277</v>
      </c>
      <c r="L1417" s="1441"/>
      <c r="M1417" s="1441"/>
      <c r="N1417" s="1469"/>
      <c r="O1417" s="1469"/>
      <c r="P1417" s="1469"/>
      <c r="Q1417" s="1469"/>
    </row>
    <row r="1418" spans="1:17" x14ac:dyDescent="0.25">
      <c r="A1418" s="1992"/>
      <c r="B1418" s="1990"/>
      <c r="C1418" s="1972"/>
      <c r="D1418" s="1760"/>
      <c r="E1418" s="1976"/>
      <c r="F1418" s="1905"/>
      <c r="G1418" s="1905"/>
      <c r="H1418" s="1907"/>
      <c r="I1418" s="1909"/>
      <c r="J1418" s="1909"/>
      <c r="K1418" s="831"/>
      <c r="L1418" s="1148"/>
      <c r="M1418" s="1148"/>
      <c r="N1418" s="1285"/>
      <c r="O1418" s="1285"/>
      <c r="P1418" s="1285"/>
      <c r="Q1418" s="1285"/>
    </row>
    <row r="1419" spans="1:17" ht="45" x14ac:dyDescent="0.25">
      <c r="A1419" s="1991"/>
      <c r="B1419" s="1455"/>
      <c r="C1419" s="1820" t="s">
        <v>4</v>
      </c>
      <c r="D1419" s="1993"/>
      <c r="E1419" s="1791" t="s">
        <v>2278</v>
      </c>
      <c r="F1419" s="1967">
        <v>14116.1</v>
      </c>
      <c r="G1419" s="1967">
        <v>18676.400000000001</v>
      </c>
      <c r="H1419" s="1967">
        <f>14087.3+1622.9</f>
        <v>15710.199999999999</v>
      </c>
      <c r="I1419" s="1967">
        <v>18676.400000000001</v>
      </c>
      <c r="J1419" s="1804">
        <v>18676.400000000001</v>
      </c>
      <c r="K1419" s="1212" t="s">
        <v>2279</v>
      </c>
      <c r="L1419" s="1196" t="s">
        <v>278</v>
      </c>
      <c r="M1419" s="1196">
        <v>69</v>
      </c>
      <c r="N1419" s="1298">
        <v>71</v>
      </c>
      <c r="O1419" s="1234">
        <v>71</v>
      </c>
      <c r="P1419" s="1234">
        <v>71</v>
      </c>
      <c r="Q1419" s="1234">
        <v>71</v>
      </c>
    </row>
    <row r="1420" spans="1:17" ht="60" x14ac:dyDescent="0.25">
      <c r="A1420" s="1992"/>
      <c r="B1420" s="1249"/>
      <c r="C1420" s="1972"/>
      <c r="D1420" s="1994"/>
      <c r="E1420" s="1791"/>
      <c r="F1420" s="1967"/>
      <c r="G1420" s="1995"/>
      <c r="H1420" s="1995"/>
      <c r="I1420" s="1995"/>
      <c r="J1420" s="1805"/>
      <c r="K1420" s="1212" t="s">
        <v>2280</v>
      </c>
      <c r="L1420" s="1196" t="s">
        <v>279</v>
      </c>
      <c r="M1420" s="1196">
        <v>8</v>
      </c>
      <c r="N1420" s="1234">
        <v>8</v>
      </c>
      <c r="O1420" s="1234">
        <v>8</v>
      </c>
      <c r="P1420" s="1234">
        <v>8</v>
      </c>
      <c r="Q1420" s="1234">
        <v>8</v>
      </c>
    </row>
    <row r="1421" spans="1:17" ht="30" x14ac:dyDescent="0.25">
      <c r="A1421" s="1991"/>
      <c r="B1421" s="1455"/>
      <c r="C1421" s="1820" t="s">
        <v>5</v>
      </c>
      <c r="D1421" s="1820"/>
      <c r="E1421" s="1791" t="s">
        <v>2281</v>
      </c>
      <c r="F1421" s="1967">
        <v>16111</v>
      </c>
      <c r="G1421" s="1967">
        <v>16356.1</v>
      </c>
      <c r="H1421" s="1967">
        <f>5283.5+695.6</f>
        <v>5979.1</v>
      </c>
      <c r="I1421" s="1967">
        <v>16356.1</v>
      </c>
      <c r="J1421" s="1804">
        <v>16356.1</v>
      </c>
      <c r="K1421" s="1212" t="s">
        <v>280</v>
      </c>
      <c r="L1421" s="1196" t="s">
        <v>2282</v>
      </c>
      <c r="M1421" s="1196">
        <v>122</v>
      </c>
      <c r="N1421" s="688">
        <v>126</v>
      </c>
      <c r="O1421" s="688">
        <v>126</v>
      </c>
      <c r="P1421" s="688">
        <v>126</v>
      </c>
      <c r="Q1421" s="688">
        <v>126</v>
      </c>
    </row>
    <row r="1422" spans="1:17" ht="30" x14ac:dyDescent="0.25">
      <c r="A1422" s="1992"/>
      <c r="B1422" s="1249"/>
      <c r="C1422" s="1972"/>
      <c r="D1422" s="1760"/>
      <c r="E1422" s="1791"/>
      <c r="F1422" s="1967"/>
      <c r="G1422" s="1995"/>
      <c r="H1422" s="1995"/>
      <c r="I1422" s="1995"/>
      <c r="J1422" s="1805"/>
      <c r="K1422" s="1212" t="s">
        <v>2283</v>
      </c>
      <c r="L1422" s="1196" t="s">
        <v>2282</v>
      </c>
      <c r="M1422" s="1196">
        <v>119</v>
      </c>
      <c r="N1422" s="688">
        <v>122</v>
      </c>
      <c r="O1422" s="688">
        <v>122</v>
      </c>
      <c r="P1422" s="688">
        <v>122</v>
      </c>
      <c r="Q1422" s="688">
        <v>122</v>
      </c>
    </row>
    <row r="1423" spans="1:17" ht="88.5" x14ac:dyDescent="0.25">
      <c r="A1423" s="1193">
        <v>55</v>
      </c>
      <c r="B1423" s="1455">
        <v>5</v>
      </c>
      <c r="C1423" s="1134"/>
      <c r="D1423" s="1212"/>
      <c r="E1423" s="1150" t="s">
        <v>2284</v>
      </c>
      <c r="F1423" s="1464">
        <v>44017</v>
      </c>
      <c r="G1423" s="1464">
        <v>39917.9</v>
      </c>
      <c r="H1423" s="1200">
        <f>SUM(H1424:H1427)</f>
        <v>26569.8</v>
      </c>
      <c r="I1423" s="1202">
        <v>40613.199999999997</v>
      </c>
      <c r="J1423" s="1202">
        <v>41315.4</v>
      </c>
      <c r="K1423" s="831" t="s">
        <v>2285</v>
      </c>
      <c r="L1423" s="1401"/>
      <c r="M1423" s="1401"/>
      <c r="N1423" s="1401"/>
      <c r="O1423" s="1462"/>
      <c r="P1423" s="1462"/>
      <c r="Q1423" s="1462"/>
    </row>
    <row r="1424" spans="1:17" ht="30" x14ac:dyDescent="0.25">
      <c r="A1424" s="1988"/>
      <c r="B1424" s="1989"/>
      <c r="C1424" s="1789" t="s">
        <v>4</v>
      </c>
      <c r="D1424" s="1630"/>
      <c r="E1424" s="1791" t="s">
        <v>2286</v>
      </c>
      <c r="F1424" s="1967">
        <v>25265.7</v>
      </c>
      <c r="G1424" s="1967">
        <v>22904.9</v>
      </c>
      <c r="H1424" s="1967">
        <v>12954.8</v>
      </c>
      <c r="I1424" s="1967">
        <v>23182</v>
      </c>
      <c r="J1424" s="1967">
        <v>23389.8</v>
      </c>
      <c r="K1424" s="831" t="s">
        <v>2287</v>
      </c>
      <c r="L1424" s="1196" t="s">
        <v>2288</v>
      </c>
      <c r="M1424" s="1196">
        <v>0</v>
      </c>
      <c r="N1424" s="833">
        <v>31</v>
      </c>
      <c r="O1424" s="833">
        <v>31</v>
      </c>
      <c r="P1424" s="833">
        <v>31</v>
      </c>
      <c r="Q1424" s="833">
        <v>31</v>
      </c>
    </row>
    <row r="1425" spans="1:17" ht="30" x14ac:dyDescent="0.25">
      <c r="A1425" s="1988"/>
      <c r="B1425" s="1990"/>
      <c r="C1425" s="1789"/>
      <c r="D1425" s="1630"/>
      <c r="E1425" s="1791"/>
      <c r="F1425" s="1967"/>
      <c r="G1425" s="1967"/>
      <c r="H1425" s="1967"/>
      <c r="I1425" s="1967"/>
      <c r="J1425" s="1967"/>
      <c r="K1425" s="1217" t="s">
        <v>2289</v>
      </c>
      <c r="L1425" s="1196" t="s">
        <v>274</v>
      </c>
      <c r="M1425" s="1196">
        <v>1895.2</v>
      </c>
      <c r="N1425" s="1196">
        <v>970</v>
      </c>
      <c r="O1425" s="688">
        <v>970</v>
      </c>
      <c r="P1425" s="688">
        <v>970</v>
      </c>
      <c r="Q1425" s="688">
        <v>970</v>
      </c>
    </row>
    <row r="1426" spans="1:17" ht="30" x14ac:dyDescent="0.25">
      <c r="A1426" s="1786"/>
      <c r="B1426" s="1787"/>
      <c r="C1426" s="1789" t="s">
        <v>5</v>
      </c>
      <c r="D1426" s="1912"/>
      <c r="E1426" s="1791" t="s">
        <v>2290</v>
      </c>
      <c r="F1426" s="1967">
        <v>18751.3</v>
      </c>
      <c r="G1426" s="1967">
        <v>17013</v>
      </c>
      <c r="H1426" s="1967">
        <v>13615</v>
      </c>
      <c r="I1426" s="1967">
        <v>17431.2</v>
      </c>
      <c r="J1426" s="1967">
        <v>17925.599999999999</v>
      </c>
      <c r="K1426" s="834" t="s">
        <v>281</v>
      </c>
      <c r="L1426" s="1196" t="s">
        <v>2282</v>
      </c>
      <c r="M1426" s="1196">
        <v>61</v>
      </c>
      <c r="N1426" s="1196">
        <v>62</v>
      </c>
      <c r="O1426" s="688">
        <v>62</v>
      </c>
      <c r="P1426" s="688">
        <v>62</v>
      </c>
      <c r="Q1426" s="688">
        <v>62</v>
      </c>
    </row>
    <row r="1427" spans="1:17" ht="30" x14ac:dyDescent="0.25">
      <c r="A1427" s="1786"/>
      <c r="B1427" s="1788"/>
      <c r="C1427" s="1789"/>
      <c r="D1427" s="1912"/>
      <c r="E1427" s="1791"/>
      <c r="F1427" s="1967"/>
      <c r="G1427" s="1967"/>
      <c r="H1427" s="1967"/>
      <c r="I1427" s="1967"/>
      <c r="J1427" s="1967"/>
      <c r="K1427" s="834" t="s">
        <v>2291</v>
      </c>
      <c r="L1427" s="1196" t="s">
        <v>2282</v>
      </c>
      <c r="M1427" s="1196">
        <v>46</v>
      </c>
      <c r="N1427" s="1196">
        <v>47</v>
      </c>
      <c r="O1427" s="688">
        <v>47</v>
      </c>
      <c r="P1427" s="688">
        <v>47</v>
      </c>
      <c r="Q1427" s="688">
        <v>47</v>
      </c>
    </row>
    <row r="1428" spans="1:17" ht="89.25" x14ac:dyDescent="0.25">
      <c r="A1428" s="1193">
        <v>55</v>
      </c>
      <c r="B1428" s="44">
        <v>6</v>
      </c>
      <c r="C1428" s="1105"/>
      <c r="D1428" s="1106"/>
      <c r="E1428" s="1195" t="s">
        <v>3114</v>
      </c>
      <c r="F1428" s="787">
        <v>4999.2</v>
      </c>
      <c r="G1428" s="787">
        <v>5759.6</v>
      </c>
      <c r="H1428" s="835">
        <f>SUM(H1429:H1432)</f>
        <v>5759.6</v>
      </c>
      <c r="I1428" s="1201">
        <v>5817.2</v>
      </c>
      <c r="J1428" s="1201">
        <v>5875.2999999999993</v>
      </c>
      <c r="K1428" s="831" t="s">
        <v>2292</v>
      </c>
      <c r="L1428" s="343"/>
      <c r="M1428" s="1196"/>
      <c r="N1428" s="1196"/>
      <c r="O1428" s="1196"/>
      <c r="P1428" s="1196"/>
      <c r="Q1428" s="1196"/>
    </row>
    <row r="1429" spans="1:17" ht="45" x14ac:dyDescent="0.25">
      <c r="A1429" s="1193"/>
      <c r="B1429" s="44"/>
      <c r="C1429" s="1105" t="s">
        <v>4</v>
      </c>
      <c r="D1429" s="1106"/>
      <c r="E1429" s="1212" t="s">
        <v>2293</v>
      </c>
      <c r="F1429" s="1198">
        <v>2999.2</v>
      </c>
      <c r="G1429" s="1198">
        <v>3759.6</v>
      </c>
      <c r="H1429" s="1198">
        <v>3759.6</v>
      </c>
      <c r="I1429" s="1198">
        <v>5817.2</v>
      </c>
      <c r="J1429" s="1198">
        <v>5875.2999999999993</v>
      </c>
      <c r="K1429" s="831" t="s">
        <v>2294</v>
      </c>
      <c r="L1429" s="1196" t="s">
        <v>2295</v>
      </c>
      <c r="M1429" s="1196" t="s">
        <v>282</v>
      </c>
      <c r="N1429" s="1234" t="s">
        <v>283</v>
      </c>
      <c r="O1429" s="1234">
        <v>1</v>
      </c>
      <c r="P1429" s="1234">
        <v>1</v>
      </c>
      <c r="Q1429" s="1234">
        <v>1</v>
      </c>
    </row>
    <row r="1430" spans="1:17" ht="60" x14ac:dyDescent="0.25">
      <c r="A1430" s="1193"/>
      <c r="B1430" s="44"/>
      <c r="C1430" s="1105" t="s">
        <v>5</v>
      </c>
      <c r="D1430" s="1106"/>
      <c r="E1430" s="1212" t="s">
        <v>2296</v>
      </c>
      <c r="F1430" s="1198">
        <v>2000</v>
      </c>
      <c r="G1430" s="1198">
        <v>2000</v>
      </c>
      <c r="H1430" s="1198">
        <v>2000</v>
      </c>
      <c r="I1430" s="1198"/>
      <c r="J1430" s="1198"/>
      <c r="K1430" s="831" t="s">
        <v>2297</v>
      </c>
      <c r="L1430" s="1196" t="s">
        <v>2298</v>
      </c>
      <c r="M1430" s="1196" t="s">
        <v>284</v>
      </c>
      <c r="N1430" s="1234" t="s">
        <v>285</v>
      </c>
      <c r="O1430" s="1234" t="s">
        <v>286</v>
      </c>
      <c r="P1430" s="1234" t="s">
        <v>287</v>
      </c>
      <c r="Q1430" s="1234" t="s">
        <v>288</v>
      </c>
    </row>
    <row r="1431" spans="1:17" ht="60" x14ac:dyDescent="0.25">
      <c r="A1431" s="1193"/>
      <c r="B1431" s="44"/>
      <c r="C1431" s="1105" t="s">
        <v>7</v>
      </c>
      <c r="D1431" s="1106"/>
      <c r="E1431" s="1212" t="s">
        <v>2299</v>
      </c>
      <c r="F1431" s="1198"/>
      <c r="G1431" s="1198"/>
      <c r="H1431" s="1198"/>
      <c r="I1431" s="1198"/>
      <c r="J1431" s="1198"/>
      <c r="K1431" s="831" t="s">
        <v>2300</v>
      </c>
      <c r="L1431" s="1196" t="s">
        <v>2295</v>
      </c>
      <c r="M1431" s="1196"/>
      <c r="N1431" s="1196" t="s">
        <v>289</v>
      </c>
      <c r="O1431" s="1196">
        <v>1</v>
      </c>
      <c r="P1431" s="1234">
        <v>1</v>
      </c>
      <c r="Q1431" s="1234">
        <v>1</v>
      </c>
    </row>
    <row r="1432" spans="1:17" ht="60" x14ac:dyDescent="0.25">
      <c r="A1432" s="1193"/>
      <c r="B1432" s="44"/>
      <c r="C1432" s="1105" t="s">
        <v>9</v>
      </c>
      <c r="D1432" s="1106"/>
      <c r="E1432" s="1212" t="s">
        <v>2301</v>
      </c>
      <c r="F1432" s="1198"/>
      <c r="G1432" s="1198"/>
      <c r="H1432" s="1198"/>
      <c r="I1432" s="1198"/>
      <c r="J1432" s="1198"/>
      <c r="K1432" s="831" t="s">
        <v>2302</v>
      </c>
      <c r="L1432" s="1196" t="s">
        <v>2295</v>
      </c>
      <c r="M1432" s="1196"/>
      <c r="N1432" s="1196" t="s">
        <v>2303</v>
      </c>
      <c r="O1432" s="1196"/>
      <c r="P1432" s="1196"/>
      <c r="Q1432" s="1196"/>
    </row>
    <row r="1433" spans="1:17" ht="75" x14ac:dyDescent="0.25">
      <c r="A1433" s="1430">
        <v>55</v>
      </c>
      <c r="B1433" s="1143">
        <v>7</v>
      </c>
      <c r="C1433" s="1470"/>
      <c r="D1433" s="1326"/>
      <c r="E1433" s="831" t="s">
        <v>2304</v>
      </c>
      <c r="F1433" s="1464">
        <v>8132276.5000000009</v>
      </c>
      <c r="G1433" s="1464">
        <v>6740395.3599999994</v>
      </c>
      <c r="H1433" s="1464">
        <f>SUM(H1434:H1452)</f>
        <v>5390172</v>
      </c>
      <c r="I1433" s="1464">
        <v>11397664.932998912</v>
      </c>
      <c r="J1433" s="1464">
        <v>6715559.5595975509</v>
      </c>
      <c r="K1433" s="1212" t="s">
        <v>2305</v>
      </c>
      <c r="L1433" s="1401" t="s">
        <v>825</v>
      </c>
      <c r="M1433" s="1471"/>
      <c r="N1433" s="1471"/>
      <c r="O1433" s="1471"/>
      <c r="P1433" s="1471"/>
      <c r="Q1433" s="1471"/>
    </row>
    <row r="1434" spans="1:17" ht="45" x14ac:dyDescent="0.25">
      <c r="A1434" s="836"/>
      <c r="B1434" s="837"/>
      <c r="C1434" s="742" t="s">
        <v>4</v>
      </c>
      <c r="D1434" s="1258"/>
      <c r="E1434" s="348" t="s">
        <v>2306</v>
      </c>
      <c r="F1434" s="1198">
        <v>32403.4</v>
      </c>
      <c r="G1434" s="1198">
        <v>10032.299999999999</v>
      </c>
      <c r="H1434" s="1192">
        <v>10626.3</v>
      </c>
      <c r="I1434" s="1192">
        <v>9609.5829989115628</v>
      </c>
      <c r="J1434" s="1192">
        <v>9737.0795975510191</v>
      </c>
      <c r="K1434" s="1217" t="s">
        <v>2307</v>
      </c>
      <c r="L1434" s="1242" t="s">
        <v>825</v>
      </c>
      <c r="M1434" s="838">
        <v>25</v>
      </c>
      <c r="N1434" s="839">
        <v>25</v>
      </c>
      <c r="O1434" s="838">
        <v>25</v>
      </c>
      <c r="P1434" s="838">
        <v>25</v>
      </c>
      <c r="Q1434" s="838">
        <v>25</v>
      </c>
    </row>
    <row r="1435" spans="1:17" ht="75" x14ac:dyDescent="0.25">
      <c r="A1435" s="836"/>
      <c r="B1435" s="837"/>
      <c r="C1435" s="742" t="s">
        <v>5</v>
      </c>
      <c r="D1435" s="1258"/>
      <c r="E1435" s="348" t="s">
        <v>2308</v>
      </c>
      <c r="F1435" s="1198">
        <v>866773.8</v>
      </c>
      <c r="G1435" s="1198">
        <v>802735.1</v>
      </c>
      <c r="H1435" s="1192">
        <f>16054+139600+254211.6+108957.8</f>
        <v>518823.39999999997</v>
      </c>
      <c r="I1435" s="1198"/>
      <c r="J1435" s="1198"/>
      <c r="K1435" s="1217" t="s">
        <v>2309</v>
      </c>
      <c r="L1435" s="228" t="s">
        <v>1503</v>
      </c>
      <c r="M1435" s="1192" t="s">
        <v>2310</v>
      </c>
      <c r="N1435" s="1192" t="s">
        <v>2310</v>
      </c>
      <c r="O1435" s="1192"/>
      <c r="P1435" s="1192"/>
      <c r="Q1435" s="1192"/>
    </row>
    <row r="1436" spans="1:17" ht="30" x14ac:dyDescent="0.25">
      <c r="A1436" s="836"/>
      <c r="B1436" s="837"/>
      <c r="C1436" s="742" t="s">
        <v>7</v>
      </c>
      <c r="D1436" s="1258"/>
      <c r="E1436" s="348" t="s">
        <v>2311</v>
      </c>
      <c r="F1436" s="1198">
        <v>178567.8</v>
      </c>
      <c r="G1436" s="1198"/>
      <c r="H1436" s="1198">
        <f>26384.4+6840.4</f>
        <v>33224.800000000003</v>
      </c>
      <c r="I1436" s="1198"/>
      <c r="J1436" s="1198"/>
      <c r="K1436" s="1217" t="s">
        <v>2312</v>
      </c>
      <c r="L1436" s="228" t="s">
        <v>1503</v>
      </c>
      <c r="M1436" s="744">
        <v>12.7</v>
      </c>
      <c r="N1436" s="1192"/>
      <c r="O1436" s="1192"/>
      <c r="P1436" s="1192"/>
      <c r="Q1436" s="1192"/>
    </row>
    <row r="1437" spans="1:17" ht="30" x14ac:dyDescent="0.25">
      <c r="A1437" s="836"/>
      <c r="B1437" s="837"/>
      <c r="C1437" s="742" t="s">
        <v>9</v>
      </c>
      <c r="D1437" s="1258"/>
      <c r="E1437" s="348" t="s">
        <v>2313</v>
      </c>
      <c r="F1437" s="1198">
        <v>226299.3</v>
      </c>
      <c r="G1437" s="1198">
        <v>211649.6</v>
      </c>
      <c r="H1437" s="1192">
        <v>52768.800000000003</v>
      </c>
      <c r="I1437" s="1192">
        <v>376265.55000000005</v>
      </c>
      <c r="J1437" s="1192">
        <v>143254.39999999999</v>
      </c>
      <c r="K1437" s="1217" t="s">
        <v>2314</v>
      </c>
      <c r="L1437" s="228" t="s">
        <v>1503</v>
      </c>
      <c r="M1437" s="228"/>
      <c r="N1437" s="1192"/>
      <c r="O1437" s="1192"/>
      <c r="P1437" s="1192"/>
      <c r="Q1437" s="1192" t="s">
        <v>2315</v>
      </c>
    </row>
    <row r="1438" spans="1:17" ht="30" x14ac:dyDescent="0.25">
      <c r="A1438" s="836"/>
      <c r="B1438" s="837"/>
      <c r="C1438" s="742" t="s">
        <v>11</v>
      </c>
      <c r="D1438" s="1258"/>
      <c r="E1438" s="348" t="s">
        <v>2316</v>
      </c>
      <c r="F1438" s="1198">
        <v>5092604.3</v>
      </c>
      <c r="G1438" s="1198">
        <v>1381880</v>
      </c>
      <c r="H1438" s="1192">
        <v>1783735.5</v>
      </c>
      <c r="I1438" s="1192"/>
      <c r="J1438" s="1192"/>
      <c r="K1438" s="1217" t="s">
        <v>2317</v>
      </c>
      <c r="L1438" s="228" t="s">
        <v>1503</v>
      </c>
      <c r="M1438" s="1192" t="s">
        <v>2318</v>
      </c>
      <c r="N1438" s="1192"/>
      <c r="O1438" s="1192"/>
      <c r="P1438" s="1192"/>
      <c r="Q1438" s="1192"/>
    </row>
    <row r="1439" spans="1:17" x14ac:dyDescent="0.25">
      <c r="A1439" s="836"/>
      <c r="B1439" s="837"/>
      <c r="C1439" s="742" t="s">
        <v>13</v>
      </c>
      <c r="D1439" s="1258"/>
      <c r="E1439" s="348" t="s">
        <v>2319</v>
      </c>
      <c r="F1439" s="1198"/>
      <c r="G1439" s="1198">
        <v>1217200</v>
      </c>
      <c r="H1439" s="1192">
        <f>471150+132620+767800+691020</f>
        <v>2062590</v>
      </c>
      <c r="I1439" s="1198">
        <v>6679875</v>
      </c>
      <c r="J1439" s="1198">
        <v>1281600</v>
      </c>
      <c r="K1439" s="1217" t="s">
        <v>2320</v>
      </c>
      <c r="L1439" s="228" t="s">
        <v>1503</v>
      </c>
      <c r="M1439" s="228"/>
      <c r="N1439" s="1192"/>
      <c r="O1439" s="1192" t="s">
        <v>2321</v>
      </c>
      <c r="P1439" s="1192"/>
      <c r="Q1439" s="1192"/>
    </row>
    <row r="1440" spans="1:17" ht="45" x14ac:dyDescent="0.25">
      <c r="A1440" s="836"/>
      <c r="B1440" s="837"/>
      <c r="C1440" s="742" t="s">
        <v>15</v>
      </c>
      <c r="D1440" s="1258"/>
      <c r="E1440" s="348" t="s">
        <v>2322</v>
      </c>
      <c r="F1440" s="1198">
        <v>781368.8</v>
      </c>
      <c r="G1440" s="1198">
        <v>508581.96</v>
      </c>
      <c r="H1440" s="1192">
        <f>63448.2</f>
        <v>63448.2</v>
      </c>
      <c r="I1440" s="1192">
        <v>987</v>
      </c>
      <c r="J1440" s="1192"/>
      <c r="K1440" s="1217" t="s">
        <v>2323</v>
      </c>
      <c r="L1440" s="228" t="s">
        <v>1503</v>
      </c>
      <c r="M1440" s="1192" t="s">
        <v>2324</v>
      </c>
      <c r="N1440" s="1192" t="s">
        <v>2325</v>
      </c>
      <c r="O1440" s="1192"/>
      <c r="P1440" s="1192"/>
      <c r="Q1440" s="1192"/>
    </row>
    <row r="1441" spans="1:17" ht="30" x14ac:dyDescent="0.25">
      <c r="A1441" s="836"/>
      <c r="B1441" s="837"/>
      <c r="C1441" s="742" t="s">
        <v>16</v>
      </c>
      <c r="D1441" s="1258"/>
      <c r="E1441" s="348" t="s">
        <v>2326</v>
      </c>
      <c r="F1441" s="1198">
        <v>5909.9</v>
      </c>
      <c r="G1441" s="1198">
        <v>386640</v>
      </c>
      <c r="H1441" s="1192">
        <v>139600</v>
      </c>
      <c r="I1441" s="1198">
        <v>126900</v>
      </c>
      <c r="J1441" s="1198"/>
      <c r="K1441" s="1217" t="s">
        <v>2327</v>
      </c>
      <c r="L1441" s="228" t="s">
        <v>1503</v>
      </c>
      <c r="M1441" s="228"/>
      <c r="N1441" s="1192"/>
      <c r="O1441" s="1192" t="s">
        <v>2328</v>
      </c>
      <c r="P1441" s="1192"/>
      <c r="Q1441" s="1192"/>
    </row>
    <row r="1442" spans="1:17" ht="30" x14ac:dyDescent="0.25">
      <c r="A1442" s="836"/>
      <c r="B1442" s="837"/>
      <c r="C1442" s="742" t="s">
        <v>18</v>
      </c>
      <c r="D1442" s="1258"/>
      <c r="E1442" s="348" t="s">
        <v>2329</v>
      </c>
      <c r="F1442" s="1198"/>
      <c r="G1442" s="1198">
        <v>34368</v>
      </c>
      <c r="H1442" s="1192"/>
      <c r="I1442" s="1198">
        <v>239523.75</v>
      </c>
      <c r="J1442" s="1198">
        <v>1797800</v>
      </c>
      <c r="K1442" s="1217" t="s">
        <v>2330</v>
      </c>
      <c r="L1442" s="228" t="s">
        <v>1503</v>
      </c>
      <c r="M1442" s="228"/>
      <c r="N1442" s="1192"/>
      <c r="O1442" s="1192"/>
      <c r="P1442" s="1192"/>
      <c r="Q1442" s="1192" t="s">
        <v>2331</v>
      </c>
    </row>
    <row r="1443" spans="1:17" ht="30" x14ac:dyDescent="0.25">
      <c r="A1443" s="836"/>
      <c r="B1443" s="837"/>
      <c r="C1443" s="742" t="s">
        <v>20</v>
      </c>
      <c r="D1443" s="1258"/>
      <c r="E1443" s="348" t="s">
        <v>2332</v>
      </c>
      <c r="F1443" s="1198">
        <v>11325.9</v>
      </c>
      <c r="G1443" s="1198">
        <v>2008308.4</v>
      </c>
      <c r="H1443" s="1192">
        <f>177990+97022+72654.8+32743.2+1536+12564+39506.8+59748.8</f>
        <v>493765.6</v>
      </c>
      <c r="I1443" s="1198">
        <v>2861968.6500000004</v>
      </c>
      <c r="J1443" s="1198">
        <v>3130557.2</v>
      </c>
      <c r="K1443" s="1217" t="s">
        <v>2333</v>
      </c>
      <c r="L1443" s="228" t="s">
        <v>1503</v>
      </c>
      <c r="M1443" s="228"/>
      <c r="N1443" s="1192"/>
      <c r="O1443" s="1192"/>
      <c r="P1443" s="1192" t="s">
        <v>2334</v>
      </c>
      <c r="Q1443" s="1192" t="s">
        <v>2335</v>
      </c>
    </row>
    <row r="1444" spans="1:17" x14ac:dyDescent="0.25">
      <c r="A1444" s="836"/>
      <c r="B1444" s="837"/>
      <c r="C1444" s="742" t="s">
        <v>21</v>
      </c>
      <c r="D1444" s="1258"/>
      <c r="E1444" s="348" t="s">
        <v>2336</v>
      </c>
      <c r="F1444" s="1198"/>
      <c r="G1444" s="1198"/>
      <c r="H1444" s="1198"/>
      <c r="I1444" s="1198"/>
      <c r="J1444" s="1198"/>
      <c r="K1444" s="1217" t="s">
        <v>2337</v>
      </c>
      <c r="L1444" s="228" t="s">
        <v>1503</v>
      </c>
      <c r="M1444" s="228"/>
      <c r="N1444" s="1192"/>
      <c r="O1444" s="1192"/>
      <c r="P1444" s="1192"/>
      <c r="Q1444" s="1192" t="s">
        <v>290</v>
      </c>
    </row>
    <row r="1445" spans="1:17" ht="60" x14ac:dyDescent="0.25">
      <c r="A1445" s="836"/>
      <c r="B1445" s="837"/>
      <c r="C1445" s="742" t="s">
        <v>22</v>
      </c>
      <c r="D1445" s="1258"/>
      <c r="E1445" s="348" t="s">
        <v>2338</v>
      </c>
      <c r="F1445" s="1198">
        <v>397504.9</v>
      </c>
      <c r="G1445" s="1198"/>
      <c r="H1445" s="1198">
        <v>84109</v>
      </c>
      <c r="I1445" s="1198"/>
      <c r="J1445" s="1198"/>
      <c r="K1445" s="1217" t="s">
        <v>2339</v>
      </c>
      <c r="L1445" s="228" t="s">
        <v>1503</v>
      </c>
      <c r="M1445" s="744" t="s">
        <v>2340</v>
      </c>
      <c r="N1445" s="1192"/>
      <c r="O1445" s="1192"/>
      <c r="P1445" s="1192"/>
      <c r="Q1445" s="1192"/>
    </row>
    <row r="1446" spans="1:17" ht="30" x14ac:dyDescent="0.25">
      <c r="A1446" s="836"/>
      <c r="B1446" s="837"/>
      <c r="C1446" s="742" t="s">
        <v>23</v>
      </c>
      <c r="D1446" s="1258"/>
      <c r="E1446" s="348" t="s">
        <v>2341</v>
      </c>
      <c r="F1446" s="1198">
        <v>539518.4</v>
      </c>
      <c r="G1446" s="1198">
        <v>179000</v>
      </c>
      <c r="H1446" s="1192"/>
      <c r="I1446" s="1192"/>
      <c r="J1446" s="1192"/>
      <c r="K1446" s="1217" t="s">
        <v>2342</v>
      </c>
      <c r="L1446" s="228" t="s">
        <v>1503</v>
      </c>
      <c r="M1446" s="228">
        <v>2529</v>
      </c>
      <c r="N1446" s="1192" t="s">
        <v>2343</v>
      </c>
      <c r="O1446" s="1192"/>
      <c r="P1446" s="1192"/>
      <c r="Q1446" s="1192"/>
    </row>
    <row r="1447" spans="1:17" ht="105" x14ac:dyDescent="0.25">
      <c r="A1447" s="1980"/>
      <c r="B1447" s="1472"/>
      <c r="C1447" s="1982" t="s">
        <v>24</v>
      </c>
      <c r="D1447" s="1984"/>
      <c r="E1447" s="1695" t="s">
        <v>2344</v>
      </c>
      <c r="F1447" s="1806"/>
      <c r="G1447" s="840"/>
      <c r="H1447" s="1967">
        <f>69800+69800</f>
        <v>139600</v>
      </c>
      <c r="I1447" s="1804">
        <v>506352.15</v>
      </c>
      <c r="J1447" s="1804">
        <v>158533.92000000001</v>
      </c>
      <c r="K1447" s="1695" t="s">
        <v>2345</v>
      </c>
      <c r="L1447" s="228" t="s">
        <v>2346</v>
      </c>
      <c r="M1447" s="228"/>
      <c r="N1447" s="1192"/>
      <c r="O1447" s="1967" t="s">
        <v>2347</v>
      </c>
      <c r="P1447" s="1967"/>
      <c r="Q1447" s="1967"/>
    </row>
    <row r="1448" spans="1:17" ht="120" x14ac:dyDescent="0.25">
      <c r="A1448" s="1981"/>
      <c r="B1448" s="841"/>
      <c r="C1448" s="1983"/>
      <c r="D1448" s="1985"/>
      <c r="E1448" s="1696"/>
      <c r="F1448" s="1807"/>
      <c r="G1448" s="840"/>
      <c r="H1448" s="1967"/>
      <c r="I1448" s="1805"/>
      <c r="J1448" s="1805"/>
      <c r="K1448" s="1696"/>
      <c r="L1448" s="228" t="s">
        <v>2348</v>
      </c>
      <c r="M1448" s="228"/>
      <c r="N1448" s="1192"/>
      <c r="O1448" s="1967" t="s">
        <v>2349</v>
      </c>
      <c r="P1448" s="1967"/>
      <c r="Q1448" s="1967"/>
    </row>
    <row r="1449" spans="1:17" ht="75" x14ac:dyDescent="0.25">
      <c r="A1449" s="1980"/>
      <c r="B1449" s="1472"/>
      <c r="C1449" s="1982" t="s">
        <v>25</v>
      </c>
      <c r="D1449" s="1984"/>
      <c r="E1449" s="1986" t="s">
        <v>2350</v>
      </c>
      <c r="F1449" s="1806"/>
      <c r="G1449" s="1806"/>
      <c r="H1449" s="1967"/>
      <c r="I1449" s="1967">
        <v>321444.75</v>
      </c>
      <c r="J1449" s="1804">
        <v>69120.959999999992</v>
      </c>
      <c r="K1449" s="1695" t="s">
        <v>2351</v>
      </c>
      <c r="L1449" s="228" t="s">
        <v>2352</v>
      </c>
      <c r="M1449" s="228"/>
      <c r="N1449" s="1192"/>
      <c r="O1449" s="1967" t="s">
        <v>2353</v>
      </c>
      <c r="P1449" s="1967"/>
      <c r="Q1449" s="1967"/>
    </row>
    <row r="1450" spans="1:17" ht="105" x14ac:dyDescent="0.25">
      <c r="A1450" s="1981"/>
      <c r="B1450" s="841"/>
      <c r="C1450" s="1983"/>
      <c r="D1450" s="1985"/>
      <c r="E1450" s="1987"/>
      <c r="F1450" s="1807"/>
      <c r="G1450" s="1807"/>
      <c r="H1450" s="1967"/>
      <c r="I1450" s="1967"/>
      <c r="J1450" s="1805"/>
      <c r="K1450" s="1696"/>
      <c r="L1450" s="228" t="s">
        <v>2354</v>
      </c>
      <c r="M1450" s="228"/>
      <c r="N1450" s="1192"/>
      <c r="O1450" s="1967" t="s">
        <v>2355</v>
      </c>
      <c r="P1450" s="1967"/>
      <c r="Q1450" s="1967"/>
    </row>
    <row r="1451" spans="1:17" ht="60" x14ac:dyDescent="0.25">
      <c r="A1451" s="836"/>
      <c r="B1451" s="837"/>
      <c r="C1451" s="742" t="s">
        <v>26</v>
      </c>
      <c r="D1451" s="1258"/>
      <c r="E1451" s="348" t="s">
        <v>2356</v>
      </c>
      <c r="F1451" s="1198"/>
      <c r="G1451" s="1198"/>
      <c r="H1451" s="1139"/>
      <c r="I1451" s="1192">
        <v>172513.5</v>
      </c>
      <c r="J1451" s="1198">
        <v>124956</v>
      </c>
      <c r="K1451" s="1217" t="s">
        <v>2357</v>
      </c>
      <c r="L1451" s="228" t="s">
        <v>2358</v>
      </c>
      <c r="M1451" s="228"/>
      <c r="N1451" s="1192"/>
      <c r="O1451" s="1967" t="s">
        <v>2359</v>
      </c>
      <c r="P1451" s="1967"/>
      <c r="Q1451" s="1967"/>
    </row>
    <row r="1452" spans="1:17" ht="60" x14ac:dyDescent="0.25">
      <c r="A1452" s="836"/>
      <c r="B1452" s="837"/>
      <c r="C1452" s="742" t="s">
        <v>27</v>
      </c>
      <c r="D1452" s="1258"/>
      <c r="E1452" s="348" t="s">
        <v>2360</v>
      </c>
      <c r="F1452" s="1198"/>
      <c r="G1452" s="1198"/>
      <c r="H1452" s="1192">
        <v>7880.4</v>
      </c>
      <c r="I1452" s="1192">
        <v>102225</v>
      </c>
      <c r="J1452" s="1192"/>
      <c r="K1452" s="1217" t="s">
        <v>2361</v>
      </c>
      <c r="L1452" s="228" t="s">
        <v>2362</v>
      </c>
      <c r="M1452" s="228"/>
      <c r="N1452" s="1192"/>
      <c r="O1452" s="1967" t="s">
        <v>2363</v>
      </c>
      <c r="P1452" s="1967"/>
      <c r="Q1452" s="1967"/>
    </row>
    <row r="1453" spans="1:17" ht="59.25" x14ac:dyDescent="0.25">
      <c r="A1453" s="1103">
        <v>55</v>
      </c>
      <c r="B1453" s="1143">
        <v>8</v>
      </c>
      <c r="C1453" s="1105"/>
      <c r="D1453" s="463"/>
      <c r="E1453" s="831" t="s">
        <v>3115</v>
      </c>
      <c r="F1453" s="787">
        <v>15941</v>
      </c>
      <c r="G1453" s="787">
        <v>6500.4</v>
      </c>
      <c r="H1453" s="1473">
        <f>SUM(H1454:H1459)</f>
        <v>7117.5999999999995</v>
      </c>
      <c r="I1453" s="1473">
        <v>6386.1639492925169</v>
      </c>
      <c r="J1453" s="1473">
        <v>6469.0367384081637</v>
      </c>
      <c r="K1453" s="1212" t="s">
        <v>2364</v>
      </c>
      <c r="L1453" s="1401"/>
      <c r="M1453" s="1474"/>
      <c r="N1453" s="1475"/>
      <c r="O1453" s="1475"/>
      <c r="P1453" s="1475"/>
      <c r="Q1453" s="1475"/>
    </row>
    <row r="1454" spans="1:17" ht="30" x14ac:dyDescent="0.25">
      <c r="A1454" s="1430"/>
      <c r="B1454" s="1438"/>
      <c r="C1454" s="1399" t="s">
        <v>4</v>
      </c>
      <c r="D1454" s="1326"/>
      <c r="E1454" s="831" t="s">
        <v>2365</v>
      </c>
      <c r="F1454" s="1189"/>
      <c r="G1454" s="1189"/>
      <c r="H1454" s="1439"/>
      <c r="I1454" s="1440"/>
      <c r="J1454" s="1440"/>
      <c r="K1454" s="1212" t="s">
        <v>2366</v>
      </c>
      <c r="L1454" s="1247" t="s">
        <v>2367</v>
      </c>
      <c r="M1454" s="842"/>
      <c r="N1454" s="843">
        <v>5</v>
      </c>
      <c r="O1454" s="843">
        <v>5</v>
      </c>
      <c r="P1454" s="843">
        <v>5</v>
      </c>
      <c r="Q1454" s="843">
        <v>5</v>
      </c>
    </row>
    <row r="1455" spans="1:17" x14ac:dyDescent="0.25">
      <c r="A1455" s="1653"/>
      <c r="B1455" s="1969"/>
      <c r="C1455" s="1820" t="s">
        <v>5</v>
      </c>
      <c r="D1455" s="1973"/>
      <c r="E1455" s="1976" t="s">
        <v>2368</v>
      </c>
      <c r="F1455" s="1740"/>
      <c r="G1455" s="1806">
        <v>3775.3</v>
      </c>
      <c r="H1455" s="1804">
        <f>3677.5+418.7</f>
        <v>4096.2</v>
      </c>
      <c r="I1455" s="1806">
        <v>3698.093199564626</v>
      </c>
      <c r="J1455" s="1804">
        <v>3749.0918390204088</v>
      </c>
      <c r="K1455" s="1217" t="s">
        <v>2369</v>
      </c>
      <c r="L1455" s="1242" t="s">
        <v>34</v>
      </c>
      <c r="M1455" s="844">
        <v>107.6</v>
      </c>
      <c r="N1455" s="845">
        <v>98.3</v>
      </c>
      <c r="O1455" s="846">
        <v>102</v>
      </c>
      <c r="P1455" s="846">
        <v>107.1</v>
      </c>
      <c r="Q1455" s="845">
        <v>102.3</v>
      </c>
    </row>
    <row r="1456" spans="1:17" x14ac:dyDescent="0.25">
      <c r="A1456" s="1839"/>
      <c r="B1456" s="1970"/>
      <c r="C1456" s="1840"/>
      <c r="D1456" s="1974"/>
      <c r="E1456" s="1976"/>
      <c r="F1456" s="1977"/>
      <c r="G1456" s="1978"/>
      <c r="H1456" s="1833"/>
      <c r="I1456" s="1978"/>
      <c r="J1456" s="1833"/>
      <c r="K1456" s="1217" t="s">
        <v>2370</v>
      </c>
      <c r="L1456" s="1196" t="s">
        <v>34</v>
      </c>
      <c r="M1456" s="847">
        <v>103.7</v>
      </c>
      <c r="N1456" s="847">
        <v>94.2</v>
      </c>
      <c r="O1456" s="847">
        <v>102.1</v>
      </c>
      <c r="P1456" s="847">
        <v>110.6</v>
      </c>
      <c r="Q1456" s="847">
        <v>107.2</v>
      </c>
    </row>
    <row r="1457" spans="1:17" x14ac:dyDescent="0.25">
      <c r="A1457" s="1968"/>
      <c r="B1457" s="1970"/>
      <c r="C1457" s="1850"/>
      <c r="D1457" s="1974"/>
      <c r="E1457" s="1976"/>
      <c r="F1457" s="1977"/>
      <c r="G1457" s="1978"/>
      <c r="H1457" s="1833"/>
      <c r="I1457" s="1978"/>
      <c r="J1457" s="1833"/>
      <c r="K1457" s="1217" t="s">
        <v>2371</v>
      </c>
      <c r="L1457" s="1196" t="s">
        <v>34</v>
      </c>
      <c r="M1457" s="847">
        <v>120.5</v>
      </c>
      <c r="N1457" s="847">
        <v>102</v>
      </c>
      <c r="O1457" s="847">
        <v>102.5</v>
      </c>
      <c r="P1457" s="847">
        <v>102</v>
      </c>
      <c r="Q1457" s="847">
        <v>101</v>
      </c>
    </row>
    <row r="1458" spans="1:17" ht="30" x14ac:dyDescent="0.25">
      <c r="A1458" s="1936"/>
      <c r="B1458" s="1971"/>
      <c r="C1458" s="1972" t="s">
        <v>4</v>
      </c>
      <c r="D1458" s="1975"/>
      <c r="E1458" s="1976"/>
      <c r="F1458" s="1741"/>
      <c r="G1458" s="1807"/>
      <c r="H1458" s="1805"/>
      <c r="I1458" s="1807"/>
      <c r="J1458" s="1805"/>
      <c r="K1458" s="1217" t="s">
        <v>2372</v>
      </c>
      <c r="L1458" s="1196" t="s">
        <v>34</v>
      </c>
      <c r="M1458" s="847">
        <v>125.9</v>
      </c>
      <c r="N1458" s="847">
        <v>125.6</v>
      </c>
      <c r="O1458" s="847">
        <v>123</v>
      </c>
      <c r="P1458" s="847">
        <v>111.5</v>
      </c>
      <c r="Q1458" s="847">
        <v>106.8</v>
      </c>
    </row>
    <row r="1459" spans="1:17" ht="45" x14ac:dyDescent="0.25">
      <c r="A1459" s="422"/>
      <c r="B1459" s="252"/>
      <c r="C1459" s="1105" t="s">
        <v>7</v>
      </c>
      <c r="D1459" s="848"/>
      <c r="E1459" s="348" t="s">
        <v>2373</v>
      </c>
      <c r="F1459" s="755"/>
      <c r="G1459" s="1198">
        <v>2725.1</v>
      </c>
      <c r="H1459" s="1192">
        <f>2753.7+267.7</f>
        <v>3021.3999999999996</v>
      </c>
      <c r="I1459" s="840">
        <v>2688.0707497278913</v>
      </c>
      <c r="J1459" s="1192">
        <v>2719.9448993877554</v>
      </c>
      <c r="K1459" s="1212" t="s">
        <v>2374</v>
      </c>
      <c r="L1459" s="1196" t="s">
        <v>34</v>
      </c>
      <c r="M1459" s="847">
        <v>111.4</v>
      </c>
      <c r="N1459" s="847">
        <v>102</v>
      </c>
      <c r="O1459" s="847">
        <v>104</v>
      </c>
      <c r="P1459" s="847">
        <v>106.5</v>
      </c>
      <c r="Q1459" s="847">
        <v>106</v>
      </c>
    </row>
    <row r="1460" spans="1:17" x14ac:dyDescent="0.25">
      <c r="A1460" s="1651" t="s">
        <v>2375</v>
      </c>
      <c r="B1460" s="1651"/>
      <c r="C1460" s="1651"/>
      <c r="D1460" s="1651"/>
      <c r="E1460" s="1652"/>
      <c r="F1460" s="42">
        <v>8370143.5200000005</v>
      </c>
      <c r="G1460" s="42">
        <v>6894505.6599999992</v>
      </c>
      <c r="H1460" s="42">
        <f>H1389+H1398+H1406+H1417+H1423+H1428+H1433+H1453</f>
        <v>5600302.5</v>
      </c>
      <c r="I1460" s="42">
        <v>11550044.550041998</v>
      </c>
      <c r="J1460" s="42">
        <v>6869509.0800419999</v>
      </c>
      <c r="K1460" s="15"/>
      <c r="L1460" s="1281"/>
      <c r="M1460" s="1282"/>
      <c r="N1460" s="1282"/>
      <c r="O1460" s="1282"/>
      <c r="P1460" s="1282"/>
      <c r="Q1460" s="1283"/>
    </row>
    <row r="1461" spans="1:17" x14ac:dyDescent="0.25">
      <c r="A1461" s="1710" t="s">
        <v>2376</v>
      </c>
      <c r="B1461" s="1711"/>
      <c r="C1461" s="1711"/>
      <c r="D1461" s="1711"/>
      <c r="E1461" s="1711"/>
      <c r="F1461" s="1711"/>
      <c r="G1461" s="1711"/>
      <c r="H1461" s="1711"/>
      <c r="I1461" s="1711"/>
      <c r="J1461" s="1711"/>
      <c r="K1461" s="1711"/>
      <c r="L1461" s="1711"/>
      <c r="M1461" s="1711"/>
      <c r="N1461" s="1711"/>
      <c r="O1461" s="1711"/>
      <c r="P1461" s="1711"/>
      <c r="Q1461" s="1712"/>
    </row>
    <row r="1462" spans="1:17" x14ac:dyDescent="0.25">
      <c r="A1462" s="1648" t="s">
        <v>2377</v>
      </c>
      <c r="B1462" s="1649"/>
      <c r="C1462" s="1649"/>
      <c r="D1462" s="1649"/>
      <c r="E1462" s="1649"/>
      <c r="F1462" s="1649"/>
      <c r="G1462" s="1649"/>
      <c r="H1462" s="1649"/>
      <c r="I1462" s="1649"/>
      <c r="J1462" s="1649"/>
      <c r="K1462" s="1649"/>
      <c r="L1462" s="1649"/>
      <c r="M1462" s="1649"/>
      <c r="N1462" s="1649"/>
      <c r="O1462" s="1649"/>
      <c r="P1462" s="1649"/>
      <c r="Q1462" s="1650"/>
    </row>
    <row r="1463" spans="1:17" ht="28.5" x14ac:dyDescent="0.25">
      <c r="A1463" s="1115">
        <v>55</v>
      </c>
      <c r="B1463" s="1297">
        <v>9</v>
      </c>
      <c r="C1463" s="1117"/>
      <c r="D1463" s="955"/>
      <c r="E1463" s="1195" t="s">
        <v>2378</v>
      </c>
      <c r="F1463" s="1119">
        <v>1326265.3</v>
      </c>
      <c r="G1463" s="1119">
        <v>1226228.7</v>
      </c>
      <c r="H1463" s="1119">
        <f>SUM(H1464:H1470)</f>
        <v>1218394.7</v>
      </c>
      <c r="I1463" s="1119">
        <v>1234105.6000000001</v>
      </c>
      <c r="J1463" s="1119">
        <v>1246586</v>
      </c>
      <c r="K1463" s="1195" t="s">
        <v>2379</v>
      </c>
      <c r="L1463" s="1214" t="s">
        <v>291</v>
      </c>
      <c r="M1463" s="459">
        <v>1134.76</v>
      </c>
      <c r="N1463" s="459">
        <v>1134.76</v>
      </c>
      <c r="O1463" s="459">
        <v>1134.76</v>
      </c>
      <c r="P1463" s="459">
        <v>1134.76</v>
      </c>
      <c r="Q1463" s="459">
        <v>1134.76</v>
      </c>
    </row>
    <row r="1464" spans="1:17" x14ac:dyDescent="0.25">
      <c r="A1464" s="1642"/>
      <c r="B1464" s="1637"/>
      <c r="C1464" s="1669" t="s">
        <v>4</v>
      </c>
      <c r="D1464" s="1878"/>
      <c r="E1464" s="1791" t="s">
        <v>2380</v>
      </c>
      <c r="F1464" s="1964">
        <v>1321265.3</v>
      </c>
      <c r="G1464" s="1964">
        <v>1221228.7</v>
      </c>
      <c r="H1464" s="1964">
        <v>1183394.7</v>
      </c>
      <c r="I1464" s="1964">
        <v>1229105.6000000001</v>
      </c>
      <c r="J1464" s="1964">
        <v>1241586</v>
      </c>
      <c r="K1464" s="831" t="s">
        <v>2381</v>
      </c>
      <c r="L1464" s="1234" t="s">
        <v>2382</v>
      </c>
      <c r="M1464" s="1214" t="s">
        <v>292</v>
      </c>
      <c r="N1464" s="1214" t="s">
        <v>293</v>
      </c>
      <c r="O1464" s="1214" t="s">
        <v>294</v>
      </c>
      <c r="P1464" s="1214" t="s">
        <v>294</v>
      </c>
      <c r="Q1464" s="1214" t="s">
        <v>294</v>
      </c>
    </row>
    <row r="1465" spans="1:17" x14ac:dyDescent="0.25">
      <c r="A1465" s="1643"/>
      <c r="B1465" s="1641"/>
      <c r="C1465" s="1690"/>
      <c r="D1465" s="1963"/>
      <c r="E1465" s="1791"/>
      <c r="F1465" s="1979"/>
      <c r="G1465" s="1979"/>
      <c r="H1465" s="1979"/>
      <c r="I1465" s="1979"/>
      <c r="J1465" s="1979"/>
      <c r="K1465" s="831" t="s">
        <v>2383</v>
      </c>
      <c r="L1465" s="1234" t="s">
        <v>2382</v>
      </c>
      <c r="M1465" s="1214" t="s">
        <v>295</v>
      </c>
      <c r="N1465" s="1214" t="s">
        <v>296</v>
      </c>
      <c r="O1465" s="1214" t="s">
        <v>297</v>
      </c>
      <c r="P1465" s="1214" t="s">
        <v>297</v>
      </c>
      <c r="Q1465" s="1214" t="s">
        <v>297</v>
      </c>
    </row>
    <row r="1466" spans="1:17" x14ac:dyDescent="0.25">
      <c r="A1466" s="1643"/>
      <c r="B1466" s="1638"/>
      <c r="C1466" s="1690"/>
      <c r="D1466" s="1963"/>
      <c r="E1466" s="1791"/>
      <c r="F1466" s="1965"/>
      <c r="G1466" s="1965"/>
      <c r="H1466" s="1965"/>
      <c r="I1466" s="1965"/>
      <c r="J1466" s="1965"/>
      <c r="K1466" s="723" t="s">
        <v>2384</v>
      </c>
      <c r="L1466" s="1234" t="s">
        <v>2385</v>
      </c>
      <c r="M1466" s="1196" t="s">
        <v>298</v>
      </c>
      <c r="N1466" s="1196" t="s">
        <v>299</v>
      </c>
      <c r="O1466" s="1196" t="s">
        <v>300</v>
      </c>
      <c r="P1466" s="1196" t="s">
        <v>301</v>
      </c>
      <c r="Q1466" s="1196" t="s">
        <v>302</v>
      </c>
    </row>
    <row r="1467" spans="1:17" x14ac:dyDescent="0.25">
      <c r="A1467" s="1680"/>
      <c r="B1467" s="1751"/>
      <c r="C1467" s="1669" t="s">
        <v>5</v>
      </c>
      <c r="D1467" s="1878"/>
      <c r="E1467" s="1939" t="s">
        <v>2386</v>
      </c>
      <c r="F1467" s="1964"/>
      <c r="G1467" s="1964"/>
      <c r="H1467" s="1964">
        <v>30000</v>
      </c>
      <c r="I1467" s="1964"/>
      <c r="J1467" s="1964"/>
      <c r="K1467" s="723" t="s">
        <v>2387</v>
      </c>
      <c r="L1467" s="1234" t="s">
        <v>2388</v>
      </c>
      <c r="M1467" s="1214" t="s">
        <v>303</v>
      </c>
      <c r="N1467" s="1214" t="s">
        <v>304</v>
      </c>
      <c r="O1467" s="1214" t="s">
        <v>305</v>
      </c>
      <c r="P1467" s="1214" t="s">
        <v>305</v>
      </c>
      <c r="Q1467" s="1214" t="s">
        <v>305</v>
      </c>
    </row>
    <row r="1468" spans="1:17" x14ac:dyDescent="0.25">
      <c r="A1468" s="1680"/>
      <c r="B1468" s="1752"/>
      <c r="C1468" s="1690"/>
      <c r="D1468" s="1963"/>
      <c r="E1468" s="1939"/>
      <c r="F1468" s="1965"/>
      <c r="G1468" s="1965"/>
      <c r="H1468" s="1965"/>
      <c r="I1468" s="1965"/>
      <c r="J1468" s="1965"/>
      <c r="K1468" s="1212" t="s">
        <v>2389</v>
      </c>
      <c r="L1468" s="969" t="s">
        <v>825</v>
      </c>
      <c r="M1468" s="1214">
        <v>132</v>
      </c>
      <c r="N1468" s="1214">
        <v>131</v>
      </c>
      <c r="O1468" s="1214">
        <v>132</v>
      </c>
      <c r="P1468" s="1214">
        <v>132</v>
      </c>
      <c r="Q1468" s="1214">
        <v>132</v>
      </c>
    </row>
    <row r="1469" spans="1:17" x14ac:dyDescent="0.25">
      <c r="A1469" s="1678"/>
      <c r="B1469" s="1751"/>
      <c r="C1469" s="1669" t="s">
        <v>7</v>
      </c>
      <c r="D1469" s="1878"/>
      <c r="E1469" s="1791" t="s">
        <v>2390</v>
      </c>
      <c r="F1469" s="1966">
        <v>5000</v>
      </c>
      <c r="G1469" s="1966">
        <v>5000</v>
      </c>
      <c r="H1469" s="1740">
        <v>5000</v>
      </c>
      <c r="I1469" s="1966">
        <v>5000</v>
      </c>
      <c r="J1469" s="1966">
        <v>5000</v>
      </c>
      <c r="K1469" s="1476" t="s">
        <v>2391</v>
      </c>
      <c r="L1469" s="459" t="s">
        <v>34</v>
      </c>
      <c r="M1469" s="459">
        <v>70</v>
      </c>
      <c r="N1469" s="459">
        <v>70</v>
      </c>
      <c r="O1469" s="459">
        <v>70</v>
      </c>
      <c r="P1469" s="459">
        <v>70</v>
      </c>
      <c r="Q1469" s="459">
        <v>70</v>
      </c>
    </row>
    <row r="1470" spans="1:17" x14ac:dyDescent="0.25">
      <c r="A1470" s="1866"/>
      <c r="B1470" s="1752"/>
      <c r="C1470" s="1690"/>
      <c r="D1470" s="1963"/>
      <c r="E1470" s="1791"/>
      <c r="F1470" s="1966"/>
      <c r="G1470" s="1966"/>
      <c r="H1470" s="1741"/>
      <c r="I1470" s="1966"/>
      <c r="J1470" s="1966"/>
      <c r="K1470" s="1476" t="s">
        <v>2392</v>
      </c>
      <c r="L1470" s="459" t="s">
        <v>34</v>
      </c>
      <c r="M1470" s="459">
        <v>25.2</v>
      </c>
      <c r="N1470" s="459">
        <v>25</v>
      </c>
      <c r="O1470" s="459">
        <v>25</v>
      </c>
      <c r="P1470" s="459">
        <v>24</v>
      </c>
      <c r="Q1470" s="459">
        <v>24</v>
      </c>
    </row>
    <row r="1471" spans="1:17" ht="30" x14ac:dyDescent="0.25">
      <c r="A1471" s="1103">
        <v>55</v>
      </c>
      <c r="B1471" s="1143">
        <v>10</v>
      </c>
      <c r="C1471" s="1105"/>
      <c r="D1471" s="1"/>
      <c r="E1471" s="1195" t="s">
        <v>2393</v>
      </c>
      <c r="F1471" s="1229">
        <f>F1472</f>
        <v>9458.1</v>
      </c>
      <c r="G1471" s="1229">
        <f t="shared" ref="G1471:J1471" si="1">G1472</f>
        <v>9458.1</v>
      </c>
      <c r="H1471" s="1229">
        <f t="shared" si="1"/>
        <v>13938.1</v>
      </c>
      <c r="I1471" s="1229">
        <f t="shared" si="1"/>
        <v>13938.1</v>
      </c>
      <c r="J1471" s="1229">
        <f t="shared" si="1"/>
        <v>13938.1</v>
      </c>
      <c r="K1471" s="1212" t="s">
        <v>2394</v>
      </c>
      <c r="L1471" s="1196" t="s">
        <v>2395</v>
      </c>
      <c r="M1471" s="343">
        <v>180</v>
      </c>
      <c r="N1471" s="343">
        <v>180</v>
      </c>
      <c r="O1471" s="343">
        <v>180</v>
      </c>
      <c r="P1471" s="343">
        <v>180</v>
      </c>
      <c r="Q1471" s="343">
        <v>180</v>
      </c>
    </row>
    <row r="1472" spans="1:17" ht="75" x14ac:dyDescent="0.25">
      <c r="A1472" s="1370"/>
      <c r="B1472" s="1361"/>
      <c r="C1472" s="1317" t="s">
        <v>4</v>
      </c>
      <c r="D1472" s="1437"/>
      <c r="E1472" s="1477" t="s">
        <v>2396</v>
      </c>
      <c r="F1472" s="1139">
        <v>9458.1</v>
      </c>
      <c r="G1472" s="1139">
        <v>9458.1</v>
      </c>
      <c r="H1472" s="1139">
        <v>13938.1</v>
      </c>
      <c r="I1472" s="1139">
        <v>13938.1</v>
      </c>
      <c r="J1472" s="1139">
        <v>13938.1</v>
      </c>
      <c r="K1472" s="1212" t="s">
        <v>2397</v>
      </c>
      <c r="L1472" s="1214" t="s">
        <v>306</v>
      </c>
      <c r="M1472" s="459">
        <v>40</v>
      </c>
      <c r="N1472" s="459">
        <v>40</v>
      </c>
      <c r="O1472" s="459">
        <v>40</v>
      </c>
      <c r="P1472" s="459">
        <v>40</v>
      </c>
      <c r="Q1472" s="459">
        <v>40</v>
      </c>
    </row>
    <row r="1473" spans="1:17" ht="42.75" x14ac:dyDescent="0.25">
      <c r="A1473" s="1430">
        <v>55</v>
      </c>
      <c r="B1473" s="1438">
        <v>11</v>
      </c>
      <c r="C1473" s="1399"/>
      <c r="D1473" s="1478"/>
      <c r="E1473" s="1195" t="s">
        <v>2398</v>
      </c>
      <c r="F1473" s="849">
        <v>13867.1</v>
      </c>
      <c r="G1473" s="849">
        <v>14173.6</v>
      </c>
      <c r="H1473" s="849">
        <f>H1474</f>
        <v>13491.6</v>
      </c>
      <c r="I1473" s="849">
        <v>14315.3</v>
      </c>
      <c r="J1473" s="849">
        <v>14458.5</v>
      </c>
      <c r="K1473" s="1217" t="s">
        <v>2399</v>
      </c>
      <c r="L1473" s="969" t="s">
        <v>825</v>
      </c>
      <c r="M1473" s="343">
        <v>100</v>
      </c>
      <c r="N1473" s="179">
        <v>150</v>
      </c>
      <c r="O1473" s="179">
        <v>100</v>
      </c>
      <c r="P1473" s="179">
        <v>100</v>
      </c>
      <c r="Q1473" s="179">
        <v>100</v>
      </c>
    </row>
    <row r="1474" spans="1:17" ht="30" x14ac:dyDescent="0.25">
      <c r="A1474" s="1115"/>
      <c r="B1474" s="1297"/>
      <c r="C1474" s="1117" t="s">
        <v>4</v>
      </c>
      <c r="D1474" s="1160"/>
      <c r="E1474" s="1212" t="s">
        <v>2400</v>
      </c>
      <c r="F1474" s="1139">
        <v>13867.1</v>
      </c>
      <c r="G1474" s="1139">
        <v>14173.6</v>
      </c>
      <c r="H1474" s="1139">
        <v>13491.6</v>
      </c>
      <c r="I1474" s="1139">
        <v>14315.3</v>
      </c>
      <c r="J1474" s="1139">
        <v>14458.5</v>
      </c>
      <c r="K1474" s="1212" t="s">
        <v>2401</v>
      </c>
      <c r="L1474" s="459" t="s">
        <v>307</v>
      </c>
      <c r="M1474" s="850">
        <v>40000</v>
      </c>
      <c r="N1474" s="850">
        <v>40000</v>
      </c>
      <c r="O1474" s="851">
        <v>45000</v>
      </c>
      <c r="P1474" s="851">
        <v>45000</v>
      </c>
      <c r="Q1474" s="851">
        <v>45000</v>
      </c>
    </row>
    <row r="1475" spans="1:17" x14ac:dyDescent="0.25">
      <c r="A1475" s="1651" t="s">
        <v>2402</v>
      </c>
      <c r="B1475" s="1651"/>
      <c r="C1475" s="1782"/>
      <c r="D1475" s="1782"/>
      <c r="E1475" s="1855"/>
      <c r="F1475" s="42">
        <v>1349590.5000000002</v>
      </c>
      <c r="G1475" s="42">
        <v>1249860.4000000001</v>
      </c>
      <c r="H1475" s="42">
        <f>H1463+H1471+H1473</f>
        <v>1245824.4000000001</v>
      </c>
      <c r="I1475" s="42">
        <v>1262359.0000000002</v>
      </c>
      <c r="J1475" s="42">
        <v>1274982.6000000001</v>
      </c>
      <c r="K1475" s="15"/>
      <c r="L1475" s="1281"/>
      <c r="M1475" s="1282"/>
      <c r="N1475" s="1282"/>
      <c r="O1475" s="1282"/>
      <c r="P1475" s="1282"/>
      <c r="Q1475" s="1283"/>
    </row>
    <row r="1476" spans="1:17" ht="15.75" thickBot="1" x14ac:dyDescent="0.3">
      <c r="A1476" s="1648" t="s">
        <v>2403</v>
      </c>
      <c r="B1476" s="1649"/>
      <c r="C1476" s="1649"/>
      <c r="D1476" s="1649"/>
      <c r="E1476" s="1649"/>
      <c r="F1476" s="1649"/>
      <c r="G1476" s="1649"/>
      <c r="H1476" s="1649"/>
      <c r="I1476" s="1649"/>
      <c r="J1476" s="1649"/>
      <c r="K1476" s="1649"/>
      <c r="L1476" s="1649"/>
      <c r="M1476" s="1649"/>
      <c r="N1476" s="1649"/>
      <c r="O1476" s="1649"/>
      <c r="P1476" s="1649"/>
      <c r="Q1476" s="1650"/>
    </row>
    <row r="1477" spans="1:17" ht="74.25" x14ac:dyDescent="0.25">
      <c r="A1477" s="852">
        <v>56</v>
      </c>
      <c r="B1477" s="1237">
        <v>1</v>
      </c>
      <c r="C1477" s="853"/>
      <c r="D1477" s="854"/>
      <c r="E1477" s="672" t="s">
        <v>3116</v>
      </c>
      <c r="F1477" s="855">
        <v>14683.5</v>
      </c>
      <c r="G1477" s="732">
        <v>16975.3</v>
      </c>
      <c r="H1477" s="732">
        <f>SUM(H1478:H1489)</f>
        <v>21260.6</v>
      </c>
      <c r="I1477" s="732">
        <v>18466.600570800001</v>
      </c>
      <c r="J1477" s="732">
        <v>18577.400174224804</v>
      </c>
      <c r="K1477" s="1218" t="s">
        <v>1907</v>
      </c>
      <c r="L1477" s="731" t="s">
        <v>34</v>
      </c>
      <c r="M1477" s="731">
        <v>5.9</v>
      </c>
      <c r="N1477" s="856">
        <v>5.4</v>
      </c>
      <c r="O1477" s="856">
        <v>5.4</v>
      </c>
      <c r="P1477" s="856">
        <v>5.4</v>
      </c>
      <c r="Q1477" s="856">
        <v>5.4</v>
      </c>
    </row>
    <row r="1478" spans="1:17" x14ac:dyDescent="0.25">
      <c r="A1478" s="1479"/>
      <c r="B1478" s="1480"/>
      <c r="C1478" s="1479">
        <v>1</v>
      </c>
      <c r="D1478" s="1185"/>
      <c r="E1478" s="1418" t="s">
        <v>1406</v>
      </c>
      <c r="F1478" s="857">
        <v>3923.7999999999997</v>
      </c>
      <c r="G1478" s="857">
        <v>2196.5</v>
      </c>
      <c r="H1478" s="1137">
        <v>3033.2</v>
      </c>
      <c r="I1478" s="1137">
        <v>2351.644714</v>
      </c>
      <c r="J1478" s="1137">
        <v>2365.7545822840002</v>
      </c>
      <c r="K1478" s="1212" t="s">
        <v>2404</v>
      </c>
      <c r="L1478" s="1242" t="s">
        <v>34</v>
      </c>
      <c r="M1478" s="858">
        <v>0.96</v>
      </c>
      <c r="N1478" s="858">
        <v>1</v>
      </c>
      <c r="O1478" s="858">
        <v>1</v>
      </c>
      <c r="P1478" s="858">
        <v>1</v>
      </c>
      <c r="Q1478" s="858">
        <v>1</v>
      </c>
    </row>
    <row r="1479" spans="1:17" ht="30" x14ac:dyDescent="0.25">
      <c r="A1479" s="1479"/>
      <c r="B1479" s="1481"/>
      <c r="C1479" s="859">
        <v>2</v>
      </c>
      <c r="D1479" s="1185"/>
      <c r="E1479" s="1235" t="s">
        <v>2405</v>
      </c>
      <c r="F1479" s="857">
        <v>2114.1999999999998</v>
      </c>
      <c r="G1479" s="857">
        <v>1199.7</v>
      </c>
      <c r="H1479" s="1137">
        <v>1524.9</v>
      </c>
      <c r="I1479" s="1137">
        <v>1342.8371692000001</v>
      </c>
      <c r="J1479" s="1137">
        <v>1350.8941922152001</v>
      </c>
      <c r="K1479" s="1212" t="s">
        <v>2406</v>
      </c>
      <c r="L1479" s="1242" t="s">
        <v>34</v>
      </c>
      <c r="M1479" s="858">
        <v>1</v>
      </c>
      <c r="N1479" s="858">
        <v>1</v>
      </c>
      <c r="O1479" s="858">
        <v>1</v>
      </c>
      <c r="P1479" s="858">
        <v>1</v>
      </c>
      <c r="Q1479" s="858">
        <v>1</v>
      </c>
    </row>
    <row r="1480" spans="1:17" ht="30" x14ac:dyDescent="0.25">
      <c r="A1480" s="1479"/>
      <c r="B1480" s="1480"/>
      <c r="C1480" s="1479">
        <v>3</v>
      </c>
      <c r="D1480" s="1185"/>
      <c r="E1480" s="1235" t="s">
        <v>2407</v>
      </c>
      <c r="F1480" s="857">
        <v>2277</v>
      </c>
      <c r="G1480" s="857">
        <v>1785.5</v>
      </c>
      <c r="H1480" s="1137">
        <v>2214.1</v>
      </c>
      <c r="I1480" s="1137">
        <v>1935.687858</v>
      </c>
      <c r="J1480" s="1137">
        <v>1947.3019851480001</v>
      </c>
      <c r="K1480" s="32" t="s">
        <v>2408</v>
      </c>
      <c r="L1480" s="1242" t="s">
        <v>34</v>
      </c>
      <c r="M1480" s="860">
        <v>0.69499999999999995</v>
      </c>
      <c r="N1480" s="858">
        <v>0.7</v>
      </c>
      <c r="O1480" s="858">
        <v>0.8</v>
      </c>
      <c r="P1480" s="858">
        <v>0.8</v>
      </c>
      <c r="Q1480" s="858">
        <v>0.8</v>
      </c>
    </row>
    <row r="1481" spans="1:17" ht="30" x14ac:dyDescent="0.25">
      <c r="A1481" s="1479"/>
      <c r="B1481" s="1480"/>
      <c r="C1481" s="1479">
        <v>5</v>
      </c>
      <c r="D1481" s="1185"/>
      <c r="E1481" s="1302" t="s">
        <v>2409</v>
      </c>
      <c r="F1481" s="857">
        <v>394.1</v>
      </c>
      <c r="G1481" s="857">
        <v>922.4</v>
      </c>
      <c r="H1481" s="1137">
        <v>1230.9000000000001</v>
      </c>
      <c r="I1481" s="1137">
        <v>1062.1995864</v>
      </c>
      <c r="J1481" s="1137">
        <v>1068.5727839184001</v>
      </c>
      <c r="K1481" s="1212" t="s">
        <v>2410</v>
      </c>
      <c r="L1481" s="969" t="s">
        <v>825</v>
      </c>
      <c r="M1481" s="1242">
        <v>70</v>
      </c>
      <c r="N1481" s="1242">
        <v>75</v>
      </c>
      <c r="O1481" s="1242">
        <v>80</v>
      </c>
      <c r="P1481" s="1242">
        <v>80</v>
      </c>
      <c r="Q1481" s="1242">
        <v>80</v>
      </c>
    </row>
    <row r="1482" spans="1:17" x14ac:dyDescent="0.25">
      <c r="A1482" s="1479"/>
      <c r="B1482" s="1481"/>
      <c r="C1482" s="859">
        <v>6</v>
      </c>
      <c r="D1482" s="1185"/>
      <c r="E1482" s="1217" t="s">
        <v>727</v>
      </c>
      <c r="F1482" s="857">
        <v>2416.5</v>
      </c>
      <c r="G1482" s="857">
        <v>6531.1</v>
      </c>
      <c r="H1482" s="1137">
        <v>7466.7</v>
      </c>
      <c r="I1482" s="1137">
        <v>6738.4058996000003</v>
      </c>
      <c r="J1482" s="1137">
        <v>6778.8363349976007</v>
      </c>
      <c r="K1482" s="1212"/>
      <c r="L1482" s="1242"/>
      <c r="M1482" s="1242"/>
      <c r="N1482" s="1242"/>
      <c r="O1482" s="1242"/>
      <c r="P1482" s="1242"/>
      <c r="Q1482" s="1242"/>
    </row>
    <row r="1483" spans="1:17" ht="30" x14ac:dyDescent="0.25">
      <c r="A1483" s="1479"/>
      <c r="B1483" s="1481"/>
      <c r="C1483" s="859">
        <v>26</v>
      </c>
      <c r="D1483" s="1185"/>
      <c r="E1483" s="1217" t="s">
        <v>2411</v>
      </c>
      <c r="F1483" s="857">
        <v>1365.1</v>
      </c>
      <c r="G1483" s="857">
        <v>1563.6</v>
      </c>
      <c r="H1483" s="1137">
        <v>2000.9</v>
      </c>
      <c r="I1483" s="1137">
        <v>1711.1170695999999</v>
      </c>
      <c r="J1483" s="1137">
        <v>1721.3837720176</v>
      </c>
      <c r="K1483" s="1212" t="s">
        <v>2412</v>
      </c>
      <c r="L1483" s="1242" t="s">
        <v>34</v>
      </c>
      <c r="M1483" s="858">
        <v>0.97</v>
      </c>
      <c r="N1483" s="858">
        <v>1</v>
      </c>
      <c r="O1483" s="858">
        <v>1</v>
      </c>
      <c r="P1483" s="858">
        <v>1</v>
      </c>
      <c r="Q1483" s="858">
        <v>1</v>
      </c>
    </row>
    <row r="1484" spans="1:17" ht="30" x14ac:dyDescent="0.25">
      <c r="A1484" s="1479"/>
      <c r="B1484" s="1480"/>
      <c r="C1484" s="1479">
        <v>27</v>
      </c>
      <c r="D1484" s="1185"/>
      <c r="E1484" s="822" t="s">
        <v>2413</v>
      </c>
      <c r="F1484" s="857">
        <v>207.5</v>
      </c>
      <c r="G1484" s="857">
        <v>558.79999999999995</v>
      </c>
      <c r="H1484" s="1137"/>
      <c r="I1484" s="1137">
        <v>694.22329679999996</v>
      </c>
      <c r="J1484" s="1137">
        <v>698.38863658079993</v>
      </c>
      <c r="K1484" s="1109" t="s">
        <v>2414</v>
      </c>
      <c r="L1484" s="969" t="s">
        <v>825</v>
      </c>
      <c r="M1484" s="1242">
        <v>7</v>
      </c>
      <c r="N1484" s="1242">
        <v>10</v>
      </c>
      <c r="O1484" s="1242">
        <v>10</v>
      </c>
      <c r="P1484" s="1242">
        <v>10</v>
      </c>
      <c r="Q1484" s="1242">
        <v>10</v>
      </c>
    </row>
    <row r="1485" spans="1:17" ht="30" x14ac:dyDescent="0.25">
      <c r="A1485" s="1479"/>
      <c r="B1485" s="1481"/>
      <c r="C1485" s="859">
        <v>41</v>
      </c>
      <c r="D1485" s="1185"/>
      <c r="E1485" s="1235" t="s">
        <v>2415</v>
      </c>
      <c r="F1485" s="857">
        <v>365.5</v>
      </c>
      <c r="G1485" s="857">
        <v>297.39999999999998</v>
      </c>
      <c r="H1485" s="1137">
        <v>487.1</v>
      </c>
      <c r="I1485" s="1137">
        <v>429.67708640000001</v>
      </c>
      <c r="J1485" s="1137">
        <v>432.25514891839998</v>
      </c>
      <c r="K1485" s="1212" t="s">
        <v>2416</v>
      </c>
      <c r="L1485" s="1242" t="s">
        <v>34</v>
      </c>
      <c r="M1485" s="858">
        <v>0.8</v>
      </c>
      <c r="N1485" s="858">
        <v>1</v>
      </c>
      <c r="O1485" s="858">
        <v>1</v>
      </c>
      <c r="P1485" s="858">
        <v>1</v>
      </c>
      <c r="Q1485" s="858">
        <v>1</v>
      </c>
    </row>
    <row r="1486" spans="1:17" ht="30" x14ac:dyDescent="0.25">
      <c r="A1486" s="1479"/>
      <c r="B1486" s="1480"/>
      <c r="C1486" s="1479">
        <v>42</v>
      </c>
      <c r="D1486" s="1185"/>
      <c r="E1486" s="1217" t="s">
        <v>2417</v>
      </c>
      <c r="F1486" s="857">
        <v>1619.8</v>
      </c>
      <c r="G1486" s="857">
        <v>1305.4000000000001</v>
      </c>
      <c r="H1486" s="1137">
        <v>1641.2</v>
      </c>
      <c r="I1486" s="1137">
        <v>1449.8093744000003</v>
      </c>
      <c r="J1486" s="1137">
        <v>1458.5082306464003</v>
      </c>
      <c r="K1486" s="1212" t="s">
        <v>2418</v>
      </c>
      <c r="L1486" s="969" t="s">
        <v>825</v>
      </c>
      <c r="M1486" s="1242">
        <v>20</v>
      </c>
      <c r="N1486" s="1242">
        <v>12</v>
      </c>
      <c r="O1486" s="1242">
        <v>12</v>
      </c>
      <c r="P1486" s="1242">
        <v>12</v>
      </c>
      <c r="Q1486" s="1242">
        <v>12</v>
      </c>
    </row>
    <row r="1487" spans="1:17" x14ac:dyDescent="0.25">
      <c r="A1487" s="1957"/>
      <c r="B1487" s="1480"/>
      <c r="C1487" s="1957">
        <v>43</v>
      </c>
      <c r="D1487" s="1959"/>
      <c r="E1487" s="1746" t="s">
        <v>2419</v>
      </c>
      <c r="F1487" s="1961" t="s">
        <v>63</v>
      </c>
      <c r="G1487" s="1961">
        <v>614.9</v>
      </c>
      <c r="H1487" s="1804">
        <v>861.5</v>
      </c>
      <c r="I1487" s="1804">
        <v>750.99851639999986</v>
      </c>
      <c r="J1487" s="1804">
        <v>755.5045074983999</v>
      </c>
      <c r="K1487" s="1217" t="s">
        <v>2420</v>
      </c>
      <c r="L1487" s="969" t="s">
        <v>825</v>
      </c>
      <c r="M1487" s="1242" t="s">
        <v>63</v>
      </c>
      <c r="N1487" s="1242">
        <v>1</v>
      </c>
      <c r="O1487" s="1242">
        <v>1</v>
      </c>
      <c r="P1487" s="1242">
        <v>1</v>
      </c>
      <c r="Q1487" s="1242">
        <v>1</v>
      </c>
    </row>
    <row r="1488" spans="1:17" ht="30" x14ac:dyDescent="0.25">
      <c r="A1488" s="1958"/>
      <c r="B1488" s="861"/>
      <c r="C1488" s="1958"/>
      <c r="D1488" s="1960"/>
      <c r="E1488" s="1747"/>
      <c r="F1488" s="1962"/>
      <c r="G1488" s="1962"/>
      <c r="H1488" s="1805"/>
      <c r="I1488" s="1805"/>
      <c r="J1488" s="1805"/>
      <c r="K1488" s="1217" t="s">
        <v>2421</v>
      </c>
      <c r="L1488" s="969" t="s">
        <v>825</v>
      </c>
      <c r="M1488" s="1242" t="s">
        <v>63</v>
      </c>
      <c r="N1488" s="1242">
        <v>2</v>
      </c>
      <c r="O1488" s="1242">
        <v>1</v>
      </c>
      <c r="P1488" s="1242">
        <v>1</v>
      </c>
      <c r="Q1488" s="1242">
        <v>1</v>
      </c>
    </row>
    <row r="1489" spans="1:17" ht="30" x14ac:dyDescent="0.25">
      <c r="A1489" s="862"/>
      <c r="B1489" s="863"/>
      <c r="C1489" s="862">
        <v>52</v>
      </c>
      <c r="D1489" s="1185"/>
      <c r="E1489" s="822" t="s">
        <v>2413</v>
      </c>
      <c r="F1489" s="1186"/>
      <c r="G1489" s="1186"/>
      <c r="H1489" s="1137">
        <v>800.1</v>
      </c>
      <c r="I1489" s="1137"/>
      <c r="J1489" s="1137"/>
      <c r="K1489" s="1217"/>
      <c r="L1489" s="1242"/>
      <c r="M1489" s="1242"/>
      <c r="N1489" s="1242"/>
      <c r="O1489" s="1242"/>
      <c r="P1489" s="1242"/>
      <c r="Q1489" s="1242"/>
    </row>
    <row r="1490" spans="1:17" ht="73.5" x14ac:dyDescent="0.25">
      <c r="A1490" s="1422">
        <v>56</v>
      </c>
      <c r="B1490" s="1420">
        <v>2</v>
      </c>
      <c r="C1490" s="1482"/>
      <c r="D1490" s="854"/>
      <c r="E1490" s="1195" t="s">
        <v>3117</v>
      </c>
      <c r="F1490" s="864">
        <v>144024.29999999999</v>
      </c>
      <c r="G1490" s="864">
        <v>286493.8</v>
      </c>
      <c r="H1490" s="1241">
        <f>SUM(H1491:H1495)</f>
        <v>211580.5</v>
      </c>
      <c r="I1490" s="1241">
        <v>176078.0362</v>
      </c>
      <c r="J1490" s="1241">
        <v>182707.53381719999</v>
      </c>
      <c r="K1490" s="178" t="s">
        <v>2422</v>
      </c>
      <c r="L1490" s="865" t="s">
        <v>34</v>
      </c>
      <c r="M1490" s="866">
        <v>0.15</v>
      </c>
      <c r="N1490" s="866">
        <v>0.16</v>
      </c>
      <c r="O1490" s="866">
        <v>0.2</v>
      </c>
      <c r="P1490" s="866">
        <v>0.2</v>
      </c>
      <c r="Q1490" s="866">
        <v>0.2</v>
      </c>
    </row>
    <row r="1491" spans="1:17" ht="30" x14ac:dyDescent="0.25">
      <c r="A1491" s="1479"/>
      <c r="B1491" s="1481"/>
      <c r="C1491" s="1483">
        <v>1</v>
      </c>
      <c r="D1491" s="1185"/>
      <c r="E1491" s="1212" t="s">
        <v>2423</v>
      </c>
      <c r="F1491" s="1484">
        <v>1488.1</v>
      </c>
      <c r="G1491" s="1484">
        <v>1824.1</v>
      </c>
      <c r="H1491" s="1192">
        <v>1797</v>
      </c>
      <c r="I1491" s="1192">
        <v>1505.982</v>
      </c>
      <c r="J1491" s="1192">
        <v>1515.0178920000001</v>
      </c>
      <c r="K1491" s="1217" t="s">
        <v>2424</v>
      </c>
      <c r="L1491" s="867" t="s">
        <v>34</v>
      </c>
      <c r="M1491" s="868">
        <v>0.43</v>
      </c>
      <c r="N1491" s="868">
        <v>0.7</v>
      </c>
      <c r="O1491" s="868">
        <v>0.8</v>
      </c>
      <c r="P1491" s="868">
        <v>0.9</v>
      </c>
      <c r="Q1491" s="868">
        <v>1</v>
      </c>
    </row>
    <row r="1492" spans="1:17" ht="30" x14ac:dyDescent="0.25">
      <c r="A1492" s="1479"/>
      <c r="B1492" s="1481"/>
      <c r="C1492" s="859">
        <v>2</v>
      </c>
      <c r="D1492" s="1185"/>
      <c r="E1492" s="1212" t="s">
        <v>2425</v>
      </c>
      <c r="F1492" s="869">
        <v>129024.3</v>
      </c>
      <c r="G1492" s="869">
        <v>128063.9</v>
      </c>
      <c r="H1492" s="1125">
        <f>122297.2+2350.8</f>
        <v>124648</v>
      </c>
      <c r="I1492" s="1192">
        <v>109195.1</v>
      </c>
      <c r="J1492" s="1192">
        <v>109880.3</v>
      </c>
      <c r="K1492" s="1217" t="s">
        <v>2426</v>
      </c>
      <c r="L1492" s="969" t="s">
        <v>825</v>
      </c>
      <c r="M1492" s="177">
        <v>1394</v>
      </c>
      <c r="N1492" s="176">
        <v>1400</v>
      </c>
      <c r="O1492" s="176">
        <v>1400</v>
      </c>
      <c r="P1492" s="176">
        <v>1400</v>
      </c>
      <c r="Q1492" s="176">
        <v>1400</v>
      </c>
    </row>
    <row r="1493" spans="1:17" ht="30" x14ac:dyDescent="0.25">
      <c r="A1493" s="1479"/>
      <c r="B1493" s="1481"/>
      <c r="C1493" s="1483">
        <v>3</v>
      </c>
      <c r="D1493" s="1185"/>
      <c r="E1493" s="1212" t="s">
        <v>2427</v>
      </c>
      <c r="F1493" s="869">
        <v>5000</v>
      </c>
      <c r="G1493" s="869">
        <v>5000</v>
      </c>
      <c r="H1493" s="1125">
        <f>27440+11192.3</f>
        <v>38632.300000000003</v>
      </c>
      <c r="I1493" s="1125">
        <v>29299.75</v>
      </c>
      <c r="J1493" s="1125">
        <v>29475.548500000001</v>
      </c>
      <c r="K1493" s="1217" t="s">
        <v>2428</v>
      </c>
      <c r="L1493" s="969" t="s">
        <v>825</v>
      </c>
      <c r="M1493" s="177">
        <v>46</v>
      </c>
      <c r="N1493" s="176">
        <v>20</v>
      </c>
      <c r="O1493" s="176">
        <v>24</v>
      </c>
      <c r="P1493" s="870">
        <v>25</v>
      </c>
      <c r="Q1493" s="176">
        <v>25</v>
      </c>
    </row>
    <row r="1494" spans="1:17" x14ac:dyDescent="0.25">
      <c r="A1494" s="1479"/>
      <c r="B1494" s="1481"/>
      <c r="C1494" s="1483">
        <v>4</v>
      </c>
      <c r="D1494" s="1185"/>
      <c r="E1494" s="1212" t="s">
        <v>2429</v>
      </c>
      <c r="F1494" s="869">
        <v>0</v>
      </c>
      <c r="G1494" s="869">
        <v>132000</v>
      </c>
      <c r="H1494" s="1125">
        <v>0</v>
      </c>
      <c r="I1494" s="1192">
        <v>0</v>
      </c>
      <c r="J1494" s="1192">
        <v>0</v>
      </c>
      <c r="K1494" s="1217"/>
      <c r="L1494" s="865"/>
      <c r="M1494" s="871"/>
      <c r="N1494" s="871"/>
      <c r="O1494" s="871"/>
      <c r="P1494" s="872"/>
      <c r="Q1494" s="873"/>
    </row>
    <row r="1495" spans="1:17" ht="30" x14ac:dyDescent="0.25">
      <c r="A1495" s="1479"/>
      <c r="B1495" s="1480"/>
      <c r="C1495" s="1479">
        <v>5</v>
      </c>
      <c r="D1495" s="1185"/>
      <c r="E1495" s="1212" t="s">
        <v>2430</v>
      </c>
      <c r="F1495" s="1484">
        <v>10000</v>
      </c>
      <c r="G1495" s="1484">
        <v>19605.8</v>
      </c>
      <c r="H1495" s="1192">
        <f>46483+20.2</f>
        <v>46503.199999999997</v>
      </c>
      <c r="I1495" s="1192">
        <v>36077.2042</v>
      </c>
      <c r="J1495" s="1192">
        <v>41836.667425200001</v>
      </c>
      <c r="K1495" s="1217" t="s">
        <v>2431</v>
      </c>
      <c r="L1495" s="969" t="s">
        <v>825</v>
      </c>
      <c r="M1495" s="739">
        <v>44000</v>
      </c>
      <c r="N1495" s="739">
        <v>47000</v>
      </c>
      <c r="O1495" s="739">
        <v>50000</v>
      </c>
      <c r="P1495" s="739">
        <v>53000</v>
      </c>
      <c r="Q1495" s="739">
        <v>56000</v>
      </c>
    </row>
    <row r="1496" spans="1:17" ht="59.25" x14ac:dyDescent="0.25">
      <c r="A1496" s="1103">
        <v>56</v>
      </c>
      <c r="B1496" s="1438">
        <v>3</v>
      </c>
      <c r="C1496" s="1430"/>
      <c r="D1496" s="874"/>
      <c r="E1496" s="1195" t="s">
        <v>3118</v>
      </c>
      <c r="F1496" s="1485">
        <v>549231.9</v>
      </c>
      <c r="G1496" s="1485">
        <v>542081.9</v>
      </c>
      <c r="H1496" s="1213">
        <f>SUM(H1497:H1502)</f>
        <v>772264.5</v>
      </c>
      <c r="I1496" s="1213">
        <v>723140.55084120017</v>
      </c>
      <c r="J1496" s="1213">
        <v>727287.39414624718</v>
      </c>
      <c r="K1496" s="1608" t="s">
        <v>2432</v>
      </c>
      <c r="L1496" s="875" t="s">
        <v>34</v>
      </c>
      <c r="M1496" s="178">
        <v>38.799999999999997</v>
      </c>
      <c r="N1496" s="567">
        <v>30</v>
      </c>
      <c r="O1496" s="567">
        <v>40</v>
      </c>
      <c r="P1496" s="567">
        <v>50</v>
      </c>
      <c r="Q1496" s="567">
        <v>60</v>
      </c>
    </row>
    <row r="1497" spans="1:17" ht="47.25" x14ac:dyDescent="0.25">
      <c r="A1497" s="1479"/>
      <c r="B1497" s="1481"/>
      <c r="C1497" s="1483">
        <v>1</v>
      </c>
      <c r="D1497" s="1185"/>
      <c r="E1497" s="1212" t="s">
        <v>2433</v>
      </c>
      <c r="F1497" s="1484" t="s">
        <v>63</v>
      </c>
      <c r="G1497" s="1484">
        <v>1053.0999999999999</v>
      </c>
      <c r="H1497" s="1192">
        <v>1422.5</v>
      </c>
      <c r="I1497" s="1192">
        <v>1118.7726</v>
      </c>
      <c r="J1497" s="1192">
        <v>1125.4852356000001</v>
      </c>
      <c r="K1497" s="1609" t="s">
        <v>2434</v>
      </c>
      <c r="L1497" s="969" t="s">
        <v>825</v>
      </c>
      <c r="M1497" s="738" t="s">
        <v>63</v>
      </c>
      <c r="N1497" s="738">
        <v>5</v>
      </c>
      <c r="O1497" s="738">
        <v>6</v>
      </c>
      <c r="P1497" s="738">
        <v>7</v>
      </c>
      <c r="Q1497" s="738">
        <v>8</v>
      </c>
    </row>
    <row r="1498" spans="1:17" ht="30" x14ac:dyDescent="0.25">
      <c r="A1498" s="876"/>
      <c r="B1498" s="877"/>
      <c r="C1498" s="876">
        <v>2</v>
      </c>
      <c r="D1498" s="873"/>
      <c r="E1498" s="1212" t="s">
        <v>2435</v>
      </c>
      <c r="F1498" s="1484">
        <v>58102.6</v>
      </c>
      <c r="G1498" s="1484">
        <v>66134.899999999994</v>
      </c>
      <c r="H1498" s="1192">
        <v>123550.5</v>
      </c>
      <c r="I1498" s="1192">
        <v>122433.9222</v>
      </c>
      <c r="J1498" s="1192">
        <v>123168.5257332</v>
      </c>
      <c r="K1498" s="1610" t="s">
        <v>2436</v>
      </c>
      <c r="L1498" s="969" t="s">
        <v>825</v>
      </c>
      <c r="M1498" s="738" t="s">
        <v>63</v>
      </c>
      <c r="N1498" s="738">
        <v>395</v>
      </c>
      <c r="O1498" s="738">
        <v>395</v>
      </c>
      <c r="P1498" s="738">
        <v>395</v>
      </c>
      <c r="Q1498" s="738">
        <v>395</v>
      </c>
    </row>
    <row r="1499" spans="1:17" ht="31.5" x14ac:dyDescent="0.25">
      <c r="A1499" s="876"/>
      <c r="B1499" s="877"/>
      <c r="C1499" s="876">
        <v>3</v>
      </c>
      <c r="D1499" s="873"/>
      <c r="E1499" s="1212" t="s">
        <v>2437</v>
      </c>
      <c r="F1499" s="1484">
        <v>348525.60000000003</v>
      </c>
      <c r="G1499" s="1484">
        <v>320688.2</v>
      </c>
      <c r="H1499" s="1192">
        <v>409283.2</v>
      </c>
      <c r="I1499" s="1192">
        <v>441124.61813720001</v>
      </c>
      <c r="J1499" s="1192">
        <v>443771.3658460232</v>
      </c>
      <c r="K1499" s="1609" t="s">
        <v>2438</v>
      </c>
      <c r="L1499" s="969" t="s">
        <v>825</v>
      </c>
      <c r="M1499" s="1486">
        <v>40904</v>
      </c>
      <c r="N1499" s="1486">
        <v>45000</v>
      </c>
      <c r="O1499" s="1486">
        <v>45500</v>
      </c>
      <c r="P1499" s="1486">
        <v>46000</v>
      </c>
      <c r="Q1499" s="1486">
        <v>46500</v>
      </c>
    </row>
    <row r="1500" spans="1:17" ht="31.5" x14ac:dyDescent="0.25">
      <c r="A1500" s="876"/>
      <c r="B1500" s="877"/>
      <c r="C1500" s="876">
        <v>4</v>
      </c>
      <c r="D1500" s="873"/>
      <c r="E1500" s="1212" t="s">
        <v>2439</v>
      </c>
      <c r="F1500" s="1484">
        <v>110603.7</v>
      </c>
      <c r="G1500" s="1484">
        <v>120000</v>
      </c>
      <c r="H1500" s="1192">
        <v>202358.3</v>
      </c>
      <c r="I1500" s="1192">
        <v>125658.43790399999</v>
      </c>
      <c r="J1500" s="1192">
        <v>126412.38853142399</v>
      </c>
      <c r="K1500" s="1609" t="s">
        <v>2440</v>
      </c>
      <c r="L1500" s="969" t="s">
        <v>825</v>
      </c>
      <c r="M1500" s="1242">
        <v>761</v>
      </c>
      <c r="N1500" s="176">
        <v>270</v>
      </c>
      <c r="O1500" s="176">
        <v>290</v>
      </c>
      <c r="P1500" s="176">
        <v>300</v>
      </c>
      <c r="Q1500" s="176">
        <v>300</v>
      </c>
    </row>
    <row r="1501" spans="1:17" ht="31.5" x14ac:dyDescent="0.25">
      <c r="A1501" s="876"/>
      <c r="B1501" s="877"/>
      <c r="C1501" s="876">
        <v>5</v>
      </c>
      <c r="D1501" s="873"/>
      <c r="E1501" s="1212" t="s">
        <v>2441</v>
      </c>
      <c r="F1501" s="1484" t="s">
        <v>63</v>
      </c>
      <c r="G1501" s="1487">
        <v>2205.6999999999998</v>
      </c>
      <c r="H1501" s="1192">
        <v>650</v>
      </c>
      <c r="I1501" s="1192">
        <v>804.8</v>
      </c>
      <c r="J1501" s="1192">
        <v>809.62879999999996</v>
      </c>
      <c r="K1501" s="1609" t="s">
        <v>2442</v>
      </c>
      <c r="L1501" s="969" t="s">
        <v>825</v>
      </c>
      <c r="M1501" s="1242">
        <v>0</v>
      </c>
      <c r="N1501" s="176">
        <v>2</v>
      </c>
      <c r="O1501" s="176">
        <v>2</v>
      </c>
      <c r="P1501" s="176">
        <v>2</v>
      </c>
      <c r="Q1501" s="176">
        <v>2</v>
      </c>
    </row>
    <row r="1502" spans="1:17" ht="45" x14ac:dyDescent="0.25">
      <c r="A1502" s="876"/>
      <c r="B1502" s="877"/>
      <c r="C1502" s="876">
        <v>6</v>
      </c>
      <c r="D1502" s="873"/>
      <c r="E1502" s="1217" t="s">
        <v>2443</v>
      </c>
      <c r="F1502" s="1484">
        <v>32000</v>
      </c>
      <c r="G1502" s="1484">
        <v>32000</v>
      </c>
      <c r="H1502" s="1192">
        <v>35000</v>
      </c>
      <c r="I1502" s="1192">
        <v>32000</v>
      </c>
      <c r="J1502" s="1192">
        <v>32000</v>
      </c>
      <c r="K1502" s="1609" t="s">
        <v>2444</v>
      </c>
      <c r="L1502" s="969" t="s">
        <v>825</v>
      </c>
      <c r="M1502" s="1242">
        <v>270</v>
      </c>
      <c r="N1502" s="176">
        <v>240</v>
      </c>
      <c r="O1502" s="176">
        <v>200</v>
      </c>
      <c r="P1502" s="176">
        <v>200</v>
      </c>
      <c r="Q1502" s="176">
        <v>200</v>
      </c>
    </row>
    <row r="1503" spans="1:17" ht="59.25" x14ac:dyDescent="0.25">
      <c r="A1503" s="740">
        <v>56</v>
      </c>
      <c r="B1503" s="741">
        <v>4</v>
      </c>
      <c r="C1503" s="740"/>
      <c r="D1503" s="878"/>
      <c r="E1503" s="1586" t="s">
        <v>3119</v>
      </c>
      <c r="F1503" s="1488">
        <v>670.6</v>
      </c>
      <c r="G1503" s="1241">
        <v>14773.2</v>
      </c>
      <c r="H1503" s="1241">
        <f>SUM(H1504:H1509)</f>
        <v>13876.7</v>
      </c>
      <c r="I1503" s="1241">
        <v>14951.110835199997</v>
      </c>
      <c r="J1503" s="1241">
        <v>15040.8175002112</v>
      </c>
      <c r="K1503" s="1611" t="s">
        <v>2445</v>
      </c>
      <c r="L1503" s="865" t="s">
        <v>780</v>
      </c>
      <c r="M1503" s="879">
        <v>7</v>
      </c>
      <c r="N1503" s="879">
        <v>3</v>
      </c>
      <c r="O1503" s="879">
        <v>4</v>
      </c>
      <c r="P1503" s="879">
        <v>5</v>
      </c>
      <c r="Q1503" s="879">
        <v>6</v>
      </c>
    </row>
    <row r="1504" spans="1:17" ht="47.25" x14ac:dyDescent="0.25">
      <c r="A1504" s="876"/>
      <c r="B1504" s="877"/>
      <c r="C1504" s="876">
        <v>1</v>
      </c>
      <c r="D1504" s="873"/>
      <c r="E1504" s="1587" t="s">
        <v>2446</v>
      </c>
      <c r="F1504" s="1484">
        <v>0</v>
      </c>
      <c r="G1504" s="1484">
        <v>4538.8999999999996</v>
      </c>
      <c r="H1504" s="1192">
        <v>1000</v>
      </c>
      <c r="I1504" s="1192">
        <v>4593.5302003999996</v>
      </c>
      <c r="J1504" s="1192">
        <v>4621.0913816023995</v>
      </c>
      <c r="K1504" s="1612" t="s">
        <v>2447</v>
      </c>
      <c r="L1504" s="969" t="s">
        <v>825</v>
      </c>
      <c r="M1504" s="880" t="s">
        <v>63</v>
      </c>
      <c r="N1504" s="880">
        <v>10</v>
      </c>
      <c r="O1504" s="880">
        <v>13</v>
      </c>
      <c r="P1504" s="880">
        <v>16</v>
      </c>
      <c r="Q1504" s="880">
        <v>16</v>
      </c>
    </row>
    <row r="1505" spans="1:17" ht="78.75" x14ac:dyDescent="0.25">
      <c r="A1505" s="876"/>
      <c r="B1505" s="877"/>
      <c r="C1505" s="876">
        <v>2</v>
      </c>
      <c r="D1505" s="873"/>
      <c r="E1505" s="1587" t="s">
        <v>2448</v>
      </c>
      <c r="F1505" s="1484">
        <v>0</v>
      </c>
      <c r="G1505" s="1484">
        <v>6372.3000000000011</v>
      </c>
      <c r="H1505" s="1192">
        <v>7000</v>
      </c>
      <c r="I1505" s="1192">
        <v>6448.9970028000007</v>
      </c>
      <c r="J1505" s="1192">
        <v>6487.6909848168007</v>
      </c>
      <c r="K1505" s="1613" t="s">
        <v>2449</v>
      </c>
      <c r="L1505" s="969" t="s">
        <v>825</v>
      </c>
      <c r="M1505" s="880" t="s">
        <v>63</v>
      </c>
      <c r="N1505" s="880">
        <v>10</v>
      </c>
      <c r="O1505" s="880">
        <v>10</v>
      </c>
      <c r="P1505" s="880">
        <v>10</v>
      </c>
      <c r="Q1505" s="880">
        <v>10</v>
      </c>
    </row>
    <row r="1506" spans="1:17" ht="31.5" x14ac:dyDescent="0.25">
      <c r="A1506" s="876"/>
      <c r="B1506" s="877"/>
      <c r="C1506" s="876">
        <v>3</v>
      </c>
      <c r="D1506" s="873"/>
      <c r="E1506" s="1587" t="s">
        <v>2450</v>
      </c>
      <c r="F1506" s="1484">
        <v>0</v>
      </c>
      <c r="G1506" s="1484">
        <v>1400</v>
      </c>
      <c r="H1506" s="1192">
        <v>3000</v>
      </c>
      <c r="I1506" s="1192">
        <v>1416.8504</v>
      </c>
      <c r="J1506" s="1192">
        <v>1425.3515024000001</v>
      </c>
      <c r="K1506" s="1609" t="s">
        <v>2451</v>
      </c>
      <c r="L1506" s="969" t="s">
        <v>825</v>
      </c>
      <c r="M1506" s="880" t="s">
        <v>63</v>
      </c>
      <c r="N1506" s="880">
        <v>14</v>
      </c>
      <c r="O1506" s="880">
        <v>14</v>
      </c>
      <c r="P1506" s="880">
        <v>14</v>
      </c>
      <c r="Q1506" s="880">
        <v>14</v>
      </c>
    </row>
    <row r="1507" spans="1:17" ht="31.5" x14ac:dyDescent="0.25">
      <c r="A1507" s="1957"/>
      <c r="B1507" s="1480"/>
      <c r="C1507" s="1957">
        <v>4</v>
      </c>
      <c r="D1507" s="1959"/>
      <c r="E1507" s="1791" t="s">
        <v>2452</v>
      </c>
      <c r="F1507" s="1961">
        <v>0</v>
      </c>
      <c r="G1507" s="1961">
        <v>1239.8</v>
      </c>
      <c r="H1507" s="1804">
        <v>1447.2</v>
      </c>
      <c r="I1507" s="1804">
        <v>1254.7222327999998</v>
      </c>
      <c r="J1507" s="1804">
        <v>1262.2505661967998</v>
      </c>
      <c r="K1507" s="1614" t="s">
        <v>2453</v>
      </c>
      <c r="L1507" s="865" t="s">
        <v>780</v>
      </c>
      <c r="M1507" s="880" t="s">
        <v>63</v>
      </c>
      <c r="N1507" s="880">
        <v>12</v>
      </c>
      <c r="O1507" s="880">
        <v>18</v>
      </c>
      <c r="P1507" s="880">
        <v>20</v>
      </c>
      <c r="Q1507" s="880">
        <v>22</v>
      </c>
    </row>
    <row r="1508" spans="1:17" ht="31.5" x14ac:dyDescent="0.25">
      <c r="A1508" s="1958"/>
      <c r="B1508" s="861"/>
      <c r="C1508" s="1958"/>
      <c r="D1508" s="1960"/>
      <c r="E1508" s="1791"/>
      <c r="F1508" s="1962"/>
      <c r="G1508" s="1962"/>
      <c r="H1508" s="1805"/>
      <c r="I1508" s="1805"/>
      <c r="J1508" s="1805"/>
      <c r="K1508" s="1489" t="s">
        <v>2454</v>
      </c>
      <c r="L1508" s="865" t="s">
        <v>1334</v>
      </c>
      <c r="M1508" s="880" t="s">
        <v>63</v>
      </c>
      <c r="N1508" s="880">
        <v>1000</v>
      </c>
      <c r="O1508" s="880">
        <v>1000</v>
      </c>
      <c r="P1508" s="880">
        <v>1000</v>
      </c>
      <c r="Q1508" s="880">
        <v>1000</v>
      </c>
    </row>
    <row r="1509" spans="1:17" ht="31.5" x14ac:dyDescent="0.25">
      <c r="A1509" s="1479"/>
      <c r="B1509" s="1481"/>
      <c r="C1509" s="1483">
        <v>5</v>
      </c>
      <c r="D1509" s="1185"/>
      <c r="E1509" s="1452" t="s">
        <v>2455</v>
      </c>
      <c r="F1509" s="1484">
        <v>670.6</v>
      </c>
      <c r="G1509" s="1484">
        <v>1222.2</v>
      </c>
      <c r="H1509" s="1192">
        <v>1429.5</v>
      </c>
      <c r="I1509" s="1192">
        <v>1237.0109992</v>
      </c>
      <c r="J1509" s="1192">
        <v>1244.4330651952</v>
      </c>
      <c r="K1509" s="1489" t="s">
        <v>2456</v>
      </c>
      <c r="L1509" s="969" t="s">
        <v>825</v>
      </c>
      <c r="M1509" s="1490">
        <v>0</v>
      </c>
      <c r="N1509" s="1490">
        <v>4</v>
      </c>
      <c r="O1509" s="1490">
        <v>5</v>
      </c>
      <c r="P1509" s="1490">
        <v>6</v>
      </c>
      <c r="Q1509" s="1490">
        <v>6</v>
      </c>
    </row>
    <row r="1510" spans="1:17" x14ac:dyDescent="0.25">
      <c r="A1510" s="1651" t="s">
        <v>2457</v>
      </c>
      <c r="B1510" s="1651"/>
      <c r="C1510" s="1954"/>
      <c r="D1510" s="1954"/>
      <c r="E1510" s="1955"/>
      <c r="F1510" s="71">
        <v>708610.3</v>
      </c>
      <c r="G1510" s="71">
        <v>860324.2</v>
      </c>
      <c r="H1510" s="71">
        <f>H1477+H1490+H1496+H1503</f>
        <v>1018982.2999999999</v>
      </c>
      <c r="I1510" s="71">
        <v>932636.2984472001</v>
      </c>
      <c r="J1510" s="71">
        <v>943613.14563788311</v>
      </c>
      <c r="K1510" s="1178"/>
      <c r="L1510" s="881">
        <v>861744.1</v>
      </c>
      <c r="M1510" s="881"/>
      <c r="N1510" s="568"/>
      <c r="O1510" s="568"/>
      <c r="P1510" s="568"/>
      <c r="Q1510" s="882"/>
    </row>
    <row r="1511" spans="1:17" x14ac:dyDescent="0.25">
      <c r="A1511" s="1648" t="s">
        <v>2458</v>
      </c>
      <c r="B1511" s="1649"/>
      <c r="C1511" s="1649"/>
      <c r="D1511" s="1649"/>
      <c r="E1511" s="1663"/>
      <c r="F1511" s="1649"/>
      <c r="G1511" s="1649"/>
      <c r="H1511" s="1649"/>
      <c r="I1511" s="1649"/>
      <c r="J1511" s="1649"/>
      <c r="K1511" s="1649"/>
      <c r="L1511" s="1649"/>
      <c r="M1511" s="1649"/>
      <c r="N1511" s="1649"/>
      <c r="O1511" s="1649"/>
      <c r="P1511" s="1649"/>
      <c r="Q1511" s="1649"/>
    </row>
    <row r="1512" spans="1:17" ht="29.25" x14ac:dyDescent="0.25">
      <c r="A1512" s="1678">
        <v>57</v>
      </c>
      <c r="B1512" s="1751">
        <v>1</v>
      </c>
      <c r="C1512" s="1753"/>
      <c r="D1512" s="1956"/>
      <c r="E1512" s="1491" t="s">
        <v>135</v>
      </c>
      <c r="F1512" s="1950"/>
      <c r="G1512" s="1951">
        <v>7065.7</v>
      </c>
      <c r="H1512" s="1951">
        <f>SUM(H1514:H1517)</f>
        <v>6811.7000000000007</v>
      </c>
      <c r="I1512" s="1951">
        <v>7014.2</v>
      </c>
      <c r="J1512" s="1951">
        <v>7074.2</v>
      </c>
      <c r="K1512" s="1952"/>
      <c r="L1512" s="1901"/>
      <c r="M1512" s="1901"/>
      <c r="N1512" s="1901"/>
      <c r="O1512" s="1901"/>
      <c r="P1512" s="1901"/>
      <c r="Q1512" s="1639"/>
    </row>
    <row r="1513" spans="1:17" ht="60" x14ac:dyDescent="0.25">
      <c r="A1513" s="1679"/>
      <c r="B1513" s="1752"/>
      <c r="C1513" s="1753"/>
      <c r="D1513" s="1956"/>
      <c r="E1513" s="1339" t="s">
        <v>2459</v>
      </c>
      <c r="F1513" s="1950"/>
      <c r="G1513" s="1951"/>
      <c r="H1513" s="1951"/>
      <c r="I1513" s="1951"/>
      <c r="J1513" s="1951"/>
      <c r="K1513" s="1953"/>
      <c r="L1513" s="1773"/>
      <c r="M1513" s="1773"/>
      <c r="N1513" s="1773"/>
      <c r="O1513" s="1773"/>
      <c r="P1513" s="1773"/>
      <c r="Q1513" s="1640"/>
    </row>
    <row r="1514" spans="1:17" ht="60" x14ac:dyDescent="0.25">
      <c r="A1514" s="1158"/>
      <c r="B1514" s="1159"/>
      <c r="C1514" s="1117" t="s">
        <v>4</v>
      </c>
      <c r="D1514" s="461"/>
      <c r="E1514" s="1109" t="s">
        <v>393</v>
      </c>
      <c r="F1514" s="1492"/>
      <c r="G1514" s="1492">
        <v>1414.8</v>
      </c>
      <c r="H1514" s="1492">
        <v>1414.8</v>
      </c>
      <c r="I1514" s="1492">
        <v>1414.8</v>
      </c>
      <c r="J1514" s="1492">
        <v>1474.8</v>
      </c>
      <c r="K1514" s="348" t="s">
        <v>2460</v>
      </c>
      <c r="L1514" s="1196" t="s">
        <v>2461</v>
      </c>
      <c r="M1514" s="1214">
        <v>4</v>
      </c>
      <c r="N1514" s="1214">
        <v>4</v>
      </c>
      <c r="O1514" s="1214">
        <v>4</v>
      </c>
      <c r="P1514" s="1214">
        <v>5</v>
      </c>
      <c r="Q1514" s="1214">
        <v>5</v>
      </c>
    </row>
    <row r="1515" spans="1:17" ht="30" x14ac:dyDescent="0.25">
      <c r="A1515" s="1642"/>
      <c r="B1515" s="1248"/>
      <c r="C1515" s="1117" t="s">
        <v>5</v>
      </c>
      <c r="D1515" s="86"/>
      <c r="E1515" s="1235" t="s">
        <v>394</v>
      </c>
      <c r="F1515" s="1492"/>
      <c r="G1515" s="1492">
        <v>699.1</v>
      </c>
      <c r="H1515" s="1492">
        <v>699.1</v>
      </c>
      <c r="I1515" s="1492">
        <v>699.1</v>
      </c>
      <c r="J1515" s="1492">
        <v>699.1</v>
      </c>
      <c r="K1515" s="348" t="s">
        <v>2462</v>
      </c>
      <c r="L1515" s="1214" t="s">
        <v>34</v>
      </c>
      <c r="M1515" s="1214">
        <v>100</v>
      </c>
      <c r="N1515" s="1214">
        <v>100</v>
      </c>
      <c r="O1515" s="1214">
        <v>100</v>
      </c>
      <c r="P1515" s="1214">
        <v>100</v>
      </c>
      <c r="Q1515" s="1214">
        <v>100</v>
      </c>
    </row>
    <row r="1516" spans="1:17" ht="30" x14ac:dyDescent="0.25">
      <c r="A1516" s="1643"/>
      <c r="B1516" s="1248"/>
      <c r="C1516" s="1117" t="s">
        <v>9</v>
      </c>
      <c r="D1516" s="86"/>
      <c r="E1516" s="1235" t="s">
        <v>396</v>
      </c>
      <c r="F1516" s="1492"/>
      <c r="G1516" s="1492">
        <v>707.4</v>
      </c>
      <c r="H1516" s="1492">
        <v>707.4</v>
      </c>
      <c r="I1516" s="1492">
        <v>707.4</v>
      </c>
      <c r="J1516" s="1492">
        <v>707.4</v>
      </c>
      <c r="K1516" s="348" t="s">
        <v>2463</v>
      </c>
      <c r="L1516" s="1214" t="s">
        <v>34</v>
      </c>
      <c r="M1516" s="1214">
        <v>100</v>
      </c>
      <c r="N1516" s="1214">
        <v>100</v>
      </c>
      <c r="O1516" s="1214">
        <v>100</v>
      </c>
      <c r="P1516" s="1171">
        <v>100</v>
      </c>
      <c r="Q1516" s="1171">
        <v>100</v>
      </c>
    </row>
    <row r="1517" spans="1:17" ht="30" x14ac:dyDescent="0.25">
      <c r="A1517" s="1644"/>
      <c r="B1517" s="1248"/>
      <c r="C1517" s="1117" t="s">
        <v>13</v>
      </c>
      <c r="D1517" s="86"/>
      <c r="E1517" s="1217" t="s">
        <v>843</v>
      </c>
      <c r="F1517" s="1492"/>
      <c r="G1517" s="1492">
        <v>4244.3999999999996</v>
      </c>
      <c r="H1517" s="1492">
        <v>3990.4</v>
      </c>
      <c r="I1517" s="1492">
        <v>4192.8999999999996</v>
      </c>
      <c r="J1517" s="1492">
        <v>4192.8999999999996</v>
      </c>
      <c r="K1517" s="348" t="s">
        <v>2464</v>
      </c>
      <c r="L1517" s="1214" t="s">
        <v>34</v>
      </c>
      <c r="M1517" s="1214">
        <v>100</v>
      </c>
      <c r="N1517" s="1214">
        <v>100</v>
      </c>
      <c r="O1517" s="1214">
        <v>100</v>
      </c>
      <c r="P1517" s="1171">
        <v>100</v>
      </c>
      <c r="Q1517" s="1171">
        <v>100</v>
      </c>
    </row>
    <row r="1518" spans="1:17" ht="28.5" x14ac:dyDescent="0.25">
      <c r="A1518" s="1678">
        <v>57</v>
      </c>
      <c r="B1518" s="1751">
        <v>2</v>
      </c>
      <c r="C1518" s="1753"/>
      <c r="D1518" s="1949"/>
      <c r="E1518" s="1493" t="s">
        <v>2465</v>
      </c>
      <c r="F1518" s="1950"/>
      <c r="G1518" s="1951">
        <v>15562.800000000001</v>
      </c>
      <c r="H1518" s="1951">
        <f>SUM(H1520:H1524)</f>
        <v>19775.25</v>
      </c>
      <c r="I1518" s="1951">
        <v>15912.800000000001</v>
      </c>
      <c r="J1518" s="1951">
        <v>16156.2</v>
      </c>
      <c r="K1518" s="1952"/>
      <c r="L1518" s="1901"/>
      <c r="M1518" s="1774"/>
      <c r="N1518" s="1774"/>
      <c r="O1518" s="1774"/>
      <c r="P1518" s="1774"/>
      <c r="Q1518" s="1639"/>
    </row>
    <row r="1519" spans="1:17" ht="75" x14ac:dyDescent="0.25">
      <c r="A1519" s="1679"/>
      <c r="B1519" s="1752"/>
      <c r="C1519" s="1753"/>
      <c r="D1519" s="1949"/>
      <c r="E1519" s="462" t="s">
        <v>2466</v>
      </c>
      <c r="F1519" s="1950"/>
      <c r="G1519" s="1951"/>
      <c r="H1519" s="1951"/>
      <c r="I1519" s="1951"/>
      <c r="J1519" s="1951"/>
      <c r="K1519" s="1953"/>
      <c r="L1519" s="1773"/>
      <c r="M1519" s="1775"/>
      <c r="N1519" s="1775"/>
      <c r="O1519" s="1775"/>
      <c r="P1519" s="1775"/>
      <c r="Q1519" s="1640"/>
    </row>
    <row r="1520" spans="1:17" ht="45" x14ac:dyDescent="0.25">
      <c r="A1520" s="883"/>
      <c r="B1520" s="884"/>
      <c r="C1520" s="1117" t="s">
        <v>4</v>
      </c>
      <c r="D1520" s="1182"/>
      <c r="E1520" s="1296" t="s">
        <v>2467</v>
      </c>
      <c r="F1520" s="1181"/>
      <c r="G1520" s="1181">
        <v>9196.2000000000007</v>
      </c>
      <c r="H1520" s="1181">
        <v>11109.3</v>
      </c>
      <c r="I1520" s="1181">
        <v>9296.2000000000007</v>
      </c>
      <c r="J1520" s="1181">
        <v>9418.6</v>
      </c>
      <c r="K1520" s="348" t="s">
        <v>2468</v>
      </c>
      <c r="L1520" s="1214" t="s">
        <v>34</v>
      </c>
      <c r="M1520" s="1214">
        <v>80</v>
      </c>
      <c r="N1520" s="1214">
        <v>90</v>
      </c>
      <c r="O1520" s="1214">
        <v>100</v>
      </c>
      <c r="P1520" s="70">
        <v>100</v>
      </c>
      <c r="Q1520" s="1214">
        <v>100</v>
      </c>
    </row>
    <row r="1521" spans="1:17" ht="30" x14ac:dyDescent="0.25">
      <c r="A1521" s="1944"/>
      <c r="B1521" s="1494"/>
      <c r="C1521" s="1669" t="s">
        <v>5</v>
      </c>
      <c r="D1521" s="1675"/>
      <c r="E1521" s="1684" t="s">
        <v>2469</v>
      </c>
      <c r="F1521" s="1946"/>
      <c r="G1521" s="1946">
        <v>2829.6</v>
      </c>
      <c r="H1521" s="1946">
        <v>2589.8000000000002</v>
      </c>
      <c r="I1521" s="1946">
        <v>2854.6</v>
      </c>
      <c r="J1521" s="1946">
        <v>2914.6</v>
      </c>
      <c r="K1521" s="348" t="s">
        <v>2470</v>
      </c>
      <c r="L1521" s="1214" t="s">
        <v>34</v>
      </c>
      <c r="M1521" s="1322">
        <v>50</v>
      </c>
      <c r="N1521" s="1322">
        <v>70</v>
      </c>
      <c r="O1521" s="1322">
        <v>90</v>
      </c>
      <c r="P1521" s="1214">
        <v>100</v>
      </c>
      <c r="Q1521" s="1322">
        <v>100</v>
      </c>
    </row>
    <row r="1522" spans="1:17" ht="45" x14ac:dyDescent="0.25">
      <c r="A1522" s="1945"/>
      <c r="B1522" s="885"/>
      <c r="C1522" s="1670"/>
      <c r="D1522" s="1677"/>
      <c r="E1522" s="1686"/>
      <c r="F1522" s="1946"/>
      <c r="G1522" s="1946"/>
      <c r="H1522" s="1946"/>
      <c r="I1522" s="1946"/>
      <c r="J1522" s="1946"/>
      <c r="K1522" s="348" t="s">
        <v>2471</v>
      </c>
      <c r="L1522" s="1322" t="s">
        <v>1633</v>
      </c>
      <c r="M1522" s="1322" t="s">
        <v>89</v>
      </c>
      <c r="N1522" s="1322" t="s">
        <v>89</v>
      </c>
      <c r="O1522" s="1322" t="s">
        <v>89</v>
      </c>
      <c r="P1522" s="1322" t="s">
        <v>89</v>
      </c>
      <c r="Q1522" s="1322" t="s">
        <v>89</v>
      </c>
    </row>
    <row r="1523" spans="1:17" x14ac:dyDescent="0.25">
      <c r="A1523" s="1944"/>
      <c r="B1523" s="1494"/>
      <c r="C1523" s="1753" t="s">
        <v>7</v>
      </c>
      <c r="D1523" s="1681"/>
      <c r="E1523" s="1948" t="s">
        <v>2472</v>
      </c>
      <c r="F1523" s="1946"/>
      <c r="G1523" s="1946">
        <v>3537</v>
      </c>
      <c r="H1523" s="1946">
        <v>6076.15</v>
      </c>
      <c r="I1523" s="1946">
        <v>3762</v>
      </c>
      <c r="J1523" s="1946">
        <v>3823</v>
      </c>
      <c r="K1523" s="1927" t="s">
        <v>2473</v>
      </c>
      <c r="L1523" s="1901" t="s">
        <v>34</v>
      </c>
      <c r="M1523" s="1928">
        <v>70</v>
      </c>
      <c r="N1523" s="1928">
        <v>80</v>
      </c>
      <c r="O1523" s="1928">
        <v>90</v>
      </c>
      <c r="P1523" s="1928">
        <v>100</v>
      </c>
      <c r="Q1523" s="1930">
        <v>100</v>
      </c>
    </row>
    <row r="1524" spans="1:17" x14ac:dyDescent="0.25">
      <c r="A1524" s="1947"/>
      <c r="B1524" s="886"/>
      <c r="C1524" s="1753"/>
      <c r="D1524" s="1681"/>
      <c r="E1524" s="1948"/>
      <c r="F1524" s="1946"/>
      <c r="G1524" s="1946"/>
      <c r="H1524" s="1946"/>
      <c r="I1524" s="1946"/>
      <c r="J1524" s="1946"/>
      <c r="K1524" s="1927"/>
      <c r="L1524" s="1773"/>
      <c r="M1524" s="1929"/>
      <c r="N1524" s="1929"/>
      <c r="O1524" s="1929"/>
      <c r="P1524" s="1929"/>
      <c r="Q1524" s="1931"/>
    </row>
    <row r="1525" spans="1:17" x14ac:dyDescent="0.25">
      <c r="A1525" s="1932" t="s">
        <v>2474</v>
      </c>
      <c r="B1525" s="1932"/>
      <c r="C1525" s="1932"/>
      <c r="D1525" s="1932"/>
      <c r="E1525" s="1932"/>
      <c r="F1525" s="887">
        <v>0</v>
      </c>
      <c r="G1525" s="887">
        <v>22628.5</v>
      </c>
      <c r="H1525" s="887">
        <f>H1512+H1518</f>
        <v>26586.95</v>
      </c>
      <c r="I1525" s="887">
        <v>22927</v>
      </c>
      <c r="J1525" s="887">
        <v>23230.400000000001</v>
      </c>
      <c r="K1525" s="888"/>
      <c r="L1525" s="648"/>
      <c r="M1525" s="889"/>
      <c r="N1525" s="889"/>
      <c r="O1525" s="889"/>
      <c r="P1525" s="889"/>
      <c r="Q1525" s="889"/>
    </row>
    <row r="1526" spans="1:17" ht="15.75" thickBot="1" x14ac:dyDescent="0.3">
      <c r="A1526" s="1648" t="s">
        <v>2475</v>
      </c>
      <c r="B1526" s="1649"/>
      <c r="C1526" s="1649"/>
      <c r="D1526" s="1649"/>
      <c r="E1526" s="1649"/>
      <c r="F1526" s="1649"/>
      <c r="G1526" s="1649"/>
      <c r="H1526" s="1649"/>
      <c r="I1526" s="1649"/>
      <c r="J1526" s="1649"/>
      <c r="K1526" s="1649"/>
      <c r="L1526" s="1649"/>
      <c r="M1526" s="1649"/>
      <c r="N1526" s="1649"/>
      <c r="O1526" s="1649"/>
      <c r="P1526" s="1649"/>
      <c r="Q1526" s="1649"/>
    </row>
    <row r="1527" spans="1:17" ht="74.25" x14ac:dyDescent="0.25">
      <c r="A1527" s="890">
        <v>58</v>
      </c>
      <c r="B1527" s="1233">
        <v>1</v>
      </c>
      <c r="C1527" s="1148"/>
      <c r="D1527" s="891"/>
      <c r="E1527" s="178" t="s">
        <v>2476</v>
      </c>
      <c r="F1527" s="1213">
        <v>9573.2000000000007</v>
      </c>
      <c r="G1527" s="892">
        <v>9193.9</v>
      </c>
      <c r="H1527" s="892">
        <f>SUM(H1528:H1534)</f>
        <v>10221.5</v>
      </c>
      <c r="I1527" s="159">
        <v>10154.818499999999</v>
      </c>
      <c r="J1527" s="159">
        <v>10286.831140499999</v>
      </c>
      <c r="K1527" s="1195" t="s">
        <v>2477</v>
      </c>
      <c r="L1527" s="1218" t="s">
        <v>34</v>
      </c>
      <c r="M1527" s="1218"/>
      <c r="N1527" s="1218"/>
      <c r="O1527" s="1218"/>
      <c r="P1527" s="1218"/>
      <c r="Q1527" s="1218"/>
    </row>
    <row r="1528" spans="1:17" x14ac:dyDescent="0.25">
      <c r="A1528" s="1447"/>
      <c r="B1528" s="1448"/>
      <c r="C1528" s="1397">
        <v>1</v>
      </c>
      <c r="D1528" s="1180"/>
      <c r="E1528" s="1100" t="s">
        <v>1406</v>
      </c>
      <c r="F1528" s="1125">
        <v>3220</v>
      </c>
      <c r="G1528" s="1125">
        <v>3151.7</v>
      </c>
      <c r="H1528" s="1166">
        <v>3346.7</v>
      </c>
      <c r="I1528" s="1125">
        <v>3403.3761</v>
      </c>
      <c r="J1528" s="1125">
        <v>3447.6199892999998</v>
      </c>
      <c r="K1528" s="1212" t="s">
        <v>438</v>
      </c>
      <c r="L1528" s="1212" t="s">
        <v>35</v>
      </c>
      <c r="M1528" s="1195">
        <v>48</v>
      </c>
      <c r="N1528" s="1195">
        <v>0.49</v>
      </c>
      <c r="O1528" s="1195">
        <v>0.5</v>
      </c>
      <c r="P1528" s="1195">
        <v>0.5</v>
      </c>
      <c r="Q1528" s="1195">
        <v>0.5</v>
      </c>
    </row>
    <row r="1529" spans="1:17" ht="30" x14ac:dyDescent="0.25">
      <c r="A1529" s="1447"/>
      <c r="B1529" s="1449"/>
      <c r="C1529" s="331">
        <v>2</v>
      </c>
      <c r="D1529" s="1180"/>
      <c r="E1529" s="1302" t="s">
        <v>1765</v>
      </c>
      <c r="F1529" s="1125">
        <v>1030.5999999999999</v>
      </c>
      <c r="G1529" s="1125">
        <v>894.6</v>
      </c>
      <c r="H1529" s="1166">
        <v>983.6</v>
      </c>
      <c r="I1529" s="1125">
        <v>996.38679999999988</v>
      </c>
      <c r="J1529" s="1125">
        <v>1009.3398283999999</v>
      </c>
      <c r="K1529" s="1212" t="s">
        <v>2478</v>
      </c>
      <c r="L1529" s="1212" t="s">
        <v>34</v>
      </c>
      <c r="M1529" s="1195"/>
      <c r="N1529" s="1195"/>
      <c r="O1529" s="1195"/>
      <c r="P1529" s="1195"/>
      <c r="Q1529" s="1195"/>
    </row>
    <row r="1530" spans="1:17" x14ac:dyDescent="0.25">
      <c r="A1530" s="1447"/>
      <c r="B1530" s="1449"/>
      <c r="C1530" s="331">
        <v>3</v>
      </c>
      <c r="D1530" s="1180"/>
      <c r="E1530" s="1212" t="s">
        <v>842</v>
      </c>
      <c r="F1530" s="1125"/>
      <c r="G1530" s="1125"/>
      <c r="H1530" s="1166">
        <v>2849.7</v>
      </c>
      <c r="I1530" s="1125"/>
      <c r="J1530" s="1125"/>
      <c r="K1530" s="1212"/>
      <c r="L1530" s="1212"/>
      <c r="M1530" s="1195"/>
      <c r="N1530" s="1195"/>
      <c r="O1530" s="1195"/>
      <c r="P1530" s="1195"/>
      <c r="Q1530" s="1195"/>
    </row>
    <row r="1531" spans="1:17" ht="30" x14ac:dyDescent="0.25">
      <c r="A1531" s="1447"/>
      <c r="B1531" s="1431"/>
      <c r="C1531" s="338">
        <v>4</v>
      </c>
      <c r="D1531" s="1180"/>
      <c r="E1531" s="1302" t="s">
        <v>396</v>
      </c>
      <c r="F1531" s="1125">
        <v>1261.8</v>
      </c>
      <c r="G1531" s="1125">
        <v>1205.8</v>
      </c>
      <c r="H1531" s="1166">
        <v>1324.8</v>
      </c>
      <c r="I1531" s="1125">
        <v>1342.0223999999998</v>
      </c>
      <c r="J1531" s="1125">
        <v>1359.4686912</v>
      </c>
      <c r="K1531" s="1212" t="s">
        <v>2479</v>
      </c>
      <c r="L1531" s="1196" t="s">
        <v>1944</v>
      </c>
      <c r="M1531" s="893"/>
      <c r="N1531" s="1195"/>
      <c r="O1531" s="1195"/>
      <c r="P1531" s="1195"/>
      <c r="Q1531" s="1195"/>
    </row>
    <row r="1532" spans="1:17" ht="45" x14ac:dyDescent="0.25">
      <c r="A1532" s="1447"/>
      <c r="B1532" s="1449"/>
      <c r="C1532" s="331">
        <v>6</v>
      </c>
      <c r="D1532" s="1180"/>
      <c r="E1532" s="1217" t="s">
        <v>612</v>
      </c>
      <c r="F1532" s="1125">
        <v>1280.0999999999999</v>
      </c>
      <c r="G1532" s="1125">
        <v>1229.0999999999999</v>
      </c>
      <c r="H1532" s="1166">
        <v>1716.7</v>
      </c>
      <c r="I1532" s="1125">
        <v>1514.1310999999998</v>
      </c>
      <c r="J1532" s="1125">
        <v>1533.8148042999997</v>
      </c>
      <c r="K1532" s="1212" t="s">
        <v>2480</v>
      </c>
      <c r="L1532" s="1212" t="s">
        <v>34</v>
      </c>
      <c r="M1532" s="1195"/>
      <c r="N1532" s="1195"/>
      <c r="O1532" s="1195"/>
      <c r="P1532" s="1195"/>
      <c r="Q1532" s="1195"/>
    </row>
    <row r="1533" spans="1:17" ht="30" x14ac:dyDescent="0.25">
      <c r="A1533" s="1447"/>
      <c r="B1533" s="1933"/>
      <c r="C1533" s="1935">
        <v>44</v>
      </c>
      <c r="D1533" s="1937"/>
      <c r="E1533" s="1939" t="s">
        <v>2481</v>
      </c>
      <c r="F1533" s="1762">
        <v>2780.7</v>
      </c>
      <c r="G1533" s="1940">
        <v>2712.7</v>
      </c>
      <c r="H1533" s="1942"/>
      <c r="I1533" s="1765">
        <v>2898.9020999999998</v>
      </c>
      <c r="J1533" s="1765">
        <v>2936.5878272999998</v>
      </c>
      <c r="K1533" s="1212" t="s">
        <v>2482</v>
      </c>
      <c r="L1533" s="1212" t="s">
        <v>34</v>
      </c>
      <c r="M1533" s="1195"/>
      <c r="N1533" s="1195"/>
      <c r="O1533" s="1195"/>
      <c r="P1533" s="1195"/>
      <c r="Q1533" s="1195"/>
    </row>
    <row r="1534" spans="1:17" x14ac:dyDescent="0.25">
      <c r="A1534" s="1447"/>
      <c r="B1534" s="1934"/>
      <c r="C1534" s="1936"/>
      <c r="D1534" s="1938"/>
      <c r="E1534" s="1939"/>
      <c r="F1534" s="1764"/>
      <c r="G1534" s="1941"/>
      <c r="H1534" s="1943"/>
      <c r="I1534" s="1765"/>
      <c r="J1534" s="1765"/>
      <c r="K1534" s="1212" t="s">
        <v>2483</v>
      </c>
      <c r="L1534" s="1196" t="s">
        <v>1503</v>
      </c>
      <c r="M1534" s="1195">
        <v>40</v>
      </c>
      <c r="N1534" s="1195">
        <v>40</v>
      </c>
      <c r="O1534" s="1195">
        <v>41</v>
      </c>
      <c r="P1534" s="1195">
        <v>42</v>
      </c>
      <c r="Q1534" s="1195">
        <v>45</v>
      </c>
    </row>
    <row r="1535" spans="1:17" x14ac:dyDescent="0.25">
      <c r="A1535" s="1430">
        <v>58</v>
      </c>
      <c r="B1535" s="1438">
        <v>2</v>
      </c>
      <c r="C1535" s="1196"/>
      <c r="D1535" s="1212"/>
      <c r="E1535" s="1195" t="s">
        <v>2484</v>
      </c>
      <c r="F1535" s="894">
        <v>5620.7</v>
      </c>
      <c r="G1535" s="894">
        <v>5416.7</v>
      </c>
      <c r="H1535" s="894">
        <f>SUM(H1536:H1538)</f>
        <v>5856.7</v>
      </c>
      <c r="I1535" s="1213">
        <v>5969.3050999999996</v>
      </c>
      <c r="J1535" s="1213">
        <v>6046.9060662999991</v>
      </c>
      <c r="K1535" s="1495"/>
      <c r="L1535" s="1495"/>
      <c r="M1535" s="1495"/>
      <c r="N1535" s="1496"/>
      <c r="O1535" s="1496"/>
      <c r="P1535" s="1496"/>
      <c r="Q1535" s="1496"/>
    </row>
    <row r="1536" spans="1:17" x14ac:dyDescent="0.25">
      <c r="A1536" s="1497"/>
      <c r="B1536" s="1498"/>
      <c r="C1536" s="1399" t="s">
        <v>4</v>
      </c>
      <c r="D1536" s="1499"/>
      <c r="E1536" s="1217" t="s">
        <v>2485</v>
      </c>
      <c r="F1536" s="1125">
        <v>2101.1</v>
      </c>
      <c r="G1536" s="779">
        <v>1982.1</v>
      </c>
      <c r="H1536" s="895">
        <v>2148.1</v>
      </c>
      <c r="I1536" s="1125">
        <v>2188.1812999999997</v>
      </c>
      <c r="J1536" s="1125">
        <v>2216.6276568999997</v>
      </c>
      <c r="K1536" s="756" t="s">
        <v>2486</v>
      </c>
      <c r="L1536" s="1452" t="s">
        <v>308</v>
      </c>
      <c r="M1536" s="1500">
        <v>2.9</v>
      </c>
      <c r="N1536" s="1501">
        <v>3.1</v>
      </c>
      <c r="O1536" s="1501">
        <v>3.2</v>
      </c>
      <c r="P1536" s="1501">
        <v>3.3</v>
      </c>
      <c r="Q1536" s="1501">
        <v>3.5</v>
      </c>
    </row>
    <row r="1537" spans="1:17" x14ac:dyDescent="0.25">
      <c r="A1537" s="1497"/>
      <c r="B1537" s="1498"/>
      <c r="C1537" s="1105" t="s">
        <v>5</v>
      </c>
      <c r="D1537" s="896"/>
      <c r="E1537" s="1212" t="s">
        <v>2487</v>
      </c>
      <c r="F1537" s="1125">
        <v>2067.1</v>
      </c>
      <c r="G1537" s="1125">
        <v>1982.1</v>
      </c>
      <c r="H1537" s="1166">
        <v>2119.1</v>
      </c>
      <c r="I1537" s="1125">
        <v>2158.8042999999998</v>
      </c>
      <c r="J1537" s="1125">
        <v>2186.8687559</v>
      </c>
      <c r="K1537" s="1217" t="s">
        <v>2488</v>
      </c>
      <c r="L1537" s="1212" t="s">
        <v>36</v>
      </c>
      <c r="M1537" s="829">
        <v>5500</v>
      </c>
      <c r="N1537" s="829">
        <v>6000</v>
      </c>
      <c r="O1537" s="829">
        <v>6500</v>
      </c>
      <c r="P1537" s="829">
        <v>6500</v>
      </c>
      <c r="Q1537" s="829">
        <v>6600</v>
      </c>
    </row>
    <row r="1538" spans="1:17" ht="30" x14ac:dyDescent="0.25">
      <c r="A1538" s="1497"/>
      <c r="B1538" s="1498"/>
      <c r="C1538" s="1105" t="s">
        <v>7</v>
      </c>
      <c r="D1538" s="896"/>
      <c r="E1538" s="1212" t="s">
        <v>2489</v>
      </c>
      <c r="F1538" s="1125">
        <v>1452.5</v>
      </c>
      <c r="G1538" s="1125">
        <v>1452.5</v>
      </c>
      <c r="H1538" s="1166">
        <v>1589.5</v>
      </c>
      <c r="I1538" s="1125">
        <v>1622.3194999999998</v>
      </c>
      <c r="J1538" s="1125">
        <v>1643.4096534999999</v>
      </c>
      <c r="K1538" s="1217" t="s">
        <v>2490</v>
      </c>
      <c r="L1538" s="1212" t="s">
        <v>308</v>
      </c>
      <c r="M1538" s="829">
        <v>74</v>
      </c>
      <c r="N1538" s="829">
        <v>75</v>
      </c>
      <c r="O1538" s="829">
        <v>76</v>
      </c>
      <c r="P1538" s="829">
        <v>77</v>
      </c>
      <c r="Q1538" s="829">
        <v>78</v>
      </c>
    </row>
    <row r="1539" spans="1:17" ht="28.5" x14ac:dyDescent="0.25">
      <c r="A1539" s="1103">
        <v>58</v>
      </c>
      <c r="B1539" s="1143">
        <v>3</v>
      </c>
      <c r="C1539" s="1196"/>
      <c r="D1539" s="1212"/>
      <c r="E1539" s="1195" t="s">
        <v>2491</v>
      </c>
      <c r="F1539" s="1213">
        <v>4487.5</v>
      </c>
      <c r="G1539" s="894">
        <v>4232.5</v>
      </c>
      <c r="H1539" s="894">
        <f>SUM(H1540:H1542)</f>
        <v>4618.5</v>
      </c>
      <c r="I1539" s="1213">
        <v>4709.9435000000003</v>
      </c>
      <c r="J1539" s="1213">
        <v>4771.1727654999995</v>
      </c>
      <c r="K1539" s="1195"/>
      <c r="L1539" s="1195"/>
      <c r="M1539" s="1195"/>
      <c r="N1539" s="897"/>
      <c r="O1539" s="897"/>
      <c r="P1539" s="897"/>
      <c r="Q1539" s="897"/>
    </row>
    <row r="1540" spans="1:17" ht="30" x14ac:dyDescent="0.25">
      <c r="A1540" s="422"/>
      <c r="B1540" s="252"/>
      <c r="C1540" s="1105" t="s">
        <v>4</v>
      </c>
      <c r="D1540" s="896"/>
      <c r="E1540" s="1212" t="s">
        <v>2492</v>
      </c>
      <c r="F1540" s="1125">
        <v>1492.9</v>
      </c>
      <c r="G1540" s="1125">
        <v>1407.9</v>
      </c>
      <c r="H1540" s="1166">
        <v>1544.9</v>
      </c>
      <c r="I1540" s="1125">
        <v>1577.1396999999999</v>
      </c>
      <c r="J1540" s="1125">
        <v>1597.6425160999997</v>
      </c>
      <c r="K1540" s="1212" t="s">
        <v>2493</v>
      </c>
      <c r="L1540" s="1212" t="s">
        <v>309</v>
      </c>
      <c r="M1540" s="1212">
        <v>110</v>
      </c>
      <c r="N1540" s="829">
        <v>115</v>
      </c>
      <c r="O1540" s="829">
        <v>120</v>
      </c>
      <c r="P1540" s="829">
        <v>125</v>
      </c>
      <c r="Q1540" s="829">
        <v>128</v>
      </c>
    </row>
    <row r="1541" spans="1:17" ht="30" x14ac:dyDescent="0.25">
      <c r="A1541" s="422"/>
      <c r="B1541" s="252"/>
      <c r="C1541" s="1105" t="s">
        <v>5</v>
      </c>
      <c r="D1541" s="896"/>
      <c r="E1541" s="1212" t="s">
        <v>2494</v>
      </c>
      <c r="F1541" s="1125">
        <v>1497.9</v>
      </c>
      <c r="G1541" s="1125">
        <v>1412.9</v>
      </c>
      <c r="H1541" s="1166">
        <v>1549.9</v>
      </c>
      <c r="I1541" s="1125">
        <v>1582.2047</v>
      </c>
      <c r="J1541" s="1125">
        <v>1602.7733611000001</v>
      </c>
      <c r="K1541" s="1212" t="s">
        <v>2495</v>
      </c>
      <c r="L1541" s="1212" t="s">
        <v>34</v>
      </c>
      <c r="M1541" s="898">
        <v>4.4000000000000004</v>
      </c>
      <c r="N1541" s="898">
        <v>4.5</v>
      </c>
      <c r="O1541" s="898">
        <v>4.8</v>
      </c>
      <c r="P1541" s="898">
        <v>4.9000000000000004</v>
      </c>
      <c r="Q1541" s="899">
        <v>5</v>
      </c>
    </row>
    <row r="1542" spans="1:17" ht="30" x14ac:dyDescent="0.25">
      <c r="A1542" s="422"/>
      <c r="B1542" s="252"/>
      <c r="C1542" s="1105" t="s">
        <v>7</v>
      </c>
      <c r="D1542" s="896"/>
      <c r="E1542" s="1212" t="s">
        <v>2496</v>
      </c>
      <c r="F1542" s="1125">
        <v>1496.7</v>
      </c>
      <c r="G1542" s="1125">
        <v>1411.7</v>
      </c>
      <c r="H1542" s="1166">
        <v>1523.7</v>
      </c>
      <c r="I1542" s="1125">
        <v>1550.5991000000001</v>
      </c>
      <c r="J1542" s="1125">
        <v>1570.7568882999999</v>
      </c>
      <c r="K1542" s="1212" t="s">
        <v>2497</v>
      </c>
      <c r="L1542" s="1212" t="s">
        <v>309</v>
      </c>
      <c r="M1542" s="1212">
        <v>50</v>
      </c>
      <c r="N1542" s="1212">
        <v>60</v>
      </c>
      <c r="O1542" s="1212">
        <v>70</v>
      </c>
      <c r="P1542" s="1212">
        <v>80</v>
      </c>
      <c r="Q1542" s="1212">
        <v>80</v>
      </c>
    </row>
    <row r="1543" spans="1:17" ht="28.5" x14ac:dyDescent="0.25">
      <c r="A1543" s="1103">
        <v>58</v>
      </c>
      <c r="B1543" s="1143">
        <v>4</v>
      </c>
      <c r="C1543" s="1196"/>
      <c r="D1543" s="1212"/>
      <c r="E1543" s="178" t="s">
        <v>2498</v>
      </c>
      <c r="F1543" s="894">
        <v>3695.3999999999996</v>
      </c>
      <c r="G1543" s="894">
        <v>3270.6</v>
      </c>
      <c r="H1543" s="894">
        <f>SUM(H1544:H1545)</f>
        <v>3597.6000000000004</v>
      </c>
      <c r="I1543" s="894">
        <v>3468.1751000000004</v>
      </c>
      <c r="J1543" s="894">
        <v>3518.4514763000002</v>
      </c>
      <c r="K1543" s="1212"/>
      <c r="L1543" s="1212"/>
      <c r="M1543" s="1212"/>
      <c r="N1543" s="829"/>
      <c r="O1543" s="829"/>
      <c r="P1543" s="829"/>
      <c r="Q1543" s="829"/>
    </row>
    <row r="1544" spans="1:17" ht="30" x14ac:dyDescent="0.25">
      <c r="A1544" s="1497"/>
      <c r="B1544" s="1498"/>
      <c r="C1544" s="1399" t="s">
        <v>4</v>
      </c>
      <c r="D1544" s="1502"/>
      <c r="E1544" s="1212" t="s">
        <v>2499</v>
      </c>
      <c r="F1544" s="1125">
        <v>1735.8</v>
      </c>
      <c r="G1544" s="1125">
        <v>1633.8</v>
      </c>
      <c r="H1544" s="1503">
        <v>1782.7</v>
      </c>
      <c r="I1544" s="1125">
        <v>1805.8751000000002</v>
      </c>
      <c r="J1544" s="1125">
        <v>1829.3514763000003</v>
      </c>
      <c r="K1544" s="1212" t="s">
        <v>2500</v>
      </c>
      <c r="L1544" s="1196" t="s">
        <v>1503</v>
      </c>
      <c r="M1544" s="1212">
        <v>30</v>
      </c>
      <c r="N1544" s="829">
        <v>30</v>
      </c>
      <c r="O1544" s="829">
        <v>32</v>
      </c>
      <c r="P1544" s="829">
        <v>35</v>
      </c>
      <c r="Q1544" s="829">
        <v>40</v>
      </c>
    </row>
    <row r="1545" spans="1:17" ht="45" x14ac:dyDescent="0.25">
      <c r="A1545" s="1497"/>
      <c r="B1545" s="1498"/>
      <c r="C1545" s="1399" t="s">
        <v>5</v>
      </c>
      <c r="D1545" s="1499"/>
      <c r="E1545" s="831" t="s">
        <v>2501</v>
      </c>
      <c r="F1545" s="1445">
        <v>1959.6</v>
      </c>
      <c r="G1545" s="1445">
        <v>1636.8</v>
      </c>
      <c r="H1545" s="1166">
        <v>1814.9</v>
      </c>
      <c r="I1545" s="1125">
        <v>1662.3</v>
      </c>
      <c r="J1545" s="1125">
        <v>1689.1</v>
      </c>
      <c r="K1545" s="1212" t="s">
        <v>2502</v>
      </c>
      <c r="L1545" s="1212" t="s">
        <v>34</v>
      </c>
      <c r="M1545" s="1212">
        <v>86.1</v>
      </c>
      <c r="N1545" s="829">
        <v>87.1</v>
      </c>
      <c r="O1545" s="829">
        <v>87.5</v>
      </c>
      <c r="P1545" s="829">
        <v>90</v>
      </c>
      <c r="Q1545" s="829">
        <v>92</v>
      </c>
    </row>
    <row r="1546" spans="1:17" x14ac:dyDescent="0.25">
      <c r="A1546" s="1651" t="s">
        <v>2503</v>
      </c>
      <c r="B1546" s="1651"/>
      <c r="C1546" s="1651"/>
      <c r="D1546" s="1651"/>
      <c r="E1546" s="1652"/>
      <c r="F1546" s="42">
        <v>23376.799999999999</v>
      </c>
      <c r="G1546" s="42">
        <v>22113.699999999997</v>
      </c>
      <c r="H1546" s="42">
        <f>H1527+H1535+H1539+H1543</f>
        <v>24294.300000000003</v>
      </c>
      <c r="I1546" s="42">
        <v>24302.242200000001</v>
      </c>
      <c r="J1546" s="42">
        <v>24623.361448599997</v>
      </c>
      <c r="K1546" s="15"/>
      <c r="L1546" s="1231"/>
      <c r="M1546" s="1231"/>
      <c r="N1546" s="1231"/>
      <c r="O1546" s="1231"/>
      <c r="P1546" s="1231"/>
      <c r="Q1546" s="1281"/>
    </row>
    <row r="1547" spans="1:17" x14ac:dyDescent="0.25">
      <c r="A1547" s="1648" t="s">
        <v>2504</v>
      </c>
      <c r="B1547" s="1649"/>
      <c r="C1547" s="1649"/>
      <c r="D1547" s="1649"/>
      <c r="E1547" s="1649"/>
      <c r="F1547" s="1649"/>
      <c r="G1547" s="1649"/>
      <c r="H1547" s="1649"/>
      <c r="I1547" s="1649"/>
      <c r="J1547" s="1649"/>
      <c r="K1547" s="1649"/>
      <c r="L1547" s="1649"/>
      <c r="M1547" s="1649"/>
      <c r="N1547" s="1649"/>
      <c r="O1547" s="1649"/>
      <c r="P1547" s="1649"/>
      <c r="Q1547" s="1649"/>
    </row>
    <row r="1548" spans="1:17" ht="74.25" x14ac:dyDescent="0.25">
      <c r="A1548" s="416">
        <v>59</v>
      </c>
      <c r="B1548" s="58">
        <v>1</v>
      </c>
      <c r="C1548" s="459"/>
      <c r="D1548" s="460"/>
      <c r="E1548" s="1195" t="s">
        <v>2505</v>
      </c>
      <c r="F1548" s="1229">
        <v>12271.94</v>
      </c>
      <c r="G1548" s="1229">
        <v>33364.699999999997</v>
      </c>
      <c r="H1548" s="1229">
        <f>SUM(H1549:H1553)</f>
        <v>15177.800000000001</v>
      </c>
      <c r="I1548" s="1229">
        <v>12434.685595679999</v>
      </c>
      <c r="J1548" s="1229">
        <v>12599.231303230514</v>
      </c>
      <c r="K1548" s="1195" t="s">
        <v>2506</v>
      </c>
      <c r="L1548" s="464" t="s">
        <v>34</v>
      </c>
      <c r="M1548" s="464">
        <v>38.700000000000003</v>
      </c>
      <c r="N1548" s="464">
        <v>38.299999999999997</v>
      </c>
      <c r="O1548" s="464">
        <v>38.299999999999997</v>
      </c>
      <c r="P1548" s="900">
        <v>39</v>
      </c>
      <c r="Q1548" s="464">
        <v>39.4</v>
      </c>
    </row>
    <row r="1549" spans="1:17" x14ac:dyDescent="0.25">
      <c r="A1549" s="416"/>
      <c r="B1549" s="58"/>
      <c r="C1549" s="1163" t="s">
        <v>4</v>
      </c>
      <c r="D1549" s="460"/>
      <c r="E1549" s="1100" t="s">
        <v>393</v>
      </c>
      <c r="F1549" s="1303">
        <v>5452.4</v>
      </c>
      <c r="G1549" s="1303">
        <v>26145</v>
      </c>
      <c r="H1549" s="1303">
        <v>8018.2</v>
      </c>
      <c r="I1549" s="1303">
        <v>5848.0348241399997</v>
      </c>
      <c r="J1549" s="1303">
        <v>5925.4206993608796</v>
      </c>
      <c r="K1549" s="1302" t="s">
        <v>2507</v>
      </c>
      <c r="L1549" s="464" t="s">
        <v>34</v>
      </c>
      <c r="M1549" s="464">
        <v>100</v>
      </c>
      <c r="N1549" s="464">
        <v>100</v>
      </c>
      <c r="O1549" s="464">
        <v>100</v>
      </c>
      <c r="P1549" s="464">
        <v>100</v>
      </c>
      <c r="Q1549" s="464">
        <v>100</v>
      </c>
    </row>
    <row r="1550" spans="1:17" ht="30" x14ac:dyDescent="0.25">
      <c r="A1550" s="416"/>
      <c r="B1550" s="58"/>
      <c r="C1550" s="1163" t="s">
        <v>5</v>
      </c>
      <c r="D1550" s="460"/>
      <c r="E1550" s="1302" t="s">
        <v>2508</v>
      </c>
      <c r="F1550" s="1303">
        <v>2277</v>
      </c>
      <c r="G1550" s="1303">
        <v>2409.1</v>
      </c>
      <c r="H1550" s="1303">
        <v>2765.4</v>
      </c>
      <c r="I1550" s="1303">
        <v>2478.8721219599997</v>
      </c>
      <c r="J1550" s="1303">
        <v>2511.6745409754717</v>
      </c>
      <c r="K1550" s="1302" t="s">
        <v>2509</v>
      </c>
      <c r="L1550" s="464" t="s">
        <v>34</v>
      </c>
      <c r="M1550" s="464">
        <v>89.8</v>
      </c>
      <c r="N1550" s="464">
        <v>100</v>
      </c>
      <c r="O1550" s="464">
        <v>100</v>
      </c>
      <c r="P1550" s="464">
        <v>100</v>
      </c>
      <c r="Q1550" s="464">
        <v>100</v>
      </c>
    </row>
    <row r="1551" spans="1:17" ht="30" x14ac:dyDescent="0.25">
      <c r="A1551" s="416"/>
      <c r="B1551" s="58"/>
      <c r="C1551" s="1163" t="s">
        <v>7</v>
      </c>
      <c r="D1551" s="460"/>
      <c r="E1551" s="1212" t="s">
        <v>842</v>
      </c>
      <c r="F1551" s="1303">
        <v>2228.3000000000002</v>
      </c>
      <c r="G1551" s="1303">
        <v>2337.8000000000002</v>
      </c>
      <c r="H1551" s="1303">
        <v>2509.8000000000002</v>
      </c>
      <c r="I1551" s="1303">
        <v>2388.90079668</v>
      </c>
      <c r="J1551" s="1303">
        <v>2420.5126431423068</v>
      </c>
      <c r="K1551" s="1302" t="s">
        <v>2510</v>
      </c>
      <c r="L1551" s="464" t="s">
        <v>34</v>
      </c>
      <c r="M1551" s="464">
        <v>31.7</v>
      </c>
      <c r="N1551" s="464">
        <v>30</v>
      </c>
      <c r="O1551" s="464">
        <v>30</v>
      </c>
      <c r="P1551" s="464">
        <v>30</v>
      </c>
      <c r="Q1551" s="464">
        <v>30</v>
      </c>
    </row>
    <row r="1552" spans="1:17" ht="30" x14ac:dyDescent="0.25">
      <c r="A1552" s="416"/>
      <c r="B1552" s="58"/>
      <c r="C1552" s="1163" t="s">
        <v>11</v>
      </c>
      <c r="D1552" s="460"/>
      <c r="E1552" s="1212" t="s">
        <v>2511</v>
      </c>
      <c r="F1552" s="1303">
        <v>795.34</v>
      </c>
      <c r="G1552" s="1303">
        <v>818.7</v>
      </c>
      <c r="H1552" s="1303">
        <v>0</v>
      </c>
      <c r="I1552" s="1303">
        <v>0</v>
      </c>
      <c r="J1552" s="1303">
        <v>0</v>
      </c>
      <c r="K1552" s="1302" t="s">
        <v>2512</v>
      </c>
      <c r="L1552" s="1196" t="s">
        <v>780</v>
      </c>
      <c r="M1552" s="464">
        <v>200</v>
      </c>
      <c r="N1552" s="744" t="s">
        <v>1343</v>
      </c>
      <c r="O1552" s="464"/>
      <c r="P1552" s="464"/>
      <c r="Q1552" s="464"/>
    </row>
    <row r="1553" spans="1:17" ht="30" x14ac:dyDescent="0.25">
      <c r="A1553" s="416"/>
      <c r="B1553" s="58"/>
      <c r="C1553" s="1163" t="s">
        <v>13</v>
      </c>
      <c r="D1553" s="460"/>
      <c r="E1553" s="1212" t="s">
        <v>2513</v>
      </c>
      <c r="F1553" s="1303">
        <v>1518.9</v>
      </c>
      <c r="G1553" s="1303">
        <v>1654.1</v>
      </c>
      <c r="H1553" s="1303">
        <v>1884.4</v>
      </c>
      <c r="I1553" s="1303">
        <v>1718.8778529000001</v>
      </c>
      <c r="J1553" s="1303">
        <v>1741.6234197518552</v>
      </c>
      <c r="K1553" s="1302" t="s">
        <v>2514</v>
      </c>
      <c r="L1553" s="464" t="s">
        <v>34</v>
      </c>
      <c r="M1553" s="464">
        <v>20</v>
      </c>
      <c r="N1553" s="464">
        <v>20</v>
      </c>
      <c r="O1553" s="464">
        <v>20</v>
      </c>
      <c r="P1553" s="464">
        <v>20</v>
      </c>
      <c r="Q1553" s="464">
        <v>20</v>
      </c>
    </row>
    <row r="1554" spans="1:17" ht="104.25" x14ac:dyDescent="0.25">
      <c r="A1554" s="1504">
        <v>59</v>
      </c>
      <c r="B1554" s="1505">
        <v>2</v>
      </c>
      <c r="C1554" s="1506"/>
      <c r="D1554" s="1436"/>
      <c r="E1554" s="1435" t="s">
        <v>3120</v>
      </c>
      <c r="F1554" s="1507">
        <v>44242.9</v>
      </c>
      <c r="G1554" s="1507">
        <v>47534.899999999994</v>
      </c>
      <c r="H1554" s="901">
        <f>SUM(H1555:H1582)</f>
        <v>46433.3</v>
      </c>
      <c r="I1554" s="901">
        <v>49268.227263199995</v>
      </c>
      <c r="J1554" s="901">
        <v>49920.132691728475</v>
      </c>
      <c r="K1554" s="1508" t="s">
        <v>2515</v>
      </c>
      <c r="L1554" s="464" t="s">
        <v>35</v>
      </c>
      <c r="M1554" s="464">
        <v>1</v>
      </c>
      <c r="N1554" s="902">
        <v>1</v>
      </c>
      <c r="O1554" s="902">
        <v>1</v>
      </c>
      <c r="P1554" s="902">
        <v>1</v>
      </c>
      <c r="Q1554" s="902">
        <v>1</v>
      </c>
    </row>
    <row r="1555" spans="1:17" ht="45" x14ac:dyDescent="0.25">
      <c r="A1555" s="1914"/>
      <c r="B1555" s="1917"/>
      <c r="C1555" s="1772" t="s">
        <v>4</v>
      </c>
      <c r="D1555" s="1920"/>
      <c r="E1555" s="1631" t="s">
        <v>2516</v>
      </c>
      <c r="F1555" s="1923">
        <v>3803.6</v>
      </c>
      <c r="G1555" s="1923">
        <v>2259.5</v>
      </c>
      <c r="H1555" s="1923">
        <v>2352.5</v>
      </c>
      <c r="I1555" s="1923">
        <v>2229.5259152999997</v>
      </c>
      <c r="J1555" s="1923">
        <v>2259.0287858319816</v>
      </c>
      <c r="K1555" s="348" t="s">
        <v>2517</v>
      </c>
      <c r="L1555" s="795" t="s">
        <v>2518</v>
      </c>
      <c r="M1555" s="464">
        <v>1</v>
      </c>
      <c r="N1555" s="902">
        <v>1</v>
      </c>
      <c r="O1555" s="902">
        <v>1</v>
      </c>
      <c r="P1555" s="902">
        <v>1</v>
      </c>
      <c r="Q1555" s="902">
        <v>1</v>
      </c>
    </row>
    <row r="1556" spans="1:17" ht="60" x14ac:dyDescent="0.25">
      <c r="A1556" s="1916"/>
      <c r="B1556" s="1919"/>
      <c r="C1556" s="1900"/>
      <c r="D1556" s="1922"/>
      <c r="E1556" s="1631"/>
      <c r="F1556" s="1925"/>
      <c r="G1556" s="1925"/>
      <c r="H1556" s="1925"/>
      <c r="I1556" s="1925"/>
      <c r="J1556" s="1925"/>
      <c r="K1556" s="348" t="s">
        <v>2519</v>
      </c>
      <c r="L1556" s="795" t="s">
        <v>2518</v>
      </c>
      <c r="M1556" s="903" t="s">
        <v>310</v>
      </c>
      <c r="N1556" s="902" t="s">
        <v>311</v>
      </c>
      <c r="O1556" s="902" t="s">
        <v>311</v>
      </c>
      <c r="P1556" s="902" t="s">
        <v>311</v>
      </c>
      <c r="Q1556" s="902" t="s">
        <v>311</v>
      </c>
    </row>
    <row r="1557" spans="1:17" ht="45" x14ac:dyDescent="0.25">
      <c r="A1557" s="416"/>
      <c r="B1557" s="58"/>
      <c r="C1557" s="1163" t="s">
        <v>5</v>
      </c>
      <c r="D1557" s="460"/>
      <c r="E1557" s="1631" t="s">
        <v>2520</v>
      </c>
      <c r="F1557" s="755"/>
      <c r="G1557" s="755"/>
      <c r="H1557" s="755"/>
      <c r="I1557" s="755"/>
      <c r="J1557" s="755"/>
      <c r="K1557" s="1138" t="s">
        <v>2521</v>
      </c>
      <c r="L1557" s="464" t="s">
        <v>34</v>
      </c>
      <c r="M1557" s="464">
        <v>80</v>
      </c>
      <c r="N1557" s="902">
        <v>78</v>
      </c>
      <c r="O1557" s="902">
        <v>76</v>
      </c>
      <c r="P1557" s="902">
        <v>74</v>
      </c>
      <c r="Q1557" s="902">
        <v>72</v>
      </c>
    </row>
    <row r="1558" spans="1:17" ht="45" x14ac:dyDescent="0.25">
      <c r="A1558" s="1914"/>
      <c r="B1558" s="1917"/>
      <c r="C1558" s="1772" t="s">
        <v>7</v>
      </c>
      <c r="D1558" s="1920"/>
      <c r="E1558" s="1631"/>
      <c r="F1558" s="1923">
        <v>2258.6</v>
      </c>
      <c r="G1558" s="1923">
        <v>2467.1</v>
      </c>
      <c r="H1558" s="1923">
        <v>2467.1999999999998</v>
      </c>
      <c r="I1558" s="1923">
        <v>2347.7652583199997</v>
      </c>
      <c r="J1558" s="1923">
        <v>2378.8327664302965</v>
      </c>
      <c r="K1558" s="1138" t="s">
        <v>2522</v>
      </c>
      <c r="L1558" s="464" t="s">
        <v>34</v>
      </c>
      <c r="M1558" s="464">
        <v>20</v>
      </c>
      <c r="N1558" s="902">
        <v>22</v>
      </c>
      <c r="O1558" s="902">
        <v>24</v>
      </c>
      <c r="P1558" s="902">
        <v>26</v>
      </c>
      <c r="Q1558" s="902">
        <v>28</v>
      </c>
    </row>
    <row r="1559" spans="1:17" ht="75" x14ac:dyDescent="0.25">
      <c r="A1559" s="1915"/>
      <c r="B1559" s="1918"/>
      <c r="C1559" s="1777"/>
      <c r="D1559" s="1921"/>
      <c r="E1559" s="1631"/>
      <c r="F1559" s="1924"/>
      <c r="G1559" s="1924"/>
      <c r="H1559" s="1924"/>
      <c r="I1559" s="1924"/>
      <c r="J1559" s="1924"/>
      <c r="K1559" s="1138" t="s">
        <v>2523</v>
      </c>
      <c r="L1559" s="464" t="s">
        <v>34</v>
      </c>
      <c r="M1559" s="464">
        <v>97</v>
      </c>
      <c r="N1559" s="902">
        <v>100</v>
      </c>
      <c r="O1559" s="902">
        <v>100</v>
      </c>
      <c r="P1559" s="902">
        <v>100</v>
      </c>
      <c r="Q1559" s="902">
        <v>100</v>
      </c>
    </row>
    <row r="1560" spans="1:17" ht="30" x14ac:dyDescent="0.25">
      <c r="A1560" s="1915"/>
      <c r="B1560" s="1918"/>
      <c r="C1560" s="1777"/>
      <c r="D1560" s="1921"/>
      <c r="E1560" s="1631" t="s">
        <v>2524</v>
      </c>
      <c r="F1560" s="1924"/>
      <c r="G1560" s="1924"/>
      <c r="H1560" s="1924"/>
      <c r="I1560" s="1924"/>
      <c r="J1560" s="1924"/>
      <c r="K1560" s="1217" t="s">
        <v>2525</v>
      </c>
      <c r="L1560" s="464" t="s">
        <v>311</v>
      </c>
      <c r="M1560" s="464">
        <v>97.9</v>
      </c>
      <c r="N1560" s="904">
        <v>100</v>
      </c>
      <c r="O1560" s="904">
        <v>100</v>
      </c>
      <c r="P1560" s="904">
        <v>100</v>
      </c>
      <c r="Q1560" s="904">
        <v>100</v>
      </c>
    </row>
    <row r="1561" spans="1:17" ht="30" x14ac:dyDescent="0.25">
      <c r="A1561" s="1916"/>
      <c r="B1561" s="1919"/>
      <c r="C1561" s="1900"/>
      <c r="D1561" s="1922"/>
      <c r="E1561" s="1631"/>
      <c r="F1561" s="1925"/>
      <c r="G1561" s="1925"/>
      <c r="H1561" s="1925"/>
      <c r="I1561" s="1925"/>
      <c r="J1561" s="1925"/>
      <c r="K1561" s="348" t="s">
        <v>2526</v>
      </c>
      <c r="L1561" s="464" t="s">
        <v>34</v>
      </c>
      <c r="M1561" s="464">
        <v>93.5</v>
      </c>
      <c r="N1561" s="904" t="s">
        <v>311</v>
      </c>
      <c r="O1561" s="464" t="s">
        <v>311</v>
      </c>
      <c r="P1561" s="464" t="s">
        <v>311</v>
      </c>
      <c r="Q1561" s="464" t="s">
        <v>311</v>
      </c>
    </row>
    <row r="1562" spans="1:17" ht="45" x14ac:dyDescent="0.25">
      <c r="A1562" s="1914"/>
      <c r="B1562" s="1917"/>
      <c r="C1562" s="1772" t="s">
        <v>9</v>
      </c>
      <c r="D1562" s="1920"/>
      <c r="E1562" s="1631" t="s">
        <v>2527</v>
      </c>
      <c r="F1562" s="1923">
        <v>2404.11</v>
      </c>
      <c r="G1562" s="1923">
        <v>2552.6</v>
      </c>
      <c r="H1562" s="1923">
        <v>2274.5</v>
      </c>
      <c r="I1562" s="1923">
        <v>2130.2332364999997</v>
      </c>
      <c r="J1562" s="1923">
        <v>2158.4221868719569</v>
      </c>
      <c r="K1562" s="1138" t="s">
        <v>2528</v>
      </c>
      <c r="L1562" s="464" t="s">
        <v>34</v>
      </c>
      <c r="M1562" s="464">
        <v>85</v>
      </c>
      <c r="N1562" s="902">
        <v>90</v>
      </c>
      <c r="O1562" s="902">
        <v>95</v>
      </c>
      <c r="P1562" s="902">
        <v>100</v>
      </c>
      <c r="Q1562" s="902">
        <v>100</v>
      </c>
    </row>
    <row r="1563" spans="1:17" ht="75" x14ac:dyDescent="0.25">
      <c r="A1563" s="1915"/>
      <c r="B1563" s="1918"/>
      <c r="C1563" s="1777"/>
      <c r="D1563" s="1921"/>
      <c r="E1563" s="1631"/>
      <c r="F1563" s="1924"/>
      <c r="G1563" s="1924"/>
      <c r="H1563" s="1924"/>
      <c r="I1563" s="1924"/>
      <c r="J1563" s="1924"/>
      <c r="K1563" s="1217" t="s">
        <v>2529</v>
      </c>
      <c r="L1563" s="464" t="s">
        <v>34</v>
      </c>
      <c r="M1563" s="464" t="s">
        <v>311</v>
      </c>
      <c r="N1563" s="902">
        <v>98</v>
      </c>
      <c r="O1563" s="902">
        <v>100</v>
      </c>
      <c r="P1563" s="902">
        <v>100</v>
      </c>
      <c r="Q1563" s="902">
        <v>100</v>
      </c>
    </row>
    <row r="1564" spans="1:17" ht="45" x14ac:dyDescent="0.25">
      <c r="A1564" s="1916"/>
      <c r="B1564" s="1919"/>
      <c r="C1564" s="1900"/>
      <c r="D1564" s="1922"/>
      <c r="E1564" s="1631"/>
      <c r="F1564" s="1925"/>
      <c r="G1564" s="1925"/>
      <c r="H1564" s="1925"/>
      <c r="I1564" s="1925"/>
      <c r="J1564" s="1925"/>
      <c r="K1564" s="1217" t="s">
        <v>2530</v>
      </c>
      <c r="L1564" s="464" t="s">
        <v>311</v>
      </c>
      <c r="M1564" s="464">
        <v>100</v>
      </c>
      <c r="N1564" s="904">
        <v>100</v>
      </c>
      <c r="O1564" s="904">
        <v>100</v>
      </c>
      <c r="P1564" s="904">
        <v>100</v>
      </c>
      <c r="Q1564" s="904">
        <v>100</v>
      </c>
    </row>
    <row r="1565" spans="1:17" x14ac:dyDescent="0.25">
      <c r="A1565" s="1914"/>
      <c r="B1565" s="1917"/>
      <c r="C1565" s="1772" t="s">
        <v>11</v>
      </c>
      <c r="D1565" s="1920"/>
      <c r="E1565" s="1688" t="s">
        <v>2531</v>
      </c>
      <c r="F1565" s="1923">
        <v>3613</v>
      </c>
      <c r="G1565" s="1923">
        <v>3917.8</v>
      </c>
      <c r="H1565" s="1923">
        <v>3420.8</v>
      </c>
      <c r="I1565" s="1923">
        <v>4377.8</v>
      </c>
      <c r="J1565" s="1923">
        <v>4435.7</v>
      </c>
      <c r="K1565" s="1684" t="s">
        <v>2532</v>
      </c>
      <c r="L1565" s="1901" t="s">
        <v>1334</v>
      </c>
      <c r="M1565" s="1901">
        <v>17719</v>
      </c>
      <c r="N1565" s="1901">
        <v>14800</v>
      </c>
      <c r="O1565" s="1901">
        <v>14900</v>
      </c>
      <c r="P1565" s="1901">
        <v>15000</v>
      </c>
      <c r="Q1565" s="1901">
        <v>15100</v>
      </c>
    </row>
    <row r="1566" spans="1:17" x14ac:dyDescent="0.25">
      <c r="A1566" s="1916"/>
      <c r="B1566" s="1919"/>
      <c r="C1566" s="1900"/>
      <c r="D1566" s="1922"/>
      <c r="E1566" s="1698"/>
      <c r="F1566" s="1925"/>
      <c r="G1566" s="1925"/>
      <c r="H1566" s="1925"/>
      <c r="I1566" s="1925"/>
      <c r="J1566" s="1925"/>
      <c r="K1566" s="1686"/>
      <c r="L1566" s="1773"/>
      <c r="M1566" s="1773"/>
      <c r="N1566" s="1773"/>
      <c r="O1566" s="1773"/>
      <c r="P1566" s="1773"/>
      <c r="Q1566" s="1773"/>
    </row>
    <row r="1567" spans="1:17" x14ac:dyDescent="0.25">
      <c r="A1567" s="1914"/>
      <c r="B1567" s="1917"/>
      <c r="C1567" s="1772" t="s">
        <v>13</v>
      </c>
      <c r="D1567" s="1920"/>
      <c r="E1567" s="1688" t="s">
        <v>2533</v>
      </c>
      <c r="F1567" s="1923">
        <v>1781.69</v>
      </c>
      <c r="G1567" s="1923">
        <v>2016.3</v>
      </c>
      <c r="H1567" s="1923">
        <v>5655.9</v>
      </c>
      <c r="I1567" s="1923">
        <v>2097.8111372999997</v>
      </c>
      <c r="J1567" s="1923">
        <v>2125.5710525176632</v>
      </c>
      <c r="K1567" s="1684" t="s">
        <v>2534</v>
      </c>
      <c r="L1567" s="1901" t="s">
        <v>2535</v>
      </c>
      <c r="M1567" s="1901"/>
      <c r="N1567" s="1901">
        <v>4</v>
      </c>
      <c r="O1567" s="1901">
        <v>1</v>
      </c>
      <c r="P1567" s="1901">
        <v>1</v>
      </c>
      <c r="Q1567" s="1901">
        <v>1</v>
      </c>
    </row>
    <row r="1568" spans="1:17" x14ac:dyDescent="0.25">
      <c r="A1568" s="1915"/>
      <c r="B1568" s="1918"/>
      <c r="C1568" s="1777"/>
      <c r="D1568" s="1921"/>
      <c r="E1568" s="1689"/>
      <c r="F1568" s="1924"/>
      <c r="G1568" s="1924"/>
      <c r="H1568" s="1924"/>
      <c r="I1568" s="1924"/>
      <c r="J1568" s="1924"/>
      <c r="K1568" s="1685"/>
      <c r="L1568" s="1926"/>
      <c r="M1568" s="1926"/>
      <c r="N1568" s="1926"/>
      <c r="O1568" s="1926"/>
      <c r="P1568" s="1926"/>
      <c r="Q1568" s="1926"/>
    </row>
    <row r="1569" spans="1:17" x14ac:dyDescent="0.25">
      <c r="A1569" s="1915"/>
      <c r="B1569" s="1918"/>
      <c r="C1569" s="1777"/>
      <c r="D1569" s="1921"/>
      <c r="E1569" s="1689"/>
      <c r="F1569" s="1924"/>
      <c r="G1569" s="1924"/>
      <c r="H1569" s="1924"/>
      <c r="I1569" s="1924"/>
      <c r="J1569" s="1924"/>
      <c r="K1569" s="1686"/>
      <c r="L1569" s="1773"/>
      <c r="M1569" s="1773"/>
      <c r="N1569" s="1773"/>
      <c r="O1569" s="1773"/>
      <c r="P1569" s="1773"/>
      <c r="Q1569" s="1773"/>
    </row>
    <row r="1570" spans="1:17" x14ac:dyDescent="0.25">
      <c r="A1570" s="1915"/>
      <c r="B1570" s="1918"/>
      <c r="C1570" s="1777"/>
      <c r="D1570" s="1921"/>
      <c r="E1570" s="1689"/>
      <c r="F1570" s="1924"/>
      <c r="G1570" s="1924"/>
      <c r="H1570" s="1924"/>
      <c r="I1570" s="1924"/>
      <c r="J1570" s="1924"/>
      <c r="K1570" s="1138" t="s">
        <v>2536</v>
      </c>
      <c r="L1570" s="1509" t="s">
        <v>780</v>
      </c>
      <c r="M1570" s="1127">
        <v>2</v>
      </c>
      <c r="N1570" s="1127">
        <v>1</v>
      </c>
      <c r="O1570" s="1127">
        <v>2</v>
      </c>
      <c r="P1570" s="1127">
        <v>2</v>
      </c>
      <c r="Q1570" s="1127">
        <v>2</v>
      </c>
    </row>
    <row r="1571" spans="1:17" ht="30" x14ac:dyDescent="0.25">
      <c r="A1571" s="1916"/>
      <c r="B1571" s="1919"/>
      <c r="C1571" s="1900"/>
      <c r="D1571" s="1922"/>
      <c r="E1571" s="1698"/>
      <c r="F1571" s="1925"/>
      <c r="G1571" s="1925"/>
      <c r="H1571" s="1925"/>
      <c r="I1571" s="1925"/>
      <c r="J1571" s="1925"/>
      <c r="K1571" s="834" t="s">
        <v>2537</v>
      </c>
      <c r="L1571" s="1509" t="s">
        <v>780</v>
      </c>
      <c r="M1571" s="1127"/>
      <c r="N1571" s="1127"/>
      <c r="O1571" s="1127">
        <v>1</v>
      </c>
      <c r="P1571" s="1127">
        <v>2</v>
      </c>
      <c r="Q1571" s="1127">
        <v>2</v>
      </c>
    </row>
    <row r="1572" spans="1:17" x14ac:dyDescent="0.25">
      <c r="A1572" s="1914"/>
      <c r="B1572" s="1917"/>
      <c r="C1572" s="1772" t="s">
        <v>15</v>
      </c>
      <c r="D1572" s="1920"/>
      <c r="E1572" s="1688" t="s">
        <v>2538</v>
      </c>
      <c r="F1572" s="1923">
        <v>0</v>
      </c>
      <c r="G1572" s="1923">
        <v>0</v>
      </c>
      <c r="H1572" s="1923">
        <v>2419.4</v>
      </c>
      <c r="I1572" s="1923">
        <v>2297.3000000000002</v>
      </c>
      <c r="J1572" s="1923">
        <v>2327.6999999999998</v>
      </c>
      <c r="K1572" s="1217" t="s">
        <v>2539</v>
      </c>
      <c r="L1572" s="647" t="s">
        <v>1334</v>
      </c>
      <c r="M1572" s="905">
        <v>50</v>
      </c>
      <c r="N1572" s="905">
        <v>70</v>
      </c>
      <c r="O1572" s="905">
        <v>100</v>
      </c>
      <c r="P1572" s="905">
        <v>150</v>
      </c>
      <c r="Q1572" s="905">
        <v>180</v>
      </c>
    </row>
    <row r="1573" spans="1:17" ht="30" x14ac:dyDescent="0.25">
      <c r="A1573" s="1915"/>
      <c r="B1573" s="1918"/>
      <c r="C1573" s="1777"/>
      <c r="D1573" s="1921"/>
      <c r="E1573" s="1689"/>
      <c r="F1573" s="1924"/>
      <c r="G1573" s="1924"/>
      <c r="H1573" s="1924"/>
      <c r="I1573" s="1924"/>
      <c r="J1573" s="1924"/>
      <c r="K1573" s="1212" t="s">
        <v>2540</v>
      </c>
      <c r="L1573" s="647" t="s">
        <v>34</v>
      </c>
      <c r="M1573" s="905">
        <v>1</v>
      </c>
      <c r="N1573" s="905">
        <v>36</v>
      </c>
      <c r="O1573" s="744" t="s">
        <v>1343</v>
      </c>
      <c r="P1573" s="744" t="s">
        <v>1343</v>
      </c>
      <c r="Q1573" s="744" t="s">
        <v>1343</v>
      </c>
    </row>
    <row r="1574" spans="1:17" ht="30" x14ac:dyDescent="0.25">
      <c r="A1574" s="1915"/>
      <c r="B1574" s="1918"/>
      <c r="C1574" s="1777"/>
      <c r="D1574" s="1921"/>
      <c r="E1574" s="1689"/>
      <c r="F1574" s="1924"/>
      <c r="G1574" s="1924"/>
      <c r="H1574" s="1924"/>
      <c r="I1574" s="1924"/>
      <c r="J1574" s="1924"/>
      <c r="K1574" s="1212" t="s">
        <v>2541</v>
      </c>
      <c r="L1574" s="1509" t="s">
        <v>780</v>
      </c>
      <c r="M1574" s="464">
        <v>200</v>
      </c>
      <c r="N1574" s="464">
        <v>200</v>
      </c>
      <c r="O1574" s="744" t="s">
        <v>1343</v>
      </c>
      <c r="P1574" s="744" t="s">
        <v>1343</v>
      </c>
      <c r="Q1574" s="744" t="s">
        <v>1343</v>
      </c>
    </row>
    <row r="1575" spans="1:17" ht="30" x14ac:dyDescent="0.25">
      <c r="A1575" s="1916"/>
      <c r="B1575" s="1919"/>
      <c r="C1575" s="1900"/>
      <c r="D1575" s="1922"/>
      <c r="E1575" s="1698"/>
      <c r="F1575" s="1925"/>
      <c r="G1575" s="1925"/>
      <c r="H1575" s="1925"/>
      <c r="I1575" s="1925"/>
      <c r="J1575" s="1925"/>
      <c r="K1575" s="1212" t="s">
        <v>2542</v>
      </c>
      <c r="L1575" s="1509" t="s">
        <v>780</v>
      </c>
      <c r="M1575" s="464">
        <v>100</v>
      </c>
      <c r="N1575" s="464">
        <v>200</v>
      </c>
      <c r="O1575" s="464">
        <v>200</v>
      </c>
      <c r="P1575" s="464">
        <v>200</v>
      </c>
      <c r="Q1575" s="464">
        <v>200</v>
      </c>
    </row>
    <row r="1576" spans="1:17" ht="45" x14ac:dyDescent="0.25">
      <c r="A1576" s="416"/>
      <c r="B1576" s="58"/>
      <c r="C1576" s="1163" t="s">
        <v>16</v>
      </c>
      <c r="D1576" s="460"/>
      <c r="E1576" s="1510" t="s">
        <v>2543</v>
      </c>
      <c r="F1576" s="1139">
        <v>10152.5</v>
      </c>
      <c r="G1576" s="1139">
        <v>11070.9</v>
      </c>
      <c r="H1576" s="1139">
        <v>2260</v>
      </c>
      <c r="I1576" s="1139">
        <v>11326.6</v>
      </c>
      <c r="J1576" s="1139">
        <v>11476.4</v>
      </c>
      <c r="K1576" s="1631" t="s">
        <v>2544</v>
      </c>
      <c r="L1576" s="1214" t="s">
        <v>34</v>
      </c>
      <c r="M1576" s="1214">
        <v>82.8</v>
      </c>
      <c r="N1576" s="1214">
        <v>100</v>
      </c>
      <c r="O1576" s="1214">
        <v>100</v>
      </c>
      <c r="P1576" s="1214">
        <v>100</v>
      </c>
      <c r="Q1576" s="1214">
        <v>100</v>
      </c>
    </row>
    <row r="1577" spans="1:17" x14ac:dyDescent="0.25">
      <c r="A1577" s="1914"/>
      <c r="B1577" s="1917"/>
      <c r="C1577" s="1772" t="s">
        <v>18</v>
      </c>
      <c r="D1577" s="1920"/>
      <c r="E1577" s="1688" t="s">
        <v>2545</v>
      </c>
      <c r="F1577" s="1774">
        <v>2300.5</v>
      </c>
      <c r="G1577" s="1774">
        <v>2456.6</v>
      </c>
      <c r="H1577" s="1774">
        <v>3104.2</v>
      </c>
      <c r="I1577" s="1774">
        <v>3145.1</v>
      </c>
      <c r="J1577" s="1774">
        <v>3186.8</v>
      </c>
      <c r="K1577" s="1631"/>
      <c r="L1577" s="1214" t="s">
        <v>34</v>
      </c>
      <c r="M1577" s="1214">
        <v>121</v>
      </c>
      <c r="N1577" s="43">
        <v>100</v>
      </c>
      <c r="O1577" s="43">
        <v>100</v>
      </c>
      <c r="P1577" s="43">
        <v>100</v>
      </c>
      <c r="Q1577" s="43">
        <v>100</v>
      </c>
    </row>
    <row r="1578" spans="1:17" ht="30" x14ac:dyDescent="0.25">
      <c r="A1578" s="1916"/>
      <c r="B1578" s="1919"/>
      <c r="C1578" s="1900"/>
      <c r="D1578" s="1922"/>
      <c r="E1578" s="1698"/>
      <c r="F1578" s="1775"/>
      <c r="G1578" s="1775"/>
      <c r="H1578" s="1775"/>
      <c r="I1578" s="1775"/>
      <c r="J1578" s="1775"/>
      <c r="K1578" s="1138" t="s">
        <v>2546</v>
      </c>
      <c r="L1578" s="1509" t="s">
        <v>2547</v>
      </c>
      <c r="M1578" s="1214">
        <v>147</v>
      </c>
      <c r="N1578" s="1139">
        <v>139</v>
      </c>
      <c r="O1578" s="744" t="s">
        <v>1343</v>
      </c>
      <c r="P1578" s="744" t="s">
        <v>1343</v>
      </c>
      <c r="Q1578" s="744" t="s">
        <v>1343</v>
      </c>
    </row>
    <row r="1579" spans="1:17" ht="60" x14ac:dyDescent="0.25">
      <c r="A1579" s="1504"/>
      <c r="B1579" s="1505"/>
      <c r="C1579" s="1407" t="s">
        <v>20</v>
      </c>
      <c r="D1579" s="1511"/>
      <c r="E1579" s="1138" t="s">
        <v>2548</v>
      </c>
      <c r="F1579" s="1512">
        <v>0</v>
      </c>
      <c r="G1579" s="1512">
        <v>1928.8</v>
      </c>
      <c r="H1579" s="1512">
        <v>2094</v>
      </c>
      <c r="I1579" s="1512">
        <v>1967.6161451999997</v>
      </c>
      <c r="J1579" s="1512">
        <v>1993.6532161262021</v>
      </c>
      <c r="K1579" s="149" t="s">
        <v>2549</v>
      </c>
      <c r="L1579" s="1214" t="s">
        <v>34</v>
      </c>
      <c r="M1579" s="1214">
        <v>100</v>
      </c>
      <c r="N1579" s="43">
        <v>100</v>
      </c>
      <c r="O1579" s="43">
        <v>100</v>
      </c>
      <c r="P1579" s="43">
        <v>100</v>
      </c>
      <c r="Q1579" s="43">
        <v>100</v>
      </c>
    </row>
    <row r="1580" spans="1:17" ht="45" x14ac:dyDescent="0.25">
      <c r="A1580" s="1504"/>
      <c r="B1580" s="1505"/>
      <c r="C1580" s="1407" t="s">
        <v>21</v>
      </c>
      <c r="D1580" s="1511"/>
      <c r="E1580" s="1138" t="s">
        <v>2550</v>
      </c>
      <c r="F1580" s="1512">
        <v>0</v>
      </c>
      <c r="G1580" s="1512">
        <v>0</v>
      </c>
      <c r="H1580" s="1512">
        <v>534.20000000000005</v>
      </c>
      <c r="I1580" s="1512">
        <v>343.77557057999996</v>
      </c>
      <c r="J1580" s="1512">
        <v>348.32468395037097</v>
      </c>
      <c r="K1580" s="149" t="s">
        <v>2551</v>
      </c>
      <c r="L1580" s="1214" t="s">
        <v>34</v>
      </c>
      <c r="M1580" s="1214">
        <v>100</v>
      </c>
      <c r="N1580" s="43">
        <v>100</v>
      </c>
      <c r="O1580" s="43">
        <v>100</v>
      </c>
      <c r="P1580" s="43">
        <v>100</v>
      </c>
      <c r="Q1580" s="43">
        <v>100</v>
      </c>
    </row>
    <row r="1581" spans="1:17" ht="75" x14ac:dyDescent="0.25">
      <c r="A1581" s="1504"/>
      <c r="B1581" s="1505"/>
      <c r="C1581" s="1407" t="s">
        <v>22</v>
      </c>
      <c r="D1581" s="1511"/>
      <c r="E1581" s="1138" t="s">
        <v>2552</v>
      </c>
      <c r="F1581" s="1512">
        <v>1915.5</v>
      </c>
      <c r="G1581" s="1512">
        <v>2082</v>
      </c>
      <c r="H1581" s="1512">
        <v>0</v>
      </c>
      <c r="I1581" s="1512">
        <v>0</v>
      </c>
      <c r="J1581" s="1512">
        <v>0</v>
      </c>
      <c r="K1581" s="149" t="s">
        <v>2553</v>
      </c>
      <c r="L1581" s="1509" t="s">
        <v>2554</v>
      </c>
      <c r="M1581" s="1214">
        <v>30</v>
      </c>
      <c r="N1581" s="43">
        <v>30</v>
      </c>
      <c r="O1581" s="43">
        <v>30</v>
      </c>
      <c r="P1581" s="43">
        <v>30</v>
      </c>
      <c r="Q1581" s="43">
        <v>30</v>
      </c>
    </row>
    <row r="1582" spans="1:17" ht="30" x14ac:dyDescent="0.25">
      <c r="A1582" s="1504"/>
      <c r="B1582" s="1505"/>
      <c r="C1582" s="1407" t="s">
        <v>23</v>
      </c>
      <c r="D1582" s="1511"/>
      <c r="E1582" s="1510" t="s">
        <v>2555</v>
      </c>
      <c r="F1582" s="1335">
        <v>16013.4</v>
      </c>
      <c r="G1582" s="1335">
        <v>16783.3</v>
      </c>
      <c r="H1582" s="1335">
        <f>16637.4+3213.2</f>
        <v>19850.600000000002</v>
      </c>
      <c r="I1582" s="1335">
        <v>17004.7</v>
      </c>
      <c r="J1582" s="1335">
        <v>17229.7</v>
      </c>
      <c r="K1582" s="1511"/>
      <c r="L1582" s="1511"/>
      <c r="M1582" s="1511"/>
      <c r="N1582" s="1511"/>
      <c r="O1582" s="1511"/>
      <c r="P1582" s="1511"/>
      <c r="Q1582" s="1511"/>
    </row>
    <row r="1583" spans="1:17" x14ac:dyDescent="0.25">
      <c r="A1583" s="1652" t="s">
        <v>2556</v>
      </c>
      <c r="B1583" s="1715"/>
      <c r="C1583" s="1715"/>
      <c r="D1583" s="1715"/>
      <c r="E1583" s="1715"/>
      <c r="F1583" s="42">
        <v>56514.840000000004</v>
      </c>
      <c r="G1583" s="42">
        <v>80899.599999999991</v>
      </c>
      <c r="H1583" s="42">
        <f>H1548+H1554</f>
        <v>61611.100000000006</v>
      </c>
      <c r="I1583" s="42">
        <v>61702.912858879994</v>
      </c>
      <c r="J1583" s="42">
        <v>62519.363994958985</v>
      </c>
      <c r="K1583" s="906"/>
      <c r="L1583" s="906"/>
      <c r="M1583" s="906"/>
      <c r="N1583" s="906"/>
      <c r="O1583" s="906"/>
      <c r="P1583" s="906"/>
      <c r="Q1583" s="906"/>
    </row>
    <row r="1584" spans="1:17" x14ac:dyDescent="0.25">
      <c r="A1584" s="1648" t="s">
        <v>2557</v>
      </c>
      <c r="B1584" s="1649"/>
      <c r="C1584" s="1649"/>
      <c r="D1584" s="1649"/>
      <c r="E1584" s="1649"/>
      <c r="F1584" s="1649"/>
      <c r="G1584" s="1649"/>
      <c r="H1584" s="1649"/>
      <c r="I1584" s="1649"/>
      <c r="J1584" s="1649"/>
      <c r="K1584" s="1649"/>
      <c r="L1584" s="1649"/>
      <c r="M1584" s="1649"/>
      <c r="N1584" s="1649"/>
      <c r="O1584" s="1649"/>
      <c r="P1584" s="1649"/>
      <c r="Q1584" s="1650"/>
    </row>
    <row r="1585" spans="1:17" ht="74.25" x14ac:dyDescent="0.25">
      <c r="A1585" s="907">
        <v>60</v>
      </c>
      <c r="B1585" s="908">
        <v>1</v>
      </c>
      <c r="C1585" s="909"/>
      <c r="D1585" s="910"/>
      <c r="E1585" s="503" t="s">
        <v>2558</v>
      </c>
      <c r="F1585" s="911">
        <v>18076.699999999997</v>
      </c>
      <c r="G1585" s="911">
        <v>23620.699999999997</v>
      </c>
      <c r="H1585" s="911">
        <f>SUM(H1586:H1594)</f>
        <v>63014.079999999994</v>
      </c>
      <c r="I1585" s="911">
        <v>24708.699999999997</v>
      </c>
      <c r="J1585" s="911">
        <v>24938.1</v>
      </c>
      <c r="K1585" s="1218" t="s">
        <v>2559</v>
      </c>
      <c r="L1585" s="913" t="s">
        <v>34</v>
      </c>
      <c r="M1585" s="913"/>
      <c r="N1585" s="914"/>
      <c r="O1585" s="913"/>
      <c r="P1585" s="913"/>
      <c r="Q1585" s="913"/>
    </row>
    <row r="1586" spans="1:17" ht="30" x14ac:dyDescent="0.25">
      <c r="A1586" s="907"/>
      <c r="B1586" s="908"/>
      <c r="C1586" s="915" t="s">
        <v>4</v>
      </c>
      <c r="D1586" s="916"/>
      <c r="E1586" s="1513" t="s">
        <v>2560</v>
      </c>
      <c r="F1586" s="1172">
        <v>5513.4</v>
      </c>
      <c r="G1586" s="1172">
        <v>7204.3</v>
      </c>
      <c r="H1586" s="1172">
        <v>9299.7000000000007</v>
      </c>
      <c r="I1586" s="1172">
        <v>7536.1</v>
      </c>
      <c r="J1586" s="1172">
        <v>7606.1</v>
      </c>
      <c r="K1586" s="1212" t="s">
        <v>438</v>
      </c>
      <c r="L1586" s="918" t="s">
        <v>241</v>
      </c>
      <c r="M1586" s="1263" t="s">
        <v>85</v>
      </c>
      <c r="N1586" s="1263" t="s">
        <v>85</v>
      </c>
      <c r="O1586" s="1263" t="s">
        <v>85</v>
      </c>
      <c r="P1586" s="1263" t="s">
        <v>85</v>
      </c>
      <c r="Q1586" s="1263" t="s">
        <v>85</v>
      </c>
    </row>
    <row r="1587" spans="1:17" ht="30" x14ac:dyDescent="0.25">
      <c r="A1587" s="907"/>
      <c r="B1587" s="908"/>
      <c r="C1587" s="915" t="s">
        <v>5</v>
      </c>
      <c r="D1587" s="916"/>
      <c r="E1587" s="1302" t="s">
        <v>2508</v>
      </c>
      <c r="F1587" s="1172"/>
      <c r="G1587" s="1172"/>
      <c r="H1587" s="1172">
        <v>876.6</v>
      </c>
      <c r="I1587" s="1172"/>
      <c r="J1587" s="1172"/>
      <c r="K1587" s="32"/>
      <c r="L1587" s="918"/>
      <c r="M1587" s="1263"/>
      <c r="N1587" s="1263"/>
      <c r="O1587" s="1263"/>
      <c r="P1587" s="1263"/>
      <c r="Q1587" s="1263"/>
    </row>
    <row r="1588" spans="1:17" ht="30" x14ac:dyDescent="0.25">
      <c r="A1588" s="907"/>
      <c r="B1588" s="908"/>
      <c r="C1588" s="915" t="s">
        <v>7</v>
      </c>
      <c r="D1588" s="916"/>
      <c r="E1588" s="1235" t="s">
        <v>395</v>
      </c>
      <c r="F1588" s="1172">
        <v>1952.2</v>
      </c>
      <c r="G1588" s="1172">
        <v>2551</v>
      </c>
      <c r="H1588" s="1172">
        <v>2906.7</v>
      </c>
      <c r="I1588" s="1172">
        <v>2668.5</v>
      </c>
      <c r="J1588" s="1172">
        <v>2693.3</v>
      </c>
      <c r="K1588" s="32" t="s">
        <v>2561</v>
      </c>
      <c r="L1588" s="918" t="s">
        <v>34</v>
      </c>
      <c r="M1588" s="918"/>
      <c r="N1588" s="918">
        <v>100</v>
      </c>
      <c r="O1588" s="918">
        <v>100</v>
      </c>
      <c r="P1588" s="918">
        <v>100</v>
      </c>
      <c r="Q1588" s="918">
        <v>100</v>
      </c>
    </row>
    <row r="1589" spans="1:17" ht="30" x14ac:dyDescent="0.25">
      <c r="A1589" s="1115"/>
      <c r="B1589" s="1297"/>
      <c r="C1589" s="1170">
        <v>4</v>
      </c>
      <c r="D1589" s="12"/>
      <c r="E1589" s="1235" t="s">
        <v>396</v>
      </c>
      <c r="F1589" s="1172">
        <v>1789.6</v>
      </c>
      <c r="G1589" s="1172">
        <v>2338.5</v>
      </c>
      <c r="H1589" s="1172">
        <v>2446.1</v>
      </c>
      <c r="I1589" s="1172">
        <v>2446.1999999999998</v>
      </c>
      <c r="J1589" s="1172">
        <v>2468.9</v>
      </c>
      <c r="K1589" s="1212" t="s">
        <v>2562</v>
      </c>
      <c r="L1589" s="1196" t="s">
        <v>1944</v>
      </c>
      <c r="M1589" s="1214"/>
      <c r="N1589" s="1171">
        <v>100</v>
      </c>
      <c r="O1589" s="1171">
        <v>100</v>
      </c>
      <c r="P1589" s="1171">
        <v>100</v>
      </c>
      <c r="Q1589" s="1171">
        <v>100</v>
      </c>
    </row>
    <row r="1590" spans="1:17" ht="30" x14ac:dyDescent="0.25">
      <c r="A1590" s="907"/>
      <c r="B1590" s="908"/>
      <c r="C1590" s="1170">
        <v>5</v>
      </c>
      <c r="D1590" s="12"/>
      <c r="E1590" s="1235" t="s">
        <v>843</v>
      </c>
      <c r="F1590" s="919">
        <v>325.3</v>
      </c>
      <c r="G1590" s="919">
        <v>425.2</v>
      </c>
      <c r="H1590" s="919">
        <v>444.8</v>
      </c>
      <c r="I1590" s="919">
        <v>444.8</v>
      </c>
      <c r="J1590" s="919">
        <v>448.9</v>
      </c>
      <c r="K1590" s="1212" t="s">
        <v>2563</v>
      </c>
      <c r="L1590" s="1214" t="s">
        <v>34</v>
      </c>
      <c r="M1590" s="1214"/>
      <c r="N1590" s="1214">
        <v>100</v>
      </c>
      <c r="O1590" s="1214">
        <v>100</v>
      </c>
      <c r="P1590" s="1214">
        <v>100</v>
      </c>
      <c r="Q1590" s="1214">
        <v>100</v>
      </c>
    </row>
    <row r="1591" spans="1:17" ht="45" x14ac:dyDescent="0.25">
      <c r="A1591" s="907"/>
      <c r="B1591" s="1751"/>
      <c r="C1591" s="1910">
        <v>6</v>
      </c>
      <c r="D1591" s="1911"/>
      <c r="E1591" s="1912" t="s">
        <v>612</v>
      </c>
      <c r="F1591" s="1913">
        <v>2639.3</v>
      </c>
      <c r="G1591" s="1913">
        <v>3448.6</v>
      </c>
      <c r="H1591" s="1913">
        <v>32094.880000000001</v>
      </c>
      <c r="I1591" s="1913">
        <v>3607.5</v>
      </c>
      <c r="J1591" s="1913">
        <v>3641</v>
      </c>
      <c r="K1591" s="1212" t="s">
        <v>2564</v>
      </c>
      <c r="L1591" s="1214" t="s">
        <v>34</v>
      </c>
      <c r="M1591" s="1214">
        <v>100</v>
      </c>
      <c r="N1591" s="1214">
        <v>100</v>
      </c>
      <c r="O1591" s="1214">
        <v>100</v>
      </c>
      <c r="P1591" s="1171">
        <v>100</v>
      </c>
      <c r="Q1591" s="1171">
        <v>100</v>
      </c>
    </row>
    <row r="1592" spans="1:17" ht="60" x14ac:dyDescent="0.25">
      <c r="A1592" s="907"/>
      <c r="B1592" s="1752"/>
      <c r="C1592" s="1910"/>
      <c r="D1592" s="1911"/>
      <c r="E1592" s="1912"/>
      <c r="F1592" s="1913"/>
      <c r="G1592" s="1913"/>
      <c r="H1592" s="1913"/>
      <c r="I1592" s="1913"/>
      <c r="J1592" s="1913"/>
      <c r="K1592" s="1212" t="s">
        <v>2565</v>
      </c>
      <c r="L1592" s="1171" t="s">
        <v>34</v>
      </c>
      <c r="M1592" s="1171">
        <v>100</v>
      </c>
      <c r="N1592" s="1171">
        <v>100</v>
      </c>
      <c r="O1592" s="1171">
        <v>100</v>
      </c>
      <c r="P1592" s="1171">
        <v>100</v>
      </c>
      <c r="Q1592" s="1171">
        <v>100</v>
      </c>
    </row>
    <row r="1593" spans="1:17" ht="30" x14ac:dyDescent="0.25">
      <c r="A1593" s="907"/>
      <c r="B1593" s="908"/>
      <c r="C1593" s="915" t="s">
        <v>15</v>
      </c>
      <c r="D1593" s="916"/>
      <c r="E1593" s="1302" t="s">
        <v>2566</v>
      </c>
      <c r="F1593" s="1172">
        <v>5856.9</v>
      </c>
      <c r="G1593" s="1172">
        <v>7653.1</v>
      </c>
      <c r="H1593" s="1172">
        <f>8745.8+466.8</f>
        <v>9212.5999999999985</v>
      </c>
      <c r="I1593" s="1172">
        <v>8005.6</v>
      </c>
      <c r="J1593" s="1172">
        <v>8079.9</v>
      </c>
      <c r="K1593" s="917"/>
      <c r="L1593" s="918" t="s">
        <v>34</v>
      </c>
      <c r="M1593" s="1214">
        <v>100</v>
      </c>
      <c r="N1593" s="1214">
        <v>100</v>
      </c>
      <c r="O1593" s="1214">
        <v>100</v>
      </c>
      <c r="P1593" s="1214">
        <v>100</v>
      </c>
      <c r="Q1593" s="1214">
        <v>100</v>
      </c>
    </row>
    <row r="1594" spans="1:17" x14ac:dyDescent="0.25">
      <c r="A1594" s="907"/>
      <c r="B1594" s="908"/>
      <c r="C1594" s="915" t="s">
        <v>16</v>
      </c>
      <c r="D1594" s="916"/>
      <c r="E1594" s="1217" t="s">
        <v>2567</v>
      </c>
      <c r="F1594" s="1172"/>
      <c r="G1594" s="1172"/>
      <c r="H1594" s="1172">
        <v>5732.7</v>
      </c>
      <c r="I1594" s="1172"/>
      <c r="J1594" s="1172"/>
      <c r="K1594" s="917"/>
      <c r="L1594" s="920"/>
      <c r="M1594" s="1127"/>
      <c r="N1594" s="1127"/>
      <c r="O1594" s="1127"/>
      <c r="P1594" s="1127"/>
      <c r="Q1594" s="1127"/>
    </row>
    <row r="1595" spans="1:17" ht="28.5" x14ac:dyDescent="0.25">
      <c r="A1595" s="907">
        <v>60</v>
      </c>
      <c r="B1595" s="908">
        <v>2</v>
      </c>
      <c r="C1595" s="909"/>
      <c r="D1595" s="921"/>
      <c r="E1595" s="20" t="s">
        <v>2568</v>
      </c>
      <c r="F1595" s="911">
        <v>11294.8</v>
      </c>
      <c r="G1595" s="911">
        <v>6363.4</v>
      </c>
      <c r="H1595" s="911">
        <f>SUM(H1596)</f>
        <v>0</v>
      </c>
      <c r="I1595" s="911">
        <v>13063.5</v>
      </c>
      <c r="J1595" s="911">
        <v>13333.8</v>
      </c>
      <c r="K1595" s="922"/>
      <c r="L1595" s="913"/>
      <c r="M1595" s="913"/>
      <c r="N1595" s="914"/>
      <c r="O1595" s="913"/>
      <c r="P1595" s="913"/>
      <c r="Q1595" s="913"/>
    </row>
    <row r="1596" spans="1:17" ht="45" x14ac:dyDescent="0.25">
      <c r="A1596" s="907"/>
      <c r="B1596" s="908"/>
      <c r="C1596" s="909" t="s">
        <v>4</v>
      </c>
      <c r="D1596" s="910"/>
      <c r="E1596" s="1302" t="s">
        <v>2569</v>
      </c>
      <c r="F1596" s="1172">
        <v>11294.8</v>
      </c>
      <c r="G1596" s="1172">
        <v>6363.4</v>
      </c>
      <c r="H1596" s="1172"/>
      <c r="I1596" s="1172">
        <v>13063.5</v>
      </c>
      <c r="J1596" s="1172">
        <v>13333.8</v>
      </c>
      <c r="K1596" s="912"/>
      <c r="L1596" s="913"/>
      <c r="M1596" s="913"/>
      <c r="N1596" s="914"/>
      <c r="O1596" s="913"/>
      <c r="P1596" s="913"/>
      <c r="Q1596" s="913"/>
    </row>
    <row r="1597" spans="1:17" ht="28.5" x14ac:dyDescent="0.25">
      <c r="A1597" s="907">
        <v>60</v>
      </c>
      <c r="B1597" s="908">
        <v>3</v>
      </c>
      <c r="C1597" s="909"/>
      <c r="D1597" s="910"/>
      <c r="E1597" s="178" t="s">
        <v>801</v>
      </c>
      <c r="F1597" s="911">
        <v>0</v>
      </c>
      <c r="G1597" s="911">
        <v>0</v>
      </c>
      <c r="H1597" s="911">
        <f>H1598</f>
        <v>250073.60000000001</v>
      </c>
      <c r="I1597" s="911">
        <v>3888991.5</v>
      </c>
      <c r="J1597" s="911">
        <v>776685.20000000007</v>
      </c>
      <c r="K1597" s="923"/>
      <c r="L1597" s="924"/>
      <c r="M1597" s="924"/>
      <c r="N1597" s="925"/>
      <c r="O1597" s="924"/>
      <c r="P1597" s="924"/>
      <c r="Q1597" s="926"/>
    </row>
    <row r="1598" spans="1:17" ht="30" x14ac:dyDescent="0.25">
      <c r="A1598" s="907"/>
      <c r="B1598" s="908"/>
      <c r="C1598" s="909" t="s">
        <v>4</v>
      </c>
      <c r="D1598" s="910"/>
      <c r="E1598" s="1217" t="s">
        <v>1262</v>
      </c>
      <c r="F1598" s="1172"/>
      <c r="G1598" s="1172"/>
      <c r="H1598" s="1172">
        <v>250073.60000000001</v>
      </c>
      <c r="I1598" s="1172">
        <v>3888991.5</v>
      </c>
      <c r="J1598" s="1172">
        <v>776685.20000000007</v>
      </c>
      <c r="K1598" s="923"/>
      <c r="L1598" s="924"/>
      <c r="M1598" s="924"/>
      <c r="N1598" s="925"/>
      <c r="O1598" s="924"/>
      <c r="P1598" s="924"/>
      <c r="Q1598" s="926"/>
    </row>
    <row r="1599" spans="1:17" x14ac:dyDescent="0.25">
      <c r="A1599" s="1651" t="s">
        <v>2570</v>
      </c>
      <c r="B1599" s="1651"/>
      <c r="C1599" s="1651"/>
      <c r="D1599" s="1651"/>
      <c r="E1599" s="1652"/>
      <c r="F1599" s="16">
        <v>29371.499999999996</v>
      </c>
      <c r="G1599" s="16">
        <v>29984.1</v>
      </c>
      <c r="H1599" s="16">
        <f>H1585+H1595+H1597</f>
        <v>313087.68</v>
      </c>
      <c r="I1599" s="16">
        <v>3926763.7</v>
      </c>
      <c r="J1599" s="16">
        <v>814957.10000000009</v>
      </c>
      <c r="K1599" s="927"/>
      <c r="L1599" s="928"/>
      <c r="M1599" s="928"/>
      <c r="N1599" s="928"/>
      <c r="O1599" s="928"/>
      <c r="P1599" s="928"/>
      <c r="Q1599" s="929"/>
    </row>
    <row r="1600" spans="1:17" x14ac:dyDescent="0.25">
      <c r="A1600" s="1648" t="s">
        <v>2571</v>
      </c>
      <c r="B1600" s="1649"/>
      <c r="C1600" s="1649"/>
      <c r="D1600" s="1649"/>
      <c r="E1600" s="1649"/>
      <c r="F1600" s="1649"/>
      <c r="G1600" s="1649"/>
      <c r="H1600" s="1649"/>
      <c r="I1600" s="1649"/>
      <c r="J1600" s="1649"/>
      <c r="K1600" s="1649"/>
      <c r="L1600" s="1649"/>
      <c r="M1600" s="1649"/>
      <c r="N1600" s="1649"/>
      <c r="O1600" s="1649"/>
      <c r="P1600" s="1649"/>
      <c r="Q1600" s="1650"/>
    </row>
    <row r="1601" spans="1:17" ht="74.25" x14ac:dyDescent="0.25">
      <c r="A1601" s="1232">
        <v>61</v>
      </c>
      <c r="B1601" s="1179">
        <v>1</v>
      </c>
      <c r="C1601" s="1141"/>
      <c r="D1601" s="671"/>
      <c r="E1601" s="178" t="s">
        <v>2558</v>
      </c>
      <c r="F1601" s="787">
        <v>128098.8</v>
      </c>
      <c r="G1601" s="787">
        <v>197879.7</v>
      </c>
      <c r="H1601" s="1168">
        <f>SUM(H1602:H1608)</f>
        <v>225730.8</v>
      </c>
      <c r="I1601" s="1169">
        <v>151977.9</v>
      </c>
      <c r="J1601" s="1169">
        <v>154008.6</v>
      </c>
      <c r="K1601" s="1218" t="s">
        <v>2559</v>
      </c>
      <c r="L1601" s="1220" t="s">
        <v>34</v>
      </c>
      <c r="M1601" s="1220"/>
      <c r="N1601" s="1220"/>
      <c r="O1601" s="1220"/>
      <c r="P1601" s="1220"/>
      <c r="Q1601" s="1220"/>
    </row>
    <row r="1602" spans="1:17" x14ac:dyDescent="0.25">
      <c r="A1602" s="1122"/>
      <c r="B1602" s="1514"/>
      <c r="C1602" s="1515" t="s">
        <v>4</v>
      </c>
      <c r="D1602" s="677"/>
      <c r="E1602" s="1302" t="s">
        <v>1406</v>
      </c>
      <c r="F1602" s="755">
        <v>580</v>
      </c>
      <c r="G1602" s="755">
        <v>600</v>
      </c>
      <c r="H1602" s="1166"/>
      <c r="I1602" s="1125"/>
      <c r="J1602" s="1125"/>
      <c r="K1602" s="1212" t="s">
        <v>438</v>
      </c>
      <c r="L1602" s="1196" t="s">
        <v>35</v>
      </c>
      <c r="M1602" s="343">
        <v>-5</v>
      </c>
      <c r="N1602" s="343">
        <v>1</v>
      </c>
      <c r="O1602" s="343">
        <v>5</v>
      </c>
      <c r="P1602" s="343">
        <v>10</v>
      </c>
      <c r="Q1602" s="343">
        <v>15</v>
      </c>
    </row>
    <row r="1603" spans="1:17" ht="30" x14ac:dyDescent="0.25">
      <c r="A1603" s="1122"/>
      <c r="B1603" s="930"/>
      <c r="C1603" s="789" t="s">
        <v>5</v>
      </c>
      <c r="D1603" s="677"/>
      <c r="E1603" s="1302" t="s">
        <v>394</v>
      </c>
      <c r="F1603" s="755">
        <v>660</v>
      </c>
      <c r="G1603" s="755">
        <v>600</v>
      </c>
      <c r="H1603" s="1166"/>
      <c r="I1603" s="1125"/>
      <c r="J1603" s="1125"/>
      <c r="K1603" s="1212" t="s">
        <v>2572</v>
      </c>
      <c r="L1603" s="1196" t="s">
        <v>34</v>
      </c>
      <c r="M1603" s="343"/>
      <c r="N1603" s="343"/>
      <c r="O1603" s="343"/>
      <c r="P1603" s="343"/>
      <c r="Q1603" s="343"/>
    </row>
    <row r="1604" spans="1:17" ht="30" x14ac:dyDescent="0.25">
      <c r="A1604" s="1122"/>
      <c r="B1604" s="930"/>
      <c r="C1604" s="789" t="s">
        <v>7</v>
      </c>
      <c r="D1604" s="677"/>
      <c r="E1604" s="1302" t="s">
        <v>842</v>
      </c>
      <c r="F1604" s="755">
        <v>450</v>
      </c>
      <c r="G1604" s="755">
        <v>500</v>
      </c>
      <c r="H1604" s="1166"/>
      <c r="I1604" s="1125"/>
      <c r="J1604" s="1125"/>
      <c r="K1604" s="1212" t="s">
        <v>2561</v>
      </c>
      <c r="L1604" s="1196" t="s">
        <v>34</v>
      </c>
      <c r="M1604" s="343"/>
      <c r="N1604" s="343"/>
      <c r="O1604" s="343"/>
      <c r="P1604" s="343"/>
      <c r="Q1604" s="343"/>
    </row>
    <row r="1605" spans="1:17" ht="30" x14ac:dyDescent="0.25">
      <c r="A1605" s="1122"/>
      <c r="B1605" s="930"/>
      <c r="C1605" s="789" t="s">
        <v>9</v>
      </c>
      <c r="D1605" s="677"/>
      <c r="E1605" s="1302" t="s">
        <v>2573</v>
      </c>
      <c r="F1605" s="755">
        <v>310</v>
      </c>
      <c r="G1605" s="755">
        <v>350</v>
      </c>
      <c r="H1605" s="1166"/>
      <c r="I1605" s="1125"/>
      <c r="J1605" s="1125"/>
      <c r="K1605" s="1212" t="s">
        <v>2562</v>
      </c>
      <c r="L1605" s="1196" t="s">
        <v>1577</v>
      </c>
      <c r="M1605" s="343"/>
      <c r="N1605" s="343"/>
      <c r="O1605" s="343"/>
      <c r="P1605" s="343"/>
      <c r="Q1605" s="343"/>
    </row>
    <row r="1606" spans="1:17" ht="30" x14ac:dyDescent="0.25">
      <c r="A1606" s="1122"/>
      <c r="B1606" s="930"/>
      <c r="C1606" s="789" t="s">
        <v>11</v>
      </c>
      <c r="D1606" s="677"/>
      <c r="E1606" s="1302" t="s">
        <v>2574</v>
      </c>
      <c r="F1606" s="755">
        <v>515</v>
      </c>
      <c r="G1606" s="755">
        <v>750</v>
      </c>
      <c r="H1606" s="1166"/>
      <c r="I1606" s="1125"/>
      <c r="J1606" s="1125"/>
      <c r="K1606" s="1212" t="s">
        <v>2563</v>
      </c>
      <c r="L1606" s="1196" t="s">
        <v>780</v>
      </c>
      <c r="M1606" s="343">
        <v>0</v>
      </c>
      <c r="N1606" s="343">
        <v>0</v>
      </c>
      <c r="O1606" s="343">
        <v>2</v>
      </c>
      <c r="P1606" s="343">
        <v>4</v>
      </c>
      <c r="Q1606" s="343">
        <v>6</v>
      </c>
    </row>
    <row r="1607" spans="1:17" ht="45" x14ac:dyDescent="0.25">
      <c r="A1607" s="1122"/>
      <c r="B1607" s="382"/>
      <c r="C1607" s="1146" t="s">
        <v>13</v>
      </c>
      <c r="D1607" s="1199"/>
      <c r="E1607" s="1217" t="s">
        <v>2575</v>
      </c>
      <c r="F1607" s="755">
        <v>125343.8</v>
      </c>
      <c r="G1607" s="755">
        <v>194901.7</v>
      </c>
      <c r="H1607" s="1166">
        <f>173654.3+15000+37076.5</f>
        <v>225730.8</v>
      </c>
      <c r="I1607" s="1125">
        <v>151977.9</v>
      </c>
      <c r="J1607" s="1125">
        <v>154008.6</v>
      </c>
      <c r="K1607" s="1212" t="s">
        <v>2576</v>
      </c>
      <c r="L1607" s="1196" t="s">
        <v>34</v>
      </c>
      <c r="M1607" s="343">
        <v>30</v>
      </c>
      <c r="N1607" s="343">
        <v>35</v>
      </c>
      <c r="O1607" s="343">
        <v>45</v>
      </c>
      <c r="P1607" s="343">
        <v>60</v>
      </c>
      <c r="Q1607" s="343">
        <v>75</v>
      </c>
    </row>
    <row r="1608" spans="1:17" ht="30" x14ac:dyDescent="0.25">
      <c r="A1608" s="1122"/>
      <c r="B1608" s="382"/>
      <c r="C1608" s="1146" t="s">
        <v>15</v>
      </c>
      <c r="D1608" s="931"/>
      <c r="E1608" s="1205" t="s">
        <v>2577</v>
      </c>
      <c r="F1608" s="755">
        <v>240</v>
      </c>
      <c r="G1608" s="755">
        <v>178</v>
      </c>
      <c r="H1608" s="1166"/>
      <c r="I1608" s="1125"/>
      <c r="J1608" s="1125"/>
      <c r="K1608" s="932"/>
      <c r="L1608" s="1147"/>
      <c r="M1608" s="1147"/>
      <c r="N1608" s="1147"/>
      <c r="O1608" s="1147"/>
      <c r="P1608" s="1147"/>
      <c r="Q1608" s="1147"/>
    </row>
    <row r="1609" spans="1:17" x14ac:dyDescent="0.25">
      <c r="A1609" s="1397"/>
      <c r="B1609" s="1514"/>
      <c r="C1609" s="1515"/>
      <c r="D1609" s="1516"/>
      <c r="E1609" s="1517"/>
      <c r="F1609" s="1451"/>
      <c r="G1609" s="1451"/>
      <c r="H1609" s="1503"/>
      <c r="I1609" s="1445"/>
      <c r="J1609" s="1445"/>
      <c r="K1609" s="932"/>
      <c r="L1609" s="1147"/>
      <c r="M1609" s="1147"/>
      <c r="N1609" s="1147"/>
      <c r="O1609" s="1147"/>
      <c r="P1609" s="1147"/>
      <c r="Q1609" s="1147"/>
    </row>
    <row r="1610" spans="1:17" ht="57" x14ac:dyDescent="0.25">
      <c r="A1610" s="1818">
        <v>61</v>
      </c>
      <c r="B1610" s="1734">
        <v>2</v>
      </c>
      <c r="C1610" s="1820"/>
      <c r="D1610" s="1862"/>
      <c r="E1610" s="1630" t="s">
        <v>2578</v>
      </c>
      <c r="F1610" s="1904">
        <v>3850</v>
      </c>
      <c r="G1610" s="1904">
        <v>4100</v>
      </c>
      <c r="H1610" s="1906">
        <f>H1612</f>
        <v>800</v>
      </c>
      <c r="I1610" s="1908">
        <v>800</v>
      </c>
      <c r="J1610" s="1908">
        <v>800</v>
      </c>
      <c r="K1610" s="1195" t="s">
        <v>2579</v>
      </c>
      <c r="L1610" s="343" t="s">
        <v>34</v>
      </c>
      <c r="M1610" s="1196">
        <v>55</v>
      </c>
      <c r="N1610" s="1234">
        <v>60</v>
      </c>
      <c r="O1610" s="1234">
        <v>65</v>
      </c>
      <c r="P1610" s="1234">
        <v>70</v>
      </c>
      <c r="Q1610" s="1234">
        <v>75</v>
      </c>
    </row>
    <row r="1611" spans="1:17" ht="42.75" x14ac:dyDescent="0.25">
      <c r="A1611" s="1819"/>
      <c r="B1611" s="1735"/>
      <c r="C1611" s="1821"/>
      <c r="D1611" s="1863"/>
      <c r="E1611" s="1630"/>
      <c r="F1611" s="1905"/>
      <c r="G1611" s="1905"/>
      <c r="H1611" s="1907"/>
      <c r="I1611" s="1909"/>
      <c r="J1611" s="1909"/>
      <c r="K1611" s="1195" t="s">
        <v>2580</v>
      </c>
      <c r="L1611" s="343" t="s">
        <v>34</v>
      </c>
      <c r="M1611" s="1196">
        <v>60</v>
      </c>
      <c r="N1611" s="1234">
        <v>65</v>
      </c>
      <c r="O1611" s="1234">
        <v>70</v>
      </c>
      <c r="P1611" s="1234">
        <v>75</v>
      </c>
      <c r="Q1611" s="1234">
        <v>80</v>
      </c>
    </row>
    <row r="1612" spans="1:17" ht="45" x14ac:dyDescent="0.25">
      <c r="A1612" s="1653"/>
      <c r="B1612" s="1498"/>
      <c r="C1612" s="1820" t="s">
        <v>4</v>
      </c>
      <c r="D1612" s="1862"/>
      <c r="E1612" s="1791" t="s">
        <v>2581</v>
      </c>
      <c r="F1612" s="1740">
        <v>3850</v>
      </c>
      <c r="G1612" s="1740">
        <v>4100</v>
      </c>
      <c r="H1612" s="1903">
        <v>800</v>
      </c>
      <c r="I1612" s="1765">
        <v>800</v>
      </c>
      <c r="J1612" s="1765">
        <v>800</v>
      </c>
      <c r="K1612" s="1212" t="s">
        <v>2582</v>
      </c>
      <c r="L1612" s="1196" t="s">
        <v>34</v>
      </c>
      <c r="M1612" s="1196">
        <v>21</v>
      </c>
      <c r="N1612" s="688">
        <v>22</v>
      </c>
      <c r="O1612" s="688">
        <v>25</v>
      </c>
      <c r="P1612" s="688">
        <v>27</v>
      </c>
      <c r="Q1612" s="688">
        <v>30</v>
      </c>
    </row>
    <row r="1613" spans="1:17" ht="30" x14ac:dyDescent="0.25">
      <c r="A1613" s="1654"/>
      <c r="B1613" s="1188"/>
      <c r="C1613" s="1821"/>
      <c r="D1613" s="1863"/>
      <c r="E1613" s="1791"/>
      <c r="F1613" s="1741"/>
      <c r="G1613" s="1741"/>
      <c r="H1613" s="1903"/>
      <c r="I1613" s="1765"/>
      <c r="J1613" s="1765"/>
      <c r="K1613" s="1212" t="s">
        <v>2583</v>
      </c>
      <c r="L1613" s="1196" t="s">
        <v>825</v>
      </c>
      <c r="M1613" s="1196">
        <v>3</v>
      </c>
      <c r="N1613" s="688">
        <v>4</v>
      </c>
      <c r="O1613" s="688">
        <v>5</v>
      </c>
      <c r="P1613" s="688">
        <v>6</v>
      </c>
      <c r="Q1613" s="688">
        <v>6</v>
      </c>
    </row>
    <row r="1614" spans="1:17" ht="57" x14ac:dyDescent="0.25">
      <c r="A1614" s="1818">
        <v>61</v>
      </c>
      <c r="B1614" s="1734">
        <v>3</v>
      </c>
      <c r="C1614" s="1820"/>
      <c r="D1614" s="1862"/>
      <c r="E1614" s="1630" t="s">
        <v>2584</v>
      </c>
      <c r="F1614" s="1904">
        <v>3070</v>
      </c>
      <c r="G1614" s="1904">
        <v>0</v>
      </c>
      <c r="H1614" s="1906">
        <f>H1616</f>
        <v>700</v>
      </c>
      <c r="I1614" s="1908">
        <v>700</v>
      </c>
      <c r="J1614" s="1908">
        <v>700</v>
      </c>
      <c r="K1614" s="1195" t="s">
        <v>2585</v>
      </c>
      <c r="L1614" s="343" t="s">
        <v>34</v>
      </c>
      <c r="M1614" s="1196">
        <v>60</v>
      </c>
      <c r="N1614" s="1234">
        <v>63</v>
      </c>
      <c r="O1614" s="1234">
        <v>65</v>
      </c>
      <c r="P1614" s="1234">
        <v>70</v>
      </c>
      <c r="Q1614" s="1234">
        <v>73</v>
      </c>
    </row>
    <row r="1615" spans="1:17" ht="71.25" x14ac:dyDescent="0.25">
      <c r="A1615" s="1819"/>
      <c r="B1615" s="1735"/>
      <c r="C1615" s="1821"/>
      <c r="D1615" s="1863"/>
      <c r="E1615" s="1630"/>
      <c r="F1615" s="1905"/>
      <c r="G1615" s="1905"/>
      <c r="H1615" s="1907"/>
      <c r="I1615" s="1909"/>
      <c r="J1615" s="1909"/>
      <c r="K1615" s="1195" t="s">
        <v>2586</v>
      </c>
      <c r="L1615" s="343" t="s">
        <v>822</v>
      </c>
      <c r="M1615" s="1196">
        <v>18</v>
      </c>
      <c r="N1615" s="1234">
        <v>16</v>
      </c>
      <c r="O1615" s="1234">
        <v>16</v>
      </c>
      <c r="P1615" s="1234">
        <v>15</v>
      </c>
      <c r="Q1615" s="1234">
        <v>15</v>
      </c>
    </row>
    <row r="1616" spans="1:17" ht="60" x14ac:dyDescent="0.25">
      <c r="A1616" s="422"/>
      <c r="B1616" s="252"/>
      <c r="C1616" s="1105" t="s">
        <v>4</v>
      </c>
      <c r="D1616" s="253"/>
      <c r="E1616" s="1217" t="s">
        <v>2587</v>
      </c>
      <c r="F1616" s="1451">
        <v>3070</v>
      </c>
      <c r="G1616" s="1451">
        <v>0</v>
      </c>
      <c r="H1616" s="1440">
        <v>700</v>
      </c>
      <c r="I1616" s="1440">
        <v>700</v>
      </c>
      <c r="J1616" s="1440">
        <v>700</v>
      </c>
      <c r="K1616" s="1212" t="s">
        <v>2588</v>
      </c>
      <c r="L1616" s="1196" t="s">
        <v>34</v>
      </c>
      <c r="M1616" s="1196">
        <v>75</v>
      </c>
      <c r="N1616" s="688">
        <v>77</v>
      </c>
      <c r="O1616" s="688">
        <v>78</v>
      </c>
      <c r="P1616" s="688">
        <v>79</v>
      </c>
      <c r="Q1616" s="688">
        <v>80</v>
      </c>
    </row>
    <row r="1617" spans="1:17" x14ac:dyDescent="0.25">
      <c r="A1617" s="1651" t="s">
        <v>2589</v>
      </c>
      <c r="B1617" s="1651"/>
      <c r="C1617" s="1651"/>
      <c r="D1617" s="1651"/>
      <c r="E1617" s="1652"/>
      <c r="F1617" s="552">
        <v>135018.79999999999</v>
      </c>
      <c r="G1617" s="552">
        <v>201979.7</v>
      </c>
      <c r="H1617" s="552">
        <f>H1601+H1610+H1614</f>
        <v>227230.8</v>
      </c>
      <c r="I1617" s="552">
        <v>153477.9</v>
      </c>
      <c r="J1617" s="552">
        <v>155508.6</v>
      </c>
      <c r="K1617" s="15"/>
      <c r="L1617" s="1231"/>
      <c r="M1617" s="1231"/>
      <c r="N1617" s="1231"/>
      <c r="O1617" s="1231"/>
      <c r="P1617" s="1231"/>
      <c r="Q1617" s="1231"/>
    </row>
    <row r="1618" spans="1:17" x14ac:dyDescent="0.25">
      <c r="A1618" s="1648" t="s">
        <v>2590</v>
      </c>
      <c r="B1618" s="1649"/>
      <c r="C1618" s="1649"/>
      <c r="D1618" s="1649"/>
      <c r="E1618" s="1649"/>
      <c r="F1618" s="1649"/>
      <c r="G1618" s="1649"/>
      <c r="H1618" s="1649"/>
      <c r="I1618" s="1649"/>
      <c r="J1618" s="1649"/>
      <c r="K1618" s="1649"/>
      <c r="L1618" s="1649"/>
      <c r="M1618" s="1649"/>
      <c r="N1618" s="1649"/>
      <c r="O1618" s="1649"/>
      <c r="P1618" s="1649"/>
      <c r="Q1618" s="1650"/>
    </row>
    <row r="1619" spans="1:17" ht="74.25" x14ac:dyDescent="0.25">
      <c r="A1619" s="416">
        <v>62</v>
      </c>
      <c r="B1619" s="58">
        <v>1</v>
      </c>
      <c r="C1619" s="1163"/>
      <c r="D1619" s="1138"/>
      <c r="E1619" s="1195" t="s">
        <v>2505</v>
      </c>
      <c r="F1619" s="934">
        <v>26203.4</v>
      </c>
      <c r="G1619" s="934">
        <v>23208.5</v>
      </c>
      <c r="H1619" s="934">
        <f>SUM(H1620:H1625)</f>
        <v>37654.5</v>
      </c>
      <c r="I1619" s="934">
        <v>37698.800000000003</v>
      </c>
      <c r="J1619" s="934">
        <v>38373</v>
      </c>
      <c r="K1619" s="1195" t="s">
        <v>2591</v>
      </c>
      <c r="L1619" s="935" t="s">
        <v>34</v>
      </c>
      <c r="M1619" s="936">
        <v>4.5</v>
      </c>
      <c r="N1619" s="936">
        <v>4.5</v>
      </c>
      <c r="O1619" s="936">
        <v>4.5</v>
      </c>
      <c r="P1619" s="936">
        <v>4.5</v>
      </c>
      <c r="Q1619" s="937">
        <v>4.5</v>
      </c>
    </row>
    <row r="1620" spans="1:17" x14ac:dyDescent="0.25">
      <c r="A1620" s="1161"/>
      <c r="B1620" s="373"/>
      <c r="C1620" s="1163" t="s">
        <v>4</v>
      </c>
      <c r="D1620" s="1138"/>
      <c r="E1620" s="1100" t="s">
        <v>522</v>
      </c>
      <c r="F1620" s="1164">
        <v>7503.7</v>
      </c>
      <c r="G1620" s="1164">
        <v>6646.5</v>
      </c>
      <c r="H1620" s="938">
        <v>14487.7</v>
      </c>
      <c r="I1620" s="938">
        <v>12087.699999999999</v>
      </c>
      <c r="J1620" s="938">
        <v>12267.8</v>
      </c>
      <c r="K1620" s="1212" t="s">
        <v>438</v>
      </c>
      <c r="L1620" s="939" t="s">
        <v>34</v>
      </c>
      <c r="M1620" s="933">
        <v>54</v>
      </c>
      <c r="N1620" s="933">
        <v>56</v>
      </c>
      <c r="O1620" s="933">
        <v>60</v>
      </c>
      <c r="P1620" s="933">
        <v>62</v>
      </c>
      <c r="Q1620" s="937">
        <v>63</v>
      </c>
    </row>
    <row r="1621" spans="1:17" ht="30" x14ac:dyDescent="0.25">
      <c r="A1621" s="1161"/>
      <c r="B1621" s="373"/>
      <c r="C1621" s="1163" t="s">
        <v>5</v>
      </c>
      <c r="D1621" s="1138"/>
      <c r="E1621" s="1302" t="s">
        <v>2592</v>
      </c>
      <c r="F1621" s="1164">
        <v>3309.1</v>
      </c>
      <c r="G1621" s="1164">
        <v>2104.6</v>
      </c>
      <c r="H1621" s="938">
        <v>3456.9</v>
      </c>
      <c r="I1621" s="938">
        <v>3956.9</v>
      </c>
      <c r="J1621" s="938">
        <v>4032.9</v>
      </c>
      <c r="K1621" s="1212" t="s">
        <v>2593</v>
      </c>
      <c r="L1621" s="939" t="s">
        <v>34</v>
      </c>
      <c r="M1621" s="933">
        <v>100</v>
      </c>
      <c r="N1621" s="933">
        <v>100</v>
      </c>
      <c r="O1621" s="933">
        <v>100</v>
      </c>
      <c r="P1621" s="933">
        <v>100</v>
      </c>
      <c r="Q1621" s="937">
        <v>100</v>
      </c>
    </row>
    <row r="1622" spans="1:17" ht="30" x14ac:dyDescent="0.25">
      <c r="A1622" s="1161"/>
      <c r="B1622" s="373"/>
      <c r="C1622" s="1163" t="s">
        <v>7</v>
      </c>
      <c r="D1622" s="1138"/>
      <c r="E1622" s="1212" t="s">
        <v>842</v>
      </c>
      <c r="F1622" s="1164">
        <v>2590.1999999999998</v>
      </c>
      <c r="G1622" s="1164">
        <v>1352.4</v>
      </c>
      <c r="H1622" s="938">
        <v>2814</v>
      </c>
      <c r="I1622" s="938">
        <v>3314</v>
      </c>
      <c r="J1622" s="938">
        <v>3375.9</v>
      </c>
      <c r="K1622" s="1212" t="s">
        <v>2131</v>
      </c>
      <c r="L1622" s="939" t="s">
        <v>34</v>
      </c>
      <c r="M1622" s="939">
        <v>45</v>
      </c>
      <c r="N1622" s="939">
        <v>50</v>
      </c>
      <c r="O1622" s="939">
        <v>55</v>
      </c>
      <c r="P1622" s="939">
        <v>60</v>
      </c>
      <c r="Q1622" s="940">
        <v>65</v>
      </c>
    </row>
    <row r="1623" spans="1:17" ht="30" x14ac:dyDescent="0.25">
      <c r="A1623" s="1161"/>
      <c r="B1623" s="373"/>
      <c r="C1623" s="1163" t="s">
        <v>9</v>
      </c>
      <c r="D1623" s="1138"/>
      <c r="E1623" s="1212" t="s">
        <v>2573</v>
      </c>
      <c r="F1623" s="941">
        <v>1271.0999999999999</v>
      </c>
      <c r="G1623" s="941">
        <v>851.1</v>
      </c>
      <c r="H1623" s="938">
        <v>2305.1999999999998</v>
      </c>
      <c r="I1623" s="938">
        <v>2505.1999999999998</v>
      </c>
      <c r="J1623" s="938">
        <v>2555.9</v>
      </c>
      <c r="K1623" s="1212" t="s">
        <v>2132</v>
      </c>
      <c r="L1623" s="939" t="s">
        <v>1944</v>
      </c>
      <c r="M1623" s="939">
        <v>55</v>
      </c>
      <c r="N1623" s="939">
        <v>60</v>
      </c>
      <c r="O1623" s="939">
        <v>65</v>
      </c>
      <c r="P1623" s="939">
        <v>70</v>
      </c>
      <c r="Q1623" s="940">
        <v>70</v>
      </c>
    </row>
    <row r="1624" spans="1:17" x14ac:dyDescent="0.25">
      <c r="A1624" s="1161"/>
      <c r="B1624" s="373"/>
      <c r="C1624" s="1163" t="s">
        <v>11</v>
      </c>
      <c r="D1624" s="1138"/>
      <c r="E1624" s="1217" t="s">
        <v>2409</v>
      </c>
      <c r="F1624" s="941">
        <v>2514.1999999999998</v>
      </c>
      <c r="G1624" s="941">
        <v>2782.1</v>
      </c>
      <c r="H1624" s="938">
        <v>4265.1000000000004</v>
      </c>
      <c r="I1624" s="938">
        <v>5765.1</v>
      </c>
      <c r="J1624" s="938">
        <v>5859</v>
      </c>
      <c r="K1624" s="1212" t="s">
        <v>2594</v>
      </c>
      <c r="L1624" s="939" t="s">
        <v>1503</v>
      </c>
      <c r="M1624" s="939">
        <v>110</v>
      </c>
      <c r="N1624" s="939">
        <v>120</v>
      </c>
      <c r="O1624" s="939">
        <v>120</v>
      </c>
      <c r="P1624" s="939">
        <v>130</v>
      </c>
      <c r="Q1624" s="940">
        <v>140</v>
      </c>
    </row>
    <row r="1625" spans="1:17" ht="45" x14ac:dyDescent="0.25">
      <c r="A1625" s="1161"/>
      <c r="B1625" s="373"/>
      <c r="C1625" s="1163" t="s">
        <v>13</v>
      </c>
      <c r="D1625" s="1138"/>
      <c r="E1625" s="1212" t="s">
        <v>2595</v>
      </c>
      <c r="F1625" s="942">
        <v>9015.1</v>
      </c>
      <c r="G1625" s="942">
        <v>9471.7999999999993</v>
      </c>
      <c r="H1625" s="1165">
        <v>10325.6</v>
      </c>
      <c r="I1625" s="1165">
        <v>10069.9</v>
      </c>
      <c r="J1625" s="1165">
        <v>10281.5</v>
      </c>
      <c r="K1625" s="1212" t="s">
        <v>2596</v>
      </c>
      <c r="L1625" s="939" t="s">
        <v>34</v>
      </c>
      <c r="M1625" s="939">
        <v>27</v>
      </c>
      <c r="N1625" s="939">
        <v>27</v>
      </c>
      <c r="O1625" s="939">
        <v>27</v>
      </c>
      <c r="P1625" s="939">
        <v>27</v>
      </c>
      <c r="Q1625" s="940">
        <v>27</v>
      </c>
    </row>
    <row r="1626" spans="1:17" ht="118.5" x14ac:dyDescent="0.25">
      <c r="A1626" s="416">
        <v>62</v>
      </c>
      <c r="B1626" s="58">
        <v>2</v>
      </c>
      <c r="C1626" s="1163"/>
      <c r="D1626" s="1138"/>
      <c r="E1626" s="1195" t="s">
        <v>2597</v>
      </c>
      <c r="F1626" s="943">
        <v>479371.10000000003</v>
      </c>
      <c r="G1626" s="943">
        <v>457164.2</v>
      </c>
      <c r="H1626" s="943">
        <f>SUM(H1627:H1633)</f>
        <v>508778.69999999995</v>
      </c>
      <c r="I1626" s="944">
        <v>504556.70000000007</v>
      </c>
      <c r="J1626" s="944">
        <v>507385.9</v>
      </c>
      <c r="K1626" s="1195" t="s">
        <v>2598</v>
      </c>
      <c r="L1626" s="939" t="s">
        <v>34</v>
      </c>
      <c r="M1626" s="939">
        <v>60</v>
      </c>
      <c r="N1626" s="939">
        <v>65</v>
      </c>
      <c r="O1626" s="939">
        <v>70</v>
      </c>
      <c r="P1626" s="939">
        <v>75</v>
      </c>
      <c r="Q1626" s="940">
        <v>80</v>
      </c>
    </row>
    <row r="1627" spans="1:17" x14ac:dyDescent="0.25">
      <c r="A1627" s="1883"/>
      <c r="B1627" s="1884"/>
      <c r="C1627" s="1886" t="s">
        <v>4</v>
      </c>
      <c r="D1627" s="1887"/>
      <c r="E1627" s="1791" t="s">
        <v>2599</v>
      </c>
      <c r="F1627" s="1762">
        <v>205053.3</v>
      </c>
      <c r="G1627" s="1762">
        <v>176070.7</v>
      </c>
      <c r="H1627" s="1897">
        <v>206001.1</v>
      </c>
      <c r="I1627" s="1899">
        <v>208430.30000000002</v>
      </c>
      <c r="J1627" s="1899">
        <v>207686.39999999999</v>
      </c>
      <c r="K1627" s="933" t="s">
        <v>2600</v>
      </c>
      <c r="L1627" s="939" t="s">
        <v>822</v>
      </c>
      <c r="M1627" s="939">
        <v>170</v>
      </c>
      <c r="N1627" s="939">
        <v>180</v>
      </c>
      <c r="O1627" s="939">
        <v>200</v>
      </c>
      <c r="P1627" s="939">
        <v>220</v>
      </c>
      <c r="Q1627" s="940">
        <v>240</v>
      </c>
    </row>
    <row r="1628" spans="1:17" x14ac:dyDescent="0.25">
      <c r="A1628" s="1883"/>
      <c r="B1628" s="1885"/>
      <c r="C1628" s="1886"/>
      <c r="D1628" s="1887"/>
      <c r="E1628" s="1791"/>
      <c r="F1628" s="1764"/>
      <c r="G1628" s="1764"/>
      <c r="H1628" s="1898"/>
      <c r="I1628" s="1899"/>
      <c r="J1628" s="1899"/>
      <c r="K1628" s="933"/>
      <c r="L1628" s="939"/>
      <c r="M1628" s="939"/>
      <c r="N1628" s="939"/>
      <c r="O1628" s="939"/>
      <c r="P1628" s="939"/>
      <c r="Q1628" s="940"/>
    </row>
    <row r="1629" spans="1:17" ht="45" x14ac:dyDescent="0.25">
      <c r="A1629" s="1770"/>
      <c r="B1629" s="1884"/>
      <c r="C1629" s="1772" t="s">
        <v>5</v>
      </c>
      <c r="D1629" s="1901"/>
      <c r="E1629" s="1902" t="s">
        <v>2601</v>
      </c>
      <c r="F1629" s="1888">
        <v>115048.6</v>
      </c>
      <c r="G1629" s="1888">
        <v>126415</v>
      </c>
      <c r="H1629" s="1888">
        <v>115823.5</v>
      </c>
      <c r="I1629" s="1888">
        <v>117392.1</v>
      </c>
      <c r="J1629" s="1888">
        <v>117511.3</v>
      </c>
      <c r="K1629" s="1212" t="s">
        <v>2602</v>
      </c>
      <c r="L1629" s="945" t="s">
        <v>2603</v>
      </c>
      <c r="M1629" s="945">
        <v>160</v>
      </c>
      <c r="N1629" s="945">
        <v>155</v>
      </c>
      <c r="O1629" s="945">
        <v>150</v>
      </c>
      <c r="P1629" s="945">
        <v>140</v>
      </c>
      <c r="Q1629" s="940">
        <v>120</v>
      </c>
    </row>
    <row r="1630" spans="1:17" ht="30" x14ac:dyDescent="0.25">
      <c r="A1630" s="1771"/>
      <c r="B1630" s="1885"/>
      <c r="C1630" s="1900"/>
      <c r="D1630" s="1773"/>
      <c r="E1630" s="1902"/>
      <c r="F1630" s="1889"/>
      <c r="G1630" s="1889"/>
      <c r="H1630" s="1889"/>
      <c r="I1630" s="1889"/>
      <c r="J1630" s="1889"/>
      <c r="K1630" s="1212" t="s">
        <v>2604</v>
      </c>
      <c r="L1630" s="939" t="s">
        <v>2605</v>
      </c>
      <c r="M1630" s="945">
        <v>22.1</v>
      </c>
      <c r="N1630" s="945">
        <v>22.3</v>
      </c>
      <c r="O1630" s="945">
        <v>22.5</v>
      </c>
      <c r="P1630" s="945">
        <v>22.7</v>
      </c>
      <c r="Q1630" s="940">
        <v>22.9</v>
      </c>
    </row>
    <row r="1631" spans="1:17" ht="45" x14ac:dyDescent="0.25">
      <c r="A1631" s="1161"/>
      <c r="B1631" s="373"/>
      <c r="C1631" s="1163" t="s">
        <v>7</v>
      </c>
      <c r="D1631" s="1138"/>
      <c r="E1631" s="700" t="s">
        <v>2606</v>
      </c>
      <c r="F1631" s="941">
        <v>44290.2</v>
      </c>
      <c r="G1631" s="941">
        <v>39111.300000000003</v>
      </c>
      <c r="H1631" s="946">
        <v>15905.5</v>
      </c>
      <c r="I1631" s="1197">
        <v>39698</v>
      </c>
      <c r="J1631" s="1197">
        <v>40571.300000000003</v>
      </c>
      <c r="K1631" s="1212" t="s">
        <v>2607</v>
      </c>
      <c r="L1631" s="939" t="s">
        <v>209</v>
      </c>
      <c r="M1631" s="939">
        <v>1972535</v>
      </c>
      <c r="N1631" s="939">
        <v>2127.1999999999998</v>
      </c>
      <c r="O1631" s="939">
        <v>2213.4</v>
      </c>
      <c r="P1631" s="939">
        <v>2315.1</v>
      </c>
      <c r="Q1631" s="940">
        <v>2412.5</v>
      </c>
    </row>
    <row r="1632" spans="1:17" ht="30" x14ac:dyDescent="0.25">
      <c r="A1632" s="1883"/>
      <c r="B1632" s="1884"/>
      <c r="C1632" s="1886" t="s">
        <v>9</v>
      </c>
      <c r="D1632" s="1887"/>
      <c r="E1632" s="1684" t="s">
        <v>2608</v>
      </c>
      <c r="F1632" s="1888">
        <v>114979</v>
      </c>
      <c r="G1632" s="1888">
        <v>115567.2</v>
      </c>
      <c r="H1632" s="1890">
        <v>171048.6</v>
      </c>
      <c r="I1632" s="1892">
        <v>139036.30000000002</v>
      </c>
      <c r="J1632" s="1892">
        <v>141616.90000000002</v>
      </c>
      <c r="K1632" s="1212" t="s">
        <v>2609</v>
      </c>
      <c r="L1632" s="939" t="s">
        <v>2610</v>
      </c>
      <c r="M1632" s="939">
        <v>3300</v>
      </c>
      <c r="N1632" s="939">
        <v>3400</v>
      </c>
      <c r="O1632" s="939">
        <v>3500</v>
      </c>
      <c r="P1632" s="939">
        <v>3600</v>
      </c>
      <c r="Q1632" s="939">
        <v>3700</v>
      </c>
    </row>
    <row r="1633" spans="1:17" ht="30" x14ac:dyDescent="0.25">
      <c r="A1633" s="1883"/>
      <c r="B1633" s="1885"/>
      <c r="C1633" s="1886"/>
      <c r="D1633" s="1887"/>
      <c r="E1633" s="1686"/>
      <c r="F1633" s="1889"/>
      <c r="G1633" s="1889"/>
      <c r="H1633" s="1891"/>
      <c r="I1633" s="1893"/>
      <c r="J1633" s="1893"/>
      <c r="K1633" s="1212" t="s">
        <v>2611</v>
      </c>
      <c r="L1633" s="939" t="s">
        <v>2605</v>
      </c>
      <c r="M1633" s="939">
        <v>45.2</v>
      </c>
      <c r="N1633" s="939">
        <v>45.4</v>
      </c>
      <c r="O1633" s="939">
        <v>45.6</v>
      </c>
      <c r="P1633" s="939">
        <v>45.8</v>
      </c>
      <c r="Q1633" s="939">
        <v>46</v>
      </c>
    </row>
    <row r="1634" spans="1:17" ht="88.5" x14ac:dyDescent="0.25">
      <c r="A1634" s="416">
        <v>62</v>
      </c>
      <c r="B1634" s="58">
        <v>3</v>
      </c>
      <c r="C1634" s="1163"/>
      <c r="D1634" s="1138"/>
      <c r="E1634" s="1195" t="s">
        <v>2612</v>
      </c>
      <c r="F1634" s="947">
        <v>80040.100000000006</v>
      </c>
      <c r="G1634" s="947">
        <v>28566.2</v>
      </c>
      <c r="H1634" s="947">
        <v>30269.8</v>
      </c>
      <c r="I1634" s="947">
        <v>31938.2</v>
      </c>
      <c r="J1634" s="947">
        <v>32640.799999999999</v>
      </c>
      <c r="K1634" s="1212" t="s">
        <v>2613</v>
      </c>
      <c r="L1634" s="939" t="s">
        <v>34</v>
      </c>
      <c r="M1634" s="939">
        <v>40</v>
      </c>
      <c r="N1634" s="939">
        <v>38</v>
      </c>
      <c r="O1634" s="939">
        <v>37</v>
      </c>
      <c r="P1634" s="939">
        <v>35</v>
      </c>
      <c r="Q1634" s="940">
        <v>30</v>
      </c>
    </row>
    <row r="1635" spans="1:17" ht="30" x14ac:dyDescent="0.25">
      <c r="A1635" s="1883"/>
      <c r="B1635" s="1884"/>
      <c r="C1635" s="1886" t="s">
        <v>4</v>
      </c>
      <c r="D1635" s="1887"/>
      <c r="E1635" s="1791" t="s">
        <v>2614</v>
      </c>
      <c r="F1635" s="1888">
        <v>80040.100000000006</v>
      </c>
      <c r="G1635" s="1888">
        <v>28566.2</v>
      </c>
      <c r="H1635" s="1894">
        <v>30269.8</v>
      </c>
      <c r="I1635" s="1896">
        <v>31938.2</v>
      </c>
      <c r="J1635" s="1896">
        <v>32640.799999999999</v>
      </c>
      <c r="K1635" s="1212" t="s">
        <v>2615</v>
      </c>
      <c r="L1635" s="939" t="s">
        <v>2616</v>
      </c>
      <c r="M1635" s="939">
        <v>19.2</v>
      </c>
      <c r="N1635" s="939">
        <v>19.399999999999999</v>
      </c>
      <c r="O1635" s="939">
        <v>19.600000000000001</v>
      </c>
      <c r="P1635" s="939">
        <v>19.8</v>
      </c>
      <c r="Q1635" s="940">
        <v>19.600000000000001</v>
      </c>
    </row>
    <row r="1636" spans="1:17" ht="30" x14ac:dyDescent="0.25">
      <c r="A1636" s="1883"/>
      <c r="B1636" s="1885"/>
      <c r="C1636" s="1886"/>
      <c r="D1636" s="1887"/>
      <c r="E1636" s="1791"/>
      <c r="F1636" s="1889"/>
      <c r="G1636" s="1889"/>
      <c r="H1636" s="1895"/>
      <c r="I1636" s="1896"/>
      <c r="J1636" s="1896"/>
      <c r="K1636" s="1212" t="s">
        <v>2617</v>
      </c>
      <c r="L1636" s="939" t="s">
        <v>312</v>
      </c>
      <c r="M1636" s="939">
        <v>177100</v>
      </c>
      <c r="N1636" s="939">
        <v>177500</v>
      </c>
      <c r="O1636" s="948">
        <v>177950</v>
      </c>
      <c r="P1636" s="948">
        <v>177950</v>
      </c>
      <c r="Q1636" s="940">
        <v>178000</v>
      </c>
    </row>
    <row r="1637" spans="1:17" x14ac:dyDescent="0.25">
      <c r="A1637" s="1876" t="s">
        <v>2618</v>
      </c>
      <c r="B1637" s="1876"/>
      <c r="C1637" s="1876"/>
      <c r="D1637" s="1876"/>
      <c r="E1637" s="1877"/>
      <c r="F1637" s="552">
        <v>585614.60000000009</v>
      </c>
      <c r="G1637" s="552">
        <v>508938.9</v>
      </c>
      <c r="H1637" s="552">
        <f>H1619+H1626+H1634</f>
        <v>576703</v>
      </c>
      <c r="I1637" s="552">
        <v>574193.70000000007</v>
      </c>
      <c r="J1637" s="552">
        <v>578399.70000000007</v>
      </c>
      <c r="K1637" s="949"/>
      <c r="L1637" s="881"/>
      <c r="M1637" s="881"/>
      <c r="N1637" s="881"/>
      <c r="O1637" s="881"/>
      <c r="P1637" s="881"/>
      <c r="Q1637" s="881"/>
    </row>
    <row r="1638" spans="1:17" x14ac:dyDescent="0.25">
      <c r="A1638" s="1648" t="s">
        <v>2619</v>
      </c>
      <c r="B1638" s="1649"/>
      <c r="C1638" s="1649"/>
      <c r="D1638" s="1649"/>
      <c r="E1638" s="1649"/>
      <c r="F1638" s="1649"/>
      <c r="G1638" s="1649"/>
      <c r="H1638" s="1649"/>
      <c r="I1638" s="1649"/>
      <c r="J1638" s="1649"/>
      <c r="K1638" s="1649"/>
      <c r="L1638" s="1649"/>
      <c r="M1638" s="1649"/>
      <c r="N1638" s="1649"/>
      <c r="O1638" s="1649"/>
      <c r="P1638" s="1649"/>
      <c r="Q1638" s="1650"/>
    </row>
    <row r="1639" spans="1:17" ht="57" x14ac:dyDescent="0.25">
      <c r="A1639" s="1115">
        <v>63</v>
      </c>
      <c r="B1639" s="1297">
        <v>1</v>
      </c>
      <c r="C1639" s="1275"/>
      <c r="D1639" s="1518"/>
      <c r="E1639" s="1195" t="s">
        <v>2620</v>
      </c>
      <c r="F1639" s="1119">
        <v>47599.9</v>
      </c>
      <c r="G1639" s="1119">
        <v>37241.200000000004</v>
      </c>
      <c r="H1639" s="1119">
        <f>SUM(H1640:H1651)</f>
        <v>83610.099999999991</v>
      </c>
      <c r="I1639" s="1119">
        <v>43888.373</v>
      </c>
      <c r="J1639" s="1119">
        <v>44525.845102999992</v>
      </c>
      <c r="K1639" s="178" t="s">
        <v>2621</v>
      </c>
      <c r="L1639" s="144"/>
      <c r="M1639" s="1138"/>
      <c r="N1639" s="39"/>
      <c r="O1639" s="39"/>
      <c r="P1639" s="39"/>
      <c r="Q1639" s="39"/>
    </row>
    <row r="1640" spans="1:17" x14ac:dyDescent="0.25">
      <c r="A1640" s="458"/>
      <c r="B1640" s="950"/>
      <c r="C1640" s="1117" t="s">
        <v>4</v>
      </c>
      <c r="D1640" s="955"/>
      <c r="E1640" s="1205" t="s">
        <v>1406</v>
      </c>
      <c r="F1640" s="1139">
        <v>5623.2</v>
      </c>
      <c r="G1640" s="1139">
        <v>4685.1000000000004</v>
      </c>
      <c r="H1640" s="951">
        <v>5462.8</v>
      </c>
      <c r="I1640" s="1139">
        <v>4522.0319999999992</v>
      </c>
      <c r="J1640" s="1139">
        <v>4571.7743519999985</v>
      </c>
      <c r="K1640" s="1205" t="s">
        <v>438</v>
      </c>
      <c r="L1640" s="1214" t="s">
        <v>35</v>
      </c>
      <c r="M1640" s="1214">
        <v>0.5</v>
      </c>
      <c r="N1640" s="1139">
        <v>0.6</v>
      </c>
      <c r="O1640" s="1139">
        <v>0.7</v>
      </c>
      <c r="P1640" s="1139">
        <v>0.8</v>
      </c>
      <c r="Q1640" s="1139">
        <v>0.9</v>
      </c>
    </row>
    <row r="1641" spans="1:17" ht="30" x14ac:dyDescent="0.25">
      <c r="A1641" s="1170"/>
      <c r="B1641" s="1248"/>
      <c r="C1641" s="1117" t="s">
        <v>5</v>
      </c>
      <c r="D1641" s="10"/>
      <c r="E1641" s="1302" t="s">
        <v>2508</v>
      </c>
      <c r="F1641" s="1139">
        <v>1065</v>
      </c>
      <c r="G1641" s="1139">
        <v>1567.8</v>
      </c>
      <c r="H1641" s="951">
        <v>2243.9</v>
      </c>
      <c r="I1641" s="1139">
        <v>1767.2797999999998</v>
      </c>
      <c r="J1641" s="1139">
        <v>1786.7198777999997</v>
      </c>
      <c r="K1641" s="1205" t="s">
        <v>2622</v>
      </c>
      <c r="L1641" s="1214" t="s">
        <v>34</v>
      </c>
      <c r="M1641" s="62">
        <v>100</v>
      </c>
      <c r="N1641" s="1519" t="s">
        <v>1343</v>
      </c>
      <c r="O1641" s="1519" t="s">
        <v>1343</v>
      </c>
      <c r="P1641" s="1519" t="s">
        <v>1343</v>
      </c>
      <c r="Q1641" s="1519" t="s">
        <v>1343</v>
      </c>
    </row>
    <row r="1642" spans="1:17" ht="30" x14ac:dyDescent="0.25">
      <c r="A1642" s="1170"/>
      <c r="B1642" s="1248"/>
      <c r="C1642" s="1117" t="s">
        <v>7</v>
      </c>
      <c r="D1642" s="10"/>
      <c r="E1642" s="1212" t="s">
        <v>842</v>
      </c>
      <c r="F1642" s="1139">
        <v>1246.2</v>
      </c>
      <c r="G1642" s="1139">
        <v>1736.9</v>
      </c>
      <c r="H1642" s="951">
        <v>2289.6</v>
      </c>
      <c r="I1642" s="1139">
        <v>1813.5738999999999</v>
      </c>
      <c r="J1642" s="1139">
        <v>1833.5232128999996</v>
      </c>
      <c r="K1642" s="1205" t="s">
        <v>2623</v>
      </c>
      <c r="L1642" s="1214" t="s">
        <v>34</v>
      </c>
      <c r="M1642" s="62">
        <v>30</v>
      </c>
      <c r="N1642" s="62">
        <v>30</v>
      </c>
      <c r="O1642" s="62">
        <v>30</v>
      </c>
      <c r="P1642" s="62">
        <v>30</v>
      </c>
      <c r="Q1642" s="62">
        <v>30</v>
      </c>
    </row>
    <row r="1643" spans="1:17" ht="30" x14ac:dyDescent="0.25">
      <c r="A1643" s="1170"/>
      <c r="B1643" s="1248"/>
      <c r="C1643" s="1117" t="s">
        <v>9</v>
      </c>
      <c r="D1643" s="10"/>
      <c r="E1643" s="1212" t="s">
        <v>2573</v>
      </c>
      <c r="F1643" s="1139">
        <v>1360.9</v>
      </c>
      <c r="G1643" s="1139">
        <v>1920.8</v>
      </c>
      <c r="H1643" s="951">
        <v>3646.2</v>
      </c>
      <c r="I1643" s="1139">
        <v>3061.3872999999994</v>
      </c>
      <c r="J1643" s="1139">
        <v>3095.0625602999989</v>
      </c>
      <c r="K1643" s="1205" t="s">
        <v>2624</v>
      </c>
      <c r="L1643" s="1214" t="s">
        <v>825</v>
      </c>
      <c r="M1643" s="1214">
        <v>1500</v>
      </c>
      <c r="N1643" s="1519" t="s">
        <v>1343</v>
      </c>
      <c r="O1643" s="1214">
        <v>1500</v>
      </c>
      <c r="P1643" s="1214">
        <v>1500</v>
      </c>
      <c r="Q1643" s="1214">
        <v>1500</v>
      </c>
    </row>
    <row r="1644" spans="1:17" ht="45" x14ac:dyDescent="0.25">
      <c r="A1644" s="1170"/>
      <c r="B1644" s="1297"/>
      <c r="C1644" s="1117" t="s">
        <v>13</v>
      </c>
      <c r="D1644" s="955"/>
      <c r="E1644" s="1212" t="s">
        <v>2625</v>
      </c>
      <c r="F1644" s="1139">
        <v>23758.2</v>
      </c>
      <c r="G1644" s="1139">
        <v>9834.6</v>
      </c>
      <c r="H1644" s="951">
        <v>44662.3</v>
      </c>
      <c r="I1644" s="1139">
        <v>12148.044</v>
      </c>
      <c r="J1644" s="1139">
        <v>12436.372484</v>
      </c>
      <c r="K1644" s="1205" t="s">
        <v>2596</v>
      </c>
      <c r="L1644" s="1214" t="s">
        <v>34</v>
      </c>
      <c r="M1644" s="62">
        <v>17</v>
      </c>
      <c r="N1644" s="62">
        <v>17</v>
      </c>
      <c r="O1644" s="62">
        <v>17</v>
      </c>
      <c r="P1644" s="62">
        <v>17</v>
      </c>
      <c r="Q1644" s="62">
        <v>17</v>
      </c>
    </row>
    <row r="1645" spans="1:17" ht="30" x14ac:dyDescent="0.25">
      <c r="A1645" s="1170"/>
      <c r="B1645" s="1297"/>
      <c r="C1645" s="1117" t="s">
        <v>15</v>
      </c>
      <c r="D1645" s="954"/>
      <c r="E1645" s="1205" t="s">
        <v>2626</v>
      </c>
      <c r="F1645" s="1139">
        <v>1207.7</v>
      </c>
      <c r="G1645" s="1139">
        <v>3599.9</v>
      </c>
      <c r="H1645" s="951">
        <v>2642.7</v>
      </c>
      <c r="I1645" s="1139">
        <v>2171.2642000000001</v>
      </c>
      <c r="J1645" s="1139">
        <v>2195.1481061999998</v>
      </c>
      <c r="K1645" s="1205" t="s">
        <v>2627</v>
      </c>
      <c r="L1645" s="1214" t="s">
        <v>34</v>
      </c>
      <c r="M1645" s="62">
        <v>85</v>
      </c>
      <c r="N1645" s="62">
        <v>85</v>
      </c>
      <c r="O1645" s="62">
        <v>85</v>
      </c>
      <c r="P1645" s="62">
        <v>85</v>
      </c>
      <c r="Q1645" s="62">
        <v>85</v>
      </c>
    </row>
    <row r="1646" spans="1:17" ht="30" x14ac:dyDescent="0.25">
      <c r="A1646" s="1170"/>
      <c r="B1646" s="1248"/>
      <c r="C1646" s="1117" t="s">
        <v>313</v>
      </c>
      <c r="D1646" s="10"/>
      <c r="E1646" s="1212" t="s">
        <v>2628</v>
      </c>
      <c r="F1646" s="1139">
        <v>1328.8</v>
      </c>
      <c r="G1646" s="1139">
        <v>1605.6</v>
      </c>
      <c r="H1646" s="951">
        <v>2369.6999999999998</v>
      </c>
      <c r="I1646" s="1139">
        <v>1768.2927999999997</v>
      </c>
      <c r="J1646" s="1139">
        <v>1787.7440207999996</v>
      </c>
      <c r="K1646" s="1205"/>
      <c r="L1646" s="1214"/>
      <c r="M1646" s="1214"/>
      <c r="N1646" s="43"/>
      <c r="O1646" s="1139"/>
      <c r="P1646" s="1139"/>
      <c r="Q1646" s="1139"/>
    </row>
    <row r="1647" spans="1:17" ht="30" x14ac:dyDescent="0.25">
      <c r="A1647" s="1642"/>
      <c r="B1647" s="1637"/>
      <c r="C1647" s="1669" t="s">
        <v>314</v>
      </c>
      <c r="D1647" s="1878"/>
      <c r="E1647" s="1791" t="s">
        <v>2629</v>
      </c>
      <c r="F1647" s="1774">
        <v>4825.1000000000004</v>
      </c>
      <c r="G1647" s="1774">
        <v>6207.6</v>
      </c>
      <c r="H1647" s="1880">
        <v>5530.9</v>
      </c>
      <c r="I1647" s="1774">
        <v>4970.5883999999996</v>
      </c>
      <c r="J1647" s="1774">
        <v>5025.2648723999991</v>
      </c>
      <c r="K1647" s="1205" t="s">
        <v>2630</v>
      </c>
      <c r="L1647" s="1214" t="s">
        <v>825</v>
      </c>
      <c r="M1647" s="1214">
        <v>113</v>
      </c>
      <c r="N1647" s="1519" t="s">
        <v>1343</v>
      </c>
      <c r="O1647" s="1519" t="s">
        <v>1343</v>
      </c>
      <c r="P1647" s="1519" t="s">
        <v>1343</v>
      </c>
      <c r="Q1647" s="1519" t="s">
        <v>1343</v>
      </c>
    </row>
    <row r="1648" spans="1:17" ht="45" x14ac:dyDescent="0.25">
      <c r="A1648" s="1644"/>
      <c r="B1648" s="1638"/>
      <c r="C1648" s="1670"/>
      <c r="D1648" s="1879"/>
      <c r="E1648" s="1791"/>
      <c r="F1648" s="1775"/>
      <c r="G1648" s="1775"/>
      <c r="H1648" s="1881"/>
      <c r="I1648" s="1775"/>
      <c r="J1648" s="1775"/>
      <c r="K1648" s="1205" t="s">
        <v>2631</v>
      </c>
      <c r="L1648" s="1214" t="s">
        <v>825</v>
      </c>
      <c r="M1648" s="1214">
        <v>56</v>
      </c>
      <c r="N1648" s="1519" t="s">
        <v>1343</v>
      </c>
      <c r="O1648" s="1519" t="s">
        <v>1343</v>
      </c>
      <c r="P1648" s="1519" t="s">
        <v>1343</v>
      </c>
      <c r="Q1648" s="1519" t="s">
        <v>1343</v>
      </c>
    </row>
    <row r="1649" spans="1:17" ht="30" x14ac:dyDescent="0.25">
      <c r="A1649" s="1115"/>
      <c r="B1649" s="1297"/>
      <c r="C1649" s="1117" t="s">
        <v>315</v>
      </c>
      <c r="D1649" s="955"/>
      <c r="E1649" s="1212" t="s">
        <v>2632</v>
      </c>
      <c r="F1649" s="1139">
        <v>440.4</v>
      </c>
      <c r="G1649" s="1139">
        <v>925.8</v>
      </c>
      <c r="H1649" s="951">
        <v>1107.2</v>
      </c>
      <c r="I1649" s="1139">
        <v>868.74879999999996</v>
      </c>
      <c r="J1649" s="1139">
        <v>878.30503679999993</v>
      </c>
      <c r="K1649" s="1205" t="s">
        <v>2633</v>
      </c>
      <c r="L1649" s="1520" t="s">
        <v>1186</v>
      </c>
      <c r="M1649" s="1214">
        <v>40</v>
      </c>
      <c r="N1649" s="1519" t="s">
        <v>1343</v>
      </c>
      <c r="O1649" s="43">
        <v>50</v>
      </c>
      <c r="P1649" s="43">
        <v>50</v>
      </c>
      <c r="Q1649" s="43">
        <v>50</v>
      </c>
    </row>
    <row r="1650" spans="1:17" ht="30" x14ac:dyDescent="0.25">
      <c r="A1650" s="1642"/>
      <c r="B1650" s="1637"/>
      <c r="C1650" s="1669" t="s">
        <v>316</v>
      </c>
      <c r="D1650" s="1882"/>
      <c r="E1650" s="1791" t="s">
        <v>2634</v>
      </c>
      <c r="F1650" s="1774">
        <v>6744.4</v>
      </c>
      <c r="G1650" s="1774">
        <v>5157.1000000000004</v>
      </c>
      <c r="H1650" s="1880">
        <v>13654.8</v>
      </c>
      <c r="I1650" s="1774">
        <v>10797.1618</v>
      </c>
      <c r="J1650" s="1774">
        <v>10915.930579799999</v>
      </c>
      <c r="K1650" s="1205" t="s">
        <v>2635</v>
      </c>
      <c r="L1650" s="1214" t="s">
        <v>825</v>
      </c>
      <c r="M1650" s="1214">
        <v>42</v>
      </c>
      <c r="N1650" s="1519" t="s">
        <v>1343</v>
      </c>
      <c r="O1650" s="43">
        <v>30</v>
      </c>
      <c r="P1650" s="43">
        <v>30</v>
      </c>
      <c r="Q1650" s="43">
        <v>30</v>
      </c>
    </row>
    <row r="1651" spans="1:17" ht="30" x14ac:dyDescent="0.25">
      <c r="A1651" s="1644"/>
      <c r="B1651" s="1638"/>
      <c r="C1651" s="1670"/>
      <c r="D1651" s="1882"/>
      <c r="E1651" s="1791"/>
      <c r="F1651" s="1775"/>
      <c r="G1651" s="1775"/>
      <c r="H1651" s="1881"/>
      <c r="I1651" s="1775"/>
      <c r="J1651" s="1775"/>
      <c r="K1651" s="1205" t="s">
        <v>2636</v>
      </c>
      <c r="L1651" s="1214" t="s">
        <v>34</v>
      </c>
      <c r="M1651" s="1214">
        <v>75</v>
      </c>
      <c r="N1651" s="1519" t="s">
        <v>1343</v>
      </c>
      <c r="O1651" s="1214">
        <v>85</v>
      </c>
      <c r="P1651" s="1214">
        <v>90</v>
      </c>
      <c r="Q1651" s="1214">
        <v>100</v>
      </c>
    </row>
    <row r="1652" spans="1:17" ht="102.75" x14ac:dyDescent="0.25">
      <c r="A1652" s="1115">
        <v>63</v>
      </c>
      <c r="B1652" s="1297">
        <v>2</v>
      </c>
      <c r="C1652" s="1117"/>
      <c r="D1652" s="10"/>
      <c r="E1652" s="1195" t="s">
        <v>2637</v>
      </c>
      <c r="F1652" s="1119">
        <v>57703.5</v>
      </c>
      <c r="G1652" s="1119">
        <v>595220.4</v>
      </c>
      <c r="H1652" s="1119">
        <f>SUM(H1653:H1661)</f>
        <v>234887.59999999998</v>
      </c>
      <c r="I1652" s="1119">
        <v>571254.9</v>
      </c>
      <c r="J1652" s="1119">
        <v>565146.549</v>
      </c>
      <c r="K1652" s="1195" t="s">
        <v>2638</v>
      </c>
      <c r="L1652" s="29"/>
      <c r="M1652" s="952"/>
      <c r="N1652" s="952"/>
      <c r="O1652" s="953"/>
      <c r="P1652" s="953"/>
      <c r="Q1652" s="953"/>
    </row>
    <row r="1653" spans="1:17" ht="30" x14ac:dyDescent="0.25">
      <c r="A1653" s="1115"/>
      <c r="B1653" s="1297"/>
      <c r="C1653" s="1117" t="s">
        <v>4</v>
      </c>
      <c r="D1653" s="954"/>
      <c r="E1653" s="1212" t="s">
        <v>2639</v>
      </c>
      <c r="F1653" s="1139">
        <v>6020.4</v>
      </c>
      <c r="G1653" s="1139">
        <v>6020.4</v>
      </c>
      <c r="H1653" s="1139">
        <v>6020.4</v>
      </c>
      <c r="I1653" s="1139">
        <v>6020.4</v>
      </c>
      <c r="J1653" s="1139">
        <v>6020.4</v>
      </c>
      <c r="K1653" s="1212" t="s">
        <v>2640</v>
      </c>
      <c r="L1653" s="29" t="s">
        <v>36</v>
      </c>
      <c r="M1653" s="1171"/>
      <c r="N1653" s="1171">
        <v>23</v>
      </c>
      <c r="O1653" s="1171">
        <v>23</v>
      </c>
      <c r="P1653" s="1171">
        <v>23</v>
      </c>
      <c r="Q1653" s="1171">
        <v>23</v>
      </c>
    </row>
    <row r="1654" spans="1:17" ht="60" x14ac:dyDescent="0.25">
      <c r="A1654" s="1115"/>
      <c r="B1654" s="1297"/>
      <c r="C1654" s="1117" t="s">
        <v>5</v>
      </c>
      <c r="D1654" s="955"/>
      <c r="E1654" s="1212" t="s">
        <v>2641</v>
      </c>
      <c r="F1654" s="1139">
        <v>0</v>
      </c>
      <c r="G1654" s="1139">
        <v>0</v>
      </c>
      <c r="H1654" s="1139">
        <v>0</v>
      </c>
      <c r="I1654" s="1139">
        <v>43558.999999999993</v>
      </c>
      <c r="J1654" s="1139">
        <v>44038.14899999999</v>
      </c>
      <c r="K1654" s="1212" t="s">
        <v>2642</v>
      </c>
      <c r="L1654" s="29" t="s">
        <v>34</v>
      </c>
      <c r="M1654" s="1171"/>
      <c r="N1654" s="1171"/>
      <c r="O1654" s="1171">
        <v>5</v>
      </c>
      <c r="P1654" s="1171">
        <v>5</v>
      </c>
      <c r="Q1654" s="1171">
        <v>5</v>
      </c>
    </row>
    <row r="1655" spans="1:17" ht="30" x14ac:dyDescent="0.25">
      <c r="A1655" s="1115"/>
      <c r="B1655" s="1297"/>
      <c r="C1655" s="1117" t="s">
        <v>7</v>
      </c>
      <c r="D1655" s="956"/>
      <c r="E1655" s="1212" t="s">
        <v>2643</v>
      </c>
      <c r="F1655" s="1139"/>
      <c r="G1655" s="1139"/>
      <c r="H1655" s="1139">
        <v>221340.79999999999</v>
      </c>
      <c r="I1655" s="1139">
        <v>521675.5</v>
      </c>
      <c r="J1655" s="1139">
        <v>515088</v>
      </c>
      <c r="K1655" s="1212" t="s">
        <v>2644</v>
      </c>
      <c r="L1655" s="29"/>
      <c r="M1655" s="1171"/>
      <c r="N1655" s="1171"/>
      <c r="O1655" s="1171"/>
      <c r="P1655" s="1171"/>
      <c r="Q1655" s="1171"/>
    </row>
    <row r="1656" spans="1:17" ht="30" x14ac:dyDescent="0.25">
      <c r="A1656" s="1170"/>
      <c r="B1656" s="1248"/>
      <c r="C1656" s="1117" t="s">
        <v>9</v>
      </c>
      <c r="D1656" s="954"/>
      <c r="E1656" s="1212" t="s">
        <v>2645</v>
      </c>
      <c r="F1656" s="1139">
        <v>10500</v>
      </c>
      <c r="G1656" s="1121">
        <v>22800</v>
      </c>
      <c r="H1656" s="1139">
        <v>0</v>
      </c>
      <c r="I1656" s="1139">
        <v>0</v>
      </c>
      <c r="J1656" s="1139">
        <v>0</v>
      </c>
      <c r="K1656" s="1212" t="s">
        <v>2646</v>
      </c>
      <c r="L1656" s="1520" t="s">
        <v>1186</v>
      </c>
      <c r="M1656" s="74"/>
      <c r="N1656" s="74">
        <v>50</v>
      </c>
      <c r="O1656" s="74">
        <v>70</v>
      </c>
      <c r="P1656" s="74">
        <v>100</v>
      </c>
      <c r="Q1656" s="74">
        <v>100</v>
      </c>
    </row>
    <row r="1657" spans="1:17" ht="30" x14ac:dyDescent="0.25">
      <c r="A1657" s="1170"/>
      <c r="B1657" s="1248"/>
      <c r="C1657" s="1117" t="s">
        <v>11</v>
      </c>
      <c r="D1657" s="955"/>
      <c r="E1657" s="1212" t="s">
        <v>2647</v>
      </c>
      <c r="F1657" s="1139">
        <v>0</v>
      </c>
      <c r="G1657" s="1139">
        <v>13600</v>
      </c>
      <c r="H1657" s="1139">
        <v>0</v>
      </c>
      <c r="I1657" s="1139">
        <v>0</v>
      </c>
      <c r="J1657" s="1139">
        <v>0</v>
      </c>
      <c r="K1657" s="1212" t="s">
        <v>2648</v>
      </c>
      <c r="L1657" s="1520" t="s">
        <v>1186</v>
      </c>
      <c r="M1657" s="1214"/>
      <c r="N1657" s="1214">
        <v>8</v>
      </c>
      <c r="O1657" s="1214">
        <v>8</v>
      </c>
      <c r="P1657" s="1214">
        <v>8</v>
      </c>
      <c r="Q1657" s="1214">
        <v>8</v>
      </c>
    </row>
    <row r="1658" spans="1:17" ht="45" x14ac:dyDescent="0.25">
      <c r="A1658" s="1170"/>
      <c r="B1658" s="1248"/>
      <c r="C1658" s="1117" t="s">
        <v>13</v>
      </c>
      <c r="D1658" s="955"/>
      <c r="E1658" s="1212" t="s">
        <v>2649</v>
      </c>
      <c r="F1658" s="1139">
        <v>0</v>
      </c>
      <c r="G1658" s="1139">
        <v>14100</v>
      </c>
      <c r="H1658" s="1139">
        <v>0</v>
      </c>
      <c r="I1658" s="1139">
        <v>0</v>
      </c>
      <c r="J1658" s="1139">
        <v>0</v>
      </c>
      <c r="K1658" s="1212" t="s">
        <v>2650</v>
      </c>
      <c r="L1658" s="1520" t="s">
        <v>1186</v>
      </c>
      <c r="M1658" s="1171"/>
      <c r="N1658" s="1171">
        <v>17</v>
      </c>
      <c r="O1658" s="1171">
        <v>17</v>
      </c>
      <c r="P1658" s="1171">
        <v>17</v>
      </c>
      <c r="Q1658" s="1171">
        <v>17</v>
      </c>
    </row>
    <row r="1659" spans="1:17" ht="45" x14ac:dyDescent="0.25">
      <c r="A1659" s="1115"/>
      <c r="B1659" s="1297"/>
      <c r="C1659" s="1117" t="s">
        <v>15</v>
      </c>
      <c r="D1659" s="955"/>
      <c r="E1659" s="1212" t="s">
        <v>2651</v>
      </c>
      <c r="F1659" s="1139">
        <v>0</v>
      </c>
      <c r="G1659" s="1139">
        <v>9700</v>
      </c>
      <c r="H1659" s="1139">
        <v>0</v>
      </c>
      <c r="I1659" s="1139">
        <v>0</v>
      </c>
      <c r="J1659" s="1139">
        <v>0</v>
      </c>
      <c r="K1659" s="1212" t="s">
        <v>2652</v>
      </c>
      <c r="L1659" s="29" t="s">
        <v>34</v>
      </c>
      <c r="M1659" s="29"/>
      <c r="N1659" s="957">
        <v>0.5</v>
      </c>
      <c r="O1659" s="957">
        <v>0.75</v>
      </c>
      <c r="P1659" s="957">
        <v>1</v>
      </c>
      <c r="Q1659" s="957">
        <v>1</v>
      </c>
    </row>
    <row r="1660" spans="1:17" ht="30" x14ac:dyDescent="0.25">
      <c r="A1660" s="1115"/>
      <c r="B1660" s="1297"/>
      <c r="C1660" s="1117" t="s">
        <v>16</v>
      </c>
      <c r="D1660" s="955"/>
      <c r="E1660" s="1212" t="s">
        <v>2653</v>
      </c>
      <c r="F1660" s="1139">
        <v>0</v>
      </c>
      <c r="G1660" s="1139">
        <v>29000</v>
      </c>
      <c r="H1660" s="1139">
        <v>0</v>
      </c>
      <c r="I1660" s="1139">
        <v>0</v>
      </c>
      <c r="J1660" s="1139">
        <v>0</v>
      </c>
      <c r="K1660" s="1212" t="s">
        <v>2654</v>
      </c>
      <c r="L1660" s="1520" t="s">
        <v>1343</v>
      </c>
      <c r="M1660" s="1323"/>
      <c r="N1660" s="1323"/>
      <c r="O1660" s="1323"/>
      <c r="P1660" s="1323"/>
      <c r="Q1660" s="1323"/>
    </row>
    <row r="1661" spans="1:17" ht="30" x14ac:dyDescent="0.25">
      <c r="A1661" s="1204"/>
      <c r="B1661" s="443"/>
      <c r="C1661" s="1117" t="s">
        <v>18</v>
      </c>
      <c r="D1661" s="954"/>
      <c r="E1661" s="1212" t="s">
        <v>2655</v>
      </c>
      <c r="F1661" s="1139">
        <v>41183.1</v>
      </c>
      <c r="G1661" s="1139">
        <v>500000</v>
      </c>
      <c r="H1661" s="1139">
        <v>7526.4</v>
      </c>
      <c r="I1661" s="1139">
        <v>0</v>
      </c>
      <c r="J1661" s="1139">
        <v>0</v>
      </c>
      <c r="K1661" s="1212" t="s">
        <v>2656</v>
      </c>
      <c r="L1661" s="1520" t="s">
        <v>1343</v>
      </c>
      <c r="M1661" s="1323"/>
      <c r="N1661" s="1323"/>
      <c r="O1661" s="1323"/>
      <c r="P1661" s="1323"/>
      <c r="Q1661" s="1323"/>
    </row>
    <row r="1662" spans="1:17" ht="88.5" x14ac:dyDescent="0.25">
      <c r="A1662" s="1115">
        <v>63</v>
      </c>
      <c r="B1662" s="1297">
        <v>3</v>
      </c>
      <c r="C1662" s="1117"/>
      <c r="D1662" s="954"/>
      <c r="E1662" s="144" t="s">
        <v>3121</v>
      </c>
      <c r="F1662" s="1229">
        <v>28191</v>
      </c>
      <c r="G1662" s="1229">
        <v>62576.100000000006</v>
      </c>
      <c r="H1662" s="1229">
        <f>SUM(H1663:H1668)</f>
        <v>129076.3</v>
      </c>
      <c r="I1662" s="1229">
        <v>85881.836099999986</v>
      </c>
      <c r="J1662" s="1229">
        <v>86826.53629709997</v>
      </c>
      <c r="K1662" s="1205" t="s">
        <v>2657</v>
      </c>
      <c r="L1662" s="1214" t="s">
        <v>34</v>
      </c>
      <c r="M1662" s="1322">
        <v>63</v>
      </c>
      <c r="N1662" s="1521">
        <v>84</v>
      </c>
      <c r="O1662" s="1521">
        <v>89</v>
      </c>
      <c r="P1662" s="1521">
        <v>95</v>
      </c>
      <c r="Q1662" s="1521">
        <v>100</v>
      </c>
    </row>
    <row r="1663" spans="1:17" ht="45" x14ac:dyDescent="0.25">
      <c r="A1663" s="1170"/>
      <c r="B1663" s="1637"/>
      <c r="C1663" s="1669" t="s">
        <v>4</v>
      </c>
      <c r="D1663" s="1868"/>
      <c r="E1663" s="1631" t="s">
        <v>2658</v>
      </c>
      <c r="F1663" s="1774">
        <v>16618.7</v>
      </c>
      <c r="G1663" s="1774">
        <v>38921.9</v>
      </c>
      <c r="H1663" s="1774">
        <v>66710.3</v>
      </c>
      <c r="I1663" s="1774">
        <v>65083.933099999987</v>
      </c>
      <c r="J1663" s="1774">
        <v>65799.856364099978</v>
      </c>
      <c r="K1663" s="1205" t="s">
        <v>2659</v>
      </c>
      <c r="L1663" s="1520" t="s">
        <v>1186</v>
      </c>
      <c r="M1663" s="1163" t="s">
        <v>317</v>
      </c>
      <c r="N1663" s="1163" t="s">
        <v>318</v>
      </c>
      <c r="O1663" s="1117" t="s">
        <v>319</v>
      </c>
      <c r="P1663" s="1117" t="s">
        <v>320</v>
      </c>
      <c r="Q1663" s="1117" t="s">
        <v>321</v>
      </c>
    </row>
    <row r="1664" spans="1:17" ht="30" x14ac:dyDescent="0.25">
      <c r="A1664" s="1170"/>
      <c r="B1664" s="1638"/>
      <c r="C1664" s="1670"/>
      <c r="D1664" s="1870"/>
      <c r="E1664" s="1631"/>
      <c r="F1664" s="1775"/>
      <c r="G1664" s="1775"/>
      <c r="H1664" s="1775"/>
      <c r="I1664" s="1775"/>
      <c r="J1664" s="1775"/>
      <c r="K1664" s="1205" t="s">
        <v>2660</v>
      </c>
      <c r="L1664" s="1214" t="s">
        <v>34</v>
      </c>
      <c r="M1664" s="1214">
        <v>81</v>
      </c>
      <c r="N1664" s="1214">
        <v>88</v>
      </c>
      <c r="O1664" s="1171">
        <v>92</v>
      </c>
      <c r="P1664" s="1171">
        <v>96</v>
      </c>
      <c r="Q1664" s="1171">
        <v>100</v>
      </c>
    </row>
    <row r="1665" spans="1:17" x14ac:dyDescent="0.25">
      <c r="A1665" s="1678"/>
      <c r="B1665" s="1751"/>
      <c r="C1665" s="1669" t="s">
        <v>5</v>
      </c>
      <c r="D1665" s="1868"/>
      <c r="E1665" s="1631" t="s">
        <v>2661</v>
      </c>
      <c r="F1665" s="1774">
        <v>11572.3</v>
      </c>
      <c r="G1665" s="1774">
        <v>3857</v>
      </c>
      <c r="H1665" s="1774">
        <v>21825.7</v>
      </c>
      <c r="I1665" s="1774">
        <v>18563.934099999999</v>
      </c>
      <c r="J1665" s="1774">
        <v>18768.137375099996</v>
      </c>
      <c r="K1665" s="1631" t="s">
        <v>2662</v>
      </c>
      <c r="L1665" s="1214" t="s">
        <v>34</v>
      </c>
      <c r="M1665" s="1214">
        <v>100</v>
      </c>
      <c r="N1665" s="1214">
        <v>100</v>
      </c>
      <c r="O1665" s="1171">
        <v>100</v>
      </c>
      <c r="P1665" s="1171">
        <v>100</v>
      </c>
      <c r="Q1665" s="1171">
        <v>100</v>
      </c>
    </row>
    <row r="1666" spans="1:17" x14ac:dyDescent="0.25">
      <c r="A1666" s="1679"/>
      <c r="B1666" s="1752"/>
      <c r="C1666" s="1670"/>
      <c r="D1666" s="1870"/>
      <c r="E1666" s="1631"/>
      <c r="F1666" s="1778"/>
      <c r="G1666" s="1775"/>
      <c r="H1666" s="1775"/>
      <c r="I1666" s="1775"/>
      <c r="J1666" s="1775"/>
      <c r="K1666" s="1631"/>
      <c r="L1666" s="1214" t="s">
        <v>825</v>
      </c>
      <c r="M1666" s="1214">
        <v>2500</v>
      </c>
      <c r="N1666" s="1214">
        <v>2500</v>
      </c>
      <c r="O1666" s="1171">
        <v>2500</v>
      </c>
      <c r="P1666" s="1171">
        <v>2500</v>
      </c>
      <c r="Q1666" s="1171">
        <v>2500</v>
      </c>
    </row>
    <row r="1667" spans="1:17" ht="45" x14ac:dyDescent="0.25">
      <c r="A1667" s="1170"/>
      <c r="B1667" s="1248"/>
      <c r="C1667" s="1117" t="s">
        <v>7</v>
      </c>
      <c r="D1667" s="954"/>
      <c r="E1667" s="1205" t="s">
        <v>2663</v>
      </c>
      <c r="F1667" s="1775"/>
      <c r="G1667" s="1139">
        <v>19797.2</v>
      </c>
      <c r="H1667" s="1139">
        <v>5540.3</v>
      </c>
      <c r="I1667" s="1139">
        <v>2233.9688999999998</v>
      </c>
      <c r="J1667" s="1139">
        <v>2258.5425578999998</v>
      </c>
      <c r="K1667" s="1205" t="s">
        <v>2664</v>
      </c>
      <c r="L1667" s="1214" t="s">
        <v>322</v>
      </c>
      <c r="M1667" s="1214">
        <v>2</v>
      </c>
      <c r="N1667" s="1163" t="s">
        <v>323</v>
      </c>
      <c r="O1667" s="1163" t="s">
        <v>323</v>
      </c>
      <c r="P1667" s="1163" t="s">
        <v>323</v>
      </c>
      <c r="Q1667" s="1163" t="s">
        <v>323</v>
      </c>
    </row>
    <row r="1668" spans="1:17" ht="30" x14ac:dyDescent="0.25">
      <c r="A1668" s="1170"/>
      <c r="B1668" s="1248"/>
      <c r="C1668" s="1117" t="s">
        <v>11</v>
      </c>
      <c r="D1668" s="954"/>
      <c r="E1668" s="1205" t="s">
        <v>2665</v>
      </c>
      <c r="F1668" s="1130"/>
      <c r="G1668" s="1139"/>
      <c r="H1668" s="1139">
        <v>35000</v>
      </c>
      <c r="I1668" s="1139"/>
      <c r="J1668" s="1139"/>
      <c r="K1668" s="1205"/>
      <c r="L1668" s="1214"/>
      <c r="M1668" s="1214"/>
      <c r="N1668" s="1163"/>
      <c r="O1668" s="1163"/>
      <c r="P1668" s="1163"/>
      <c r="Q1668" s="1163"/>
    </row>
    <row r="1669" spans="1:17" ht="118.5" x14ac:dyDescent="0.25">
      <c r="A1669" s="1115">
        <v>63</v>
      </c>
      <c r="B1669" s="1297">
        <v>4</v>
      </c>
      <c r="C1669" s="1117"/>
      <c r="D1669" s="954"/>
      <c r="E1669" s="460" t="s">
        <v>3122</v>
      </c>
      <c r="F1669" s="1229">
        <v>11308.9</v>
      </c>
      <c r="G1669" s="1229">
        <v>8524.5</v>
      </c>
      <c r="H1669" s="1229">
        <f>SUM(H1670:H1673)</f>
        <v>15839.5</v>
      </c>
      <c r="I1669" s="1229">
        <v>9764.9148000000005</v>
      </c>
      <c r="J1669" s="1229">
        <v>9872.3288627999991</v>
      </c>
      <c r="K1669" s="1212" t="s">
        <v>2666</v>
      </c>
      <c r="L1669" s="1214" t="s">
        <v>34</v>
      </c>
      <c r="M1669" s="1214" t="s">
        <v>324</v>
      </c>
      <c r="N1669" s="1214" t="s">
        <v>325</v>
      </c>
      <c r="O1669" s="1214" t="s">
        <v>326</v>
      </c>
      <c r="P1669" s="1214" t="s">
        <v>327</v>
      </c>
      <c r="Q1669" s="1214" t="s">
        <v>328</v>
      </c>
    </row>
    <row r="1670" spans="1:17" ht="30" x14ac:dyDescent="0.25">
      <c r="A1670" s="1642"/>
      <c r="B1670" s="1637"/>
      <c r="C1670" s="1669" t="s">
        <v>4</v>
      </c>
      <c r="D1670" s="1868"/>
      <c r="E1670" s="1631" t="s">
        <v>2667</v>
      </c>
      <c r="F1670" s="1774">
        <v>7422.5</v>
      </c>
      <c r="G1670" s="1774">
        <v>2439.6999999999998</v>
      </c>
      <c r="H1670" s="1874">
        <v>5118.8999999999996</v>
      </c>
      <c r="I1670" s="1774">
        <v>3699.7799</v>
      </c>
      <c r="J1670" s="1774">
        <v>3740.4774788999998</v>
      </c>
      <c r="K1670" s="1212" t="s">
        <v>2668</v>
      </c>
      <c r="L1670" s="1214" t="s">
        <v>34</v>
      </c>
      <c r="M1670" s="1214">
        <v>99.05</v>
      </c>
      <c r="N1670" s="1163" t="s">
        <v>329</v>
      </c>
      <c r="O1670" s="1163" t="s">
        <v>330</v>
      </c>
      <c r="P1670" s="1163" t="s">
        <v>331</v>
      </c>
      <c r="Q1670" s="1163" t="s">
        <v>332</v>
      </c>
    </row>
    <row r="1671" spans="1:17" ht="60" x14ac:dyDescent="0.25">
      <c r="A1671" s="1644"/>
      <c r="B1671" s="1638"/>
      <c r="C1671" s="1670"/>
      <c r="D1671" s="1870"/>
      <c r="E1671" s="1631"/>
      <c r="F1671" s="1775"/>
      <c r="G1671" s="1775"/>
      <c r="H1671" s="1875"/>
      <c r="I1671" s="1775"/>
      <c r="J1671" s="1775"/>
      <c r="K1671" s="1212" t="s">
        <v>2669</v>
      </c>
      <c r="L1671" s="1214" t="s">
        <v>34</v>
      </c>
      <c r="M1671" s="1214">
        <v>98</v>
      </c>
      <c r="N1671" s="30">
        <v>100</v>
      </c>
      <c r="O1671" s="30">
        <v>100</v>
      </c>
      <c r="P1671" s="30">
        <v>100</v>
      </c>
      <c r="Q1671" s="30">
        <v>100</v>
      </c>
    </row>
    <row r="1672" spans="1:17" x14ac:dyDescent="0.25">
      <c r="A1672" s="1678"/>
      <c r="B1672" s="1751"/>
      <c r="C1672" s="1669" t="s">
        <v>5</v>
      </c>
      <c r="D1672" s="1868"/>
      <c r="E1672" s="1631" t="s">
        <v>2670</v>
      </c>
      <c r="F1672" s="1774">
        <v>3886.4</v>
      </c>
      <c r="G1672" s="1774">
        <v>6084.8</v>
      </c>
      <c r="H1672" s="1874">
        <v>10720.6</v>
      </c>
      <c r="I1672" s="1774">
        <v>6065.1349</v>
      </c>
      <c r="J1672" s="1774">
        <v>6131.8513838999997</v>
      </c>
      <c r="K1672" s="1212" t="s">
        <v>2671</v>
      </c>
      <c r="L1672" s="1214" t="s">
        <v>825</v>
      </c>
      <c r="M1672" s="1214">
        <v>11579</v>
      </c>
      <c r="N1672" s="30">
        <v>7792</v>
      </c>
      <c r="O1672" s="30">
        <v>8756</v>
      </c>
      <c r="P1672" s="30">
        <v>8383</v>
      </c>
      <c r="Q1672" s="30">
        <v>8309</v>
      </c>
    </row>
    <row r="1673" spans="1:17" x14ac:dyDescent="0.25">
      <c r="A1673" s="1679"/>
      <c r="B1673" s="1752"/>
      <c r="C1673" s="1670"/>
      <c r="D1673" s="1870"/>
      <c r="E1673" s="1631"/>
      <c r="F1673" s="1775"/>
      <c r="G1673" s="1775"/>
      <c r="H1673" s="1875"/>
      <c r="I1673" s="1775"/>
      <c r="J1673" s="1775"/>
      <c r="K1673" s="1212" t="s">
        <v>2672</v>
      </c>
      <c r="L1673" s="1214" t="s">
        <v>34</v>
      </c>
      <c r="M1673" s="1214"/>
      <c r="N1673" s="30"/>
      <c r="O1673" s="30"/>
      <c r="P1673" s="30"/>
      <c r="Q1673" s="30"/>
    </row>
    <row r="1674" spans="1:17" ht="118.5" x14ac:dyDescent="0.25">
      <c r="A1674" s="1115">
        <v>63</v>
      </c>
      <c r="B1674" s="1297">
        <v>5</v>
      </c>
      <c r="C1674" s="1117"/>
      <c r="D1674" s="954"/>
      <c r="E1674" s="460" t="s">
        <v>3123</v>
      </c>
      <c r="F1674" s="1229">
        <v>9652.7999999999993</v>
      </c>
      <c r="G1674" s="1229">
        <v>6655.9</v>
      </c>
      <c r="H1674" s="1229">
        <f>SUM(H1675:H1679)</f>
        <v>20700.7</v>
      </c>
      <c r="I1674" s="1229">
        <v>14756.674899999998</v>
      </c>
      <c r="J1674" s="1229">
        <v>14918.998323899998</v>
      </c>
      <c r="K1674" s="1205" t="s">
        <v>2673</v>
      </c>
      <c r="L1674" s="1214" t="s">
        <v>825</v>
      </c>
      <c r="M1674" s="1163">
        <v>3969</v>
      </c>
      <c r="N1674" s="1163">
        <v>2738</v>
      </c>
      <c r="O1674" s="1163">
        <v>2873</v>
      </c>
      <c r="P1674" s="1163">
        <v>2735</v>
      </c>
      <c r="Q1674" s="1163">
        <v>3235</v>
      </c>
    </row>
    <row r="1675" spans="1:17" x14ac:dyDescent="0.25">
      <c r="A1675" s="1678"/>
      <c r="B1675" s="1751"/>
      <c r="C1675" s="1669" t="s">
        <v>4</v>
      </c>
      <c r="D1675" s="1868"/>
      <c r="E1675" s="1631" t="s">
        <v>2674</v>
      </c>
      <c r="F1675" s="1774">
        <v>7065</v>
      </c>
      <c r="G1675" s="1774">
        <v>5040</v>
      </c>
      <c r="H1675" s="1871">
        <v>17385</v>
      </c>
      <c r="I1675" s="1774">
        <v>11938.103699999998</v>
      </c>
      <c r="J1675" s="1774">
        <v>12069.422840699997</v>
      </c>
      <c r="K1675" s="1212" t="s">
        <v>2675</v>
      </c>
      <c r="L1675" s="1214" t="s">
        <v>825</v>
      </c>
      <c r="M1675" s="1214">
        <v>2969</v>
      </c>
      <c r="N1675" s="1214">
        <v>1500</v>
      </c>
      <c r="O1675" s="1171">
        <v>1500</v>
      </c>
      <c r="P1675" s="1171">
        <v>1500</v>
      </c>
      <c r="Q1675" s="1171">
        <v>1500</v>
      </c>
    </row>
    <row r="1676" spans="1:17" x14ac:dyDescent="0.25">
      <c r="A1676" s="1866"/>
      <c r="B1676" s="1867"/>
      <c r="C1676" s="1690"/>
      <c r="D1676" s="1869"/>
      <c r="E1676" s="1631"/>
      <c r="F1676" s="1778"/>
      <c r="G1676" s="1778"/>
      <c r="H1676" s="1872"/>
      <c r="I1676" s="1778"/>
      <c r="J1676" s="1778"/>
      <c r="K1676" s="1212" t="s">
        <v>2676</v>
      </c>
      <c r="L1676" s="1214" t="s">
        <v>825</v>
      </c>
      <c r="M1676" s="1214">
        <v>888</v>
      </c>
      <c r="N1676" s="1214">
        <v>665</v>
      </c>
      <c r="O1676" s="1171">
        <v>670</v>
      </c>
      <c r="P1676" s="1171">
        <v>680</v>
      </c>
      <c r="Q1676" s="1171">
        <v>685</v>
      </c>
    </row>
    <row r="1677" spans="1:17" x14ac:dyDescent="0.25">
      <c r="A1677" s="1679"/>
      <c r="B1677" s="1752"/>
      <c r="C1677" s="1670"/>
      <c r="D1677" s="1870"/>
      <c r="E1677" s="1631"/>
      <c r="F1677" s="1775"/>
      <c r="G1677" s="1775"/>
      <c r="H1677" s="1873"/>
      <c r="I1677" s="1775"/>
      <c r="J1677" s="1775"/>
      <c r="K1677" s="1212" t="s">
        <v>2677</v>
      </c>
      <c r="L1677" s="1163" t="s">
        <v>825</v>
      </c>
      <c r="M1677" s="1163" t="s">
        <v>333</v>
      </c>
      <c r="N1677" s="1163" t="s">
        <v>334</v>
      </c>
      <c r="O1677" s="1163" t="s">
        <v>335</v>
      </c>
      <c r="P1677" s="1163" t="s">
        <v>334</v>
      </c>
      <c r="Q1677" s="1163" t="s">
        <v>336</v>
      </c>
    </row>
    <row r="1678" spans="1:17" x14ac:dyDescent="0.25">
      <c r="A1678" s="1678"/>
      <c r="B1678" s="1751"/>
      <c r="C1678" s="1669" t="s">
        <v>5</v>
      </c>
      <c r="D1678" s="1868"/>
      <c r="E1678" s="1791" t="s">
        <v>2678</v>
      </c>
      <c r="F1678" s="1774">
        <v>2587.8000000000002</v>
      </c>
      <c r="G1678" s="1774">
        <v>1615.9</v>
      </c>
      <c r="H1678" s="1874">
        <v>3315.7</v>
      </c>
      <c r="I1678" s="1774">
        <v>2818.5711999999999</v>
      </c>
      <c r="J1678" s="1774">
        <v>2849.5754831999998</v>
      </c>
      <c r="K1678" s="1212" t="s">
        <v>2679</v>
      </c>
      <c r="L1678" s="1214" t="s">
        <v>825</v>
      </c>
      <c r="M1678" s="1214">
        <v>170</v>
      </c>
      <c r="N1678" s="1214">
        <v>73</v>
      </c>
      <c r="O1678" s="1214">
        <v>73</v>
      </c>
      <c r="P1678" s="1214">
        <v>55</v>
      </c>
      <c r="Q1678" s="1214">
        <v>50</v>
      </c>
    </row>
    <row r="1679" spans="1:17" ht="30" x14ac:dyDescent="0.25">
      <c r="A1679" s="1679"/>
      <c r="B1679" s="1752"/>
      <c r="C1679" s="1670"/>
      <c r="D1679" s="1870"/>
      <c r="E1679" s="1791"/>
      <c r="F1679" s="1775"/>
      <c r="G1679" s="1775"/>
      <c r="H1679" s="1875"/>
      <c r="I1679" s="1775"/>
      <c r="J1679" s="1775"/>
      <c r="K1679" s="1205" t="s">
        <v>2680</v>
      </c>
      <c r="L1679" s="1214" t="s">
        <v>34</v>
      </c>
      <c r="M1679" s="1214">
        <v>73.8</v>
      </c>
      <c r="N1679" s="1214">
        <v>76.099999999999994</v>
      </c>
      <c r="O1679" s="1163" t="s">
        <v>337</v>
      </c>
      <c r="P1679" s="1163" t="s">
        <v>338</v>
      </c>
      <c r="Q1679" s="43">
        <v>76.900000000000006</v>
      </c>
    </row>
    <row r="1680" spans="1:17" x14ac:dyDescent="0.25">
      <c r="A1680" s="1115">
        <v>63</v>
      </c>
      <c r="B1680" s="1297">
        <v>6</v>
      </c>
      <c r="C1680" s="1117"/>
      <c r="D1680" s="954"/>
      <c r="E1680" s="1195" t="s">
        <v>2681</v>
      </c>
      <c r="F1680" s="1229">
        <v>32288.6</v>
      </c>
      <c r="G1680" s="1229">
        <v>32767.7</v>
      </c>
      <c r="H1680" s="1229">
        <f>H1681</f>
        <v>32767.7</v>
      </c>
      <c r="I1680" s="1229">
        <v>33193.680099999998</v>
      </c>
      <c r="J1680" s="1229">
        <v>33558.810581099991</v>
      </c>
      <c r="K1680" s="1205"/>
      <c r="L1680" s="1214"/>
      <c r="M1680" s="1214"/>
      <c r="N1680" s="1171"/>
      <c r="O1680" s="1171"/>
      <c r="P1680" s="1171"/>
      <c r="Q1680" s="1171"/>
    </row>
    <row r="1681" spans="1:17" x14ac:dyDescent="0.25">
      <c r="A1681" s="1115"/>
      <c r="B1681" s="1297"/>
      <c r="C1681" s="1117" t="s">
        <v>4</v>
      </c>
      <c r="D1681" s="954"/>
      <c r="E1681" s="1212" t="s">
        <v>2682</v>
      </c>
      <c r="F1681" s="1139">
        <v>32288.6</v>
      </c>
      <c r="G1681" s="1139">
        <v>32767.7</v>
      </c>
      <c r="H1681" s="1139">
        <v>32767.7</v>
      </c>
      <c r="I1681" s="1139">
        <v>33193.680099999998</v>
      </c>
      <c r="J1681" s="1139">
        <v>33558.810581099991</v>
      </c>
      <c r="K1681" s="1212" t="s">
        <v>2683</v>
      </c>
      <c r="L1681" s="1214" t="s">
        <v>2684</v>
      </c>
      <c r="M1681" s="1214">
        <v>157.6</v>
      </c>
      <c r="N1681" s="1214">
        <v>157.6</v>
      </c>
      <c r="O1681" s="1214">
        <v>157.6</v>
      </c>
      <c r="P1681" s="1214">
        <v>157.6</v>
      </c>
      <c r="Q1681" s="1214">
        <v>157.6</v>
      </c>
    </row>
    <row r="1682" spans="1:17" ht="28.5" x14ac:dyDescent="0.25">
      <c r="A1682" s="1115">
        <v>63</v>
      </c>
      <c r="B1682" s="1297">
        <v>7</v>
      </c>
      <c r="C1682" s="59"/>
      <c r="D1682" s="958"/>
      <c r="E1682" s="178" t="s">
        <v>801</v>
      </c>
      <c r="F1682" s="1229">
        <v>0</v>
      </c>
      <c r="G1682" s="1229">
        <v>0</v>
      </c>
      <c r="H1682" s="1229">
        <f>H1683</f>
        <v>92205.8</v>
      </c>
      <c r="I1682" s="1229">
        <v>895344.6</v>
      </c>
      <c r="J1682" s="1229">
        <v>1133973</v>
      </c>
      <c r="K1682" s="460"/>
      <c r="L1682" s="459"/>
      <c r="M1682" s="459"/>
      <c r="N1682" s="459"/>
      <c r="O1682" s="459"/>
      <c r="P1682" s="459"/>
      <c r="Q1682" s="459"/>
    </row>
    <row r="1683" spans="1:17" ht="30" x14ac:dyDescent="0.25">
      <c r="A1683" s="1115"/>
      <c r="B1683" s="1297"/>
      <c r="C1683" s="1117" t="s">
        <v>4</v>
      </c>
      <c r="D1683" s="954"/>
      <c r="E1683" s="1217" t="s">
        <v>2685</v>
      </c>
      <c r="F1683" s="1139">
        <v>0</v>
      </c>
      <c r="G1683" s="1139">
        <v>0</v>
      </c>
      <c r="H1683" s="1139">
        <v>92205.8</v>
      </c>
      <c r="I1683" s="1139">
        <v>895344.6</v>
      </c>
      <c r="J1683" s="1139">
        <v>1133973</v>
      </c>
      <c r="K1683" s="1205"/>
      <c r="L1683" s="1214" t="s">
        <v>2686</v>
      </c>
      <c r="M1683" s="1214"/>
      <c r="N1683" s="1214"/>
      <c r="O1683" s="1214"/>
      <c r="P1683" s="1214"/>
      <c r="Q1683" s="1214"/>
    </row>
    <row r="1684" spans="1:17" x14ac:dyDescent="0.25">
      <c r="A1684" s="1645" t="s">
        <v>2687</v>
      </c>
      <c r="B1684" s="1646"/>
      <c r="C1684" s="1647"/>
      <c r="D1684" s="1647"/>
      <c r="E1684" s="1647"/>
      <c r="F1684" s="16">
        <v>186744.69999999998</v>
      </c>
      <c r="G1684" s="16">
        <v>742985.79999999993</v>
      </c>
      <c r="H1684" s="16">
        <f>SUM(H1639+H1652+H1662+H1669+H1674+H1680+H1682)</f>
        <v>609087.69999999995</v>
      </c>
      <c r="I1684" s="16">
        <v>1654084.9789</v>
      </c>
      <c r="J1684" s="16">
        <v>1888822.0681679</v>
      </c>
      <c r="K1684" s="798"/>
      <c r="L1684" s="16"/>
      <c r="M1684" s="16"/>
      <c r="N1684" s="16"/>
      <c r="O1684" s="16"/>
      <c r="P1684" s="16"/>
      <c r="Q1684" s="16"/>
    </row>
    <row r="1685" spans="1:17" x14ac:dyDescent="0.25">
      <c r="A1685" s="1648" t="s">
        <v>2688</v>
      </c>
      <c r="B1685" s="1649"/>
      <c r="C1685" s="1649"/>
      <c r="D1685" s="1649"/>
      <c r="E1685" s="1649"/>
      <c r="F1685" s="1649"/>
      <c r="G1685" s="1649"/>
      <c r="H1685" s="1649"/>
      <c r="I1685" s="1649"/>
      <c r="J1685" s="1649"/>
      <c r="K1685" s="1649"/>
      <c r="L1685" s="1649"/>
      <c r="M1685" s="1649"/>
      <c r="N1685" s="1649"/>
      <c r="O1685" s="1649"/>
      <c r="P1685" s="1649"/>
      <c r="Q1685" s="1650"/>
    </row>
    <row r="1686" spans="1:17" ht="88.5" x14ac:dyDescent="0.25">
      <c r="A1686" s="1115">
        <v>64</v>
      </c>
      <c r="B1686" s="1297">
        <v>1</v>
      </c>
      <c r="C1686" s="1117"/>
      <c r="D1686" s="11"/>
      <c r="E1686" s="178" t="s">
        <v>3124</v>
      </c>
      <c r="F1686" s="1119">
        <v>6700.5</v>
      </c>
      <c r="G1686" s="1119">
        <v>9402.9</v>
      </c>
      <c r="H1686" s="1119">
        <f>SUM(H1687:H1689)</f>
        <v>43022</v>
      </c>
      <c r="I1686" s="1119">
        <v>13744.6</v>
      </c>
      <c r="J1686" s="1119">
        <v>14091.6</v>
      </c>
      <c r="K1686" s="178" t="s">
        <v>2621</v>
      </c>
      <c r="L1686" s="1174"/>
      <c r="M1686" s="1174"/>
      <c r="N1686" s="1174"/>
      <c r="O1686" s="1174"/>
      <c r="P1686" s="1174"/>
      <c r="Q1686" s="1174"/>
    </row>
    <row r="1687" spans="1:17" ht="45" x14ac:dyDescent="0.25">
      <c r="A1687" s="1170"/>
      <c r="B1687" s="1248"/>
      <c r="C1687" s="1117" t="s">
        <v>4</v>
      </c>
      <c r="D1687" s="12"/>
      <c r="E1687" s="1217" t="s">
        <v>2689</v>
      </c>
      <c r="F1687" s="1139">
        <v>3100.9</v>
      </c>
      <c r="G1687" s="1139">
        <v>3730.6</v>
      </c>
      <c r="H1687" s="1139">
        <v>2110.1999999999998</v>
      </c>
      <c r="I1687" s="1139">
        <v>3730.6</v>
      </c>
      <c r="J1687" s="1139">
        <v>3730.6</v>
      </c>
      <c r="K1687" s="1212" t="s">
        <v>2690</v>
      </c>
      <c r="L1687" s="1214" t="s">
        <v>34</v>
      </c>
      <c r="M1687" s="459">
        <v>100</v>
      </c>
      <c r="N1687" s="459">
        <v>100</v>
      </c>
      <c r="O1687" s="459">
        <v>100</v>
      </c>
      <c r="P1687" s="459">
        <v>100</v>
      </c>
      <c r="Q1687" s="459">
        <v>100</v>
      </c>
    </row>
    <row r="1688" spans="1:17" ht="30" x14ac:dyDescent="0.25">
      <c r="A1688" s="1170"/>
      <c r="B1688" s="1248"/>
      <c r="C1688" s="1117" t="s">
        <v>5</v>
      </c>
      <c r="D1688" s="12"/>
      <c r="E1688" s="1302" t="s">
        <v>2592</v>
      </c>
      <c r="F1688" s="1139"/>
      <c r="G1688" s="1139"/>
      <c r="H1688" s="1139">
        <v>4329.1000000000004</v>
      </c>
      <c r="I1688" s="1139"/>
      <c r="J1688" s="1139"/>
      <c r="K1688" s="1205"/>
      <c r="L1688" s="1214"/>
      <c r="M1688" s="459"/>
      <c r="N1688" s="459"/>
      <c r="O1688" s="459"/>
      <c r="P1688" s="459"/>
      <c r="Q1688" s="459"/>
    </row>
    <row r="1689" spans="1:17" x14ac:dyDescent="0.25">
      <c r="A1689" s="1170"/>
      <c r="B1689" s="1248"/>
      <c r="C1689" s="1117" t="s">
        <v>13</v>
      </c>
      <c r="D1689" s="12"/>
      <c r="E1689" s="1217" t="s">
        <v>2691</v>
      </c>
      <c r="F1689" s="1139">
        <v>3599.6</v>
      </c>
      <c r="G1689" s="1139">
        <v>5672.3</v>
      </c>
      <c r="H1689" s="1139">
        <v>36582.699999999997</v>
      </c>
      <c r="I1689" s="1139">
        <v>10014</v>
      </c>
      <c r="J1689" s="1139">
        <v>10361</v>
      </c>
      <c r="K1689" s="1205"/>
      <c r="L1689" s="1214"/>
      <c r="M1689" s="1214"/>
      <c r="N1689" s="1214"/>
      <c r="O1689" s="1214"/>
      <c r="P1689" s="1214"/>
      <c r="Q1689" s="1214"/>
    </row>
    <row r="1690" spans="1:17" ht="88.5" x14ac:dyDescent="0.25">
      <c r="A1690" s="1115">
        <v>64</v>
      </c>
      <c r="B1690" s="1297">
        <v>2</v>
      </c>
      <c r="C1690" s="1117"/>
      <c r="D1690" s="12"/>
      <c r="E1690" s="178" t="s">
        <v>3125</v>
      </c>
      <c r="F1690" s="1119">
        <v>13959.800000000001</v>
      </c>
      <c r="G1690" s="1119">
        <v>16503</v>
      </c>
      <c r="H1690" s="1119">
        <f>SUM(H1691:H1696)</f>
        <v>0</v>
      </c>
      <c r="I1690" s="1119">
        <v>22623</v>
      </c>
      <c r="J1690" s="1119">
        <v>22623</v>
      </c>
      <c r="K1690" s="1195" t="s">
        <v>2692</v>
      </c>
      <c r="L1690" s="459" t="s">
        <v>34</v>
      </c>
      <c r="M1690" s="459">
        <v>100</v>
      </c>
      <c r="N1690" s="459">
        <v>100</v>
      </c>
      <c r="O1690" s="459">
        <v>100</v>
      </c>
      <c r="P1690" s="459">
        <v>100</v>
      </c>
      <c r="Q1690" s="459">
        <v>100</v>
      </c>
    </row>
    <row r="1691" spans="1:17" ht="30" x14ac:dyDescent="0.25">
      <c r="A1691" s="1170"/>
      <c r="B1691" s="1248"/>
      <c r="C1691" s="1117" t="s">
        <v>4</v>
      </c>
      <c r="D1691" s="12"/>
      <c r="E1691" s="1100" t="s">
        <v>396</v>
      </c>
      <c r="F1691" s="1139">
        <v>2088.1</v>
      </c>
      <c r="G1691" s="1139">
        <v>2433.6</v>
      </c>
      <c r="H1691" s="1139"/>
      <c r="I1691" s="1139">
        <v>2433.6</v>
      </c>
      <c r="J1691" s="1139">
        <v>2433.6</v>
      </c>
      <c r="K1691" s="1205" t="s">
        <v>2693</v>
      </c>
      <c r="L1691" s="1214" t="s">
        <v>780</v>
      </c>
      <c r="M1691" s="1163" t="s">
        <v>339</v>
      </c>
      <c r="N1691" s="1163" t="s">
        <v>340</v>
      </c>
      <c r="O1691" s="1163" t="s">
        <v>341</v>
      </c>
      <c r="P1691" s="1163" t="s">
        <v>30</v>
      </c>
      <c r="Q1691" s="1163" t="s">
        <v>30</v>
      </c>
    </row>
    <row r="1692" spans="1:17" ht="45" x14ac:dyDescent="0.25">
      <c r="A1692" s="1170"/>
      <c r="B1692" s="1248"/>
      <c r="C1692" s="1117" t="s">
        <v>5</v>
      </c>
      <c r="D1692" s="12"/>
      <c r="E1692" s="1302" t="s">
        <v>2694</v>
      </c>
      <c r="F1692" s="1139">
        <v>2314.9</v>
      </c>
      <c r="G1692" s="1139">
        <v>2814.2</v>
      </c>
      <c r="H1692" s="1139"/>
      <c r="I1692" s="1139">
        <v>2814.2</v>
      </c>
      <c r="J1692" s="1139">
        <v>2814.2</v>
      </c>
      <c r="K1692" s="1212" t="s">
        <v>2695</v>
      </c>
      <c r="L1692" s="1214" t="s">
        <v>780</v>
      </c>
      <c r="M1692" s="1214">
        <v>3044</v>
      </c>
      <c r="N1692" s="1214">
        <v>3257</v>
      </c>
      <c r="O1692" s="1214">
        <v>215</v>
      </c>
      <c r="P1692" s="1214">
        <v>150</v>
      </c>
      <c r="Q1692" s="1214">
        <v>110</v>
      </c>
    </row>
    <row r="1693" spans="1:17" ht="45" x14ac:dyDescent="0.25">
      <c r="A1693" s="1170"/>
      <c r="B1693" s="1248"/>
      <c r="C1693" s="1117" t="s">
        <v>7</v>
      </c>
      <c r="D1693" s="12"/>
      <c r="E1693" s="1280" t="s">
        <v>2696</v>
      </c>
      <c r="F1693" s="1139">
        <v>2027</v>
      </c>
      <c r="G1693" s="1139">
        <v>2362.5</v>
      </c>
      <c r="H1693" s="1139"/>
      <c r="I1693" s="1139">
        <v>2362.5</v>
      </c>
      <c r="J1693" s="1139">
        <v>2362.5</v>
      </c>
      <c r="K1693" s="1212" t="s">
        <v>2697</v>
      </c>
      <c r="L1693" s="1214" t="s">
        <v>780</v>
      </c>
      <c r="M1693" s="1214">
        <v>599</v>
      </c>
      <c r="N1693" s="1214">
        <v>312</v>
      </c>
      <c r="O1693" s="1214">
        <v>610</v>
      </c>
      <c r="P1693" s="1214">
        <v>650</v>
      </c>
      <c r="Q1693" s="1214">
        <v>680</v>
      </c>
    </row>
    <row r="1694" spans="1:17" ht="60" x14ac:dyDescent="0.25">
      <c r="A1694" s="1170"/>
      <c r="B1694" s="1248"/>
      <c r="C1694" s="1117" t="s">
        <v>9</v>
      </c>
      <c r="D1694" s="12"/>
      <c r="E1694" s="1302" t="s">
        <v>2698</v>
      </c>
      <c r="F1694" s="1139">
        <v>2448.1</v>
      </c>
      <c r="G1694" s="1139">
        <v>2853.3</v>
      </c>
      <c r="H1694" s="1139"/>
      <c r="I1694" s="1139">
        <v>2853.3</v>
      </c>
      <c r="J1694" s="1139">
        <v>2853.3</v>
      </c>
      <c r="K1694" s="1212" t="s">
        <v>2699</v>
      </c>
      <c r="L1694" s="1214" t="s">
        <v>1910</v>
      </c>
      <c r="M1694" s="1214">
        <v>428</v>
      </c>
      <c r="N1694" s="1214">
        <v>63</v>
      </c>
      <c r="O1694" s="1214">
        <v>65</v>
      </c>
      <c r="P1694" s="1214">
        <v>55</v>
      </c>
      <c r="Q1694" s="1214">
        <v>40</v>
      </c>
    </row>
    <row r="1695" spans="1:17" ht="45" x14ac:dyDescent="0.25">
      <c r="A1695" s="1170"/>
      <c r="B1695" s="1248"/>
      <c r="C1695" s="1117" t="s">
        <v>11</v>
      </c>
      <c r="D1695" s="12"/>
      <c r="E1695" s="1302" t="s">
        <v>2700</v>
      </c>
      <c r="F1695" s="1139">
        <v>2405.8000000000002</v>
      </c>
      <c r="G1695" s="1139">
        <v>2804</v>
      </c>
      <c r="H1695" s="1139"/>
      <c r="I1695" s="1139">
        <v>2804</v>
      </c>
      <c r="J1695" s="1139">
        <v>2804</v>
      </c>
      <c r="K1695" s="1212" t="s">
        <v>2701</v>
      </c>
      <c r="L1695" s="1214" t="s">
        <v>780</v>
      </c>
      <c r="M1695" s="1214">
        <v>51</v>
      </c>
      <c r="N1695" s="1214">
        <v>154</v>
      </c>
      <c r="O1695" s="1214">
        <v>58</v>
      </c>
      <c r="P1695" s="1214">
        <v>55</v>
      </c>
      <c r="Q1695" s="1214">
        <v>60</v>
      </c>
    </row>
    <row r="1696" spans="1:17" ht="90" x14ac:dyDescent="0.25">
      <c r="A1696" s="1170"/>
      <c r="B1696" s="1248"/>
      <c r="C1696" s="1117" t="s">
        <v>13</v>
      </c>
      <c r="D1696" s="12"/>
      <c r="E1696" s="1138" t="s">
        <v>2702</v>
      </c>
      <c r="F1696" s="1139">
        <v>2675.9</v>
      </c>
      <c r="G1696" s="1139">
        <v>3235.4</v>
      </c>
      <c r="H1696" s="1139"/>
      <c r="I1696" s="1139">
        <v>9355.4</v>
      </c>
      <c r="J1696" s="1139">
        <v>9355.4</v>
      </c>
      <c r="K1696" s="1205" t="s">
        <v>2703</v>
      </c>
      <c r="L1696" s="1214" t="s">
        <v>780</v>
      </c>
      <c r="M1696" s="1214">
        <v>61.5</v>
      </c>
      <c r="N1696" s="1214">
        <v>61.5</v>
      </c>
      <c r="O1696" s="1214">
        <v>65.5</v>
      </c>
      <c r="P1696" s="1214">
        <v>61.5</v>
      </c>
      <c r="Q1696" s="1214">
        <v>61.5</v>
      </c>
    </row>
    <row r="1697" spans="1:17" x14ac:dyDescent="0.25">
      <c r="A1697" s="1651" t="s">
        <v>2704</v>
      </c>
      <c r="B1697" s="1651"/>
      <c r="C1697" s="1651"/>
      <c r="D1697" s="1651"/>
      <c r="E1697" s="1652"/>
      <c r="F1697" s="42">
        <v>20660.300000000003</v>
      </c>
      <c r="G1697" s="42">
        <v>25905.9</v>
      </c>
      <c r="H1697" s="42">
        <f>H1686+H1690</f>
        <v>43022</v>
      </c>
      <c r="I1697" s="42">
        <v>36367.599999999999</v>
      </c>
      <c r="J1697" s="42">
        <v>36714.6</v>
      </c>
      <c r="K1697" s="15"/>
      <c r="L1697" s="1231"/>
      <c r="M1697" s="1231"/>
      <c r="N1697" s="1231"/>
      <c r="O1697" s="1231"/>
      <c r="P1697" s="1231"/>
      <c r="Q1697" s="1231"/>
    </row>
    <row r="1698" spans="1:17" x14ac:dyDescent="0.25">
      <c r="A1698" s="1648" t="s">
        <v>2705</v>
      </c>
      <c r="B1698" s="1649"/>
      <c r="C1698" s="1649"/>
      <c r="D1698" s="1649"/>
      <c r="E1698" s="1649"/>
      <c r="F1698" s="1649"/>
      <c r="G1698" s="1649"/>
      <c r="H1698" s="1649"/>
      <c r="I1698" s="1649"/>
      <c r="J1698" s="1649"/>
      <c r="K1698" s="1649"/>
      <c r="L1698" s="1649"/>
      <c r="M1698" s="1649"/>
      <c r="N1698" s="1649"/>
      <c r="O1698" s="1649"/>
      <c r="P1698" s="1649"/>
      <c r="Q1698" s="1650"/>
    </row>
    <row r="1699" spans="1:17" ht="88.5" x14ac:dyDescent="0.25">
      <c r="A1699" s="1232">
        <v>66</v>
      </c>
      <c r="B1699" s="386">
        <v>1</v>
      </c>
      <c r="C1699" s="1105"/>
      <c r="D1699" s="671"/>
      <c r="E1699" s="178" t="s">
        <v>3126</v>
      </c>
      <c r="F1699" s="755"/>
      <c r="G1699" s="755"/>
      <c r="H1699" s="1168">
        <f>SUM(H1700:H1703)</f>
        <v>3831.4</v>
      </c>
      <c r="I1699" s="1169">
        <v>4048.7999999999997</v>
      </c>
      <c r="J1699" s="1169">
        <v>4094.5000000000005</v>
      </c>
      <c r="K1699" s="1195" t="s">
        <v>2706</v>
      </c>
      <c r="L1699" s="1220" t="s">
        <v>34</v>
      </c>
      <c r="M1699" s="1220"/>
      <c r="N1699" s="1220"/>
      <c r="O1699" s="1220"/>
      <c r="P1699" s="1220"/>
      <c r="Q1699" s="1220"/>
    </row>
    <row r="1700" spans="1:17" x14ac:dyDescent="0.25">
      <c r="A1700" s="1122"/>
      <c r="B1700" s="382"/>
      <c r="C1700" s="1146" t="s">
        <v>4</v>
      </c>
      <c r="D1700" s="677"/>
      <c r="E1700" s="1302" t="s">
        <v>2707</v>
      </c>
      <c r="F1700" s="755"/>
      <c r="G1700" s="755"/>
      <c r="H1700" s="1151">
        <v>2181.3000000000002</v>
      </c>
      <c r="I1700" s="1152">
        <v>2248.6999999999998</v>
      </c>
      <c r="J1700" s="1152">
        <v>2294.4</v>
      </c>
      <c r="K1700" s="1212" t="s">
        <v>438</v>
      </c>
      <c r="L1700" s="1196" t="s">
        <v>241</v>
      </c>
      <c r="M1700" s="343"/>
      <c r="N1700" s="343"/>
      <c r="O1700" s="343"/>
      <c r="P1700" s="343"/>
      <c r="Q1700" s="343"/>
    </row>
    <row r="1701" spans="1:17" ht="30" x14ac:dyDescent="0.25">
      <c r="A1701" s="1122"/>
      <c r="B1701" s="382"/>
      <c r="C1701" s="1146" t="s">
        <v>5</v>
      </c>
      <c r="D1701" s="677"/>
      <c r="E1701" s="1302" t="s">
        <v>2708</v>
      </c>
      <c r="F1701" s="755"/>
      <c r="G1701" s="755"/>
      <c r="H1701" s="1151">
        <v>732.4</v>
      </c>
      <c r="I1701" s="1152">
        <v>732.4</v>
      </c>
      <c r="J1701" s="1152">
        <v>732.4</v>
      </c>
      <c r="K1701" s="1212" t="s">
        <v>2709</v>
      </c>
      <c r="L1701" s="1196" t="s">
        <v>34</v>
      </c>
      <c r="M1701" s="343"/>
      <c r="N1701" s="343"/>
      <c r="O1701" s="343"/>
      <c r="P1701" s="343"/>
      <c r="Q1701" s="343"/>
    </row>
    <row r="1702" spans="1:17" ht="30" x14ac:dyDescent="0.25">
      <c r="A1702" s="1122"/>
      <c r="B1702" s="382"/>
      <c r="C1702" s="1146" t="s">
        <v>7</v>
      </c>
      <c r="D1702" s="677"/>
      <c r="E1702" s="1302" t="s">
        <v>842</v>
      </c>
      <c r="F1702" s="755"/>
      <c r="G1702" s="755"/>
      <c r="H1702" s="1151">
        <v>718.3</v>
      </c>
      <c r="I1702" s="1152">
        <v>718.3</v>
      </c>
      <c r="J1702" s="1152">
        <v>718.3</v>
      </c>
      <c r="K1702" s="1212" t="s">
        <v>731</v>
      </c>
      <c r="L1702" s="1196" t="s">
        <v>34</v>
      </c>
      <c r="M1702" s="343">
        <v>0</v>
      </c>
      <c r="N1702" s="343"/>
      <c r="O1702" s="343"/>
      <c r="P1702" s="343"/>
      <c r="Q1702" s="343"/>
    </row>
    <row r="1703" spans="1:17" ht="45" x14ac:dyDescent="0.25">
      <c r="A1703" s="1122"/>
      <c r="B1703" s="382"/>
      <c r="C1703" s="1146" t="s">
        <v>13</v>
      </c>
      <c r="D1703" s="677"/>
      <c r="E1703" s="1217" t="s">
        <v>2710</v>
      </c>
      <c r="F1703" s="755"/>
      <c r="G1703" s="755"/>
      <c r="H1703" s="1151">
        <v>199.4</v>
      </c>
      <c r="I1703" s="1152">
        <v>349.4</v>
      </c>
      <c r="J1703" s="1152">
        <v>349.4</v>
      </c>
      <c r="K1703" s="1212" t="s">
        <v>2711</v>
      </c>
      <c r="L1703" s="1196" t="s">
        <v>34</v>
      </c>
      <c r="M1703" s="679">
        <v>0.23</v>
      </c>
      <c r="N1703" s="343"/>
      <c r="O1703" s="343"/>
      <c r="P1703" s="343"/>
      <c r="Q1703" s="343"/>
    </row>
    <row r="1704" spans="1:17" ht="71.25" x14ac:dyDescent="0.25">
      <c r="A1704" s="1430">
        <v>66</v>
      </c>
      <c r="B1704" s="1438">
        <v>2</v>
      </c>
      <c r="C1704" s="1399"/>
      <c r="D1704" s="1400"/>
      <c r="E1704" s="1195" t="s">
        <v>2712</v>
      </c>
      <c r="F1704" s="1451"/>
      <c r="G1704" s="1451"/>
      <c r="H1704" s="1200">
        <f>H1705</f>
        <v>7421.1</v>
      </c>
      <c r="I1704" s="1202">
        <v>7421.1</v>
      </c>
      <c r="J1704" s="1202">
        <v>7421.1</v>
      </c>
      <c r="K1704" s="178" t="s">
        <v>2713</v>
      </c>
      <c r="L1704" s="1454" t="s">
        <v>1577</v>
      </c>
      <c r="M1704" s="1454"/>
      <c r="N1704" s="1401" t="s">
        <v>1323</v>
      </c>
      <c r="O1704" s="1401" t="s">
        <v>1323</v>
      </c>
      <c r="P1704" s="1401" t="s">
        <v>1343</v>
      </c>
      <c r="Q1704" s="1401" t="s">
        <v>1343</v>
      </c>
    </row>
    <row r="1705" spans="1:17" ht="30" x14ac:dyDescent="0.25">
      <c r="A1705" s="1653"/>
      <c r="B1705" s="1498"/>
      <c r="C1705" s="1820" t="s">
        <v>4</v>
      </c>
      <c r="D1705" s="1862"/>
      <c r="E1705" s="1632" t="s">
        <v>2714</v>
      </c>
      <c r="F1705" s="1740"/>
      <c r="G1705" s="1740"/>
      <c r="H1705" s="1864">
        <v>7421.1</v>
      </c>
      <c r="I1705" s="1865">
        <v>7421.1</v>
      </c>
      <c r="J1705" s="1865">
        <v>7421.1</v>
      </c>
      <c r="K1705" s="1632" t="s">
        <v>2715</v>
      </c>
      <c r="L1705" s="1401" t="s">
        <v>56</v>
      </c>
      <c r="M1705" s="1401"/>
      <c r="N1705" s="1401" t="s">
        <v>1323</v>
      </c>
      <c r="O1705" s="1401" t="s">
        <v>1343</v>
      </c>
      <c r="P1705" s="1401" t="s">
        <v>1343</v>
      </c>
      <c r="Q1705" s="1401" t="s">
        <v>1343</v>
      </c>
    </row>
    <row r="1706" spans="1:17" x14ac:dyDescent="0.25">
      <c r="A1706" s="1654"/>
      <c r="B1706" s="1188"/>
      <c r="C1706" s="1821"/>
      <c r="D1706" s="1863"/>
      <c r="E1706" s="1632"/>
      <c r="F1706" s="1741"/>
      <c r="G1706" s="1741"/>
      <c r="H1706" s="1864"/>
      <c r="I1706" s="1865"/>
      <c r="J1706" s="1865"/>
      <c r="K1706" s="1632"/>
      <c r="L1706" s="959"/>
      <c r="M1706" s="959"/>
      <c r="N1706" s="959"/>
      <c r="O1706" s="959"/>
      <c r="P1706" s="959"/>
      <c r="Q1706" s="959"/>
    </row>
    <row r="1707" spans="1:17" x14ac:dyDescent="0.25">
      <c r="A1707" s="1651" t="s">
        <v>2716</v>
      </c>
      <c r="B1707" s="1651"/>
      <c r="C1707" s="1651"/>
      <c r="D1707" s="1651"/>
      <c r="E1707" s="1652"/>
      <c r="F1707" s="17"/>
      <c r="G1707" s="17"/>
      <c r="H1707" s="697">
        <f>H1699+H1704</f>
        <v>11252.5</v>
      </c>
      <c r="I1707" s="42">
        <v>11469.9</v>
      </c>
      <c r="J1707" s="42">
        <v>11515.6</v>
      </c>
      <c r="K1707" s="15"/>
      <c r="L1707" s="1231"/>
      <c r="M1707" s="1231"/>
      <c r="N1707" s="1231"/>
      <c r="O1707" s="1231"/>
      <c r="P1707" s="1231"/>
      <c r="Q1707" s="1231"/>
    </row>
    <row r="1708" spans="1:17" ht="15.75" thickBot="1" x14ac:dyDescent="0.3">
      <c r="A1708" s="1662" t="s">
        <v>2717</v>
      </c>
      <c r="B1708" s="1663"/>
      <c r="C1708" s="1663"/>
      <c r="D1708" s="1663"/>
      <c r="E1708" s="1663"/>
      <c r="F1708" s="1663"/>
      <c r="G1708" s="1663"/>
      <c r="H1708" s="1663"/>
      <c r="I1708" s="1663"/>
      <c r="J1708" s="1663"/>
      <c r="K1708" s="1663"/>
      <c r="L1708" s="1663"/>
      <c r="M1708" s="1663"/>
      <c r="N1708" s="1663"/>
      <c r="O1708" s="1663"/>
      <c r="P1708" s="1663"/>
      <c r="Q1708" s="1664"/>
    </row>
    <row r="1709" spans="1:17" ht="88.5" x14ac:dyDescent="0.25">
      <c r="A1709" s="402">
        <v>68</v>
      </c>
      <c r="B1709" s="1154">
        <v>1</v>
      </c>
      <c r="C1709" s="1114"/>
      <c r="D1709" s="1251"/>
      <c r="E1709" s="178" t="s">
        <v>3126</v>
      </c>
      <c r="F1709" s="1230">
        <v>2405.6999999999998</v>
      </c>
      <c r="G1709" s="1230">
        <v>3210.7</v>
      </c>
      <c r="H1709" s="1230">
        <f>SUM(H1710:H1711)</f>
        <v>3435.2</v>
      </c>
      <c r="I1709" s="1230">
        <v>3253.1</v>
      </c>
      <c r="J1709" s="1230">
        <v>3296.1</v>
      </c>
      <c r="K1709" s="1195" t="s">
        <v>2718</v>
      </c>
      <c r="L1709" s="1127" t="s">
        <v>34</v>
      </c>
      <c r="M1709" s="1129">
        <v>0</v>
      </c>
      <c r="N1709" s="1129">
        <v>29</v>
      </c>
      <c r="O1709" s="1129">
        <v>29</v>
      </c>
      <c r="P1709" s="1129">
        <v>29</v>
      </c>
      <c r="Q1709" s="1129">
        <v>29</v>
      </c>
    </row>
    <row r="1710" spans="1:17" x14ac:dyDescent="0.25">
      <c r="A1710" s="1397"/>
      <c r="B1710" s="1514"/>
      <c r="C1710" s="1397">
        <v>1</v>
      </c>
      <c r="D1710" s="677"/>
      <c r="E1710" s="1302" t="s">
        <v>2707</v>
      </c>
      <c r="F1710" s="1125">
        <v>1819.5</v>
      </c>
      <c r="G1710" s="1125">
        <v>2723.2</v>
      </c>
      <c r="H1710" s="1125">
        <f>2275+36.9</f>
        <v>2311.9</v>
      </c>
      <c r="I1710" s="1125">
        <v>2765.5</v>
      </c>
      <c r="J1710" s="1125">
        <v>2808.5</v>
      </c>
      <c r="K1710" s="1212" t="s">
        <v>438</v>
      </c>
      <c r="L1710" s="1196" t="s">
        <v>35</v>
      </c>
      <c r="M1710" s="1138"/>
      <c r="N1710" s="1138"/>
      <c r="O1710" s="1214"/>
      <c r="P1710" s="1214"/>
      <c r="Q1710" s="1214"/>
    </row>
    <row r="1711" spans="1:17" x14ac:dyDescent="0.25">
      <c r="A1711" s="1397"/>
      <c r="B1711" s="1522"/>
      <c r="C1711" s="331">
        <v>6</v>
      </c>
      <c r="D1711" s="677"/>
      <c r="E1711" s="1217" t="s">
        <v>2710</v>
      </c>
      <c r="F1711" s="1125">
        <v>586.20000000000005</v>
      </c>
      <c r="G1711" s="1125">
        <v>487.5</v>
      </c>
      <c r="H1711" s="1125">
        <f>935.7+187.6</f>
        <v>1123.3</v>
      </c>
      <c r="I1711" s="1125">
        <v>487.6</v>
      </c>
      <c r="J1711" s="1125">
        <v>487.6</v>
      </c>
      <c r="K1711" s="1212" t="s">
        <v>2709</v>
      </c>
      <c r="L1711" s="1196" t="s">
        <v>34</v>
      </c>
      <c r="M1711" s="1138"/>
      <c r="N1711" s="1138">
        <v>29</v>
      </c>
      <c r="O1711" s="1214">
        <v>29</v>
      </c>
      <c r="P1711" s="1214">
        <v>29</v>
      </c>
      <c r="Q1711" s="1214">
        <v>29</v>
      </c>
    </row>
    <row r="1712" spans="1:17" x14ac:dyDescent="0.25">
      <c r="A1712" s="1651" t="s">
        <v>2719</v>
      </c>
      <c r="B1712" s="1651"/>
      <c r="C1712" s="1651"/>
      <c r="D1712" s="1651"/>
      <c r="E1712" s="1652"/>
      <c r="F1712" s="16">
        <v>2405.6999999999998</v>
      </c>
      <c r="G1712" s="16">
        <v>3210.7</v>
      </c>
      <c r="H1712" s="16">
        <f>H1709</f>
        <v>3435.2</v>
      </c>
      <c r="I1712" s="16">
        <v>3253.1</v>
      </c>
      <c r="J1712" s="16">
        <v>3296.1</v>
      </c>
      <c r="K1712" s="15"/>
      <c r="L1712" s="1231"/>
      <c r="M1712" s="1231"/>
      <c r="N1712" s="1231"/>
      <c r="O1712" s="1231"/>
      <c r="P1712" s="1231"/>
      <c r="Q1712" s="1231"/>
    </row>
    <row r="1713" spans="1:17" x14ac:dyDescent="0.25">
      <c r="A1713" s="1648" t="s">
        <v>2720</v>
      </c>
      <c r="B1713" s="1649"/>
      <c r="C1713" s="1649"/>
      <c r="D1713" s="1649"/>
      <c r="E1713" s="1649"/>
      <c r="F1713" s="1649"/>
      <c r="G1713" s="1649"/>
      <c r="H1713" s="1649"/>
      <c r="I1713" s="1649"/>
      <c r="J1713" s="1649"/>
      <c r="K1713" s="1649"/>
      <c r="L1713" s="1649"/>
      <c r="M1713" s="1649"/>
      <c r="N1713" s="1649"/>
      <c r="O1713" s="1649"/>
      <c r="P1713" s="1649"/>
      <c r="Q1713" s="1650"/>
    </row>
    <row r="1714" spans="1:17" ht="88.5" x14ac:dyDescent="0.25">
      <c r="A1714" s="1115">
        <v>70</v>
      </c>
      <c r="B1714" s="1297">
        <v>1</v>
      </c>
      <c r="C1714" s="1117"/>
      <c r="D1714" s="11"/>
      <c r="E1714" s="178" t="s">
        <v>3126</v>
      </c>
      <c r="F1714" s="1119">
        <v>2796.2</v>
      </c>
      <c r="G1714" s="1264">
        <v>3010.2</v>
      </c>
      <c r="H1714" s="1264">
        <f>SUM(H1715)</f>
        <v>3103.2</v>
      </c>
      <c r="I1714" s="1264">
        <v>3018.3</v>
      </c>
      <c r="J1714" s="1264">
        <v>3034.3</v>
      </c>
      <c r="K1714" s="1195" t="s">
        <v>2721</v>
      </c>
      <c r="L1714" s="459"/>
      <c r="M1714" s="1174">
        <v>20</v>
      </c>
      <c r="N1714" s="1174">
        <v>20</v>
      </c>
      <c r="O1714" s="1174">
        <v>20</v>
      </c>
      <c r="P1714" s="1174">
        <v>20</v>
      </c>
      <c r="Q1714" s="1174">
        <v>21</v>
      </c>
    </row>
    <row r="1715" spans="1:17" ht="45" x14ac:dyDescent="0.25">
      <c r="A1715" s="1170"/>
      <c r="B1715" s="1361"/>
      <c r="C1715" s="1317" t="s">
        <v>4</v>
      </c>
      <c r="D1715" s="1251"/>
      <c r="E1715" s="1302" t="s">
        <v>2689</v>
      </c>
      <c r="F1715" s="704">
        <v>2796.2</v>
      </c>
      <c r="G1715" s="704">
        <v>3010.2</v>
      </c>
      <c r="H1715" s="1120">
        <f>3010.2+93</f>
        <v>3103.2</v>
      </c>
      <c r="I1715" s="1121">
        <v>3018.3</v>
      </c>
      <c r="J1715" s="1121">
        <v>3034.3</v>
      </c>
      <c r="K1715" s="1212" t="s">
        <v>2722</v>
      </c>
      <c r="L1715" s="1214" t="s">
        <v>34</v>
      </c>
      <c r="M1715" s="459">
        <v>100</v>
      </c>
      <c r="N1715" s="459">
        <v>100</v>
      </c>
      <c r="O1715" s="459">
        <v>100</v>
      </c>
      <c r="P1715" s="459">
        <v>100</v>
      </c>
      <c r="Q1715" s="459">
        <v>100</v>
      </c>
    </row>
    <row r="1716" spans="1:17" ht="147.75" x14ac:dyDescent="0.25">
      <c r="A1716" s="1324">
        <v>70</v>
      </c>
      <c r="B1716" s="1325">
        <v>2</v>
      </c>
      <c r="C1716" s="1317"/>
      <c r="D1716" s="81"/>
      <c r="E1716" s="1195" t="s">
        <v>3127</v>
      </c>
      <c r="F1716" s="1119">
        <v>10389.799999999999</v>
      </c>
      <c r="G1716" s="1119">
        <v>12034</v>
      </c>
      <c r="H1716" s="1119">
        <f>SUM(H1717:H1718)</f>
        <v>12398.2</v>
      </c>
      <c r="I1716" s="1119">
        <v>12224.400000000001</v>
      </c>
      <c r="J1716" s="1119">
        <v>12410</v>
      </c>
      <c r="K1716" s="1195" t="s">
        <v>2723</v>
      </c>
      <c r="L1716" s="1436"/>
      <c r="M1716" s="1436">
        <v>30</v>
      </c>
      <c r="N1716" s="1436">
        <v>30</v>
      </c>
      <c r="O1716" s="1436">
        <v>30</v>
      </c>
      <c r="P1716" s="1436">
        <v>30</v>
      </c>
      <c r="Q1716" s="1436">
        <v>30</v>
      </c>
    </row>
    <row r="1717" spans="1:17" ht="60" x14ac:dyDescent="0.25">
      <c r="A1717" s="1497"/>
      <c r="B1717" s="1498"/>
      <c r="C1717" s="1399" t="s">
        <v>4</v>
      </c>
      <c r="D1717" s="960"/>
      <c r="E1717" s="1212" t="s">
        <v>2724</v>
      </c>
      <c r="F1717" s="1152">
        <v>3629.5</v>
      </c>
      <c r="G1717" s="1151">
        <v>4382.8999999999996</v>
      </c>
      <c r="H1717" s="1151">
        <v>4165.6000000000004</v>
      </c>
      <c r="I1717" s="1152">
        <v>4464.1000000000004</v>
      </c>
      <c r="J1717" s="1152">
        <v>4517.6000000000004</v>
      </c>
      <c r="K1717" s="1212" t="s">
        <v>2725</v>
      </c>
      <c r="L1717" s="1196"/>
      <c r="M1717" s="1196">
        <v>15</v>
      </c>
      <c r="N1717" s="1125">
        <v>15</v>
      </c>
      <c r="O1717" s="1125">
        <v>15</v>
      </c>
      <c r="P1717" s="1125">
        <v>15</v>
      </c>
      <c r="Q1717" s="1125">
        <v>15</v>
      </c>
    </row>
    <row r="1718" spans="1:17" ht="60" x14ac:dyDescent="0.25">
      <c r="A1718" s="1497"/>
      <c r="B1718" s="1498"/>
      <c r="C1718" s="1399" t="s">
        <v>5</v>
      </c>
      <c r="D1718" s="1523"/>
      <c r="E1718" s="1212" t="s">
        <v>2726</v>
      </c>
      <c r="F1718" s="1152">
        <v>6760.3</v>
      </c>
      <c r="G1718" s="1151">
        <v>7651.1</v>
      </c>
      <c r="H1718" s="1439">
        <v>8232.6</v>
      </c>
      <c r="I1718" s="1440">
        <v>7760.3</v>
      </c>
      <c r="J1718" s="1440">
        <v>7892.4</v>
      </c>
      <c r="K1718" s="1212" t="s">
        <v>2725</v>
      </c>
      <c r="L1718" s="1196"/>
      <c r="M1718" s="1196">
        <v>15</v>
      </c>
      <c r="N1718" s="1196">
        <v>15</v>
      </c>
      <c r="O1718" s="1196">
        <v>15</v>
      </c>
      <c r="P1718" s="1196">
        <v>15</v>
      </c>
      <c r="Q1718" s="1196">
        <v>15</v>
      </c>
    </row>
    <row r="1719" spans="1:17" x14ac:dyDescent="0.25">
      <c r="A1719" s="1651" t="s">
        <v>2727</v>
      </c>
      <c r="B1719" s="1651"/>
      <c r="C1719" s="1651"/>
      <c r="D1719" s="1651"/>
      <c r="E1719" s="1652"/>
      <c r="F1719" s="42">
        <v>13186</v>
      </c>
      <c r="G1719" s="42">
        <v>15044.2</v>
      </c>
      <c r="H1719" s="42">
        <f>H1714+H1716</f>
        <v>15501.400000000001</v>
      </c>
      <c r="I1719" s="42">
        <v>15242.7</v>
      </c>
      <c r="J1719" s="42">
        <v>15444.3</v>
      </c>
      <c r="K1719" s="15"/>
      <c r="L1719" s="1231"/>
      <c r="M1719" s="1231"/>
      <c r="N1719" s="1231"/>
      <c r="O1719" s="1231"/>
      <c r="P1719" s="1231"/>
      <c r="Q1719" s="1231"/>
    </row>
    <row r="1720" spans="1:17" x14ac:dyDescent="0.25">
      <c r="A1720" s="1648" t="s">
        <v>2728</v>
      </c>
      <c r="B1720" s="1649"/>
      <c r="C1720" s="1649"/>
      <c r="D1720" s="1649"/>
      <c r="E1720" s="1649"/>
      <c r="F1720" s="1649"/>
      <c r="G1720" s="1649"/>
      <c r="H1720" s="1649"/>
      <c r="I1720" s="1649"/>
      <c r="J1720" s="1649"/>
      <c r="K1720" s="1649"/>
      <c r="L1720" s="1649"/>
      <c r="M1720" s="1649"/>
      <c r="N1720" s="1649"/>
      <c r="O1720" s="1649"/>
      <c r="P1720" s="1649"/>
      <c r="Q1720" s="1650"/>
    </row>
    <row r="1721" spans="1:17" ht="74.25" x14ac:dyDescent="0.25">
      <c r="A1721" s="1232">
        <v>71</v>
      </c>
      <c r="B1721" s="386">
        <v>1</v>
      </c>
      <c r="C1721" s="1105"/>
      <c r="D1721" s="753"/>
      <c r="E1721" s="1167" t="s">
        <v>3128</v>
      </c>
      <c r="F1721" s="1202">
        <v>0</v>
      </c>
      <c r="G1721" s="1202">
        <v>0</v>
      </c>
      <c r="H1721" s="1202">
        <f>SUM(H1722:H1726)</f>
        <v>15688.699999999999</v>
      </c>
      <c r="I1721" s="1202">
        <v>13837.1</v>
      </c>
      <c r="J1721" s="1202">
        <v>14551.300000000001</v>
      </c>
      <c r="K1721" s="1195"/>
      <c r="L1721" s="1196"/>
      <c r="M1721" s="343"/>
      <c r="N1721" s="343"/>
      <c r="O1721" s="343"/>
      <c r="P1721" s="343"/>
      <c r="Q1721" s="343"/>
    </row>
    <row r="1722" spans="1:17" ht="45" x14ac:dyDescent="0.25">
      <c r="A1722" s="1122"/>
      <c r="B1722" s="382"/>
      <c r="C1722" s="1105" t="s">
        <v>4</v>
      </c>
      <c r="D1722" s="1105"/>
      <c r="E1722" s="1150" t="s">
        <v>1406</v>
      </c>
      <c r="F1722" s="755"/>
      <c r="G1722" s="755"/>
      <c r="H1722" s="1124">
        <v>4775</v>
      </c>
      <c r="I1722" s="1124">
        <v>3543.9</v>
      </c>
      <c r="J1722" s="1124">
        <v>3726.8</v>
      </c>
      <c r="K1722" s="67" t="s">
        <v>2729</v>
      </c>
      <c r="L1722" s="1196" t="s">
        <v>34</v>
      </c>
      <c r="M1722" s="679">
        <v>1</v>
      </c>
      <c r="N1722" s="1196">
        <v>100</v>
      </c>
      <c r="O1722" s="1196">
        <v>100</v>
      </c>
      <c r="P1722" s="1196">
        <v>100</v>
      </c>
      <c r="Q1722" s="1196">
        <v>100</v>
      </c>
    </row>
    <row r="1723" spans="1:17" ht="30" x14ac:dyDescent="0.25">
      <c r="A1723" s="1232"/>
      <c r="B1723" s="386"/>
      <c r="C1723" s="1146" t="s">
        <v>5</v>
      </c>
      <c r="D1723" s="1234"/>
      <c r="E1723" s="1302" t="s">
        <v>2708</v>
      </c>
      <c r="F1723" s="755"/>
      <c r="G1723" s="755"/>
      <c r="H1723" s="1125">
        <v>4207.5</v>
      </c>
      <c r="I1723" s="1125">
        <v>3590.4</v>
      </c>
      <c r="J1723" s="1125">
        <v>3776.6</v>
      </c>
      <c r="K1723" s="1212" t="s">
        <v>2730</v>
      </c>
      <c r="L1723" s="1196" t="s">
        <v>34</v>
      </c>
      <c r="M1723" s="679">
        <v>1</v>
      </c>
      <c r="N1723" s="1196">
        <v>100</v>
      </c>
      <c r="O1723" s="1196">
        <v>100</v>
      </c>
      <c r="P1723" s="1196">
        <v>100</v>
      </c>
      <c r="Q1723" s="1196">
        <v>100</v>
      </c>
    </row>
    <row r="1724" spans="1:17" ht="30" x14ac:dyDescent="0.25">
      <c r="A1724" s="1232"/>
      <c r="B1724" s="386"/>
      <c r="C1724" s="1146" t="s">
        <v>11</v>
      </c>
      <c r="D1724" s="1234"/>
      <c r="E1724" s="1217" t="s">
        <v>1142</v>
      </c>
      <c r="F1724" s="755"/>
      <c r="G1724" s="755"/>
      <c r="H1724" s="1125">
        <v>751</v>
      </c>
      <c r="I1724" s="1125">
        <v>630</v>
      </c>
      <c r="J1724" s="1125">
        <v>661.7</v>
      </c>
      <c r="K1724" s="1212" t="s">
        <v>2731</v>
      </c>
      <c r="L1724" s="1196" t="s">
        <v>36</v>
      </c>
      <c r="M1724" s="961" t="s">
        <v>342</v>
      </c>
      <c r="N1724" s="696" t="s">
        <v>2732</v>
      </c>
      <c r="O1724" s="696" t="s">
        <v>2733</v>
      </c>
      <c r="P1724" s="696" t="s">
        <v>2733</v>
      </c>
      <c r="Q1724" s="696" t="s">
        <v>2733</v>
      </c>
    </row>
    <row r="1725" spans="1:17" ht="45" x14ac:dyDescent="0.25">
      <c r="A1725" s="1232"/>
      <c r="B1725" s="386"/>
      <c r="C1725" s="1146" t="s">
        <v>13</v>
      </c>
      <c r="D1725" s="1234"/>
      <c r="E1725" s="1217" t="s">
        <v>2710</v>
      </c>
      <c r="F1725" s="755"/>
      <c r="G1725" s="755"/>
      <c r="H1725" s="1125">
        <v>4055.4</v>
      </c>
      <c r="I1725" s="1125">
        <v>4183.2</v>
      </c>
      <c r="J1725" s="1125">
        <v>4399.1000000000004</v>
      </c>
      <c r="K1725" s="1212" t="s">
        <v>2734</v>
      </c>
      <c r="L1725" s="1196" t="s">
        <v>34</v>
      </c>
      <c r="M1725" s="1401">
        <v>41.6</v>
      </c>
      <c r="N1725" s="1401">
        <v>41.6</v>
      </c>
      <c r="O1725" s="1401">
        <v>41.6</v>
      </c>
      <c r="P1725" s="1401">
        <v>41.6</v>
      </c>
      <c r="Q1725" s="1401">
        <v>41.6</v>
      </c>
    </row>
    <row r="1726" spans="1:17" ht="30" x14ac:dyDescent="0.25">
      <c r="A1726" s="1232"/>
      <c r="B1726" s="386"/>
      <c r="C1726" s="1146" t="s">
        <v>15</v>
      </c>
      <c r="D1726" s="1234"/>
      <c r="E1726" s="1205" t="s">
        <v>667</v>
      </c>
      <c r="F1726" s="755"/>
      <c r="G1726" s="755"/>
      <c r="H1726" s="1125">
        <v>1899.8</v>
      </c>
      <c r="I1726" s="1125">
        <v>1889.6</v>
      </c>
      <c r="J1726" s="1125">
        <v>1987.1</v>
      </c>
      <c r="K1726" s="1212" t="s">
        <v>2735</v>
      </c>
      <c r="L1726" s="1196" t="s">
        <v>780</v>
      </c>
      <c r="M1726" s="1196">
        <v>12</v>
      </c>
      <c r="N1726" s="696" t="s">
        <v>2732</v>
      </c>
      <c r="O1726" s="696" t="s">
        <v>2733</v>
      </c>
      <c r="P1726" s="696" t="s">
        <v>2733</v>
      </c>
      <c r="Q1726" s="696" t="s">
        <v>2733</v>
      </c>
    </row>
    <row r="1727" spans="1:17" ht="119.25" x14ac:dyDescent="0.25">
      <c r="A1727" s="1430">
        <v>71</v>
      </c>
      <c r="B1727" s="1438">
        <v>2</v>
      </c>
      <c r="C1727" s="1399"/>
      <c r="D1727" s="1400"/>
      <c r="E1727" s="348" t="s">
        <v>3129</v>
      </c>
      <c r="F1727" s="1202">
        <v>0</v>
      </c>
      <c r="G1727" s="1202">
        <v>0</v>
      </c>
      <c r="H1727" s="1202">
        <f>SUM(H1728:H1732)</f>
        <v>15723.9</v>
      </c>
      <c r="I1727" s="1202">
        <v>14690.6</v>
      </c>
      <c r="J1727" s="1202">
        <v>15448.699999999999</v>
      </c>
      <c r="K1727" s="1212"/>
      <c r="L1727" s="1196"/>
      <c r="M1727" s="1196"/>
      <c r="N1727" s="1234"/>
      <c r="O1727" s="1234"/>
      <c r="P1727" s="1234"/>
      <c r="Q1727" s="1234"/>
    </row>
    <row r="1728" spans="1:17" ht="90" x14ac:dyDescent="0.25">
      <c r="A1728" s="1430"/>
      <c r="B1728" s="1438"/>
      <c r="C1728" s="1399" t="s">
        <v>4</v>
      </c>
      <c r="D1728" s="1399"/>
      <c r="E1728" s="348" t="s">
        <v>2736</v>
      </c>
      <c r="F1728" s="755"/>
      <c r="G1728" s="755"/>
      <c r="H1728" s="1445">
        <v>8137.1</v>
      </c>
      <c r="I1728" s="1445">
        <v>7794.4</v>
      </c>
      <c r="J1728" s="1445">
        <v>8196.7999999999993</v>
      </c>
      <c r="K1728" s="348" t="s">
        <v>2737</v>
      </c>
      <c r="L1728" s="1401" t="s">
        <v>825</v>
      </c>
      <c r="M1728" s="1401">
        <v>37</v>
      </c>
      <c r="N1728" s="696" t="s">
        <v>1323</v>
      </c>
      <c r="O1728" s="696"/>
      <c r="P1728" s="1401" t="s">
        <v>1343</v>
      </c>
      <c r="Q1728" s="1401" t="s">
        <v>1343</v>
      </c>
    </row>
    <row r="1729" spans="1:17" ht="60" x14ac:dyDescent="0.25">
      <c r="A1729" s="1430"/>
      <c r="B1729" s="1438"/>
      <c r="C1729" s="1146" t="s">
        <v>5</v>
      </c>
      <c r="D1729" s="1146"/>
      <c r="E1729" s="348" t="s">
        <v>2738</v>
      </c>
      <c r="F1729" s="755"/>
      <c r="G1729" s="755"/>
      <c r="H1729" s="755">
        <v>2097.4</v>
      </c>
      <c r="I1729" s="755">
        <v>1889.6</v>
      </c>
      <c r="J1729" s="755">
        <v>1987.1</v>
      </c>
      <c r="K1729" s="348" t="s">
        <v>2739</v>
      </c>
      <c r="L1729" s="1286" t="s">
        <v>2740</v>
      </c>
      <c r="M1729" s="1196">
        <v>8</v>
      </c>
      <c r="N1729" s="696" t="s">
        <v>1323</v>
      </c>
      <c r="O1729" s="1401" t="s">
        <v>1343</v>
      </c>
      <c r="P1729" s="1401" t="s">
        <v>1343</v>
      </c>
      <c r="Q1729" s="1401" t="s">
        <v>1343</v>
      </c>
    </row>
    <row r="1730" spans="1:17" ht="90" x14ac:dyDescent="0.25">
      <c r="A1730" s="1430"/>
      <c r="B1730" s="1438"/>
      <c r="C1730" s="1399" t="s">
        <v>7</v>
      </c>
      <c r="D1730" s="1399"/>
      <c r="E1730" s="645" t="s">
        <v>2741</v>
      </c>
      <c r="F1730" s="755"/>
      <c r="G1730" s="755"/>
      <c r="H1730" s="1445">
        <v>2299.3000000000002</v>
      </c>
      <c r="I1730" s="1445">
        <v>2171.8000000000002</v>
      </c>
      <c r="J1730" s="1445">
        <v>2283.9</v>
      </c>
      <c r="K1730" s="348" t="s">
        <v>2742</v>
      </c>
      <c r="L1730" s="1401" t="s">
        <v>34</v>
      </c>
      <c r="M1730" s="962">
        <v>1</v>
      </c>
      <c r="N1730" s="1196">
        <v>100</v>
      </c>
      <c r="O1730" s="1196">
        <v>100</v>
      </c>
      <c r="P1730" s="1196">
        <v>100</v>
      </c>
      <c r="Q1730" s="1196">
        <v>100</v>
      </c>
    </row>
    <row r="1731" spans="1:17" ht="75" x14ac:dyDescent="0.25">
      <c r="A1731" s="1430"/>
      <c r="B1731" s="1438"/>
      <c r="C1731" s="1399" t="s">
        <v>9</v>
      </c>
      <c r="D1731" s="1399"/>
      <c r="E1731" s="1588" t="s">
        <v>2743</v>
      </c>
      <c r="F1731" s="755"/>
      <c r="G1731" s="755"/>
      <c r="H1731" s="1125">
        <v>1543.4</v>
      </c>
      <c r="I1731" s="1125">
        <v>1417.2</v>
      </c>
      <c r="J1731" s="1125">
        <v>1490.4</v>
      </c>
      <c r="K1731" s="348" t="s">
        <v>2744</v>
      </c>
      <c r="L1731" s="1196" t="s">
        <v>825</v>
      </c>
      <c r="M1731" s="688">
        <v>192325</v>
      </c>
      <c r="N1731" s="696" t="s">
        <v>75</v>
      </c>
      <c r="O1731" s="1401" t="s">
        <v>1343</v>
      </c>
      <c r="P1731" s="1401" t="s">
        <v>1343</v>
      </c>
      <c r="Q1731" s="1401" t="s">
        <v>1343</v>
      </c>
    </row>
    <row r="1732" spans="1:17" ht="60" x14ac:dyDescent="0.25">
      <c r="A1732" s="1103"/>
      <c r="B1732" s="1143"/>
      <c r="C1732" s="1105" t="s">
        <v>11</v>
      </c>
      <c r="D1732" s="1105"/>
      <c r="E1732" s="1150" t="s">
        <v>2745</v>
      </c>
      <c r="F1732" s="755"/>
      <c r="G1732" s="755"/>
      <c r="H1732" s="1125">
        <v>1646.7</v>
      </c>
      <c r="I1732" s="1125">
        <v>1417.6</v>
      </c>
      <c r="J1732" s="1125">
        <v>1490.5</v>
      </c>
      <c r="K1732" s="1123" t="s">
        <v>2746</v>
      </c>
      <c r="L1732" s="1196" t="s">
        <v>825</v>
      </c>
      <c r="M1732" s="963">
        <v>957841</v>
      </c>
      <c r="N1732" s="696" t="s">
        <v>75</v>
      </c>
      <c r="O1732" s="1401" t="s">
        <v>1343</v>
      </c>
      <c r="P1732" s="1401" t="s">
        <v>1343</v>
      </c>
      <c r="Q1732" s="1401" t="s">
        <v>1343</v>
      </c>
    </row>
    <row r="1733" spans="1:17" x14ac:dyDescent="0.25">
      <c r="A1733" s="1651" t="s">
        <v>2747</v>
      </c>
      <c r="B1733" s="1651"/>
      <c r="C1733" s="1782"/>
      <c r="D1733" s="1782"/>
      <c r="E1733" s="1855"/>
      <c r="F1733" s="42">
        <v>0</v>
      </c>
      <c r="G1733" s="42">
        <v>0</v>
      </c>
      <c r="H1733" s="42">
        <f>H1721+H1727</f>
        <v>31412.6</v>
      </c>
      <c r="I1733" s="42">
        <v>28527.7</v>
      </c>
      <c r="J1733" s="42">
        <v>30000</v>
      </c>
      <c r="K1733" s="15"/>
      <c r="L1733" s="21"/>
      <c r="M1733" s="21"/>
      <c r="N1733" s="21"/>
      <c r="O1733" s="21"/>
      <c r="P1733" s="21"/>
      <c r="Q1733" s="21"/>
    </row>
    <row r="1734" spans="1:17" x14ac:dyDescent="0.25">
      <c r="A1734" s="1648" t="s">
        <v>2748</v>
      </c>
      <c r="B1734" s="1649"/>
      <c r="C1734" s="1649"/>
      <c r="D1734" s="1649"/>
      <c r="E1734" s="1649"/>
      <c r="F1734" s="1649"/>
      <c r="G1734" s="1649"/>
      <c r="H1734" s="1649"/>
      <c r="I1734" s="1649"/>
      <c r="J1734" s="1649"/>
      <c r="K1734" s="1649"/>
      <c r="L1734" s="1649"/>
      <c r="M1734" s="1649"/>
      <c r="N1734" s="1649"/>
      <c r="O1734" s="1649"/>
      <c r="P1734" s="1649"/>
      <c r="Q1734" s="1650"/>
    </row>
    <row r="1735" spans="1:17" ht="88.5" x14ac:dyDescent="0.25">
      <c r="A1735" s="1232">
        <v>72</v>
      </c>
      <c r="B1735" s="386">
        <v>1</v>
      </c>
      <c r="C1735" s="1105"/>
      <c r="D1735" s="179"/>
      <c r="E1735" s="178" t="s">
        <v>3126</v>
      </c>
      <c r="F1735" s="1202">
        <v>41330.819999999992</v>
      </c>
      <c r="G1735" s="1202">
        <v>46003.3</v>
      </c>
      <c r="H1735" s="1202">
        <f>SUM(H1736:H1747)</f>
        <v>63226.700000000004</v>
      </c>
      <c r="I1735" s="1202">
        <v>45206.100000000006</v>
      </c>
      <c r="J1735" s="1202">
        <v>45841</v>
      </c>
      <c r="K1735" s="1195" t="s">
        <v>2718</v>
      </c>
      <c r="L1735" s="343" t="s">
        <v>34</v>
      </c>
      <c r="M1735" s="343"/>
      <c r="N1735" s="343"/>
      <c r="O1735" s="343"/>
      <c r="P1735" s="343"/>
      <c r="Q1735" s="343"/>
    </row>
    <row r="1736" spans="1:17" ht="30" x14ac:dyDescent="0.25">
      <c r="A1736" s="1232"/>
      <c r="B1736" s="386"/>
      <c r="C1736" s="1146" t="s">
        <v>4</v>
      </c>
      <c r="D1736" s="1234"/>
      <c r="E1736" s="1100" t="s">
        <v>522</v>
      </c>
      <c r="F1736" s="1192">
        <v>6567.8</v>
      </c>
      <c r="G1736" s="1192">
        <v>4047.3</v>
      </c>
      <c r="H1736" s="1192">
        <v>10047.1</v>
      </c>
      <c r="I1736" s="1192">
        <v>3186</v>
      </c>
      <c r="J1736" s="1192">
        <v>3307.6</v>
      </c>
      <c r="K1736" s="1212" t="s">
        <v>438</v>
      </c>
      <c r="L1736" s="1196" t="s">
        <v>35</v>
      </c>
      <c r="M1736" s="1196">
        <v>28.1</v>
      </c>
      <c r="N1736" s="1196">
        <v>31.6</v>
      </c>
      <c r="O1736" s="1196" t="s">
        <v>2749</v>
      </c>
      <c r="P1736" s="1196" t="s">
        <v>2749</v>
      </c>
      <c r="Q1736" s="1196" t="s">
        <v>2749</v>
      </c>
    </row>
    <row r="1737" spans="1:17" ht="30" x14ac:dyDescent="0.25">
      <c r="A1737" s="1232"/>
      <c r="B1737" s="386"/>
      <c r="C1737" s="1146" t="s">
        <v>5</v>
      </c>
      <c r="D1737" s="1234"/>
      <c r="E1737" s="1302" t="s">
        <v>2592</v>
      </c>
      <c r="F1737" s="1192">
        <v>2909.76</v>
      </c>
      <c r="G1737" s="1192">
        <v>2831.4</v>
      </c>
      <c r="H1737" s="1192">
        <v>2246.4</v>
      </c>
      <c r="I1737" s="1192">
        <v>2856.7</v>
      </c>
      <c r="J1737" s="1192">
        <v>2787.6</v>
      </c>
      <c r="K1737" s="1212" t="s">
        <v>2593</v>
      </c>
      <c r="L1737" s="1196" t="s">
        <v>34</v>
      </c>
      <c r="M1737" s="1196">
        <v>100</v>
      </c>
      <c r="N1737" s="1196">
        <v>100</v>
      </c>
      <c r="O1737" s="1196">
        <v>100</v>
      </c>
      <c r="P1737" s="1196">
        <v>100</v>
      </c>
      <c r="Q1737" s="964">
        <v>100</v>
      </c>
    </row>
    <row r="1738" spans="1:17" ht="45" x14ac:dyDescent="0.25">
      <c r="A1738" s="1232"/>
      <c r="B1738" s="386"/>
      <c r="C1738" s="1146" t="s">
        <v>7</v>
      </c>
      <c r="D1738" s="1234"/>
      <c r="E1738" s="1212" t="s">
        <v>842</v>
      </c>
      <c r="F1738" s="1192">
        <v>4181.74</v>
      </c>
      <c r="G1738" s="1192">
        <v>2711.5</v>
      </c>
      <c r="H1738" s="1192">
        <v>4648.8</v>
      </c>
      <c r="I1738" s="1192">
        <v>2169</v>
      </c>
      <c r="J1738" s="1192">
        <v>2292.6</v>
      </c>
      <c r="K1738" s="1212" t="s">
        <v>2750</v>
      </c>
      <c r="L1738" s="1196" t="s">
        <v>780</v>
      </c>
      <c r="M1738" s="1196">
        <v>30</v>
      </c>
      <c r="N1738" s="1196">
        <v>32</v>
      </c>
      <c r="O1738" s="1196">
        <v>30</v>
      </c>
      <c r="P1738" s="1196">
        <v>28</v>
      </c>
      <c r="Q1738" s="964">
        <v>28</v>
      </c>
    </row>
    <row r="1739" spans="1:17" x14ac:dyDescent="0.25">
      <c r="A1739" s="1232"/>
      <c r="B1739" s="386"/>
      <c r="C1739" s="1146" t="s">
        <v>9</v>
      </c>
      <c r="D1739" s="1234"/>
      <c r="E1739" s="96" t="s">
        <v>2751</v>
      </c>
      <c r="F1739" s="1192"/>
      <c r="G1739" s="1192"/>
      <c r="H1739" s="1192">
        <v>4684.5</v>
      </c>
      <c r="I1739" s="1192"/>
      <c r="J1739" s="1192"/>
      <c r="K1739" s="32"/>
      <c r="L1739" s="1196"/>
      <c r="M1739" s="1196"/>
      <c r="N1739" s="1196"/>
      <c r="O1739" s="1196"/>
      <c r="P1739" s="1196"/>
      <c r="Q1739" s="964"/>
    </row>
    <row r="1740" spans="1:17" ht="30" x14ac:dyDescent="0.25">
      <c r="A1740" s="1232"/>
      <c r="B1740" s="386"/>
      <c r="C1740" s="1146" t="s">
        <v>11</v>
      </c>
      <c r="D1740" s="1234"/>
      <c r="E1740" s="1302" t="s">
        <v>726</v>
      </c>
      <c r="F1740" s="1192"/>
      <c r="G1740" s="1192"/>
      <c r="H1740" s="1192">
        <v>5827.2</v>
      </c>
      <c r="I1740" s="1192"/>
      <c r="J1740" s="1192"/>
      <c r="K1740" s="32"/>
      <c r="L1740" s="1196"/>
      <c r="M1740" s="1196"/>
      <c r="N1740" s="1196"/>
      <c r="O1740" s="1196"/>
      <c r="P1740" s="1196"/>
      <c r="Q1740" s="964"/>
    </row>
    <row r="1741" spans="1:17" x14ac:dyDescent="0.25">
      <c r="A1741" s="1232"/>
      <c r="B1741" s="386"/>
      <c r="C1741" s="1146" t="s">
        <v>13</v>
      </c>
      <c r="D1741" s="1234"/>
      <c r="E1741" s="1217" t="s">
        <v>2595</v>
      </c>
      <c r="F1741" s="1192">
        <v>3509.41</v>
      </c>
      <c r="G1741" s="1192">
        <v>10136.1</v>
      </c>
      <c r="H1741" s="1192">
        <v>12861.5</v>
      </c>
      <c r="I1741" s="1192">
        <v>9600</v>
      </c>
      <c r="J1741" s="1192">
        <v>9650</v>
      </c>
      <c r="K1741" s="1212"/>
      <c r="L1741" s="1196"/>
      <c r="M1741" s="1196"/>
      <c r="N1741" s="1196"/>
      <c r="O1741" s="1196"/>
      <c r="P1741" s="1196"/>
      <c r="Q1741" s="964"/>
    </row>
    <row r="1742" spans="1:17" ht="60" x14ac:dyDescent="0.25">
      <c r="A1742" s="1232"/>
      <c r="B1742" s="1856"/>
      <c r="C1742" s="1858" t="s">
        <v>15</v>
      </c>
      <c r="D1742" s="1860"/>
      <c r="E1742" s="1791" t="s">
        <v>2752</v>
      </c>
      <c r="F1742" s="1804">
        <v>2869.74</v>
      </c>
      <c r="G1742" s="1804">
        <v>538.5</v>
      </c>
      <c r="H1742" s="1804">
        <v>0</v>
      </c>
      <c r="I1742" s="1804">
        <v>670</v>
      </c>
      <c r="J1742" s="1804">
        <v>675</v>
      </c>
      <c r="K1742" s="1212" t="s">
        <v>2753</v>
      </c>
      <c r="L1742" s="1196" t="s">
        <v>34</v>
      </c>
      <c r="M1742" s="1196">
        <v>30</v>
      </c>
      <c r="N1742" s="1196">
        <v>90</v>
      </c>
      <c r="O1742" s="1196">
        <v>100</v>
      </c>
      <c r="P1742" s="1196">
        <v>100</v>
      </c>
      <c r="Q1742" s="964">
        <v>100</v>
      </c>
    </row>
    <row r="1743" spans="1:17" ht="60" x14ac:dyDescent="0.25">
      <c r="A1743" s="1232"/>
      <c r="B1743" s="1857"/>
      <c r="C1743" s="1859"/>
      <c r="D1743" s="1861"/>
      <c r="E1743" s="1791"/>
      <c r="F1743" s="1805"/>
      <c r="G1743" s="1805"/>
      <c r="H1743" s="1805"/>
      <c r="I1743" s="1805"/>
      <c r="J1743" s="1805"/>
      <c r="K1743" s="1212" t="s">
        <v>2754</v>
      </c>
      <c r="L1743" s="1196" t="s">
        <v>34</v>
      </c>
      <c r="M1743" s="1196">
        <v>100</v>
      </c>
      <c r="N1743" s="1196">
        <v>100</v>
      </c>
      <c r="O1743" s="1196">
        <v>100</v>
      </c>
      <c r="P1743" s="1196">
        <v>100</v>
      </c>
      <c r="Q1743" s="964">
        <v>100</v>
      </c>
    </row>
    <row r="1744" spans="1:17" ht="30" x14ac:dyDescent="0.25">
      <c r="A1744" s="1232"/>
      <c r="B1744" s="386"/>
      <c r="C1744" s="1146" t="s">
        <v>16</v>
      </c>
      <c r="D1744" s="1234"/>
      <c r="E1744" s="1302" t="s">
        <v>2755</v>
      </c>
      <c r="F1744" s="1192">
        <v>18026.45</v>
      </c>
      <c r="G1744" s="1192">
        <v>22703.9</v>
      </c>
      <c r="H1744" s="1192">
        <v>0</v>
      </c>
      <c r="I1744" s="1192">
        <v>24454.400000000001</v>
      </c>
      <c r="J1744" s="1192">
        <v>24853.200000000001</v>
      </c>
      <c r="K1744" s="1212" t="s">
        <v>2756</v>
      </c>
      <c r="L1744" s="1196" t="s">
        <v>1334</v>
      </c>
      <c r="M1744" s="1196" t="s">
        <v>343</v>
      </c>
      <c r="N1744" s="1196" t="s">
        <v>343</v>
      </c>
      <c r="O1744" s="1196" t="s">
        <v>343</v>
      </c>
      <c r="P1744" s="1196" t="s">
        <v>343</v>
      </c>
      <c r="Q1744" s="964" t="s">
        <v>343</v>
      </c>
    </row>
    <row r="1745" spans="1:17" x14ac:dyDescent="0.25">
      <c r="A1745" s="1232"/>
      <c r="B1745" s="386"/>
      <c r="C1745" s="1146" t="s">
        <v>141</v>
      </c>
      <c r="D1745" s="1234"/>
      <c r="E1745" s="1302" t="s">
        <v>2757</v>
      </c>
      <c r="F1745" s="1192"/>
      <c r="G1745" s="1192"/>
      <c r="H1745" s="1192">
        <f>21330.7+2000-717.2-557.7</f>
        <v>22055.8</v>
      </c>
      <c r="I1745" s="1192"/>
      <c r="J1745" s="1192"/>
      <c r="K1745" s="1212"/>
      <c r="L1745" s="1196"/>
      <c r="M1745" s="1196"/>
      <c r="N1745" s="1196"/>
      <c r="O1745" s="1196"/>
      <c r="P1745" s="1196"/>
      <c r="Q1745" s="964"/>
    </row>
    <row r="1746" spans="1:17" x14ac:dyDescent="0.25">
      <c r="A1746" s="1232"/>
      <c r="B1746" s="386"/>
      <c r="C1746" s="1146" t="s">
        <v>344</v>
      </c>
      <c r="D1746" s="1234"/>
      <c r="E1746" s="1302" t="s">
        <v>2758</v>
      </c>
      <c r="F1746" s="1192"/>
      <c r="G1746" s="1192"/>
      <c r="H1746" s="1192">
        <f>983.8-10-100.2-18.2</f>
        <v>855.39999999999986</v>
      </c>
      <c r="I1746" s="1192"/>
      <c r="J1746" s="1192"/>
      <c r="K1746" s="1212"/>
      <c r="L1746" s="1196"/>
      <c r="M1746" s="1196"/>
      <c r="N1746" s="1196"/>
      <c r="O1746" s="1196"/>
      <c r="P1746" s="1196"/>
      <c r="Q1746" s="964"/>
    </row>
    <row r="1747" spans="1:17" ht="75" x14ac:dyDescent="0.25">
      <c r="A1747" s="1232"/>
      <c r="B1747" s="386"/>
      <c r="C1747" s="1146" t="s">
        <v>345</v>
      </c>
      <c r="D1747" s="1234"/>
      <c r="E1747" s="1212" t="s">
        <v>2759</v>
      </c>
      <c r="F1747" s="1192">
        <v>3265.92</v>
      </c>
      <c r="G1747" s="1192">
        <v>3034.6</v>
      </c>
      <c r="H1747" s="1192">
        <v>0</v>
      </c>
      <c r="I1747" s="1192">
        <v>2270</v>
      </c>
      <c r="J1747" s="1192">
        <v>2275</v>
      </c>
      <c r="K1747" s="1212" t="s">
        <v>2760</v>
      </c>
      <c r="L1747" s="1196"/>
      <c r="M1747" s="1196">
        <v>100</v>
      </c>
      <c r="N1747" s="1196">
        <v>100</v>
      </c>
      <c r="O1747" s="1196">
        <v>100</v>
      </c>
      <c r="P1747" s="1196">
        <v>100</v>
      </c>
      <c r="Q1747" s="964">
        <v>100</v>
      </c>
    </row>
    <row r="1748" spans="1:17" ht="117" x14ac:dyDescent="0.25">
      <c r="A1748" s="1232">
        <v>72</v>
      </c>
      <c r="B1748" s="386">
        <v>2</v>
      </c>
      <c r="C1748" s="1146"/>
      <c r="D1748" s="931"/>
      <c r="E1748" s="178" t="s">
        <v>3130</v>
      </c>
      <c r="F1748" s="1201">
        <v>16963.68</v>
      </c>
      <c r="G1748" s="1201">
        <v>11800.2</v>
      </c>
      <c r="H1748" s="1201">
        <f>SUM(H1749:H1763)</f>
        <v>24561.4</v>
      </c>
      <c r="I1748" s="1201">
        <v>13360</v>
      </c>
      <c r="J1748" s="1201">
        <v>13500</v>
      </c>
      <c r="K1748" s="20" t="s">
        <v>2761</v>
      </c>
      <c r="L1748" s="343" t="s">
        <v>780</v>
      </c>
      <c r="M1748" s="1234"/>
      <c r="N1748" s="1234"/>
      <c r="O1748" s="1234"/>
      <c r="P1748" s="1234"/>
      <c r="Q1748" s="1234"/>
    </row>
    <row r="1749" spans="1:17" ht="45" x14ac:dyDescent="0.25">
      <c r="A1749" s="1733"/>
      <c r="B1749" s="1734"/>
      <c r="C1749" s="1844" t="s">
        <v>4</v>
      </c>
      <c r="D1749" s="1845"/>
      <c r="E1749" s="1683" t="s">
        <v>2762</v>
      </c>
      <c r="F1749" s="1804">
        <v>3387.81</v>
      </c>
      <c r="G1749" s="1804">
        <v>3123.9</v>
      </c>
      <c r="H1749" s="1804">
        <v>8313</v>
      </c>
      <c r="I1749" s="1804">
        <v>3810</v>
      </c>
      <c r="J1749" s="1804">
        <v>3850</v>
      </c>
      <c r="K1749" s="831" t="s">
        <v>2763</v>
      </c>
      <c r="L1749" s="1286" t="s">
        <v>34</v>
      </c>
      <c r="M1749" s="1147">
        <v>82</v>
      </c>
      <c r="N1749" s="1147">
        <v>84</v>
      </c>
      <c r="O1749" s="1147">
        <v>88</v>
      </c>
      <c r="P1749" s="1147">
        <v>90</v>
      </c>
      <c r="Q1749" s="1147">
        <v>90</v>
      </c>
    </row>
    <row r="1750" spans="1:17" ht="30" x14ac:dyDescent="0.25">
      <c r="A1750" s="1733"/>
      <c r="B1750" s="1735"/>
      <c r="C1750" s="1844"/>
      <c r="D1750" s="1845"/>
      <c r="E1750" s="1683"/>
      <c r="F1750" s="1805"/>
      <c r="G1750" s="1805"/>
      <c r="H1750" s="1805"/>
      <c r="I1750" s="1805"/>
      <c r="J1750" s="1805"/>
      <c r="K1750" s="831" t="s">
        <v>2764</v>
      </c>
      <c r="L1750" s="1286" t="s">
        <v>34</v>
      </c>
      <c r="M1750" s="1147">
        <v>5</v>
      </c>
      <c r="N1750" s="1147">
        <v>4</v>
      </c>
      <c r="O1750" s="1147">
        <v>3</v>
      </c>
      <c r="P1750" s="1147">
        <v>4</v>
      </c>
      <c r="Q1750" s="1147">
        <v>4</v>
      </c>
    </row>
    <row r="1751" spans="1:17" ht="30" x14ac:dyDescent="0.25">
      <c r="A1751" s="1733"/>
      <c r="B1751" s="1734"/>
      <c r="C1751" s="1844" t="s">
        <v>5</v>
      </c>
      <c r="D1751" s="1845"/>
      <c r="E1751" s="1683" t="s">
        <v>2765</v>
      </c>
      <c r="F1751" s="1846">
        <v>2566.83</v>
      </c>
      <c r="G1751" s="1846">
        <v>2612.3000000000002</v>
      </c>
      <c r="H1751" s="1846">
        <v>0</v>
      </c>
      <c r="I1751" s="1804">
        <v>2200</v>
      </c>
      <c r="J1751" s="1804">
        <v>2300</v>
      </c>
      <c r="K1751" s="1217" t="s">
        <v>2766</v>
      </c>
      <c r="L1751" s="1196" t="s">
        <v>780</v>
      </c>
      <c r="M1751" s="833">
        <v>28</v>
      </c>
      <c r="N1751" s="833">
        <v>35</v>
      </c>
      <c r="O1751" s="1125" t="s">
        <v>2767</v>
      </c>
      <c r="P1751" s="1125" t="s">
        <v>2767</v>
      </c>
      <c r="Q1751" s="1125" t="s">
        <v>2767</v>
      </c>
    </row>
    <row r="1752" spans="1:17" ht="30" x14ac:dyDescent="0.25">
      <c r="A1752" s="1733"/>
      <c r="B1752" s="1831"/>
      <c r="C1752" s="1844"/>
      <c r="D1752" s="1845"/>
      <c r="E1752" s="1683"/>
      <c r="F1752" s="1847"/>
      <c r="G1752" s="1848"/>
      <c r="H1752" s="1848"/>
      <c r="I1752" s="1833"/>
      <c r="J1752" s="1833"/>
      <c r="K1752" s="1217" t="s">
        <v>2768</v>
      </c>
      <c r="L1752" s="1196" t="s">
        <v>780</v>
      </c>
      <c r="M1752" s="833">
        <v>0</v>
      </c>
      <c r="N1752" s="833">
        <v>1</v>
      </c>
      <c r="O1752" s="833">
        <v>1</v>
      </c>
      <c r="P1752" s="833">
        <v>1</v>
      </c>
      <c r="Q1752" s="965">
        <v>1</v>
      </c>
    </row>
    <row r="1753" spans="1:17" ht="45" x14ac:dyDescent="0.25">
      <c r="A1753" s="1733"/>
      <c r="B1753" s="1831"/>
      <c r="C1753" s="1844"/>
      <c r="D1753" s="1845"/>
      <c r="E1753" s="1683"/>
      <c r="F1753" s="1846">
        <v>1961.85</v>
      </c>
      <c r="G1753" s="1848"/>
      <c r="H1753" s="1848"/>
      <c r="I1753" s="1833"/>
      <c r="J1753" s="1833"/>
      <c r="K1753" s="1302" t="s">
        <v>2769</v>
      </c>
      <c r="L1753" s="1196" t="s">
        <v>780</v>
      </c>
      <c r="M1753" s="833">
        <v>10</v>
      </c>
      <c r="N1753" s="833">
        <v>11</v>
      </c>
      <c r="O1753" s="833">
        <v>12</v>
      </c>
      <c r="P1753" s="833">
        <v>13</v>
      </c>
      <c r="Q1753" s="965">
        <v>14</v>
      </c>
    </row>
    <row r="1754" spans="1:17" ht="45" x14ac:dyDescent="0.25">
      <c r="A1754" s="1733"/>
      <c r="B1754" s="1735"/>
      <c r="C1754" s="1844"/>
      <c r="D1754" s="1845"/>
      <c r="E1754" s="1683"/>
      <c r="F1754" s="1847"/>
      <c r="G1754" s="1847"/>
      <c r="H1754" s="1847"/>
      <c r="I1754" s="1805"/>
      <c r="J1754" s="1805"/>
      <c r="K1754" s="1302" t="s">
        <v>2770</v>
      </c>
      <c r="L1754" s="1196" t="s">
        <v>780</v>
      </c>
      <c r="M1754" s="1196">
        <v>149</v>
      </c>
      <c r="N1754" s="1125" t="s">
        <v>257</v>
      </c>
      <c r="O1754" s="1125" t="s">
        <v>2771</v>
      </c>
      <c r="P1754" s="1125" t="s">
        <v>2771</v>
      </c>
      <c r="Q1754" s="1125" t="s">
        <v>2771</v>
      </c>
    </row>
    <row r="1755" spans="1:17" ht="45" x14ac:dyDescent="0.25">
      <c r="A1755" s="1818"/>
      <c r="B1755" s="1438"/>
      <c r="C1755" s="1758" t="s">
        <v>7</v>
      </c>
      <c r="D1755" s="1851"/>
      <c r="E1755" s="1791" t="s">
        <v>2772</v>
      </c>
      <c r="F1755" s="1853"/>
      <c r="G1755" s="1853"/>
      <c r="H1755" s="1853">
        <v>0</v>
      </c>
      <c r="I1755" s="1853"/>
      <c r="J1755" s="1853"/>
      <c r="K1755" s="1302" t="s">
        <v>2773</v>
      </c>
      <c r="L1755" s="1196" t="s">
        <v>34</v>
      </c>
      <c r="M1755" s="833">
        <v>95.5</v>
      </c>
      <c r="N1755" s="833">
        <v>99</v>
      </c>
      <c r="O1755" s="833">
        <v>90</v>
      </c>
      <c r="P1755" s="833">
        <v>90</v>
      </c>
      <c r="Q1755" s="965">
        <v>90</v>
      </c>
    </row>
    <row r="1756" spans="1:17" ht="45" x14ac:dyDescent="0.25">
      <c r="A1756" s="1849"/>
      <c r="B1756" s="1142"/>
      <c r="C1756" s="1850"/>
      <c r="D1756" s="1852"/>
      <c r="E1756" s="1791"/>
      <c r="F1756" s="1854"/>
      <c r="G1756" s="1854"/>
      <c r="H1756" s="1854"/>
      <c r="I1756" s="1854"/>
      <c r="J1756" s="1854"/>
      <c r="K1756" s="1302" t="s">
        <v>2774</v>
      </c>
      <c r="L1756" s="1196" t="s">
        <v>34</v>
      </c>
      <c r="M1756" s="833">
        <v>81</v>
      </c>
      <c r="N1756" s="833">
        <v>100</v>
      </c>
      <c r="O1756" s="833">
        <v>90</v>
      </c>
      <c r="P1756" s="833">
        <v>90</v>
      </c>
      <c r="Q1756" s="965">
        <v>90</v>
      </c>
    </row>
    <row r="1757" spans="1:17" ht="45" x14ac:dyDescent="0.25">
      <c r="A1757" s="1733"/>
      <c r="B1757" s="1734"/>
      <c r="C1757" s="1736" t="s">
        <v>9</v>
      </c>
      <c r="D1757" s="1832"/>
      <c r="E1757" s="1791" t="s">
        <v>2775</v>
      </c>
      <c r="F1757" s="1804">
        <v>4446.93</v>
      </c>
      <c r="G1757" s="1804">
        <v>3039.7</v>
      </c>
      <c r="H1757" s="1804">
        <v>7914.1</v>
      </c>
      <c r="I1757" s="1804">
        <v>3690</v>
      </c>
      <c r="J1757" s="1804">
        <v>3680</v>
      </c>
      <c r="K1757" s="1302" t="s">
        <v>2776</v>
      </c>
      <c r="L1757" s="1196" t="s">
        <v>34</v>
      </c>
      <c r="M1757" s="833">
        <v>81</v>
      </c>
      <c r="N1757" s="833">
        <v>100</v>
      </c>
      <c r="O1757" s="833">
        <v>80</v>
      </c>
      <c r="P1757" s="833">
        <v>80</v>
      </c>
      <c r="Q1757" s="965">
        <v>80</v>
      </c>
    </row>
    <row r="1758" spans="1:17" ht="45" x14ac:dyDescent="0.25">
      <c r="A1758" s="1733"/>
      <c r="B1758" s="1831"/>
      <c r="C1758" s="1736"/>
      <c r="D1758" s="1832"/>
      <c r="E1758" s="1791"/>
      <c r="F1758" s="1833"/>
      <c r="G1758" s="1833"/>
      <c r="H1758" s="1833"/>
      <c r="I1758" s="1833"/>
      <c r="J1758" s="1833"/>
      <c r="K1758" s="1302" t="s">
        <v>2770</v>
      </c>
      <c r="L1758" s="1196" t="s">
        <v>34</v>
      </c>
      <c r="M1758" s="833">
        <v>99</v>
      </c>
      <c r="N1758" s="833">
        <v>100</v>
      </c>
      <c r="O1758" s="833">
        <v>90</v>
      </c>
      <c r="P1758" s="833">
        <v>90</v>
      </c>
      <c r="Q1758" s="965">
        <v>90</v>
      </c>
    </row>
    <row r="1759" spans="1:17" ht="60" x14ac:dyDescent="0.25">
      <c r="A1759" s="1733"/>
      <c r="B1759" s="1831"/>
      <c r="C1759" s="1736"/>
      <c r="D1759" s="1832"/>
      <c r="E1759" s="1791"/>
      <c r="F1759" s="1833"/>
      <c r="G1759" s="1833"/>
      <c r="H1759" s="1833"/>
      <c r="I1759" s="1833"/>
      <c r="J1759" s="1833"/>
      <c r="K1759" s="1217" t="s">
        <v>2777</v>
      </c>
      <c r="L1759" s="1196" t="s">
        <v>34</v>
      </c>
      <c r="M1759" s="833">
        <v>99</v>
      </c>
      <c r="N1759" s="833">
        <v>100</v>
      </c>
      <c r="O1759" s="833">
        <v>90</v>
      </c>
      <c r="P1759" s="833">
        <v>90</v>
      </c>
      <c r="Q1759" s="965">
        <v>90</v>
      </c>
    </row>
    <row r="1760" spans="1:17" ht="30" x14ac:dyDescent="0.25">
      <c r="A1760" s="1733"/>
      <c r="B1760" s="1735"/>
      <c r="C1760" s="1736"/>
      <c r="D1760" s="1832"/>
      <c r="E1760" s="1791"/>
      <c r="F1760" s="1805"/>
      <c r="G1760" s="1805"/>
      <c r="H1760" s="1805"/>
      <c r="I1760" s="1805"/>
      <c r="J1760" s="1805"/>
      <c r="K1760" s="1217" t="s">
        <v>2778</v>
      </c>
      <c r="L1760" s="1196" t="s">
        <v>34</v>
      </c>
      <c r="M1760" s="1196">
        <v>99</v>
      </c>
      <c r="N1760" s="1234">
        <v>100</v>
      </c>
      <c r="O1760" s="1834" t="s">
        <v>2779</v>
      </c>
      <c r="P1760" s="1835"/>
      <c r="Q1760" s="1836"/>
    </row>
    <row r="1761" spans="1:17" ht="45" x14ac:dyDescent="0.25">
      <c r="A1761" s="1103"/>
      <c r="B1761" s="1143"/>
      <c r="C1761" s="1105" t="s">
        <v>11</v>
      </c>
      <c r="D1761" s="1143"/>
      <c r="E1761" s="1217" t="s">
        <v>2780</v>
      </c>
      <c r="F1761" s="1409">
        <v>4600.26</v>
      </c>
      <c r="G1761" s="1409">
        <v>3024.3</v>
      </c>
      <c r="H1761" s="1409">
        <v>8334.2999999999993</v>
      </c>
      <c r="I1761" s="1409">
        <v>3660</v>
      </c>
      <c r="J1761" s="1409">
        <v>3670</v>
      </c>
      <c r="K1761" s="1217" t="s">
        <v>2781</v>
      </c>
      <c r="L1761" s="1196" t="s">
        <v>780</v>
      </c>
      <c r="M1761" s="1125" t="s">
        <v>2771</v>
      </c>
      <c r="N1761" s="1125" t="s">
        <v>2771</v>
      </c>
      <c r="O1761" s="1125" t="s">
        <v>2771</v>
      </c>
      <c r="P1761" s="1125" t="s">
        <v>2771</v>
      </c>
      <c r="Q1761" s="1125" t="s">
        <v>2771</v>
      </c>
    </row>
    <row r="1762" spans="1:17" ht="60" x14ac:dyDescent="0.25">
      <c r="A1762" s="1103"/>
      <c r="B1762" s="1143"/>
      <c r="C1762" s="1105" t="s">
        <v>13</v>
      </c>
      <c r="D1762" s="1143"/>
      <c r="E1762" s="1217" t="s">
        <v>2782</v>
      </c>
      <c r="F1762" s="1192"/>
      <c r="G1762" s="1192"/>
      <c r="H1762" s="1192">
        <v>0</v>
      </c>
      <c r="I1762" s="1192"/>
      <c r="J1762" s="1192"/>
      <c r="K1762" s="1217" t="s">
        <v>2783</v>
      </c>
      <c r="L1762" s="1196" t="s">
        <v>780</v>
      </c>
      <c r="M1762" s="1125" t="s">
        <v>2771</v>
      </c>
      <c r="N1762" s="1125" t="s">
        <v>2771</v>
      </c>
      <c r="O1762" s="1125" t="s">
        <v>2771</v>
      </c>
      <c r="P1762" s="1125" t="s">
        <v>2771</v>
      </c>
      <c r="Q1762" s="1125" t="s">
        <v>2771</v>
      </c>
    </row>
    <row r="1763" spans="1:17" ht="90" x14ac:dyDescent="0.25">
      <c r="A1763" s="1103"/>
      <c r="B1763" s="1143"/>
      <c r="C1763" s="1105" t="s">
        <v>15</v>
      </c>
      <c r="D1763" s="1143"/>
      <c r="E1763" s="1217" t="s">
        <v>2784</v>
      </c>
      <c r="F1763" s="1192"/>
      <c r="G1763" s="1192"/>
      <c r="H1763" s="1192">
        <v>0</v>
      </c>
      <c r="I1763" s="1192"/>
      <c r="J1763" s="1192"/>
      <c r="K1763" s="1217" t="s">
        <v>2785</v>
      </c>
      <c r="L1763" s="1401" t="s">
        <v>780</v>
      </c>
      <c r="M1763" s="1401">
        <v>975</v>
      </c>
      <c r="N1763" s="1462">
        <v>800</v>
      </c>
      <c r="O1763" s="1125" t="s">
        <v>2771</v>
      </c>
      <c r="P1763" s="1125" t="s">
        <v>2771</v>
      </c>
      <c r="Q1763" s="1125" t="s">
        <v>2771</v>
      </c>
    </row>
    <row r="1764" spans="1:17" x14ac:dyDescent="0.25">
      <c r="A1764" s="1837" t="s">
        <v>2786</v>
      </c>
      <c r="B1764" s="1838"/>
      <c r="C1764" s="1781"/>
      <c r="D1764" s="1781"/>
      <c r="E1764" s="1781"/>
      <c r="F1764" s="797">
        <v>58294.499999999993</v>
      </c>
      <c r="G1764" s="797">
        <v>57803.5</v>
      </c>
      <c r="H1764" s="797">
        <f>H1735+H1748-0.1</f>
        <v>87788</v>
      </c>
      <c r="I1764" s="797">
        <v>58566.100000000006</v>
      </c>
      <c r="J1764" s="797">
        <v>59341</v>
      </c>
      <c r="K1764" s="15"/>
      <c r="L1764" s="21"/>
      <c r="M1764" s="21"/>
      <c r="N1764" s="21"/>
      <c r="O1764" s="21"/>
      <c r="P1764" s="21"/>
      <c r="Q1764" s="21"/>
    </row>
    <row r="1765" spans="1:17" x14ac:dyDescent="0.25">
      <c r="A1765" s="1648" t="s">
        <v>2787</v>
      </c>
      <c r="B1765" s="1649"/>
      <c r="C1765" s="1649"/>
      <c r="D1765" s="1649"/>
      <c r="E1765" s="1649"/>
      <c r="F1765" s="1649"/>
      <c r="G1765" s="1649"/>
      <c r="H1765" s="1649"/>
      <c r="I1765" s="1649"/>
      <c r="J1765" s="1649"/>
      <c r="K1765" s="1649"/>
      <c r="L1765" s="1649"/>
      <c r="M1765" s="1649"/>
      <c r="N1765" s="1649"/>
      <c r="O1765" s="1649"/>
      <c r="P1765" s="1649"/>
      <c r="Q1765" s="1650"/>
    </row>
    <row r="1766" spans="1:17" ht="88.5" x14ac:dyDescent="0.25">
      <c r="A1766" s="1103">
        <v>73</v>
      </c>
      <c r="B1766" s="1143">
        <v>1</v>
      </c>
      <c r="C1766" s="1399"/>
      <c r="D1766" s="966"/>
      <c r="E1766" s="178" t="s">
        <v>3126</v>
      </c>
      <c r="F1766" s="787">
        <v>13673</v>
      </c>
      <c r="G1766" s="787">
        <v>14669.1</v>
      </c>
      <c r="H1766" s="1200">
        <f>SUM(H1767:H1774)</f>
        <v>15723.7</v>
      </c>
      <c r="I1766" s="1202">
        <v>14974.1</v>
      </c>
      <c r="J1766" s="1202">
        <v>15255</v>
      </c>
      <c r="K1766" s="967" t="s">
        <v>2788</v>
      </c>
      <c r="L1766" s="968" t="s">
        <v>34</v>
      </c>
      <c r="M1766" s="969">
        <v>35.700000000000003</v>
      </c>
      <c r="N1766" s="969">
        <v>35.700000000000003</v>
      </c>
      <c r="O1766" s="970">
        <v>35.700000000000003</v>
      </c>
      <c r="P1766" s="971">
        <v>35.700000000000003</v>
      </c>
      <c r="Q1766" s="971">
        <v>35.700000000000003</v>
      </c>
    </row>
    <row r="1767" spans="1:17" x14ac:dyDescent="0.25">
      <c r="A1767" s="409"/>
      <c r="B1767" s="437"/>
      <c r="C1767" s="1399" t="s">
        <v>4</v>
      </c>
      <c r="D1767" s="972"/>
      <c r="E1767" s="1302" t="s">
        <v>2707</v>
      </c>
      <c r="F1767" s="1192">
        <v>4800</v>
      </c>
      <c r="G1767" s="1192">
        <v>4759</v>
      </c>
      <c r="H1767" s="1192">
        <v>5069</v>
      </c>
      <c r="I1767" s="1192">
        <v>4900</v>
      </c>
      <c r="J1767" s="1192">
        <v>4950</v>
      </c>
      <c r="K1767" s="1212" t="s">
        <v>438</v>
      </c>
      <c r="L1767" s="1214" t="s">
        <v>241</v>
      </c>
      <c r="M1767" s="969"/>
      <c r="N1767" s="969"/>
      <c r="O1767" s="971"/>
      <c r="P1767" s="971"/>
      <c r="Q1767" s="971"/>
    </row>
    <row r="1768" spans="1:17" ht="30" x14ac:dyDescent="0.25">
      <c r="A1768" s="422"/>
      <c r="B1768" s="1498"/>
      <c r="C1768" s="1399" t="s">
        <v>5</v>
      </c>
      <c r="D1768" s="972"/>
      <c r="E1768" s="1302" t="s">
        <v>2708</v>
      </c>
      <c r="F1768" s="1192">
        <v>1575</v>
      </c>
      <c r="G1768" s="1192">
        <v>1773</v>
      </c>
      <c r="H1768" s="1192">
        <v>2060</v>
      </c>
      <c r="I1768" s="1192">
        <v>1850</v>
      </c>
      <c r="J1768" s="1192">
        <v>1900</v>
      </c>
      <c r="K1768" s="1212" t="s">
        <v>2709</v>
      </c>
      <c r="L1768" s="1214" t="s">
        <v>34</v>
      </c>
      <c r="M1768" s="969">
        <v>100</v>
      </c>
      <c r="N1768" s="969">
        <v>100</v>
      </c>
      <c r="O1768" s="971">
        <v>100</v>
      </c>
      <c r="P1768" s="971">
        <v>100</v>
      </c>
      <c r="Q1768" s="971">
        <v>100</v>
      </c>
    </row>
    <row r="1769" spans="1:17" ht="30" x14ac:dyDescent="0.25">
      <c r="A1769" s="1653"/>
      <c r="B1769" s="1498"/>
      <c r="C1769" s="1820" t="s">
        <v>7</v>
      </c>
      <c r="D1769" s="1841"/>
      <c r="E1769" s="1843" t="s">
        <v>395</v>
      </c>
      <c r="F1769" s="1804">
        <v>2478</v>
      </c>
      <c r="G1769" s="1804">
        <v>2594</v>
      </c>
      <c r="H1769" s="1804">
        <v>2726.6</v>
      </c>
      <c r="I1769" s="1804">
        <v>2650</v>
      </c>
      <c r="J1769" s="1804">
        <v>2700</v>
      </c>
      <c r="K1769" s="1205" t="s">
        <v>2789</v>
      </c>
      <c r="L1769" s="1196" t="s">
        <v>81</v>
      </c>
      <c r="M1769" s="969">
        <v>64.900000000000006</v>
      </c>
      <c r="N1769" s="969">
        <v>65</v>
      </c>
      <c r="O1769" s="971">
        <v>65</v>
      </c>
      <c r="P1769" s="971">
        <v>65</v>
      </c>
      <c r="Q1769" s="971">
        <v>65</v>
      </c>
    </row>
    <row r="1770" spans="1:17" ht="45" x14ac:dyDescent="0.25">
      <c r="A1770" s="1839"/>
      <c r="B1770" s="1187"/>
      <c r="C1770" s="1840"/>
      <c r="D1770" s="1842"/>
      <c r="E1770" s="1843"/>
      <c r="F1770" s="1805"/>
      <c r="G1770" s="1805"/>
      <c r="H1770" s="1805"/>
      <c r="I1770" s="1805"/>
      <c r="J1770" s="1805"/>
      <c r="K1770" s="1205" t="s">
        <v>2790</v>
      </c>
      <c r="L1770" s="1214" t="s">
        <v>34</v>
      </c>
      <c r="M1770" s="969">
        <v>42.1</v>
      </c>
      <c r="N1770" s="969">
        <v>42</v>
      </c>
      <c r="O1770" s="971">
        <v>42</v>
      </c>
      <c r="P1770" s="971">
        <v>42</v>
      </c>
      <c r="Q1770" s="971">
        <v>42</v>
      </c>
    </row>
    <row r="1771" spans="1:17" ht="45" x14ac:dyDescent="0.25">
      <c r="A1771" s="422"/>
      <c r="B1771" s="1498"/>
      <c r="C1771" s="1399" t="s">
        <v>9</v>
      </c>
      <c r="D1771" s="972"/>
      <c r="E1771" s="96" t="s">
        <v>2751</v>
      </c>
      <c r="F1771" s="1192">
        <v>1975</v>
      </c>
      <c r="G1771" s="1192">
        <v>2079</v>
      </c>
      <c r="H1771" s="1192">
        <v>2310</v>
      </c>
      <c r="I1771" s="1192">
        <v>2100</v>
      </c>
      <c r="J1771" s="1192">
        <v>2150</v>
      </c>
      <c r="K1771" s="1205" t="s">
        <v>588</v>
      </c>
      <c r="L1771" s="1214" t="s">
        <v>56</v>
      </c>
      <c r="M1771" s="969" t="s">
        <v>346</v>
      </c>
      <c r="N1771" s="969" t="s">
        <v>347</v>
      </c>
      <c r="O1771" s="971" t="s">
        <v>348</v>
      </c>
      <c r="P1771" s="971" t="s">
        <v>349</v>
      </c>
      <c r="Q1771" s="971" t="s">
        <v>348</v>
      </c>
    </row>
    <row r="1772" spans="1:17" ht="30" x14ac:dyDescent="0.25">
      <c r="A1772" s="422"/>
      <c r="B1772" s="1498"/>
      <c r="C1772" s="1399" t="s">
        <v>11</v>
      </c>
      <c r="D1772" s="1524"/>
      <c r="E1772" s="1302" t="s">
        <v>726</v>
      </c>
      <c r="F1772" s="1192">
        <v>302</v>
      </c>
      <c r="G1772" s="1192">
        <v>349</v>
      </c>
      <c r="H1772" s="1192">
        <v>409</v>
      </c>
      <c r="I1772" s="1192">
        <v>355</v>
      </c>
      <c r="J1772" s="1192">
        <v>360</v>
      </c>
      <c r="K1772" s="1205" t="s">
        <v>2791</v>
      </c>
      <c r="L1772" s="1196" t="s">
        <v>56</v>
      </c>
      <c r="M1772" s="969">
        <v>113</v>
      </c>
      <c r="N1772" s="969">
        <v>120</v>
      </c>
      <c r="O1772" s="971">
        <v>120</v>
      </c>
      <c r="P1772" s="971">
        <v>120</v>
      </c>
      <c r="Q1772" s="971">
        <v>120</v>
      </c>
    </row>
    <row r="1773" spans="1:17" ht="45" x14ac:dyDescent="0.25">
      <c r="A1773" s="422"/>
      <c r="B1773" s="1498"/>
      <c r="C1773" s="1399" t="s">
        <v>13</v>
      </c>
      <c r="D1773" s="972"/>
      <c r="E1773" s="1212" t="s">
        <v>2792</v>
      </c>
      <c r="F1773" s="1192">
        <v>2136</v>
      </c>
      <c r="G1773" s="1192">
        <v>2629.1</v>
      </c>
      <c r="H1773" s="1192">
        <v>2659.1</v>
      </c>
      <c r="I1773" s="1192">
        <v>2629.1</v>
      </c>
      <c r="J1773" s="1192">
        <v>2700</v>
      </c>
      <c r="K1773" s="1212" t="s">
        <v>2793</v>
      </c>
      <c r="L1773" s="1289" t="s">
        <v>34</v>
      </c>
      <c r="M1773" s="969">
        <v>20</v>
      </c>
      <c r="N1773" s="969">
        <v>20</v>
      </c>
      <c r="O1773" s="969">
        <v>20</v>
      </c>
      <c r="P1773" s="969">
        <v>20</v>
      </c>
      <c r="Q1773" s="969">
        <v>20</v>
      </c>
    </row>
    <row r="1774" spans="1:17" ht="30" x14ac:dyDescent="0.25">
      <c r="A1774" s="422"/>
      <c r="B1774" s="1498"/>
      <c r="C1774" s="1399" t="s">
        <v>15</v>
      </c>
      <c r="D1774" s="972"/>
      <c r="E1774" s="1217" t="s">
        <v>2794</v>
      </c>
      <c r="F1774" s="1192">
        <v>407</v>
      </c>
      <c r="G1774" s="1192">
        <v>486</v>
      </c>
      <c r="H1774" s="1192">
        <v>490</v>
      </c>
      <c r="I1774" s="1192">
        <v>490</v>
      </c>
      <c r="J1774" s="1192">
        <v>495</v>
      </c>
      <c r="K1774" s="1212" t="s">
        <v>2795</v>
      </c>
      <c r="L1774" s="1289" t="s">
        <v>81</v>
      </c>
      <c r="M1774" s="969">
        <v>100</v>
      </c>
      <c r="N1774" s="969">
        <v>100</v>
      </c>
      <c r="O1774" s="971">
        <v>100</v>
      </c>
      <c r="P1774" s="971">
        <v>100</v>
      </c>
      <c r="Q1774" s="971">
        <v>100</v>
      </c>
    </row>
    <row r="1775" spans="1:17" ht="73.5" x14ac:dyDescent="0.25">
      <c r="A1775" s="1103">
        <v>73</v>
      </c>
      <c r="B1775" s="1438">
        <v>2</v>
      </c>
      <c r="C1775" s="1399"/>
      <c r="D1775" s="966"/>
      <c r="E1775" s="1377" t="s">
        <v>3131</v>
      </c>
      <c r="F1775" s="787">
        <v>45139.1</v>
      </c>
      <c r="G1775" s="787">
        <v>60948.3</v>
      </c>
      <c r="H1775" s="1200">
        <f>SUM(H1776:H1785)</f>
        <v>74075.899999999994</v>
      </c>
      <c r="I1775" s="1202">
        <v>61499.7</v>
      </c>
      <c r="J1775" s="1202">
        <v>62088.7</v>
      </c>
      <c r="K1775" s="967"/>
      <c r="L1775" s="968"/>
      <c r="M1775" s="969"/>
      <c r="N1775" s="969"/>
      <c r="O1775" s="969"/>
      <c r="P1775" s="969"/>
      <c r="Q1775" s="969"/>
    </row>
    <row r="1776" spans="1:17" ht="30" x14ac:dyDescent="0.25">
      <c r="A1776" s="1103"/>
      <c r="B1776" s="1438"/>
      <c r="C1776" s="1399" t="s">
        <v>4</v>
      </c>
      <c r="D1776" s="1525"/>
      <c r="E1776" s="973" t="s">
        <v>2796</v>
      </c>
      <c r="F1776" s="1192">
        <v>2060</v>
      </c>
      <c r="G1776" s="1192">
        <v>2274</v>
      </c>
      <c r="H1776" s="1192">
        <v>2415</v>
      </c>
      <c r="I1776" s="1192">
        <v>2340</v>
      </c>
      <c r="J1776" s="1192">
        <v>2400</v>
      </c>
      <c r="K1776" s="967" t="s">
        <v>2797</v>
      </c>
      <c r="L1776" s="968" t="s">
        <v>1186</v>
      </c>
      <c r="M1776" s="969">
        <v>1</v>
      </c>
      <c r="N1776" s="969">
        <v>1</v>
      </c>
      <c r="O1776" s="969">
        <v>1</v>
      </c>
      <c r="P1776" s="969">
        <v>1</v>
      </c>
      <c r="Q1776" s="969">
        <v>1</v>
      </c>
    </row>
    <row r="1777" spans="1:17" ht="60" x14ac:dyDescent="0.25">
      <c r="A1777" s="1103"/>
      <c r="B1777" s="1438"/>
      <c r="C1777" s="1399" t="s">
        <v>5</v>
      </c>
      <c r="D1777" s="1525"/>
      <c r="E1777" s="967" t="s">
        <v>2798</v>
      </c>
      <c r="F1777" s="1409">
        <v>2045</v>
      </c>
      <c r="G1777" s="1409">
        <v>2563</v>
      </c>
      <c r="H1777" s="1192">
        <v>4274.8</v>
      </c>
      <c r="I1777" s="1192">
        <v>2640</v>
      </c>
      <c r="J1777" s="1192">
        <v>2700</v>
      </c>
      <c r="K1777" s="1405" t="s">
        <v>2799</v>
      </c>
      <c r="L1777" s="968" t="s">
        <v>780</v>
      </c>
      <c r="M1777" s="969" t="s">
        <v>350</v>
      </c>
      <c r="N1777" s="969" t="s">
        <v>351</v>
      </c>
      <c r="O1777" s="969" t="s">
        <v>352</v>
      </c>
      <c r="P1777" s="969" t="s">
        <v>353</v>
      </c>
      <c r="Q1777" s="969" t="s">
        <v>354</v>
      </c>
    </row>
    <row r="1778" spans="1:17" ht="30" x14ac:dyDescent="0.25">
      <c r="A1778" s="1103"/>
      <c r="B1778" s="1438"/>
      <c r="C1778" s="1399" t="s">
        <v>7</v>
      </c>
      <c r="D1778" s="1525"/>
      <c r="E1778" s="967" t="s">
        <v>2800</v>
      </c>
      <c r="F1778" s="1409">
        <v>5348.5</v>
      </c>
      <c r="G1778" s="1409">
        <v>7484</v>
      </c>
      <c r="H1778" s="1192">
        <v>6901.8</v>
      </c>
      <c r="I1778" s="1192">
        <v>7768.4</v>
      </c>
      <c r="J1778" s="1192">
        <v>8147.4</v>
      </c>
      <c r="K1778" s="974" t="s">
        <v>2801</v>
      </c>
      <c r="L1778" s="968" t="s">
        <v>780</v>
      </c>
      <c r="M1778" s="969">
        <v>1506</v>
      </c>
      <c r="N1778" s="969">
        <v>1600</v>
      </c>
      <c r="O1778" s="969">
        <v>1600</v>
      </c>
      <c r="P1778" s="969">
        <v>1600</v>
      </c>
      <c r="Q1778" s="969">
        <v>1600</v>
      </c>
    </row>
    <row r="1779" spans="1:17" ht="60" x14ac:dyDescent="0.25">
      <c r="A1779" s="1103"/>
      <c r="B1779" s="1438"/>
      <c r="C1779" s="1399" t="s">
        <v>9</v>
      </c>
      <c r="D1779" s="1525"/>
      <c r="E1779" s="967" t="s">
        <v>2802</v>
      </c>
      <c r="F1779" s="1409">
        <v>1350</v>
      </c>
      <c r="G1779" s="1409">
        <v>1450</v>
      </c>
      <c r="H1779" s="1192">
        <v>1936.8</v>
      </c>
      <c r="I1779" s="1192">
        <v>1560</v>
      </c>
      <c r="J1779" s="1192">
        <v>1600</v>
      </c>
      <c r="K1779" s="967" t="s">
        <v>2803</v>
      </c>
      <c r="L1779" s="968" t="s">
        <v>780</v>
      </c>
      <c r="M1779" s="969">
        <v>592</v>
      </c>
      <c r="N1779" s="969">
        <v>600</v>
      </c>
      <c r="O1779" s="969">
        <v>600</v>
      </c>
      <c r="P1779" s="969">
        <v>600</v>
      </c>
      <c r="Q1779" s="969">
        <v>600</v>
      </c>
    </row>
    <row r="1780" spans="1:17" ht="30" x14ac:dyDescent="0.25">
      <c r="A1780" s="1818"/>
      <c r="B1780" s="1438"/>
      <c r="C1780" s="1820" t="s">
        <v>11</v>
      </c>
      <c r="D1780" s="1822"/>
      <c r="E1780" s="1824" t="s">
        <v>2804</v>
      </c>
      <c r="F1780" s="1804">
        <v>1940</v>
      </c>
      <c r="G1780" s="1804">
        <v>2847</v>
      </c>
      <c r="H1780" s="1804">
        <v>3111</v>
      </c>
      <c r="I1780" s="1804">
        <v>2861</v>
      </c>
      <c r="J1780" s="1804">
        <v>2911</v>
      </c>
      <c r="K1780" s="967" t="s">
        <v>2805</v>
      </c>
      <c r="L1780" s="968" t="s">
        <v>780</v>
      </c>
      <c r="M1780" s="969">
        <v>2</v>
      </c>
      <c r="N1780" s="969">
        <v>4</v>
      </c>
      <c r="O1780" s="969">
        <v>4</v>
      </c>
      <c r="P1780" s="969">
        <v>4</v>
      </c>
      <c r="Q1780" s="969">
        <v>4</v>
      </c>
    </row>
    <row r="1781" spans="1:17" ht="30" x14ac:dyDescent="0.25">
      <c r="A1781" s="1819"/>
      <c r="B1781" s="1104"/>
      <c r="C1781" s="1821"/>
      <c r="D1781" s="1823"/>
      <c r="E1781" s="1824"/>
      <c r="F1781" s="1805"/>
      <c r="G1781" s="1805"/>
      <c r="H1781" s="1805"/>
      <c r="I1781" s="1805"/>
      <c r="J1781" s="1805"/>
      <c r="K1781" s="967" t="s">
        <v>2806</v>
      </c>
      <c r="L1781" s="968" t="s">
        <v>1186</v>
      </c>
      <c r="M1781" s="969">
        <v>8150</v>
      </c>
      <c r="N1781" s="969">
        <v>8200</v>
      </c>
      <c r="O1781" s="969">
        <v>8200</v>
      </c>
      <c r="P1781" s="969">
        <v>8200</v>
      </c>
      <c r="Q1781" s="969">
        <v>8200</v>
      </c>
    </row>
    <row r="1782" spans="1:17" ht="30" x14ac:dyDescent="0.25">
      <c r="A1782" s="1818"/>
      <c r="B1782" s="1438"/>
      <c r="C1782" s="1820" t="s">
        <v>13</v>
      </c>
      <c r="D1782" s="1822"/>
      <c r="E1782" s="1824" t="s">
        <v>2807</v>
      </c>
      <c r="F1782" s="1804">
        <v>26176.6</v>
      </c>
      <c r="G1782" s="1804">
        <v>27375</v>
      </c>
      <c r="H1782" s="1804">
        <v>29775</v>
      </c>
      <c r="I1782" s="1804">
        <v>27375</v>
      </c>
      <c r="J1782" s="1804">
        <v>27375</v>
      </c>
      <c r="K1782" s="967" t="s">
        <v>2808</v>
      </c>
      <c r="L1782" s="968" t="s">
        <v>1186</v>
      </c>
      <c r="M1782" s="969">
        <v>2421</v>
      </c>
      <c r="N1782" s="969">
        <v>2430</v>
      </c>
      <c r="O1782" s="969">
        <v>2430</v>
      </c>
      <c r="P1782" s="969">
        <v>2430</v>
      </c>
      <c r="Q1782" s="969">
        <v>2430</v>
      </c>
    </row>
    <row r="1783" spans="1:17" ht="30" x14ac:dyDescent="0.25">
      <c r="A1783" s="1819"/>
      <c r="B1783" s="1104"/>
      <c r="C1783" s="1821"/>
      <c r="D1783" s="1823"/>
      <c r="E1783" s="1824"/>
      <c r="F1783" s="1805"/>
      <c r="G1783" s="1805"/>
      <c r="H1783" s="1805"/>
      <c r="I1783" s="1805"/>
      <c r="J1783" s="1805"/>
      <c r="K1783" s="967" t="s">
        <v>2809</v>
      </c>
      <c r="L1783" s="968" t="s">
        <v>2810</v>
      </c>
      <c r="M1783" s="969">
        <v>41.5</v>
      </c>
      <c r="N1783" s="969">
        <v>42</v>
      </c>
      <c r="O1783" s="969">
        <v>42</v>
      </c>
      <c r="P1783" s="969">
        <v>42</v>
      </c>
      <c r="Q1783" s="969">
        <v>42</v>
      </c>
    </row>
    <row r="1784" spans="1:17" ht="45" x14ac:dyDescent="0.25">
      <c r="A1784" s="1818"/>
      <c r="B1784" s="1438"/>
      <c r="C1784" s="1820" t="s">
        <v>15</v>
      </c>
      <c r="D1784" s="1822"/>
      <c r="E1784" s="1824" t="s">
        <v>2811</v>
      </c>
      <c r="F1784" s="1144">
        <v>6219</v>
      </c>
      <c r="G1784" s="1144">
        <v>16955.3</v>
      </c>
      <c r="H1784" s="1144">
        <v>25661.5</v>
      </c>
      <c r="I1784" s="1144">
        <v>16955.3</v>
      </c>
      <c r="J1784" s="1144">
        <v>16955.3</v>
      </c>
      <c r="K1784" s="967" t="s">
        <v>2812</v>
      </c>
      <c r="L1784" s="968" t="s">
        <v>1186</v>
      </c>
      <c r="M1784" s="969">
        <v>18339</v>
      </c>
      <c r="N1784" s="969">
        <v>18500</v>
      </c>
      <c r="O1784" s="969">
        <v>18500</v>
      </c>
      <c r="P1784" s="969">
        <v>18500</v>
      </c>
      <c r="Q1784" s="969">
        <v>18500</v>
      </c>
    </row>
    <row r="1785" spans="1:17" x14ac:dyDescent="0.25">
      <c r="A1785" s="1819"/>
      <c r="B1785" s="1104"/>
      <c r="C1785" s="1821"/>
      <c r="D1785" s="1823"/>
      <c r="E1785" s="1824"/>
      <c r="F1785" s="1108"/>
      <c r="G1785" s="1108"/>
      <c r="H1785" s="1216"/>
      <c r="I1785" s="1216"/>
      <c r="J1785" s="1216"/>
      <c r="K1785" s="967" t="s">
        <v>2813</v>
      </c>
      <c r="L1785" s="968" t="s">
        <v>81</v>
      </c>
      <c r="M1785" s="969">
        <v>90.2</v>
      </c>
      <c r="N1785" s="969">
        <v>100</v>
      </c>
      <c r="O1785" s="969">
        <v>100</v>
      </c>
      <c r="P1785" s="969">
        <v>100</v>
      </c>
      <c r="Q1785" s="969">
        <v>100</v>
      </c>
    </row>
    <row r="1786" spans="1:17" x14ac:dyDescent="0.25">
      <c r="A1786" s="1825" t="s">
        <v>2814</v>
      </c>
      <c r="B1786" s="1826"/>
      <c r="C1786" s="1750"/>
      <c r="D1786" s="1750"/>
      <c r="E1786" s="1750"/>
      <c r="F1786" s="1526">
        <v>58812.1</v>
      </c>
      <c r="G1786" s="1526">
        <v>75617.400000000009</v>
      </c>
      <c r="H1786" s="1526">
        <f>H1766+H1775</f>
        <v>89799.599999999991</v>
      </c>
      <c r="I1786" s="1526">
        <v>76473.8</v>
      </c>
      <c r="J1786" s="1526">
        <v>77343.7</v>
      </c>
      <c r="K1786" s="1527"/>
      <c r="L1786" s="1528"/>
      <c r="M1786" s="1528"/>
      <c r="N1786" s="1529"/>
      <c r="O1786" s="1530"/>
      <c r="P1786" s="1531"/>
      <c r="Q1786" s="1530"/>
    </row>
    <row r="1787" spans="1:17" ht="15.75" thickBot="1" x14ac:dyDescent="0.3">
      <c r="A1787" s="1662" t="s">
        <v>2815</v>
      </c>
      <c r="B1787" s="1663"/>
      <c r="C1787" s="1663"/>
      <c r="D1787" s="1663"/>
      <c r="E1787" s="1663"/>
      <c r="F1787" s="1663"/>
      <c r="G1787" s="1663"/>
      <c r="H1787" s="1663"/>
      <c r="I1787" s="1663"/>
      <c r="J1787" s="1663"/>
      <c r="K1787" s="1663"/>
      <c r="L1787" s="1663"/>
      <c r="M1787" s="1663"/>
      <c r="N1787" s="1663"/>
      <c r="O1787" s="1663"/>
      <c r="P1787" s="1663"/>
      <c r="Q1787" s="1664"/>
    </row>
    <row r="1788" spans="1:17" ht="59.25" x14ac:dyDescent="0.25">
      <c r="A1788" s="975">
        <v>74</v>
      </c>
      <c r="B1788" s="447">
        <v>1</v>
      </c>
      <c r="C1788" s="976"/>
      <c r="D1788" s="977"/>
      <c r="E1788" s="1589" t="s">
        <v>3132</v>
      </c>
      <c r="F1788" s="978">
        <v>35657.4</v>
      </c>
      <c r="G1788" s="978">
        <v>23857.7</v>
      </c>
      <c r="H1788" s="978">
        <f>SUM(H1789:H1796)</f>
        <v>299080.2</v>
      </c>
      <c r="I1788" s="978">
        <v>24066.2</v>
      </c>
      <c r="J1788" s="978">
        <v>24278</v>
      </c>
      <c r="K1788" s="1296" t="s">
        <v>2816</v>
      </c>
      <c r="L1788" s="300" t="s">
        <v>34</v>
      </c>
      <c r="M1788" s="474">
        <v>34.4</v>
      </c>
      <c r="N1788" s="300">
        <v>34.4</v>
      </c>
      <c r="O1788" s="300">
        <v>34.4</v>
      </c>
      <c r="P1788" s="300">
        <v>34.4</v>
      </c>
      <c r="Q1788" s="300">
        <v>34.4</v>
      </c>
    </row>
    <row r="1789" spans="1:17" x14ac:dyDescent="0.25">
      <c r="A1789" s="1532"/>
      <c r="B1789" s="1533"/>
      <c r="C1789" s="1534">
        <v>1</v>
      </c>
      <c r="D1789" s="979"/>
      <c r="E1789" s="1590" t="s">
        <v>2817</v>
      </c>
      <c r="F1789" s="1192">
        <v>5204.2</v>
      </c>
      <c r="G1789" s="341">
        <v>8586.4</v>
      </c>
      <c r="H1789" s="341">
        <f>3979+840</f>
        <v>4819</v>
      </c>
      <c r="I1789" s="341">
        <v>8647.5</v>
      </c>
      <c r="J1789" s="341">
        <v>8709.6</v>
      </c>
      <c r="K1789" s="1212" t="s">
        <v>2818</v>
      </c>
      <c r="L1789" s="299" t="s">
        <v>35</v>
      </c>
      <c r="M1789" s="980">
        <v>90</v>
      </c>
      <c r="N1789" s="980">
        <v>90</v>
      </c>
      <c r="O1789" s="980">
        <v>90</v>
      </c>
      <c r="P1789" s="980">
        <v>90</v>
      </c>
      <c r="Q1789" s="980">
        <v>90</v>
      </c>
    </row>
    <row r="1790" spans="1:17" ht="30" x14ac:dyDescent="0.25">
      <c r="A1790" s="1532"/>
      <c r="B1790" s="1535"/>
      <c r="C1790" s="981">
        <v>2</v>
      </c>
      <c r="D1790" s="979"/>
      <c r="E1790" s="1591" t="s">
        <v>2708</v>
      </c>
      <c r="F1790" s="1192">
        <v>2504.8000000000002</v>
      </c>
      <c r="G1790" s="341">
        <v>3312.4</v>
      </c>
      <c r="H1790" s="341">
        <f>2056+600</f>
        <v>2656</v>
      </c>
      <c r="I1790" s="341">
        <v>3346.7</v>
      </c>
      <c r="J1790" s="341">
        <v>3381.5</v>
      </c>
      <c r="K1790" s="1212" t="s">
        <v>2819</v>
      </c>
      <c r="L1790" s="299" t="s">
        <v>34</v>
      </c>
      <c r="M1790" s="300">
        <v>100</v>
      </c>
      <c r="N1790" s="300">
        <v>100</v>
      </c>
      <c r="O1790" s="300">
        <v>100</v>
      </c>
      <c r="P1790" s="300">
        <v>100</v>
      </c>
      <c r="Q1790" s="300">
        <v>100</v>
      </c>
    </row>
    <row r="1791" spans="1:17" ht="30" x14ac:dyDescent="0.25">
      <c r="A1791" s="1532"/>
      <c r="B1791" s="1535"/>
      <c r="C1791" s="981">
        <v>3</v>
      </c>
      <c r="D1791" s="979"/>
      <c r="E1791" s="1591" t="s">
        <v>842</v>
      </c>
      <c r="F1791" s="1192">
        <v>1308.3</v>
      </c>
      <c r="G1791" s="341">
        <v>2870.8</v>
      </c>
      <c r="H1791" s="341">
        <f>1595.9+600</f>
        <v>2195.9</v>
      </c>
      <c r="I1791" s="341">
        <v>2900.9</v>
      </c>
      <c r="J1791" s="341">
        <v>2931.5</v>
      </c>
      <c r="K1791" s="32" t="s">
        <v>2820</v>
      </c>
      <c r="L1791" s="299" t="s">
        <v>34</v>
      </c>
      <c r="M1791" s="300"/>
      <c r="N1791" s="300"/>
      <c r="O1791" s="300"/>
      <c r="P1791" s="300"/>
      <c r="Q1791" s="300"/>
    </row>
    <row r="1792" spans="1:17" ht="30" x14ac:dyDescent="0.25">
      <c r="A1792" s="1532"/>
      <c r="B1792" s="1535"/>
      <c r="C1792" s="981">
        <v>4</v>
      </c>
      <c r="D1792" s="979"/>
      <c r="E1792" s="1591" t="s">
        <v>2573</v>
      </c>
      <c r="F1792" s="1192">
        <v>251.1</v>
      </c>
      <c r="G1792" s="341">
        <v>444.5</v>
      </c>
      <c r="H1792" s="341">
        <f>327.5+100</f>
        <v>427.5</v>
      </c>
      <c r="I1792" s="341">
        <v>450.4</v>
      </c>
      <c r="J1792" s="341">
        <v>456.3</v>
      </c>
      <c r="K1792" s="1212" t="s">
        <v>2821</v>
      </c>
      <c r="L1792" s="299" t="s">
        <v>1910</v>
      </c>
      <c r="M1792" s="300"/>
      <c r="N1792" s="300"/>
      <c r="O1792" s="300"/>
      <c r="P1792" s="300"/>
      <c r="Q1792" s="300"/>
    </row>
    <row r="1793" spans="1:17" ht="30" x14ac:dyDescent="0.25">
      <c r="A1793" s="1532"/>
      <c r="B1793" s="1535"/>
      <c r="C1793" s="981">
        <v>5</v>
      </c>
      <c r="D1793" s="979"/>
      <c r="E1793" s="1591" t="s">
        <v>2822</v>
      </c>
      <c r="F1793" s="1192">
        <v>1306.0999999999999</v>
      </c>
      <c r="G1793" s="341">
        <v>2355.9</v>
      </c>
      <c r="H1793" s="341">
        <f>1334.2+204</f>
        <v>1538.2</v>
      </c>
      <c r="I1793" s="341">
        <v>2371.1999999999998</v>
      </c>
      <c r="J1793" s="341">
        <v>2386.6999999999998</v>
      </c>
      <c r="K1793" s="831" t="s">
        <v>2823</v>
      </c>
      <c r="L1793" s="299" t="s">
        <v>780</v>
      </c>
      <c r="M1793" s="300">
        <v>12</v>
      </c>
      <c r="N1793" s="300">
        <v>12</v>
      </c>
      <c r="O1793" s="300">
        <v>12</v>
      </c>
      <c r="P1793" s="300">
        <v>12</v>
      </c>
      <c r="Q1793" s="300">
        <v>12</v>
      </c>
    </row>
    <row r="1794" spans="1:17" ht="30" x14ac:dyDescent="0.25">
      <c r="A1794" s="1532"/>
      <c r="B1794" s="1533"/>
      <c r="C1794" s="976">
        <v>6</v>
      </c>
      <c r="D1794" s="979"/>
      <c r="E1794" s="348" t="s">
        <v>2824</v>
      </c>
      <c r="F1794" s="1192">
        <v>25082.9</v>
      </c>
      <c r="G1794" s="341">
        <v>6287.7</v>
      </c>
      <c r="H1794" s="341">
        <f>2836.2+480</f>
        <v>3316.2</v>
      </c>
      <c r="I1794" s="341">
        <v>6349.5</v>
      </c>
      <c r="J1794" s="341">
        <v>6412.4</v>
      </c>
      <c r="K1794" s="831" t="s">
        <v>2825</v>
      </c>
      <c r="L1794" s="299" t="s">
        <v>34</v>
      </c>
      <c r="M1794" s="300">
        <v>14.1</v>
      </c>
      <c r="N1794" s="300">
        <v>14.1</v>
      </c>
      <c r="O1794" s="300">
        <v>14.1</v>
      </c>
      <c r="P1794" s="300">
        <v>14.1</v>
      </c>
      <c r="Q1794" s="300">
        <v>14.1</v>
      </c>
    </row>
    <row r="1795" spans="1:17" ht="30" x14ac:dyDescent="0.25">
      <c r="A1795" s="1532"/>
      <c r="B1795" s="1533"/>
      <c r="C1795" s="976">
        <v>7</v>
      </c>
      <c r="D1795" s="979"/>
      <c r="E1795" s="1217" t="s">
        <v>2794</v>
      </c>
      <c r="F1795" s="1192"/>
      <c r="G1795" s="341"/>
      <c r="H1795" s="341">
        <v>150</v>
      </c>
      <c r="I1795" s="341"/>
      <c r="J1795" s="341"/>
      <c r="K1795" s="831"/>
      <c r="L1795" s="299"/>
      <c r="M1795" s="300"/>
      <c r="N1795" s="300"/>
      <c r="O1795" s="300"/>
      <c r="P1795" s="300"/>
      <c r="Q1795" s="300"/>
    </row>
    <row r="1796" spans="1:17" x14ac:dyDescent="0.25">
      <c r="A1796" s="1532"/>
      <c r="B1796" s="1533"/>
      <c r="C1796" s="976">
        <v>8</v>
      </c>
      <c r="D1796" s="979"/>
      <c r="E1796" s="1302" t="s">
        <v>2755</v>
      </c>
      <c r="F1796" s="1192"/>
      <c r="G1796" s="341"/>
      <c r="H1796" s="341">
        <f>252686.6+31290.8</f>
        <v>283977.40000000002</v>
      </c>
      <c r="I1796" s="341"/>
      <c r="J1796" s="341"/>
      <c r="K1796" s="831"/>
      <c r="L1796" s="299"/>
      <c r="M1796" s="300"/>
      <c r="N1796" s="300"/>
      <c r="O1796" s="300"/>
      <c r="P1796" s="300"/>
      <c r="Q1796" s="300"/>
    </row>
    <row r="1797" spans="1:17" ht="88.5" x14ac:dyDescent="0.25">
      <c r="A1797" s="1136">
        <v>74</v>
      </c>
      <c r="B1797" s="447">
        <v>2</v>
      </c>
      <c r="C1797" s="982"/>
      <c r="D1797" s="983"/>
      <c r="E1797" s="1034" t="s">
        <v>3133</v>
      </c>
      <c r="F1797" s="849">
        <v>195749.8</v>
      </c>
      <c r="G1797" s="849">
        <v>201464.1</v>
      </c>
      <c r="H1797" s="849">
        <f>SUM(H1798:H1804)</f>
        <v>181081.4</v>
      </c>
      <c r="I1797" s="849">
        <v>203839.6</v>
      </c>
      <c r="J1797" s="849">
        <v>206254.00000000003</v>
      </c>
      <c r="K1797" s="1034" t="s">
        <v>2826</v>
      </c>
      <c r="L1797" s="984" t="s">
        <v>82</v>
      </c>
      <c r="M1797" s="985">
        <v>90</v>
      </c>
      <c r="N1797" s="985">
        <v>90</v>
      </c>
      <c r="O1797" s="985">
        <v>90</v>
      </c>
      <c r="P1797" s="985">
        <v>90</v>
      </c>
      <c r="Q1797" s="985">
        <v>90</v>
      </c>
    </row>
    <row r="1798" spans="1:17" ht="30" x14ac:dyDescent="0.25">
      <c r="A1798" s="1532"/>
      <c r="B1798" s="1533"/>
      <c r="C1798" s="1534">
        <v>1</v>
      </c>
      <c r="D1798" s="986"/>
      <c r="E1798" s="348" t="s">
        <v>2827</v>
      </c>
      <c r="F1798" s="1192">
        <v>84982.2</v>
      </c>
      <c r="G1798" s="341">
        <v>97229.4</v>
      </c>
      <c r="H1798" s="341">
        <v>0</v>
      </c>
      <c r="I1798" s="341">
        <v>98387.3</v>
      </c>
      <c r="J1798" s="341">
        <v>99564.1</v>
      </c>
      <c r="K1798" s="1212" t="s">
        <v>2828</v>
      </c>
      <c r="L1798" s="299" t="s">
        <v>1334</v>
      </c>
      <c r="M1798" s="300">
        <v>83</v>
      </c>
      <c r="N1798" s="300">
        <v>83</v>
      </c>
      <c r="O1798" s="300">
        <v>83</v>
      </c>
      <c r="P1798" s="300">
        <v>83</v>
      </c>
      <c r="Q1798" s="300">
        <v>83</v>
      </c>
    </row>
    <row r="1799" spans="1:17" ht="30" x14ac:dyDescent="0.25">
      <c r="A1799" s="1136"/>
      <c r="B1799" s="447"/>
      <c r="C1799" s="976">
        <v>2</v>
      </c>
      <c r="D1799" s="983"/>
      <c r="E1799" s="1590" t="s">
        <v>2829</v>
      </c>
      <c r="F1799" s="1192">
        <v>96726.6</v>
      </c>
      <c r="G1799" s="987">
        <v>79331.5</v>
      </c>
      <c r="H1799" s="987">
        <v>0</v>
      </c>
      <c r="I1799" s="987">
        <v>80265.2</v>
      </c>
      <c r="J1799" s="987">
        <v>81214</v>
      </c>
      <c r="K1799" s="831" t="s">
        <v>2830</v>
      </c>
      <c r="L1799" s="984" t="s">
        <v>2831</v>
      </c>
      <c r="M1799" s="988">
        <v>637.6</v>
      </c>
      <c r="N1799" s="988">
        <v>662.3</v>
      </c>
      <c r="O1799" s="988">
        <v>662.3</v>
      </c>
      <c r="P1799" s="988">
        <v>662.3</v>
      </c>
      <c r="Q1799" s="988">
        <v>662.3</v>
      </c>
    </row>
    <row r="1800" spans="1:17" ht="30" x14ac:dyDescent="0.25">
      <c r="A1800" s="1136"/>
      <c r="B1800" s="447"/>
      <c r="C1800" s="976">
        <v>3</v>
      </c>
      <c r="D1800" s="983"/>
      <c r="E1800" s="1212" t="s">
        <v>2832</v>
      </c>
      <c r="F1800" s="1192">
        <v>3687.1</v>
      </c>
      <c r="G1800" s="987">
        <v>10398.700000000001</v>
      </c>
      <c r="H1800" s="987">
        <v>179215.9</v>
      </c>
      <c r="I1800" s="987">
        <v>10497.1</v>
      </c>
      <c r="J1800" s="987">
        <v>10597.2</v>
      </c>
      <c r="K1800" s="1212" t="s">
        <v>2833</v>
      </c>
      <c r="L1800" s="984" t="s">
        <v>2831</v>
      </c>
      <c r="M1800" s="988">
        <v>6000</v>
      </c>
      <c r="N1800" s="988">
        <v>6000</v>
      </c>
      <c r="O1800" s="988">
        <v>6200</v>
      </c>
      <c r="P1800" s="988">
        <v>6300</v>
      </c>
      <c r="Q1800" s="988">
        <v>6360</v>
      </c>
    </row>
    <row r="1801" spans="1:17" ht="60" x14ac:dyDescent="0.25">
      <c r="A1801" s="1808"/>
      <c r="B1801" s="1533"/>
      <c r="C1801" s="1798">
        <v>4</v>
      </c>
      <c r="D1801" s="1827"/>
      <c r="E1801" s="1452" t="s">
        <v>2834</v>
      </c>
      <c r="F1801" s="1804">
        <v>6910.1</v>
      </c>
      <c r="G1801" s="1829">
        <v>10154</v>
      </c>
      <c r="H1801" s="1829">
        <v>0</v>
      </c>
      <c r="I1801" s="1829">
        <v>10287.9</v>
      </c>
      <c r="J1801" s="1829">
        <v>10424.1</v>
      </c>
      <c r="K1801" s="831" t="s">
        <v>2835</v>
      </c>
      <c r="L1801" s="984" t="s">
        <v>34</v>
      </c>
      <c r="M1801" s="988">
        <v>20</v>
      </c>
      <c r="N1801" s="988">
        <v>22</v>
      </c>
      <c r="O1801" s="988">
        <v>25</v>
      </c>
      <c r="P1801" s="988">
        <v>25</v>
      </c>
      <c r="Q1801" s="988">
        <v>25</v>
      </c>
    </row>
    <row r="1802" spans="1:17" ht="30" x14ac:dyDescent="0.25">
      <c r="A1802" s="1810"/>
      <c r="B1802" s="989"/>
      <c r="C1802" s="1799"/>
      <c r="D1802" s="1828"/>
      <c r="E1802" s="1109"/>
      <c r="F1802" s="1805"/>
      <c r="G1802" s="1830"/>
      <c r="H1802" s="1830"/>
      <c r="I1802" s="1830"/>
      <c r="J1802" s="1830"/>
      <c r="K1802" s="831" t="s">
        <v>2836</v>
      </c>
      <c r="L1802" s="984" t="s">
        <v>2837</v>
      </c>
      <c r="M1802" s="988"/>
      <c r="N1802" s="988"/>
      <c r="O1802" s="988"/>
      <c r="P1802" s="988"/>
      <c r="Q1802" s="988"/>
    </row>
    <row r="1803" spans="1:17" x14ac:dyDescent="0.25">
      <c r="A1803" s="1808"/>
      <c r="B1803" s="1533"/>
      <c r="C1803" s="1798">
        <v>5</v>
      </c>
      <c r="D1803" s="1827"/>
      <c r="E1803" s="1592" t="s">
        <v>2838</v>
      </c>
      <c r="F1803" s="1804">
        <v>3443.8</v>
      </c>
      <c r="G1803" s="1829">
        <v>4350.5</v>
      </c>
      <c r="H1803" s="1829">
        <v>1865.5</v>
      </c>
      <c r="I1803" s="1829">
        <v>4402.1000000000004</v>
      </c>
      <c r="J1803" s="1829">
        <v>4454.6000000000004</v>
      </c>
      <c r="K1803" s="831" t="s">
        <v>2839</v>
      </c>
      <c r="L1803" s="990" t="s">
        <v>2840</v>
      </c>
      <c r="M1803" s="983">
        <v>569</v>
      </c>
      <c r="N1803" s="983">
        <v>569</v>
      </c>
      <c r="O1803" s="983">
        <v>569</v>
      </c>
      <c r="P1803" s="983">
        <v>569</v>
      </c>
      <c r="Q1803" s="983">
        <v>569</v>
      </c>
    </row>
    <row r="1804" spans="1:17" ht="30" x14ac:dyDescent="0.25">
      <c r="A1804" s="1810"/>
      <c r="B1804" s="989"/>
      <c r="C1804" s="1799"/>
      <c r="D1804" s="1828"/>
      <c r="E1804" s="1109"/>
      <c r="F1804" s="1805"/>
      <c r="G1804" s="1830"/>
      <c r="H1804" s="1830"/>
      <c r="I1804" s="1830"/>
      <c r="J1804" s="1830"/>
      <c r="K1804" s="831" t="s">
        <v>2841</v>
      </c>
      <c r="L1804" s="984" t="s">
        <v>34</v>
      </c>
      <c r="M1804" s="988">
        <v>100</v>
      </c>
      <c r="N1804" s="988">
        <v>100</v>
      </c>
      <c r="O1804" s="988">
        <v>100</v>
      </c>
      <c r="P1804" s="988">
        <v>100</v>
      </c>
      <c r="Q1804" s="988">
        <v>100</v>
      </c>
    </row>
    <row r="1805" spans="1:17" ht="88.5" x14ac:dyDescent="0.25">
      <c r="A1805" s="1136">
        <v>74</v>
      </c>
      <c r="B1805" s="447">
        <v>3</v>
      </c>
      <c r="C1805" s="982"/>
      <c r="D1805" s="983"/>
      <c r="E1805" s="1034" t="s">
        <v>3134</v>
      </c>
      <c r="F1805" s="1536">
        <v>32128.9</v>
      </c>
      <c r="G1805" s="1536">
        <v>35960.9</v>
      </c>
      <c r="H1805" s="1536">
        <f>SUM(H1806:H1808)</f>
        <v>44785.8</v>
      </c>
      <c r="I1805" s="1536">
        <v>36375</v>
      </c>
      <c r="J1805" s="1536">
        <v>36795.800000000003</v>
      </c>
      <c r="K1805" s="463" t="s">
        <v>2842</v>
      </c>
      <c r="L1805" s="984"/>
      <c r="M1805" s="983"/>
      <c r="N1805" s="983"/>
      <c r="O1805" s="983"/>
      <c r="P1805" s="983"/>
      <c r="Q1805" s="983"/>
    </row>
    <row r="1806" spans="1:17" ht="210" x14ac:dyDescent="0.25">
      <c r="A1806" s="1796"/>
      <c r="B1806" s="991"/>
      <c r="C1806" s="1798">
        <v>1</v>
      </c>
      <c r="D1806" s="1800"/>
      <c r="E1806" s="1802" t="s">
        <v>2843</v>
      </c>
      <c r="F1806" s="1804">
        <v>18478</v>
      </c>
      <c r="G1806" s="1806">
        <v>22590.2</v>
      </c>
      <c r="H1806" s="1806">
        <f>41785.8+3000</f>
        <v>44785.8</v>
      </c>
      <c r="I1806" s="1806">
        <v>22827.9</v>
      </c>
      <c r="J1806" s="1806">
        <v>23069.5</v>
      </c>
      <c r="K1806" s="831" t="s">
        <v>2844</v>
      </c>
      <c r="L1806" s="984" t="s">
        <v>2831</v>
      </c>
      <c r="M1806" s="992">
        <v>1189.8</v>
      </c>
      <c r="N1806" s="992">
        <v>1191.3999999999999</v>
      </c>
      <c r="O1806" s="992">
        <v>1192.8</v>
      </c>
      <c r="P1806" s="992">
        <v>1198.8</v>
      </c>
      <c r="Q1806" s="992">
        <v>1194.9999999999998</v>
      </c>
    </row>
    <row r="1807" spans="1:17" ht="60" x14ac:dyDescent="0.25">
      <c r="A1807" s="1797"/>
      <c r="B1807" s="993"/>
      <c r="C1807" s="1799"/>
      <c r="D1807" s="1801"/>
      <c r="E1807" s="1803"/>
      <c r="F1807" s="1805"/>
      <c r="G1807" s="1807"/>
      <c r="H1807" s="1807"/>
      <c r="I1807" s="1807"/>
      <c r="J1807" s="1807"/>
      <c r="K1807" s="831" t="s">
        <v>2845</v>
      </c>
      <c r="L1807" s="984" t="s">
        <v>34</v>
      </c>
      <c r="M1807" s="873">
        <v>100</v>
      </c>
      <c r="N1807" s="873">
        <v>100</v>
      </c>
      <c r="O1807" s="873">
        <v>100</v>
      </c>
      <c r="P1807" s="873">
        <v>100</v>
      </c>
      <c r="Q1807" s="873">
        <v>100</v>
      </c>
    </row>
    <row r="1808" spans="1:17" ht="75" x14ac:dyDescent="0.25">
      <c r="A1808" s="1532"/>
      <c r="B1808" s="1533"/>
      <c r="C1808" s="1534">
        <v>2</v>
      </c>
      <c r="D1808" s="1537"/>
      <c r="E1808" s="1593" t="s">
        <v>2846</v>
      </c>
      <c r="F1808" s="1192">
        <v>13650.9</v>
      </c>
      <c r="G1808" s="1538">
        <v>13370.7</v>
      </c>
      <c r="H1808" s="1538">
        <v>0</v>
      </c>
      <c r="I1808" s="1538">
        <v>13547.1</v>
      </c>
      <c r="J1808" s="1538">
        <v>13726.3</v>
      </c>
      <c r="K1808" s="1592" t="s">
        <v>2847</v>
      </c>
      <c r="L1808" s="984" t="s">
        <v>34</v>
      </c>
      <c r="M1808" s="873">
        <v>100</v>
      </c>
      <c r="N1808" s="873">
        <v>100</v>
      </c>
      <c r="O1808" s="873">
        <v>100</v>
      </c>
      <c r="P1808" s="873">
        <v>100</v>
      </c>
      <c r="Q1808" s="873">
        <v>100</v>
      </c>
    </row>
    <row r="1809" spans="1:17" ht="73.5" x14ac:dyDescent="0.25">
      <c r="A1809" s="1532">
        <v>74</v>
      </c>
      <c r="B1809" s="1533">
        <v>4</v>
      </c>
      <c r="C1809" s="1534"/>
      <c r="D1809" s="1539"/>
      <c r="E1809" s="831" t="s">
        <v>3135</v>
      </c>
      <c r="F1809" s="1536">
        <v>4552</v>
      </c>
      <c r="G1809" s="1536">
        <v>4338.3999999999996</v>
      </c>
      <c r="H1809" s="1536">
        <f>SUM(H1810:H1812)</f>
        <v>0</v>
      </c>
      <c r="I1809" s="1536">
        <v>4395.6000000000004</v>
      </c>
      <c r="J1809" s="1536">
        <v>4453.7999999999993</v>
      </c>
      <c r="K1809" s="1615" t="s">
        <v>2848</v>
      </c>
      <c r="L1809" s="994" t="s">
        <v>34</v>
      </c>
      <c r="M1809" s="873"/>
      <c r="N1809" s="873"/>
      <c r="O1809" s="873"/>
      <c r="P1809" s="873"/>
      <c r="Q1809" s="873"/>
    </row>
    <row r="1810" spans="1:17" ht="60" x14ac:dyDescent="0.25">
      <c r="A1810" s="1808"/>
      <c r="B1810" s="447"/>
      <c r="C1810" s="1534">
        <v>1</v>
      </c>
      <c r="D1810" s="1539"/>
      <c r="E1810" s="1590" t="s">
        <v>2849</v>
      </c>
      <c r="F1810" s="1192">
        <v>3102.1</v>
      </c>
      <c r="G1810" s="1538">
        <v>3096.8</v>
      </c>
      <c r="H1810" s="1538">
        <v>0</v>
      </c>
      <c r="I1810" s="1538">
        <v>3137.6</v>
      </c>
      <c r="J1810" s="1538">
        <v>3179.2</v>
      </c>
      <c r="K1810" s="1616" t="s">
        <v>2850</v>
      </c>
      <c r="L1810" s="994" t="s">
        <v>34</v>
      </c>
      <c r="M1810" s="873">
        <v>30.7</v>
      </c>
      <c r="N1810" s="873">
        <v>30.7</v>
      </c>
      <c r="O1810" s="873">
        <v>30.7</v>
      </c>
      <c r="P1810" s="873">
        <v>30.7</v>
      </c>
      <c r="Q1810" s="873">
        <v>30.7</v>
      </c>
    </row>
    <row r="1811" spans="1:17" ht="30" x14ac:dyDescent="0.25">
      <c r="A1811" s="1809"/>
      <c r="B1811" s="991"/>
      <c r="C1811" s="1798">
        <v>2</v>
      </c>
      <c r="D1811" s="1811"/>
      <c r="E1811" s="1590" t="s">
        <v>2851</v>
      </c>
      <c r="F1811" s="1804">
        <v>1449.9</v>
      </c>
      <c r="G1811" s="1806">
        <v>1241.5999999999999</v>
      </c>
      <c r="H1811" s="1806">
        <v>0</v>
      </c>
      <c r="I1811" s="1806">
        <v>1258</v>
      </c>
      <c r="J1811" s="1806">
        <v>1274.5999999999999</v>
      </c>
      <c r="K1811" s="1617" t="s">
        <v>2852</v>
      </c>
      <c r="L1811" s="995" t="s">
        <v>34</v>
      </c>
      <c r="M1811" s="873">
        <v>20</v>
      </c>
      <c r="N1811" s="873">
        <v>20</v>
      </c>
      <c r="O1811" s="873">
        <v>20</v>
      </c>
      <c r="P1811" s="873">
        <v>20</v>
      </c>
      <c r="Q1811" s="873">
        <v>20</v>
      </c>
    </row>
    <row r="1812" spans="1:17" x14ac:dyDescent="0.25">
      <c r="A1812" s="1810"/>
      <c r="B1812" s="993"/>
      <c r="C1812" s="1799"/>
      <c r="D1812" s="1812"/>
      <c r="E1812" s="1594"/>
      <c r="F1812" s="1805"/>
      <c r="G1812" s="1807"/>
      <c r="H1812" s="1807"/>
      <c r="I1812" s="1807"/>
      <c r="J1812" s="1807"/>
      <c r="K1812" s="1618" t="s">
        <v>2853</v>
      </c>
      <c r="L1812" s="994" t="s">
        <v>780</v>
      </c>
      <c r="M1812" s="873">
        <v>4</v>
      </c>
      <c r="N1812" s="873">
        <v>4</v>
      </c>
      <c r="O1812" s="873">
        <v>4</v>
      </c>
      <c r="P1812" s="873">
        <v>4</v>
      </c>
      <c r="Q1812" s="873">
        <v>4</v>
      </c>
    </row>
    <row r="1813" spans="1:17" x14ac:dyDescent="0.25">
      <c r="A1813" s="1652" t="s">
        <v>2854</v>
      </c>
      <c r="B1813" s="1715"/>
      <c r="C1813" s="1781"/>
      <c r="D1813" s="1781"/>
      <c r="E1813" s="1781"/>
      <c r="F1813" s="996">
        <v>268088.09999999998</v>
      </c>
      <c r="G1813" s="996">
        <v>265621.10000000003</v>
      </c>
      <c r="H1813" s="42">
        <f>H1788+H1797+H1805+H1809</f>
        <v>524947.4</v>
      </c>
      <c r="I1813" s="996">
        <v>268676.40000000002</v>
      </c>
      <c r="J1813" s="996">
        <v>271781.60000000003</v>
      </c>
      <c r="K1813" s="548"/>
      <c r="L1813" s="21"/>
      <c r="M1813" s="21"/>
      <c r="N1813" s="21"/>
      <c r="O1813" s="21"/>
      <c r="P1813" s="21"/>
      <c r="Q1813" s="21"/>
    </row>
    <row r="1814" spans="1:17" x14ac:dyDescent="0.25">
      <c r="A1814" s="1648" t="s">
        <v>2855</v>
      </c>
      <c r="B1814" s="1649"/>
      <c r="C1814" s="1649"/>
      <c r="D1814" s="1649"/>
      <c r="E1814" s="1649"/>
      <c r="F1814" s="1649"/>
      <c r="G1814" s="1649"/>
      <c r="H1814" s="1649"/>
      <c r="I1814" s="1649"/>
      <c r="J1814" s="1649"/>
      <c r="K1814" s="1649"/>
      <c r="L1814" s="1649"/>
      <c r="M1814" s="1649"/>
      <c r="N1814" s="1649"/>
      <c r="O1814" s="1649"/>
      <c r="P1814" s="1649"/>
      <c r="Q1814" s="1650"/>
    </row>
    <row r="1815" spans="1:17" ht="88.5" x14ac:dyDescent="0.25">
      <c r="A1815" s="1115">
        <v>75</v>
      </c>
      <c r="B1815" s="1297">
        <v>1</v>
      </c>
      <c r="C1815" s="1117"/>
      <c r="D1815" s="11"/>
      <c r="E1815" s="178" t="s">
        <v>3126</v>
      </c>
      <c r="F1815" s="1230">
        <v>10679.599999999999</v>
      </c>
      <c r="G1815" s="1230">
        <v>15786.6</v>
      </c>
      <c r="H1815" s="1230">
        <f>SUM(H1816:H1822)</f>
        <v>28945.411999999997</v>
      </c>
      <c r="I1815" s="1230">
        <v>29418.899999999998</v>
      </c>
      <c r="J1815" s="1230">
        <v>29695.599999999999</v>
      </c>
      <c r="K1815" s="1195" t="s">
        <v>2856</v>
      </c>
      <c r="L1815" s="1174" t="s">
        <v>34</v>
      </c>
      <c r="M1815" s="1174"/>
      <c r="N1815" s="1174"/>
      <c r="O1815" s="1174"/>
      <c r="P1815" s="1174"/>
      <c r="Q1815" s="997"/>
    </row>
    <row r="1816" spans="1:17" x14ac:dyDescent="0.25">
      <c r="A1816" s="998"/>
      <c r="B1816" s="1540"/>
      <c r="C1816" s="1370">
        <v>1</v>
      </c>
      <c r="D1816" s="1251"/>
      <c r="E1816" s="1302" t="s">
        <v>2707</v>
      </c>
      <c r="F1816" s="999">
        <v>2824.5</v>
      </c>
      <c r="G1816" s="999">
        <v>3839.2</v>
      </c>
      <c r="H1816" s="999">
        <v>3020.1669999999999</v>
      </c>
      <c r="I1816" s="704">
        <v>3440.6</v>
      </c>
      <c r="J1816" s="704">
        <v>3466.9</v>
      </c>
      <c r="K1816" s="831" t="s">
        <v>438</v>
      </c>
      <c r="L1816" s="1214" t="s">
        <v>35</v>
      </c>
      <c r="M1816" s="1214">
        <v>0.63</v>
      </c>
      <c r="N1816" s="1214">
        <v>0.63</v>
      </c>
      <c r="O1816" s="1214">
        <v>0.64</v>
      </c>
      <c r="P1816" s="1001">
        <v>0.7</v>
      </c>
      <c r="Q1816" s="1171">
        <v>0.75</v>
      </c>
    </row>
    <row r="1817" spans="1:17" ht="30" x14ac:dyDescent="0.25">
      <c r="A1817" s="998"/>
      <c r="B1817" s="1382"/>
      <c r="C1817" s="326">
        <v>2</v>
      </c>
      <c r="D1817" s="1251"/>
      <c r="E1817" s="1302" t="s">
        <v>2708</v>
      </c>
      <c r="F1817" s="999">
        <v>1686.2</v>
      </c>
      <c r="G1817" s="999">
        <v>2735</v>
      </c>
      <c r="H1817" s="999">
        <v>3735.9209999999998</v>
      </c>
      <c r="I1817" s="1139">
        <v>3604</v>
      </c>
      <c r="J1817" s="704">
        <v>3643.5</v>
      </c>
      <c r="K1817" s="831" t="s">
        <v>515</v>
      </c>
      <c r="L1817" s="1214" t="s">
        <v>34</v>
      </c>
      <c r="M1817" s="1214">
        <v>71.900000000000006</v>
      </c>
      <c r="N1817" s="1214">
        <v>100</v>
      </c>
      <c r="O1817" s="1214">
        <v>100</v>
      </c>
      <c r="P1817" s="1002">
        <v>100</v>
      </c>
      <c r="Q1817" s="1171">
        <v>100</v>
      </c>
    </row>
    <row r="1818" spans="1:17" ht="30" x14ac:dyDescent="0.25">
      <c r="A1818" s="998"/>
      <c r="B1818" s="1382"/>
      <c r="C1818" s="326">
        <v>3</v>
      </c>
      <c r="D1818" s="1251"/>
      <c r="E1818" s="1302" t="s">
        <v>842</v>
      </c>
      <c r="F1818" s="999">
        <v>1296.5999999999999</v>
      </c>
      <c r="G1818" s="999">
        <v>2013.3</v>
      </c>
      <c r="H1818" s="999">
        <v>1257.7919999999999</v>
      </c>
      <c r="I1818" s="1139">
        <v>1438.1</v>
      </c>
      <c r="J1818" s="704">
        <v>1453.9</v>
      </c>
      <c r="K1818" s="1619" t="s">
        <v>2857</v>
      </c>
      <c r="L1818" s="1214" t="s">
        <v>34</v>
      </c>
      <c r="M1818" s="272">
        <v>0</v>
      </c>
      <c r="N1818" s="272">
        <v>0</v>
      </c>
      <c r="O1818" s="272">
        <v>0</v>
      </c>
      <c r="P1818" s="272">
        <v>0</v>
      </c>
      <c r="Q1818" s="272">
        <v>0</v>
      </c>
    </row>
    <row r="1819" spans="1:17" ht="30" x14ac:dyDescent="0.25">
      <c r="A1819" s="998"/>
      <c r="B1819" s="1382"/>
      <c r="C1819" s="326">
        <v>4</v>
      </c>
      <c r="D1819" s="1251"/>
      <c r="E1819" s="1217" t="s">
        <v>2573</v>
      </c>
      <c r="F1819" s="999"/>
      <c r="G1819" s="999"/>
      <c r="H1819" s="999">
        <v>6578.643</v>
      </c>
      <c r="I1819" s="1139">
        <v>6999.6</v>
      </c>
      <c r="J1819" s="704">
        <v>7078.7</v>
      </c>
      <c r="K1819" s="1619" t="s">
        <v>2858</v>
      </c>
      <c r="L1819" s="1214" t="s">
        <v>34</v>
      </c>
      <c r="M1819" s="272">
        <v>0</v>
      </c>
      <c r="N1819" s="272">
        <v>0</v>
      </c>
      <c r="O1819" s="272">
        <v>0</v>
      </c>
      <c r="P1819" s="272">
        <v>0</v>
      </c>
      <c r="Q1819" s="272">
        <v>0</v>
      </c>
    </row>
    <row r="1820" spans="1:17" ht="30" x14ac:dyDescent="0.25">
      <c r="A1820" s="998"/>
      <c r="B1820" s="1382"/>
      <c r="C1820" s="326">
        <v>5</v>
      </c>
      <c r="D1820" s="1251"/>
      <c r="E1820" s="1302" t="s">
        <v>2574</v>
      </c>
      <c r="F1820" s="999">
        <v>719.1</v>
      </c>
      <c r="G1820" s="999">
        <v>679.6</v>
      </c>
      <c r="H1820" s="999">
        <v>803.28800000000001</v>
      </c>
      <c r="I1820" s="1139">
        <v>712.4</v>
      </c>
      <c r="J1820" s="704">
        <v>719</v>
      </c>
      <c r="K1820" s="1205" t="s">
        <v>733</v>
      </c>
      <c r="L1820" s="1214" t="s">
        <v>780</v>
      </c>
      <c r="M1820" s="1214">
        <v>925</v>
      </c>
      <c r="N1820" s="1214">
        <v>935</v>
      </c>
      <c r="O1820" s="1214">
        <v>950</v>
      </c>
      <c r="P1820" s="1002">
        <v>970</v>
      </c>
      <c r="Q1820" s="1171">
        <v>975</v>
      </c>
    </row>
    <row r="1821" spans="1:17" ht="45" x14ac:dyDescent="0.25">
      <c r="A1821" s="998"/>
      <c r="B1821" s="1540"/>
      <c r="C1821" s="1170">
        <v>6</v>
      </c>
      <c r="D1821" s="1251"/>
      <c r="E1821" s="1212" t="s">
        <v>2710</v>
      </c>
      <c r="F1821" s="999">
        <v>4153.2</v>
      </c>
      <c r="G1821" s="999">
        <v>6519.5</v>
      </c>
      <c r="H1821" s="999">
        <v>8472.2829999999994</v>
      </c>
      <c r="I1821" s="1139">
        <v>7209.4</v>
      </c>
      <c r="J1821" s="704">
        <v>7255.5</v>
      </c>
      <c r="K1821" s="1183" t="s">
        <v>2859</v>
      </c>
      <c r="L1821" s="1214" t="s">
        <v>34</v>
      </c>
      <c r="M1821" s="1214">
        <v>20.399999999999999</v>
      </c>
      <c r="N1821" s="272">
        <v>13</v>
      </c>
      <c r="O1821" s="272">
        <v>13</v>
      </c>
      <c r="P1821" s="272">
        <v>13</v>
      </c>
      <c r="Q1821" s="272">
        <v>13</v>
      </c>
    </row>
    <row r="1822" spans="1:17" ht="45" x14ac:dyDescent="0.25">
      <c r="A1822" s="998"/>
      <c r="B1822" s="1540"/>
      <c r="C1822" s="1370">
        <v>7</v>
      </c>
      <c r="D1822" s="12"/>
      <c r="E1822" s="1217" t="s">
        <v>2860</v>
      </c>
      <c r="F1822" s="999"/>
      <c r="G1822" s="999"/>
      <c r="H1822" s="999">
        <v>5077.3180000000002</v>
      </c>
      <c r="I1822" s="1139">
        <v>6014.8</v>
      </c>
      <c r="J1822" s="704">
        <v>6078.1</v>
      </c>
      <c r="K1822" s="1619" t="s">
        <v>2861</v>
      </c>
      <c r="L1822" s="1214" t="s">
        <v>34</v>
      </c>
      <c r="M1822" s="1214">
        <v>100</v>
      </c>
      <c r="N1822" s="1214">
        <v>100</v>
      </c>
      <c r="O1822" s="1214">
        <v>100</v>
      </c>
      <c r="P1822" s="1214">
        <v>100</v>
      </c>
      <c r="Q1822" s="1214">
        <v>100</v>
      </c>
    </row>
    <row r="1823" spans="1:17" ht="59.25" x14ac:dyDescent="0.25">
      <c r="A1823" s="998">
        <v>75</v>
      </c>
      <c r="B1823" s="1540">
        <v>2</v>
      </c>
      <c r="C1823" s="1317"/>
      <c r="D1823" s="1444"/>
      <c r="E1823" s="1195" t="s">
        <v>3136</v>
      </c>
      <c r="F1823" s="1541">
        <v>16465.900000000001</v>
      </c>
      <c r="G1823" s="1541">
        <v>20769.599999999999</v>
      </c>
      <c r="H1823" s="1003">
        <f>SUM(H1824:H1825)</f>
        <v>22518.845000000001</v>
      </c>
      <c r="I1823" s="1003">
        <v>13445.3</v>
      </c>
      <c r="J1823" s="1003">
        <v>13590.3</v>
      </c>
      <c r="K1823" s="1217" t="s">
        <v>3159</v>
      </c>
      <c r="L1823" s="1138"/>
      <c r="M1823" s="1160"/>
      <c r="N1823" s="1160"/>
      <c r="O1823" s="1160"/>
      <c r="P1823" s="1004"/>
      <c r="Q1823" s="1171"/>
    </row>
    <row r="1824" spans="1:17" ht="45.75" thickBot="1" x14ac:dyDescent="0.3">
      <c r="A1824" s="1115"/>
      <c r="B1824" s="1297"/>
      <c r="C1824" s="1117" t="s">
        <v>4</v>
      </c>
      <c r="D1824" s="1275"/>
      <c r="E1824" s="1217" t="s">
        <v>2862</v>
      </c>
      <c r="F1824" s="1542">
        <v>10235.200000000001</v>
      </c>
      <c r="G1824" s="1542">
        <v>11950.5</v>
      </c>
      <c r="H1824" s="1542">
        <v>16402.803</v>
      </c>
      <c r="I1824" s="1335">
        <v>6956.6</v>
      </c>
      <c r="J1824" s="1432">
        <v>7032.4</v>
      </c>
      <c r="K1824" s="1217" t="s">
        <v>2863</v>
      </c>
      <c r="L1824" s="1005" t="s">
        <v>94</v>
      </c>
      <c r="M1824" s="88">
        <v>2176.3000000000002</v>
      </c>
      <c r="N1824" s="88">
        <v>3303.9</v>
      </c>
      <c r="O1824" s="1006">
        <v>2300</v>
      </c>
      <c r="P1824" s="1007">
        <v>2400</v>
      </c>
      <c r="Q1824" s="1007">
        <v>2500</v>
      </c>
    </row>
    <row r="1825" spans="1:17" ht="30" x14ac:dyDescent="0.25">
      <c r="A1825" s="1115"/>
      <c r="B1825" s="1297"/>
      <c r="C1825" s="1117" t="s">
        <v>5</v>
      </c>
      <c r="D1825" s="1275"/>
      <c r="E1825" s="1212" t="s">
        <v>2864</v>
      </c>
      <c r="F1825" s="1139">
        <v>6230.7</v>
      </c>
      <c r="G1825" s="1139">
        <v>8819.1</v>
      </c>
      <c r="H1825" s="1139">
        <v>6116.0420000000004</v>
      </c>
      <c r="I1825" s="704">
        <v>6488.7</v>
      </c>
      <c r="J1825" s="704">
        <v>6557.9</v>
      </c>
      <c r="K1825" s="1217" t="s">
        <v>2865</v>
      </c>
      <c r="L1825" s="1129" t="s">
        <v>94</v>
      </c>
      <c r="M1825" s="1130">
        <v>266.10000000000002</v>
      </c>
      <c r="N1825" s="1130">
        <v>367</v>
      </c>
      <c r="O1825" s="1130">
        <v>375</v>
      </c>
      <c r="P1825" s="1130">
        <v>390</v>
      </c>
      <c r="Q1825" s="1130">
        <v>391</v>
      </c>
    </row>
    <row r="1826" spans="1:17" ht="128.25" x14ac:dyDescent="0.25">
      <c r="A1826" s="1115">
        <v>75</v>
      </c>
      <c r="B1826" s="1297">
        <v>3</v>
      </c>
      <c r="C1826" s="1117"/>
      <c r="D1826" s="1275"/>
      <c r="E1826" s="1195" t="s">
        <v>3137</v>
      </c>
      <c r="F1826" s="1541">
        <v>7391.1</v>
      </c>
      <c r="G1826" s="1541">
        <v>8907.5999999999985</v>
      </c>
      <c r="H1826" s="1003">
        <f>SUM(H1827:H1830)</f>
        <v>66729.293999999994</v>
      </c>
      <c r="I1826" s="1003">
        <v>5706.2</v>
      </c>
      <c r="J1826" s="1003">
        <v>5769.6</v>
      </c>
      <c r="K1826" s="178" t="s">
        <v>2866</v>
      </c>
      <c r="L1826" s="144"/>
      <c r="M1826" s="1008" t="s">
        <v>2867</v>
      </c>
      <c r="N1826" s="1008" t="s">
        <v>2868</v>
      </c>
      <c r="O1826" s="1008" t="s">
        <v>2869</v>
      </c>
      <c r="P1826" s="1008" t="s">
        <v>2869</v>
      </c>
      <c r="Q1826" s="1008" t="s">
        <v>2869</v>
      </c>
    </row>
    <row r="1827" spans="1:17" ht="30" x14ac:dyDescent="0.25">
      <c r="A1827" s="1678"/>
      <c r="B1827" s="1751"/>
      <c r="C1827" s="1669" t="s">
        <v>4</v>
      </c>
      <c r="D1827" s="1813"/>
      <c r="E1827" s="1632" t="s">
        <v>2870</v>
      </c>
      <c r="F1827" s="1774">
        <v>4177.7</v>
      </c>
      <c r="G1827" s="1774">
        <v>6102.9</v>
      </c>
      <c r="H1827" s="1774">
        <v>2652.6469999999999</v>
      </c>
      <c r="I1827" s="1815">
        <v>2853.1</v>
      </c>
      <c r="J1827" s="1816">
        <v>2884.8</v>
      </c>
      <c r="K1827" s="831" t="s">
        <v>2871</v>
      </c>
      <c r="L1827" s="1138" t="s">
        <v>34</v>
      </c>
      <c r="M1827" s="1139">
        <v>100</v>
      </c>
      <c r="N1827" s="1139">
        <v>100</v>
      </c>
      <c r="O1827" s="1139">
        <v>100</v>
      </c>
      <c r="P1827" s="999">
        <v>100</v>
      </c>
      <c r="Q1827" s="85">
        <v>100</v>
      </c>
    </row>
    <row r="1828" spans="1:17" ht="30" x14ac:dyDescent="0.25">
      <c r="A1828" s="1679"/>
      <c r="B1828" s="1752"/>
      <c r="C1828" s="1670"/>
      <c r="D1828" s="1814"/>
      <c r="E1828" s="1632"/>
      <c r="F1828" s="1775"/>
      <c r="G1828" s="1775"/>
      <c r="H1828" s="1775"/>
      <c r="I1828" s="1815"/>
      <c r="J1828" s="1817"/>
      <c r="K1828" s="831" t="s">
        <v>2872</v>
      </c>
      <c r="L1828" s="1138" t="s">
        <v>34</v>
      </c>
      <c r="M1828" s="1139">
        <v>100</v>
      </c>
      <c r="N1828" s="1139">
        <v>100</v>
      </c>
      <c r="O1828" s="1139">
        <v>100</v>
      </c>
      <c r="P1828" s="999">
        <v>100</v>
      </c>
      <c r="Q1828" s="85">
        <v>100</v>
      </c>
    </row>
    <row r="1829" spans="1:17" ht="45" x14ac:dyDescent="0.25">
      <c r="A1829" s="1324"/>
      <c r="B1829" s="1325"/>
      <c r="C1829" s="1317" t="s">
        <v>5</v>
      </c>
      <c r="D1829" s="1444"/>
      <c r="E1829" s="1217" t="s">
        <v>2873</v>
      </c>
      <c r="F1829" s="1542">
        <v>3213.4</v>
      </c>
      <c r="G1829" s="1542">
        <v>2804.7</v>
      </c>
      <c r="H1829" s="999">
        <v>2652.6469999999999</v>
      </c>
      <c r="I1829" s="1139">
        <v>2853.1</v>
      </c>
      <c r="J1829" s="704">
        <v>2884.8</v>
      </c>
      <c r="K1829" s="831" t="s">
        <v>2874</v>
      </c>
      <c r="L1829" s="1138" t="s">
        <v>34</v>
      </c>
      <c r="M1829" s="1139">
        <v>50</v>
      </c>
      <c r="N1829" s="1139">
        <v>80</v>
      </c>
      <c r="O1829" s="1139">
        <v>100</v>
      </c>
      <c r="P1829" s="999">
        <v>100</v>
      </c>
      <c r="Q1829" s="85">
        <v>100</v>
      </c>
    </row>
    <row r="1830" spans="1:17" ht="30" x14ac:dyDescent="0.25">
      <c r="A1830" s="1324"/>
      <c r="B1830" s="1325"/>
      <c r="C1830" s="1317" t="s">
        <v>7</v>
      </c>
      <c r="D1830" s="1444"/>
      <c r="E1830" s="1217" t="s">
        <v>1262</v>
      </c>
      <c r="F1830" s="1542"/>
      <c r="G1830" s="1542"/>
      <c r="H1830" s="999">
        <v>61424</v>
      </c>
      <c r="I1830" s="1139"/>
      <c r="J1830" s="704"/>
      <c r="K1830" s="831"/>
      <c r="L1830" s="1138"/>
      <c r="M1830" s="1139"/>
      <c r="N1830" s="1139"/>
      <c r="O1830" s="1139"/>
      <c r="P1830" s="999"/>
      <c r="Q1830" s="85"/>
    </row>
    <row r="1831" spans="1:17" ht="73.5" x14ac:dyDescent="0.25">
      <c r="A1831" s="1324">
        <v>75</v>
      </c>
      <c r="B1831" s="1325">
        <v>4</v>
      </c>
      <c r="C1831" s="1317"/>
      <c r="D1831" s="1444"/>
      <c r="E1831" s="1195" t="s">
        <v>3138</v>
      </c>
      <c r="F1831" s="1541">
        <v>27727</v>
      </c>
      <c r="G1831" s="1541">
        <v>14313.5</v>
      </c>
      <c r="H1831" s="1003">
        <f>H1832</f>
        <v>11160.509</v>
      </c>
      <c r="I1831" s="1229">
        <v>11818.8</v>
      </c>
      <c r="J1831" s="1229">
        <v>11946.8</v>
      </c>
      <c r="K1831" s="1217" t="s">
        <v>2875</v>
      </c>
      <c r="L1831" s="1138" t="s">
        <v>94</v>
      </c>
      <c r="M1831" s="272">
        <v>111.6</v>
      </c>
      <c r="N1831" s="272">
        <v>100</v>
      </c>
      <c r="O1831" s="272">
        <v>100</v>
      </c>
      <c r="P1831" s="1009">
        <v>100</v>
      </c>
      <c r="Q1831" s="85">
        <v>100</v>
      </c>
    </row>
    <row r="1832" spans="1:17" ht="30" x14ac:dyDescent="0.25">
      <c r="A1832" s="1324"/>
      <c r="B1832" s="1325"/>
      <c r="C1832" s="1317" t="s">
        <v>4</v>
      </c>
      <c r="D1832" s="1444"/>
      <c r="E1832" s="1217" t="s">
        <v>2876</v>
      </c>
      <c r="F1832" s="1542">
        <v>27727</v>
      </c>
      <c r="G1832" s="1542">
        <v>14313.5</v>
      </c>
      <c r="H1832" s="1542">
        <v>11160.509</v>
      </c>
      <c r="I1832" s="1335">
        <v>11818.8</v>
      </c>
      <c r="J1832" s="1432">
        <v>11946.8</v>
      </c>
      <c r="K1832" s="1138" t="s">
        <v>2877</v>
      </c>
      <c r="L1832" s="1411" t="s">
        <v>825</v>
      </c>
      <c r="M1832" s="1335">
        <v>2611</v>
      </c>
      <c r="N1832" s="1335">
        <v>2500</v>
      </c>
      <c r="O1832" s="1335">
        <v>2600</v>
      </c>
      <c r="P1832" s="1335">
        <v>2700</v>
      </c>
      <c r="Q1832" s="1335">
        <v>2800</v>
      </c>
    </row>
    <row r="1833" spans="1:17" x14ac:dyDescent="0.25">
      <c r="A1833" s="1651" t="s">
        <v>2878</v>
      </c>
      <c r="B1833" s="1651"/>
      <c r="C1833" s="1651"/>
      <c r="D1833" s="1651"/>
      <c r="E1833" s="1651"/>
      <c r="F1833" s="42">
        <v>62263.6</v>
      </c>
      <c r="G1833" s="42">
        <v>59777.299999999996</v>
      </c>
      <c r="H1833" s="42">
        <f>H1815+H1823+H1826+H1831</f>
        <v>129354.06</v>
      </c>
      <c r="I1833" s="42">
        <v>60389.2</v>
      </c>
      <c r="J1833" s="42">
        <v>61002.299999999988</v>
      </c>
      <c r="K1833" s="15"/>
      <c r="L1833" s="1231"/>
      <c r="M1833" s="1231"/>
      <c r="N1833" s="1231"/>
      <c r="O1833" s="1231"/>
      <c r="P1833" s="1231"/>
      <c r="Q1833" s="1231"/>
    </row>
    <row r="1834" spans="1:17" x14ac:dyDescent="0.25">
      <c r="A1834" s="1648" t="s">
        <v>2879</v>
      </c>
      <c r="B1834" s="1649"/>
      <c r="C1834" s="1649"/>
      <c r="D1834" s="1649"/>
      <c r="E1834" s="1649"/>
      <c r="F1834" s="1649"/>
      <c r="G1834" s="1649"/>
      <c r="H1834" s="1649"/>
      <c r="I1834" s="1649"/>
      <c r="J1834" s="1649"/>
      <c r="K1834" s="1649"/>
      <c r="L1834" s="1649"/>
      <c r="M1834" s="1649"/>
      <c r="N1834" s="1649"/>
      <c r="O1834" s="1649"/>
      <c r="P1834" s="1649"/>
      <c r="Q1834" s="1650"/>
    </row>
    <row r="1835" spans="1:17" ht="88.5" x14ac:dyDescent="0.25">
      <c r="A1835" s="1232">
        <v>76</v>
      </c>
      <c r="B1835" s="386">
        <v>1</v>
      </c>
      <c r="C1835" s="390"/>
      <c r="D1835" s="25"/>
      <c r="E1835" s="178" t="s">
        <v>3139</v>
      </c>
      <c r="F1835" s="754">
        <v>46001.599999999999</v>
      </c>
      <c r="G1835" s="754">
        <v>43678.599999999991</v>
      </c>
      <c r="H1835" s="754">
        <f>SUM(H1836:H1842)</f>
        <v>42617.4</v>
      </c>
      <c r="I1835" s="754">
        <v>44066</v>
      </c>
      <c r="J1835" s="754">
        <v>44066</v>
      </c>
      <c r="K1835" s="1195" t="s">
        <v>633</v>
      </c>
      <c r="L1835" s="1266" t="s">
        <v>34</v>
      </c>
      <c r="M1835" s="1010">
        <v>34.81080459770115</v>
      </c>
      <c r="N1835" s="1010">
        <v>15.761710911071614</v>
      </c>
      <c r="O1835" s="1010">
        <v>15.761710911071614</v>
      </c>
      <c r="P1835" s="1010">
        <v>15.761710911071614</v>
      </c>
      <c r="Q1835" s="1010">
        <v>15.761710911071614</v>
      </c>
    </row>
    <row r="1836" spans="1:17" x14ac:dyDescent="0.25">
      <c r="A1836" s="1122"/>
      <c r="B1836" s="382"/>
      <c r="C1836" s="1146" t="s">
        <v>4</v>
      </c>
      <c r="D1836" s="1268"/>
      <c r="E1836" s="1595" t="s">
        <v>2707</v>
      </c>
      <c r="F1836" s="1289">
        <v>8597</v>
      </c>
      <c r="G1836" s="1289">
        <v>6090.4</v>
      </c>
      <c r="H1836" s="1289">
        <v>5943.1</v>
      </c>
      <c r="I1836" s="1289">
        <v>4739</v>
      </c>
      <c r="J1836" s="1289">
        <v>4739</v>
      </c>
      <c r="K1836" s="1595" t="s">
        <v>438</v>
      </c>
      <c r="L1836" s="1289" t="s">
        <v>241</v>
      </c>
      <c r="M1836" s="19">
        <v>0.65</v>
      </c>
      <c r="N1836" s="19">
        <v>0.7</v>
      </c>
      <c r="O1836" s="19">
        <v>0.7</v>
      </c>
      <c r="P1836" s="19">
        <v>0.7</v>
      </c>
      <c r="Q1836" s="19">
        <v>0.7</v>
      </c>
    </row>
    <row r="1837" spans="1:17" ht="30" x14ac:dyDescent="0.25">
      <c r="A1837" s="1122"/>
      <c r="B1837" s="382"/>
      <c r="C1837" s="1146" t="s">
        <v>5</v>
      </c>
      <c r="D1837" s="1267"/>
      <c r="E1837" s="1595" t="s">
        <v>2708</v>
      </c>
      <c r="F1837" s="1289">
        <v>8396.4</v>
      </c>
      <c r="G1837" s="1289">
        <v>5854.4</v>
      </c>
      <c r="H1837" s="1289">
        <v>4028.3</v>
      </c>
      <c r="I1837" s="1289">
        <v>4505.1000000000004</v>
      </c>
      <c r="J1837" s="1289">
        <v>4505.1000000000004</v>
      </c>
      <c r="K1837" s="1595" t="s">
        <v>2880</v>
      </c>
      <c r="L1837" s="1289" t="s">
        <v>34</v>
      </c>
      <c r="M1837" s="19">
        <v>100</v>
      </c>
      <c r="N1837" s="19">
        <v>100</v>
      </c>
      <c r="O1837" s="19">
        <v>100</v>
      </c>
      <c r="P1837" s="19">
        <v>100</v>
      </c>
      <c r="Q1837" s="19">
        <v>100</v>
      </c>
    </row>
    <row r="1838" spans="1:17" ht="30" x14ac:dyDescent="0.25">
      <c r="A1838" s="1122"/>
      <c r="B1838" s="382"/>
      <c r="C1838" s="1146" t="s">
        <v>7</v>
      </c>
      <c r="D1838" s="1267"/>
      <c r="E1838" s="1595" t="s">
        <v>842</v>
      </c>
      <c r="F1838" s="1289">
        <v>7757.3</v>
      </c>
      <c r="G1838" s="1289">
        <v>5077.8999999999996</v>
      </c>
      <c r="H1838" s="1289">
        <v>2312</v>
      </c>
      <c r="I1838" s="1289">
        <v>3048.7</v>
      </c>
      <c r="J1838" s="1289">
        <v>3048.7</v>
      </c>
      <c r="K1838" s="1595" t="s">
        <v>440</v>
      </c>
      <c r="L1838" s="1289" t="s">
        <v>34</v>
      </c>
      <c r="M1838" s="19">
        <v>0</v>
      </c>
      <c r="N1838" s="19">
        <v>100</v>
      </c>
      <c r="O1838" s="19">
        <v>100</v>
      </c>
      <c r="P1838" s="19">
        <v>100</v>
      </c>
      <c r="Q1838" s="19">
        <v>100</v>
      </c>
    </row>
    <row r="1839" spans="1:17" ht="30" x14ac:dyDescent="0.25">
      <c r="A1839" s="1122"/>
      <c r="B1839" s="382"/>
      <c r="C1839" s="1146" t="s">
        <v>9</v>
      </c>
      <c r="D1839" s="1267"/>
      <c r="E1839" s="1595" t="s">
        <v>2573</v>
      </c>
      <c r="F1839" s="1289">
        <v>7734</v>
      </c>
      <c r="G1839" s="1289">
        <v>5105.3</v>
      </c>
      <c r="H1839" s="1289">
        <v>4241.5</v>
      </c>
      <c r="I1839" s="1289">
        <v>4441.3</v>
      </c>
      <c r="J1839" s="1289">
        <v>4441.3</v>
      </c>
      <c r="K1839" s="1595" t="s">
        <v>2881</v>
      </c>
      <c r="L1839" s="1289" t="s">
        <v>1577</v>
      </c>
      <c r="M1839" s="19" t="s">
        <v>355</v>
      </c>
      <c r="N1839" s="19">
        <v>100</v>
      </c>
      <c r="O1839" s="19">
        <v>100</v>
      </c>
      <c r="P1839" s="19">
        <v>100</v>
      </c>
      <c r="Q1839" s="19">
        <v>100</v>
      </c>
    </row>
    <row r="1840" spans="1:17" ht="45" x14ac:dyDescent="0.25">
      <c r="A1840" s="1122"/>
      <c r="B1840" s="382"/>
      <c r="C1840" s="1146" t="s">
        <v>13</v>
      </c>
      <c r="D1840" s="1267"/>
      <c r="E1840" s="1595" t="s">
        <v>2691</v>
      </c>
      <c r="F1840" s="1289">
        <v>13516.9</v>
      </c>
      <c r="G1840" s="1289">
        <v>21550.6</v>
      </c>
      <c r="H1840" s="1289">
        <v>3119.3</v>
      </c>
      <c r="I1840" s="1289">
        <v>3413.3</v>
      </c>
      <c r="J1840" s="1289">
        <v>3413.3</v>
      </c>
      <c r="K1840" s="1595" t="s">
        <v>2882</v>
      </c>
      <c r="L1840" s="1289" t="s">
        <v>34</v>
      </c>
      <c r="M1840" s="1010">
        <v>15.789473684210526</v>
      </c>
      <c r="N1840" s="1010">
        <v>14.285714285714285</v>
      </c>
      <c r="O1840" s="1010">
        <v>14.634146341463413</v>
      </c>
      <c r="P1840" s="1010">
        <v>14.634146341463413</v>
      </c>
      <c r="Q1840" s="1010">
        <v>14.634146341463413</v>
      </c>
    </row>
    <row r="1841" spans="1:17" ht="45" x14ac:dyDescent="0.25">
      <c r="A1841" s="1122"/>
      <c r="B1841" s="382"/>
      <c r="C1841" s="1146" t="s">
        <v>15</v>
      </c>
      <c r="D1841" s="1267"/>
      <c r="E1841" s="1217" t="s">
        <v>2883</v>
      </c>
      <c r="F1841" s="1289"/>
      <c r="G1841" s="1289"/>
      <c r="H1841" s="1289">
        <v>4198</v>
      </c>
      <c r="I1841" s="1289">
        <v>4879.7</v>
      </c>
      <c r="J1841" s="1289">
        <v>4879.7</v>
      </c>
      <c r="K1841" s="1212" t="s">
        <v>2884</v>
      </c>
      <c r="L1841" s="1289" t="s">
        <v>34</v>
      </c>
      <c r="M1841" s="1010"/>
      <c r="N1841" s="1010">
        <v>100</v>
      </c>
      <c r="O1841" s="1010">
        <v>100</v>
      </c>
      <c r="P1841" s="1010">
        <v>100</v>
      </c>
      <c r="Q1841" s="1010">
        <v>100</v>
      </c>
    </row>
    <row r="1842" spans="1:17" ht="30" x14ac:dyDescent="0.25">
      <c r="A1842" s="1122"/>
      <c r="B1842" s="382"/>
      <c r="C1842" s="1146" t="s">
        <v>16</v>
      </c>
      <c r="D1842" s="1267"/>
      <c r="E1842" s="1217" t="s">
        <v>2885</v>
      </c>
      <c r="F1842" s="1289"/>
      <c r="G1842" s="1289"/>
      <c r="H1842" s="1289">
        <v>18775.2</v>
      </c>
      <c r="I1842" s="1289">
        <v>19038.900000000001</v>
      </c>
      <c r="J1842" s="1289">
        <v>19038.900000000001</v>
      </c>
      <c r="K1842" s="1212" t="s">
        <v>2886</v>
      </c>
      <c r="L1842" s="1011" t="s">
        <v>34</v>
      </c>
      <c r="M1842" s="1010"/>
      <c r="N1842" s="1010">
        <v>74.999999999999986</v>
      </c>
      <c r="O1842" s="1010">
        <v>73.214285714285708</v>
      </c>
      <c r="P1842" s="1010">
        <v>73.214285714285708</v>
      </c>
      <c r="Q1842" s="1010">
        <v>73.214285714285708</v>
      </c>
    </row>
    <row r="1843" spans="1:17" ht="28.5" x14ac:dyDescent="0.25">
      <c r="A1843" s="1232">
        <v>76</v>
      </c>
      <c r="B1843" s="386">
        <v>2</v>
      </c>
      <c r="C1843" s="1146"/>
      <c r="D1843" s="1267"/>
      <c r="E1843" s="47" t="s">
        <v>2887</v>
      </c>
      <c r="F1843" s="754">
        <v>244248.4</v>
      </c>
      <c r="G1843" s="754">
        <v>246635.40000000002</v>
      </c>
      <c r="H1843" s="754">
        <f>SUM(H1844:H1846)</f>
        <v>714888.14</v>
      </c>
      <c r="I1843" s="754">
        <v>250077.59999999998</v>
      </c>
      <c r="J1843" s="754">
        <v>253969.59999999998</v>
      </c>
      <c r="K1843" s="1195" t="s">
        <v>2888</v>
      </c>
      <c r="L1843" s="1011" t="s">
        <v>34</v>
      </c>
      <c r="M1843" s="19">
        <v>47.02</v>
      </c>
      <c r="N1843" s="19">
        <v>47.03</v>
      </c>
      <c r="O1843" s="19">
        <v>45</v>
      </c>
      <c r="P1843" s="19">
        <v>43</v>
      </c>
      <c r="Q1843" s="19">
        <v>43</v>
      </c>
    </row>
    <row r="1844" spans="1:17" ht="30" x14ac:dyDescent="0.25">
      <c r="A1844" s="1122"/>
      <c r="B1844" s="382"/>
      <c r="C1844" s="1146" t="s">
        <v>4</v>
      </c>
      <c r="D1844" s="1267"/>
      <c r="E1844" s="1217" t="s">
        <v>2889</v>
      </c>
      <c r="F1844" s="1289">
        <v>24248.400000000001</v>
      </c>
      <c r="G1844" s="1289">
        <v>8252.2000000000007</v>
      </c>
      <c r="H1844" s="1289">
        <v>3358.3</v>
      </c>
      <c r="I1844" s="1289">
        <v>4195</v>
      </c>
      <c r="J1844" s="1289">
        <v>4195</v>
      </c>
      <c r="K1844" s="1212" t="s">
        <v>2890</v>
      </c>
      <c r="L1844" s="1011" t="s">
        <v>34</v>
      </c>
      <c r="M1844" s="19">
        <v>59.4</v>
      </c>
      <c r="N1844" s="1012">
        <v>60</v>
      </c>
      <c r="O1844" s="1012">
        <v>60</v>
      </c>
      <c r="P1844" s="1012">
        <v>60</v>
      </c>
      <c r="Q1844" s="1012">
        <v>60</v>
      </c>
    </row>
    <row r="1845" spans="1:17" ht="30" x14ac:dyDescent="0.25">
      <c r="A1845" s="1122"/>
      <c r="B1845" s="382"/>
      <c r="C1845" s="1146" t="s">
        <v>5</v>
      </c>
      <c r="D1845" s="1267"/>
      <c r="E1845" s="1595" t="s">
        <v>2891</v>
      </c>
      <c r="F1845" s="1289"/>
      <c r="G1845" s="1289"/>
      <c r="H1845" s="1289">
        <v>2919.2</v>
      </c>
      <c r="I1845" s="1289">
        <v>3669.8</v>
      </c>
      <c r="J1845" s="1289">
        <v>3669.8</v>
      </c>
      <c r="K1845" s="1212" t="s">
        <v>2892</v>
      </c>
      <c r="L1845" s="1011" t="s">
        <v>34</v>
      </c>
      <c r="M1845" s="19">
        <v>47.03</v>
      </c>
      <c r="N1845" s="19">
        <v>45</v>
      </c>
      <c r="O1845" s="19">
        <v>43</v>
      </c>
      <c r="P1845" s="19">
        <v>43</v>
      </c>
      <c r="Q1845" s="19">
        <v>43</v>
      </c>
    </row>
    <row r="1846" spans="1:17" ht="45" x14ac:dyDescent="0.25">
      <c r="A1846" s="1122"/>
      <c r="B1846" s="382"/>
      <c r="C1846" s="1146" t="s">
        <v>7</v>
      </c>
      <c r="D1846" s="1013"/>
      <c r="E1846" s="1212" t="s">
        <v>2893</v>
      </c>
      <c r="F1846" s="1289">
        <v>220000</v>
      </c>
      <c r="G1846" s="1289">
        <v>238383.2</v>
      </c>
      <c r="H1846" s="1014">
        <v>708610.64</v>
      </c>
      <c r="I1846" s="1014">
        <v>242212.8</v>
      </c>
      <c r="J1846" s="1014">
        <v>246104.8</v>
      </c>
      <c r="K1846" s="1620" t="s">
        <v>2894</v>
      </c>
      <c r="L1846" s="1011" t="s">
        <v>34</v>
      </c>
      <c r="M1846" s="19">
        <v>59.4</v>
      </c>
      <c r="N1846" s="1012">
        <v>60</v>
      </c>
      <c r="O1846" s="1012">
        <v>60</v>
      </c>
      <c r="P1846" s="1012">
        <v>60</v>
      </c>
      <c r="Q1846" s="1012">
        <v>60</v>
      </c>
    </row>
    <row r="1847" spans="1:17" x14ac:dyDescent="0.25">
      <c r="A1847" s="1779" t="s">
        <v>2895</v>
      </c>
      <c r="B1847" s="1780"/>
      <c r="C1847" s="1781"/>
      <c r="D1847" s="1781"/>
      <c r="E1847" s="1781"/>
      <c r="F1847" s="71">
        <v>290250</v>
      </c>
      <c r="G1847" s="71">
        <v>290314</v>
      </c>
      <c r="H1847" s="71">
        <f>H1835+H1843</f>
        <v>757505.54</v>
      </c>
      <c r="I1847" s="71">
        <v>294143.59999999998</v>
      </c>
      <c r="J1847" s="71">
        <v>298035.59999999998</v>
      </c>
      <c r="K1847" s="553"/>
      <c r="L1847" s="554"/>
      <c r="M1847" s="554"/>
      <c r="N1847" s="554"/>
      <c r="O1847" s="554"/>
      <c r="P1847" s="554"/>
      <c r="Q1847" s="554"/>
    </row>
    <row r="1848" spans="1:17" x14ac:dyDescent="0.25">
      <c r="A1848" s="1648" t="s">
        <v>2896</v>
      </c>
      <c r="B1848" s="1649"/>
      <c r="C1848" s="1649"/>
      <c r="D1848" s="1649"/>
      <c r="E1848" s="1649"/>
      <c r="F1848" s="1649"/>
      <c r="G1848" s="1649"/>
      <c r="H1848" s="1649"/>
      <c r="I1848" s="1649"/>
      <c r="J1848" s="1649"/>
      <c r="K1848" s="1649"/>
      <c r="L1848" s="1649"/>
      <c r="M1848" s="1649"/>
      <c r="N1848" s="1649"/>
      <c r="O1848" s="1649"/>
      <c r="P1848" s="1649"/>
      <c r="Q1848" s="1650"/>
    </row>
    <row r="1849" spans="1:17" ht="88.5" x14ac:dyDescent="0.25">
      <c r="A1849" s="1232">
        <v>77</v>
      </c>
      <c r="B1849" s="1179">
        <v>1</v>
      </c>
      <c r="C1849" s="1287"/>
      <c r="D1849" s="1015"/>
      <c r="E1849" s="178" t="s">
        <v>3140</v>
      </c>
      <c r="F1849" s="1278">
        <v>2898.5000000000005</v>
      </c>
      <c r="G1849" s="1278">
        <v>2711.8</v>
      </c>
      <c r="H1849" s="1278">
        <f>SUM(H1850:H1852)</f>
        <v>2948.2</v>
      </c>
      <c r="I1849" s="1278">
        <v>3057.9</v>
      </c>
      <c r="J1849" s="1278">
        <v>3132.1</v>
      </c>
      <c r="K1849" s="1195" t="s">
        <v>2897</v>
      </c>
      <c r="L1849" s="1266" t="s">
        <v>34</v>
      </c>
      <c r="M1849" s="1266">
        <v>11.8</v>
      </c>
      <c r="N1849" s="1266">
        <v>10.6</v>
      </c>
      <c r="O1849" s="1266">
        <v>10.6</v>
      </c>
      <c r="P1849" s="1266">
        <v>10.6</v>
      </c>
      <c r="Q1849" s="1266">
        <v>11.3</v>
      </c>
    </row>
    <row r="1850" spans="1:17" ht="30" x14ac:dyDescent="0.25">
      <c r="A1850" s="1122"/>
      <c r="B1850" s="930"/>
      <c r="C1850" s="789" t="s">
        <v>5</v>
      </c>
      <c r="D1850" s="3"/>
      <c r="E1850" s="1302" t="s">
        <v>2708</v>
      </c>
      <c r="F1850" s="141">
        <v>924.7</v>
      </c>
      <c r="G1850" s="193">
        <v>1217.2</v>
      </c>
      <c r="H1850" s="141">
        <v>1789.3</v>
      </c>
      <c r="I1850" s="141">
        <v>1716.2</v>
      </c>
      <c r="J1850" s="141">
        <v>1790.4</v>
      </c>
      <c r="K1850" s="1212" t="s">
        <v>515</v>
      </c>
      <c r="L1850" s="1289" t="s">
        <v>34</v>
      </c>
      <c r="M1850" s="1289">
        <v>100</v>
      </c>
      <c r="N1850" s="1289">
        <v>100</v>
      </c>
      <c r="O1850" s="1289">
        <v>100</v>
      </c>
      <c r="P1850" s="1289">
        <v>100</v>
      </c>
      <c r="Q1850" s="1289">
        <v>100</v>
      </c>
    </row>
    <row r="1851" spans="1:17" ht="30" x14ac:dyDescent="0.25">
      <c r="A1851" s="1122"/>
      <c r="B1851" s="930"/>
      <c r="C1851" s="789" t="s">
        <v>7</v>
      </c>
      <c r="D1851" s="3"/>
      <c r="E1851" s="1302" t="s">
        <v>842</v>
      </c>
      <c r="F1851" s="141">
        <v>1627.9</v>
      </c>
      <c r="G1851" s="193">
        <v>526.29999999999995</v>
      </c>
      <c r="H1851" s="141">
        <v>500.6</v>
      </c>
      <c r="I1851" s="141">
        <v>589.29999999999995</v>
      </c>
      <c r="J1851" s="141">
        <v>589.29999999999995</v>
      </c>
      <c r="K1851" s="1212" t="s">
        <v>2898</v>
      </c>
      <c r="L1851" s="1289" t="s">
        <v>34</v>
      </c>
      <c r="M1851" s="1289">
        <v>100</v>
      </c>
      <c r="N1851" s="1289">
        <v>100</v>
      </c>
      <c r="O1851" s="1289">
        <v>100</v>
      </c>
      <c r="P1851" s="1289">
        <v>100</v>
      </c>
      <c r="Q1851" s="1289">
        <v>100</v>
      </c>
    </row>
    <row r="1852" spans="1:17" ht="30" x14ac:dyDescent="0.25">
      <c r="A1852" s="1122"/>
      <c r="B1852" s="930"/>
      <c r="C1852" s="789" t="s">
        <v>9</v>
      </c>
      <c r="D1852" s="3"/>
      <c r="E1852" s="1302" t="s">
        <v>2573</v>
      </c>
      <c r="F1852" s="141">
        <v>345.9</v>
      </c>
      <c r="G1852" s="193">
        <v>968.3</v>
      </c>
      <c r="H1852" s="141">
        <v>658.3</v>
      </c>
      <c r="I1852" s="141">
        <v>752.4</v>
      </c>
      <c r="J1852" s="141">
        <v>752.4</v>
      </c>
      <c r="K1852" s="1302" t="s">
        <v>2881</v>
      </c>
      <c r="L1852" s="1289" t="s">
        <v>1577</v>
      </c>
      <c r="M1852" s="1016" t="s">
        <v>356</v>
      </c>
      <c r="N1852" s="1016" t="s">
        <v>356</v>
      </c>
      <c r="O1852" s="1016" t="s">
        <v>356</v>
      </c>
      <c r="P1852" s="1016" t="s">
        <v>356</v>
      </c>
      <c r="Q1852" s="1016" t="s">
        <v>356</v>
      </c>
    </row>
    <row r="1853" spans="1:17" ht="147" x14ac:dyDescent="0.25">
      <c r="A1853" s="1424">
        <v>77</v>
      </c>
      <c r="B1853" s="1425">
        <v>2</v>
      </c>
      <c r="C1853" s="1344"/>
      <c r="D1853" s="1345"/>
      <c r="E1853" s="1195" t="s">
        <v>3141</v>
      </c>
      <c r="F1853" s="1543">
        <v>8239.2999999999993</v>
      </c>
      <c r="G1853" s="1543">
        <v>8317</v>
      </c>
      <c r="H1853" s="1543">
        <f>SUM(H1854:H1856)</f>
        <v>13347.600000000002</v>
      </c>
      <c r="I1853" s="1543">
        <v>9070.4</v>
      </c>
      <c r="J1853" s="1543">
        <v>9070.4</v>
      </c>
      <c r="K1853" s="1212" t="s">
        <v>3160</v>
      </c>
      <c r="L1853" s="1346" t="s">
        <v>34</v>
      </c>
      <c r="M1853" s="1544">
        <v>100</v>
      </c>
      <c r="N1853" s="1545">
        <v>100</v>
      </c>
      <c r="O1853" s="1545">
        <v>100</v>
      </c>
      <c r="P1853" s="1545">
        <v>100</v>
      </c>
      <c r="Q1853" s="1545">
        <v>100</v>
      </c>
    </row>
    <row r="1854" spans="1:17" ht="45" x14ac:dyDescent="0.25">
      <c r="A1854" s="1342"/>
      <c r="B1854" s="1343"/>
      <c r="C1854" s="1344" t="s">
        <v>4</v>
      </c>
      <c r="D1854" s="1345"/>
      <c r="E1854" s="1212" t="s">
        <v>2899</v>
      </c>
      <c r="F1854" s="1546">
        <v>6377.2</v>
      </c>
      <c r="G1854" s="1546">
        <v>4801.6000000000004</v>
      </c>
      <c r="H1854" s="1547">
        <v>7636.6</v>
      </c>
      <c r="I1854" s="1547">
        <v>6702.9</v>
      </c>
      <c r="J1854" s="1547">
        <v>6702.9</v>
      </c>
      <c r="K1854" s="1212" t="s">
        <v>2900</v>
      </c>
      <c r="L1854" s="1346" t="s">
        <v>34</v>
      </c>
      <c r="M1854" s="1548">
        <v>100</v>
      </c>
      <c r="N1854" s="1548">
        <v>100</v>
      </c>
      <c r="O1854" s="1548">
        <v>100</v>
      </c>
      <c r="P1854" s="1548">
        <v>100</v>
      </c>
      <c r="Q1854" s="1548">
        <v>100</v>
      </c>
    </row>
    <row r="1855" spans="1:17" ht="45" x14ac:dyDescent="0.25">
      <c r="A1855" s="1342"/>
      <c r="B1855" s="1343"/>
      <c r="C1855" s="1344" t="s">
        <v>5</v>
      </c>
      <c r="D1855" s="1345"/>
      <c r="E1855" s="1212" t="s">
        <v>2901</v>
      </c>
      <c r="F1855" s="1546">
        <v>1221.5</v>
      </c>
      <c r="G1855" s="1546">
        <v>1800.9</v>
      </c>
      <c r="H1855" s="1547">
        <v>697.7</v>
      </c>
      <c r="I1855" s="1547">
        <v>833.7</v>
      </c>
      <c r="J1855" s="1547">
        <v>833.7</v>
      </c>
      <c r="K1855" s="1212" t="s">
        <v>2902</v>
      </c>
      <c r="L1855" s="1346" t="s">
        <v>56</v>
      </c>
      <c r="M1855" s="1548">
        <v>2</v>
      </c>
      <c r="N1855" s="1548">
        <v>2</v>
      </c>
      <c r="O1855" s="1548">
        <v>2</v>
      </c>
      <c r="P1855" s="1548">
        <v>2</v>
      </c>
      <c r="Q1855" s="1548">
        <v>2</v>
      </c>
    </row>
    <row r="1856" spans="1:17" ht="45" x14ac:dyDescent="0.25">
      <c r="A1856" s="426"/>
      <c r="B1856" s="1343"/>
      <c r="C1856" s="1344" t="s">
        <v>7</v>
      </c>
      <c r="D1856" s="160"/>
      <c r="E1856" s="1212" t="s">
        <v>2903</v>
      </c>
      <c r="F1856" s="1546">
        <v>640.6</v>
      </c>
      <c r="G1856" s="1546">
        <v>1714.5</v>
      </c>
      <c r="H1856" s="1547">
        <v>5013.3</v>
      </c>
      <c r="I1856" s="1547">
        <v>1533.8</v>
      </c>
      <c r="J1856" s="1547">
        <v>1533.8</v>
      </c>
      <c r="K1856" s="1212" t="s">
        <v>2904</v>
      </c>
      <c r="L1856" s="1289" t="s">
        <v>2905</v>
      </c>
      <c r="M1856" s="1017">
        <v>2300</v>
      </c>
      <c r="N1856" s="1017">
        <v>2600</v>
      </c>
      <c r="O1856" s="1017">
        <v>2900</v>
      </c>
      <c r="P1856" s="1017">
        <v>2900</v>
      </c>
      <c r="Q1856" s="1017">
        <v>2900</v>
      </c>
    </row>
    <row r="1857" spans="1:17" x14ac:dyDescent="0.25">
      <c r="A1857" s="1651" t="s">
        <v>2906</v>
      </c>
      <c r="B1857" s="1651"/>
      <c r="C1857" s="1651"/>
      <c r="D1857" s="1651"/>
      <c r="E1857" s="1652"/>
      <c r="F1857" s="42">
        <v>11137.8</v>
      </c>
      <c r="G1857" s="42">
        <v>11028.8</v>
      </c>
      <c r="H1857" s="42">
        <f>H1849+H1853</f>
        <v>16295.800000000003</v>
      </c>
      <c r="I1857" s="42">
        <v>12128.3</v>
      </c>
      <c r="J1857" s="42">
        <v>12202.5</v>
      </c>
      <c r="K1857" s="15"/>
      <c r="L1857" s="1231"/>
      <c r="M1857" s="1270"/>
      <c r="N1857" s="1270"/>
      <c r="O1857" s="1270"/>
      <c r="P1857" s="1270"/>
      <c r="Q1857" s="1270"/>
    </row>
    <row r="1858" spans="1:17" x14ac:dyDescent="0.25">
      <c r="A1858" s="1648" t="s">
        <v>357</v>
      </c>
      <c r="B1858" s="1649"/>
      <c r="C1858" s="1649"/>
      <c r="D1858" s="1649"/>
      <c r="E1858" s="1649"/>
      <c r="F1858" s="1649"/>
      <c r="G1858" s="1649"/>
      <c r="H1858" s="1649"/>
      <c r="I1858" s="1649"/>
      <c r="J1858" s="1649"/>
      <c r="K1858" s="1649"/>
      <c r="L1858" s="1649"/>
      <c r="M1858" s="1649"/>
      <c r="N1858" s="1649"/>
      <c r="O1858" s="1649"/>
      <c r="P1858" s="1649"/>
      <c r="Q1858" s="1650"/>
    </row>
    <row r="1859" spans="1:17" x14ac:dyDescent="0.25">
      <c r="A1859" s="757">
        <v>79</v>
      </c>
      <c r="B1859" s="1290">
        <v>2</v>
      </c>
      <c r="C1859" s="1287"/>
      <c r="D1859" s="160"/>
      <c r="E1859" s="1173" t="s">
        <v>2907</v>
      </c>
      <c r="F1859" s="1169">
        <v>0</v>
      </c>
      <c r="G1859" s="1169">
        <v>0</v>
      </c>
      <c r="H1859" s="1169">
        <f>H1860</f>
        <v>1208.3</v>
      </c>
      <c r="I1859" s="1169">
        <v>18387.2</v>
      </c>
      <c r="J1859" s="1169">
        <v>18630.5</v>
      </c>
      <c r="K1859" s="259"/>
      <c r="L1859" s="1289"/>
      <c r="M1859" s="1018"/>
      <c r="N1859" s="1018"/>
      <c r="O1859" s="1018"/>
      <c r="P1859" s="1018"/>
      <c r="Q1859" s="1018"/>
    </row>
    <row r="1860" spans="1:17" ht="60" x14ac:dyDescent="0.25">
      <c r="A1860" s="426"/>
      <c r="B1860" s="271"/>
      <c r="C1860" s="1287" t="s">
        <v>4</v>
      </c>
      <c r="D1860" s="160"/>
      <c r="E1860" s="1212" t="s">
        <v>2908</v>
      </c>
      <c r="F1860" s="1108"/>
      <c r="G1860" s="1108"/>
      <c r="H1860" s="1219">
        <v>1208.3</v>
      </c>
      <c r="I1860" s="1216">
        <v>18387.2</v>
      </c>
      <c r="J1860" s="1216">
        <v>18630.5</v>
      </c>
      <c r="K1860" s="1212" t="s">
        <v>2909</v>
      </c>
      <c r="L1860" s="1289" t="s">
        <v>780</v>
      </c>
      <c r="M1860" s="1019">
        <v>4</v>
      </c>
      <c r="N1860" s="1019">
        <v>4</v>
      </c>
      <c r="O1860" s="1019">
        <v>4</v>
      </c>
      <c r="P1860" s="1019">
        <v>4</v>
      </c>
      <c r="Q1860" s="1019">
        <v>4</v>
      </c>
    </row>
    <row r="1861" spans="1:17" x14ac:dyDescent="0.25">
      <c r="A1861" s="1651" t="s">
        <v>2910</v>
      </c>
      <c r="B1861" s="1651"/>
      <c r="C1861" s="1651"/>
      <c r="D1861" s="1651"/>
      <c r="E1861" s="1652"/>
      <c r="F1861" s="42">
        <v>0</v>
      </c>
      <c r="G1861" s="42">
        <v>0</v>
      </c>
      <c r="H1861" s="42">
        <f>H1859</f>
        <v>1208.3</v>
      </c>
      <c r="I1861" s="42">
        <v>18387.2</v>
      </c>
      <c r="J1861" s="42">
        <v>18630.5</v>
      </c>
      <c r="K1861" s="15"/>
      <c r="L1861" s="1231"/>
      <c r="M1861" s="1270"/>
      <c r="N1861" s="1270"/>
      <c r="O1861" s="1270"/>
      <c r="P1861" s="1270"/>
      <c r="Q1861" s="1270"/>
    </row>
    <row r="1862" spans="1:17" ht="15.75" thickBot="1" x14ac:dyDescent="0.3">
      <c r="A1862" s="1662" t="s">
        <v>2911</v>
      </c>
      <c r="B1862" s="1663"/>
      <c r="C1862" s="1663"/>
      <c r="D1862" s="1663"/>
      <c r="E1862" s="1663"/>
      <c r="F1862" s="1663"/>
      <c r="G1862" s="1663"/>
      <c r="H1862" s="1663"/>
      <c r="I1862" s="1663"/>
      <c r="J1862" s="1663"/>
      <c r="K1862" s="1663"/>
      <c r="L1862" s="1663"/>
      <c r="M1862" s="1663"/>
      <c r="N1862" s="1663"/>
      <c r="O1862" s="1663"/>
      <c r="P1862" s="1663"/>
      <c r="Q1862" s="1664"/>
    </row>
    <row r="1863" spans="1:17" ht="42.75" x14ac:dyDescent="0.25">
      <c r="A1863" s="890">
        <v>80</v>
      </c>
      <c r="B1863" s="1233">
        <v>1</v>
      </c>
      <c r="C1863" s="1020"/>
      <c r="D1863" s="1015"/>
      <c r="E1863" s="178" t="s">
        <v>2912</v>
      </c>
      <c r="F1863" s="1021">
        <v>39906.899999999994</v>
      </c>
      <c r="G1863" s="1021">
        <v>51872.2</v>
      </c>
      <c r="H1863" s="1021">
        <f>SUM(H1864:H1867)</f>
        <v>77743.600000000006</v>
      </c>
      <c r="I1863" s="159">
        <v>46283.100000000006</v>
      </c>
      <c r="J1863" s="159">
        <v>46283.100000000006</v>
      </c>
      <c r="K1863" s="1195" t="s">
        <v>2913</v>
      </c>
      <c r="L1863" s="1266" t="s">
        <v>34</v>
      </c>
      <c r="M1863" s="1266"/>
      <c r="N1863" s="1266"/>
      <c r="O1863" s="1266"/>
      <c r="P1863" s="1266"/>
      <c r="Q1863" s="1266"/>
    </row>
    <row r="1864" spans="1:17" x14ac:dyDescent="0.25">
      <c r="A1864" s="1022"/>
      <c r="B1864" s="1023"/>
      <c r="C1864" s="331">
        <v>1</v>
      </c>
      <c r="D1864" s="1015"/>
      <c r="E1864" s="1595" t="s">
        <v>2707</v>
      </c>
      <c r="F1864" s="1021"/>
      <c r="G1864" s="1021"/>
      <c r="H1864" s="31">
        <v>77743.600000000006</v>
      </c>
      <c r="I1864" s="159"/>
      <c r="J1864" s="159"/>
      <c r="K1864" s="1195"/>
      <c r="L1864" s="1266"/>
      <c r="M1864" s="1266"/>
      <c r="N1864" s="1266"/>
      <c r="O1864" s="1266"/>
      <c r="P1864" s="1266"/>
      <c r="Q1864" s="1266"/>
    </row>
    <row r="1865" spans="1:17" x14ac:dyDescent="0.25">
      <c r="A1865" s="1397"/>
      <c r="B1865" s="1522"/>
      <c r="C1865" s="331">
        <v>3</v>
      </c>
      <c r="D1865" s="3"/>
      <c r="E1865" s="1596" t="s">
        <v>842</v>
      </c>
      <c r="F1865" s="31">
        <v>13302.3</v>
      </c>
      <c r="G1865" s="31">
        <v>15740.5</v>
      </c>
      <c r="H1865" s="31">
        <v>0</v>
      </c>
      <c r="I1865" s="1125">
        <v>15427.7</v>
      </c>
      <c r="J1865" s="1125">
        <v>15427.7</v>
      </c>
      <c r="K1865" s="1212" t="s">
        <v>2914</v>
      </c>
      <c r="L1865" s="1289" t="s">
        <v>34</v>
      </c>
      <c r="M1865" s="1289">
        <v>25</v>
      </c>
      <c r="N1865" s="1289">
        <v>26</v>
      </c>
      <c r="O1865" s="1289">
        <v>27</v>
      </c>
      <c r="P1865" s="1289">
        <v>27</v>
      </c>
      <c r="Q1865" s="1289">
        <v>27</v>
      </c>
    </row>
    <row r="1866" spans="1:17" ht="45" x14ac:dyDescent="0.25">
      <c r="A1866" s="1397"/>
      <c r="B1866" s="1522"/>
      <c r="C1866" s="331">
        <v>50</v>
      </c>
      <c r="D1866" s="3"/>
      <c r="E1866" s="1302" t="s">
        <v>2915</v>
      </c>
      <c r="F1866" s="31">
        <v>13302.4</v>
      </c>
      <c r="G1866" s="31">
        <v>15798.4</v>
      </c>
      <c r="H1866" s="31">
        <v>0</v>
      </c>
      <c r="I1866" s="1125">
        <v>15427.6</v>
      </c>
      <c r="J1866" s="1125">
        <v>15427.6</v>
      </c>
      <c r="K1866" s="1212" t="s">
        <v>2916</v>
      </c>
      <c r="L1866" s="1289" t="s">
        <v>825</v>
      </c>
      <c r="M1866" s="1289">
        <v>140</v>
      </c>
      <c r="N1866" s="1289">
        <v>140</v>
      </c>
      <c r="O1866" s="1289">
        <v>140</v>
      </c>
      <c r="P1866" s="1289">
        <v>140</v>
      </c>
      <c r="Q1866" s="1289">
        <v>140</v>
      </c>
    </row>
    <row r="1867" spans="1:17" ht="45" x14ac:dyDescent="0.25">
      <c r="A1867" s="1397"/>
      <c r="B1867" s="1522"/>
      <c r="C1867" s="331">
        <v>51</v>
      </c>
      <c r="D1867" s="3"/>
      <c r="E1867" s="1302" t="s">
        <v>2917</v>
      </c>
      <c r="F1867" s="31">
        <v>13302.2</v>
      </c>
      <c r="G1867" s="31">
        <v>20333.3</v>
      </c>
      <c r="H1867" s="31">
        <v>0</v>
      </c>
      <c r="I1867" s="1125">
        <v>15427.8</v>
      </c>
      <c r="J1867" s="1125">
        <v>15427.8</v>
      </c>
      <c r="K1867" s="1212" t="s">
        <v>2918</v>
      </c>
      <c r="L1867" s="1289" t="s">
        <v>825</v>
      </c>
      <c r="M1867" s="1289">
        <v>5</v>
      </c>
      <c r="N1867" s="1289">
        <v>5</v>
      </c>
      <c r="O1867" s="1289">
        <v>5</v>
      </c>
      <c r="P1867" s="1289">
        <v>5</v>
      </c>
      <c r="Q1867" s="1289">
        <v>5</v>
      </c>
    </row>
    <row r="1868" spans="1:17" ht="28.5" x14ac:dyDescent="0.25">
      <c r="A1868" s="1424">
        <v>80</v>
      </c>
      <c r="B1868" s="1425">
        <v>2</v>
      </c>
      <c r="C1868" s="1549"/>
      <c r="D1868" s="1550"/>
      <c r="E1868" s="1195" t="s">
        <v>2919</v>
      </c>
      <c r="F1868" s="1024">
        <v>122967.8</v>
      </c>
      <c r="G1868" s="1024">
        <v>121650.99999999999</v>
      </c>
      <c r="H1868" s="1024">
        <f>SUM(H1869:H1872)</f>
        <v>126183.6</v>
      </c>
      <c r="I1868" s="1213">
        <v>119366.5</v>
      </c>
      <c r="J1868" s="1213">
        <v>119366.5</v>
      </c>
      <c r="K1868" s="178" t="s">
        <v>2920</v>
      </c>
      <c r="L1868" s="19" t="s">
        <v>825</v>
      </c>
      <c r="M1868" s="1025"/>
      <c r="N1868" s="1026"/>
      <c r="O1868" s="1026"/>
      <c r="P1868" s="1026"/>
      <c r="Q1868" s="1026"/>
    </row>
    <row r="1869" spans="1:17" ht="45" x14ac:dyDescent="0.25">
      <c r="A1869" s="1342"/>
      <c r="B1869" s="1343"/>
      <c r="C1869" s="1344" t="s">
        <v>4</v>
      </c>
      <c r="D1869" s="1345"/>
      <c r="E1869" s="1212" t="s">
        <v>2921</v>
      </c>
      <c r="F1869" s="1551">
        <v>31335.599999999999</v>
      </c>
      <c r="G1869" s="1551">
        <v>32231.699999999997</v>
      </c>
      <c r="H1869" s="31">
        <v>33781.4</v>
      </c>
      <c r="I1869" s="1125">
        <v>31460.7</v>
      </c>
      <c r="J1869" s="1125">
        <v>31460.7</v>
      </c>
      <c r="K1869" s="1217" t="s">
        <v>2922</v>
      </c>
      <c r="L1869" s="1289" t="s">
        <v>825</v>
      </c>
      <c r="M1869" s="759">
        <v>6880</v>
      </c>
      <c r="N1869" s="761">
        <v>7000</v>
      </c>
      <c r="O1869" s="761">
        <v>7000</v>
      </c>
      <c r="P1869" s="761">
        <v>7000</v>
      </c>
      <c r="Q1869" s="761">
        <v>7000</v>
      </c>
    </row>
    <row r="1870" spans="1:17" ht="75" x14ac:dyDescent="0.25">
      <c r="A1870" s="1342"/>
      <c r="B1870" s="1343"/>
      <c r="C1870" s="1344" t="s">
        <v>5</v>
      </c>
      <c r="D1870" s="1345"/>
      <c r="E1870" s="1212" t="s">
        <v>2923</v>
      </c>
      <c r="F1870" s="1551">
        <v>22134.799999999999</v>
      </c>
      <c r="G1870" s="1551">
        <v>18825.399999999998</v>
      </c>
      <c r="H1870" s="31">
        <v>17659.400000000001</v>
      </c>
      <c r="I1870" s="1125">
        <v>19268.8</v>
      </c>
      <c r="J1870" s="1125">
        <v>19268.8</v>
      </c>
      <c r="K1870" s="1217" t="s">
        <v>2924</v>
      </c>
      <c r="L1870" s="1289" t="s">
        <v>825</v>
      </c>
      <c r="M1870" s="759">
        <v>20</v>
      </c>
      <c r="N1870" s="761">
        <v>20</v>
      </c>
      <c r="O1870" s="761">
        <v>20</v>
      </c>
      <c r="P1870" s="761">
        <v>21</v>
      </c>
      <c r="Q1870" s="761">
        <v>22</v>
      </c>
    </row>
    <row r="1871" spans="1:17" ht="105" x14ac:dyDescent="0.25">
      <c r="A1871" s="1342"/>
      <c r="B1871" s="1343"/>
      <c r="C1871" s="1344" t="s">
        <v>7</v>
      </c>
      <c r="D1871" s="1345"/>
      <c r="E1871" s="1212" t="s">
        <v>2925</v>
      </c>
      <c r="F1871" s="1551">
        <v>45173.1</v>
      </c>
      <c r="G1871" s="1551">
        <v>46803.399999999994</v>
      </c>
      <c r="H1871" s="31">
        <v>49924.5</v>
      </c>
      <c r="I1871" s="1125">
        <v>45881.100000000006</v>
      </c>
      <c r="J1871" s="1125">
        <v>45881.100000000006</v>
      </c>
      <c r="K1871" s="1217" t="s">
        <v>2926</v>
      </c>
      <c r="L1871" s="1289" t="s">
        <v>825</v>
      </c>
      <c r="M1871" s="759">
        <v>7</v>
      </c>
      <c r="N1871" s="761">
        <v>15</v>
      </c>
      <c r="O1871" s="761">
        <v>15</v>
      </c>
      <c r="P1871" s="761">
        <v>15</v>
      </c>
      <c r="Q1871" s="761">
        <v>15</v>
      </c>
    </row>
    <row r="1872" spans="1:17" ht="90" x14ac:dyDescent="0.25">
      <c r="A1872" s="1342"/>
      <c r="B1872" s="1343"/>
      <c r="C1872" s="1344" t="s">
        <v>9</v>
      </c>
      <c r="D1872" s="1345"/>
      <c r="E1872" s="1212" t="s">
        <v>2927</v>
      </c>
      <c r="F1872" s="31">
        <v>24324.3</v>
      </c>
      <c r="G1872" s="31">
        <v>23790.500000000004</v>
      </c>
      <c r="H1872" s="31">
        <v>24818.3</v>
      </c>
      <c r="I1872" s="1125">
        <v>22755.9</v>
      </c>
      <c r="J1872" s="1125">
        <v>22755.9</v>
      </c>
      <c r="K1872" s="1217" t="s">
        <v>2928</v>
      </c>
      <c r="L1872" s="1289" t="s">
        <v>825</v>
      </c>
      <c r="M1872" s="759">
        <v>15</v>
      </c>
      <c r="N1872" s="1027">
        <v>15</v>
      </c>
      <c r="O1872" s="1027">
        <v>15</v>
      </c>
      <c r="P1872" s="1027">
        <v>15</v>
      </c>
      <c r="Q1872" s="1027">
        <v>15</v>
      </c>
    </row>
    <row r="1873" spans="1:17" ht="43.5" x14ac:dyDescent="0.25">
      <c r="A1873" s="1424">
        <v>80</v>
      </c>
      <c r="B1873" s="1425">
        <v>3</v>
      </c>
      <c r="C1873" s="1549"/>
      <c r="D1873" s="1550"/>
      <c r="E1873" s="1028" t="s">
        <v>2929</v>
      </c>
      <c r="F1873" s="1552">
        <v>101305</v>
      </c>
      <c r="G1873" s="1552">
        <v>116676.59999999998</v>
      </c>
      <c r="H1873" s="1552">
        <f>SUM(H1874:H1876)</f>
        <v>114858.1</v>
      </c>
      <c r="I1873" s="1553">
        <v>107709.79999999999</v>
      </c>
      <c r="J1873" s="1553">
        <v>108043.79999999999</v>
      </c>
      <c r="K1873" s="178" t="s">
        <v>2930</v>
      </c>
      <c r="L1873" s="19" t="s">
        <v>780</v>
      </c>
      <c r="M1873" s="1025"/>
      <c r="N1873" s="1026"/>
      <c r="O1873" s="1026"/>
      <c r="P1873" s="1026"/>
      <c r="Q1873" s="1026"/>
    </row>
    <row r="1874" spans="1:17" ht="120" x14ac:dyDescent="0.25">
      <c r="A1874" s="1342"/>
      <c r="B1874" s="1343"/>
      <c r="C1874" s="1344" t="s">
        <v>4</v>
      </c>
      <c r="D1874" s="1345"/>
      <c r="E1874" s="1212" t="s">
        <v>2931</v>
      </c>
      <c r="F1874" s="1551">
        <v>37467.199999999997</v>
      </c>
      <c r="G1874" s="1551">
        <v>54121.649999999987</v>
      </c>
      <c r="H1874" s="31">
        <v>30241.200000000001</v>
      </c>
      <c r="I1874" s="1125">
        <v>50573.599999999991</v>
      </c>
      <c r="J1874" s="1125">
        <v>50887.599999999991</v>
      </c>
      <c r="K1874" s="759" t="s">
        <v>2932</v>
      </c>
      <c r="L1874" s="1289" t="s">
        <v>2933</v>
      </c>
      <c r="M1874" s="759">
        <v>2000</v>
      </c>
      <c r="N1874" s="1027">
        <v>5450</v>
      </c>
      <c r="O1874" s="1027">
        <v>5900</v>
      </c>
      <c r="P1874" s="1027">
        <v>6070</v>
      </c>
      <c r="Q1874" s="1027">
        <v>6500</v>
      </c>
    </row>
    <row r="1875" spans="1:17" ht="90" x14ac:dyDescent="0.25">
      <c r="A1875" s="1342"/>
      <c r="B1875" s="1343"/>
      <c r="C1875" s="1344" t="s">
        <v>5</v>
      </c>
      <c r="D1875" s="1345"/>
      <c r="E1875" s="1126" t="s">
        <v>2934</v>
      </c>
      <c r="F1875" s="1551">
        <v>27642.9</v>
      </c>
      <c r="G1875" s="1551">
        <v>29434.599999999995</v>
      </c>
      <c r="H1875" s="31">
        <v>40899.800000000003</v>
      </c>
      <c r="I1875" s="1125">
        <v>27850.7</v>
      </c>
      <c r="J1875" s="1125">
        <v>27900.7</v>
      </c>
      <c r="K1875" s="1126" t="s">
        <v>2935</v>
      </c>
      <c r="L1875" s="1289" t="s">
        <v>825</v>
      </c>
      <c r="M1875" s="759" t="s">
        <v>358</v>
      </c>
      <c r="N1875" s="759" t="s">
        <v>359</v>
      </c>
      <c r="O1875" s="759" t="s">
        <v>360</v>
      </c>
      <c r="P1875" s="759" t="s">
        <v>361</v>
      </c>
      <c r="Q1875" s="759" t="s">
        <v>362</v>
      </c>
    </row>
    <row r="1876" spans="1:17" ht="105" x14ac:dyDescent="0.25">
      <c r="A1876" s="1342"/>
      <c r="B1876" s="1343"/>
      <c r="C1876" s="1344" t="s">
        <v>7</v>
      </c>
      <c r="D1876" s="1345"/>
      <c r="E1876" s="1217" t="s">
        <v>2936</v>
      </c>
      <c r="F1876" s="1551">
        <v>36194.9</v>
      </c>
      <c r="G1876" s="1551">
        <v>33120.35</v>
      </c>
      <c r="H1876" s="31">
        <v>43717.1</v>
      </c>
      <c r="I1876" s="1125">
        <v>29285.5</v>
      </c>
      <c r="J1876" s="1125">
        <v>29255.5</v>
      </c>
      <c r="K1876" s="1126" t="s">
        <v>2937</v>
      </c>
      <c r="L1876" s="1289" t="s">
        <v>825</v>
      </c>
      <c r="M1876" s="759" t="s">
        <v>363</v>
      </c>
      <c r="N1876" s="759" t="s">
        <v>364</v>
      </c>
      <c r="O1876" s="759" t="s">
        <v>365</v>
      </c>
      <c r="P1876" s="759" t="s">
        <v>365</v>
      </c>
      <c r="Q1876" s="759" t="s">
        <v>366</v>
      </c>
    </row>
    <row r="1877" spans="1:17" ht="28.5" x14ac:dyDescent="0.25">
      <c r="A1877" s="1424">
        <v>80</v>
      </c>
      <c r="B1877" s="1425">
        <v>4</v>
      </c>
      <c r="C1877" s="1549"/>
      <c r="D1877" s="1550"/>
      <c r="E1877" s="178" t="s">
        <v>2938</v>
      </c>
      <c r="F1877" s="1552">
        <v>87386.4</v>
      </c>
      <c r="G1877" s="1552">
        <v>75470.799999999988</v>
      </c>
      <c r="H1877" s="1552">
        <f>SUM(H1878:H1880)</f>
        <v>72659.399999999994</v>
      </c>
      <c r="I1877" s="1553">
        <v>47517.899999999994</v>
      </c>
      <c r="J1877" s="1553">
        <v>47583.899999999994</v>
      </c>
      <c r="K1877" s="178" t="s">
        <v>2939</v>
      </c>
      <c r="L1877" s="19" t="s">
        <v>825</v>
      </c>
      <c r="M1877" s="1025"/>
      <c r="N1877" s="1026"/>
      <c r="O1877" s="1026"/>
      <c r="P1877" s="1026"/>
      <c r="Q1877" s="1026"/>
    </row>
    <row r="1878" spans="1:17" ht="105" x14ac:dyDescent="0.25">
      <c r="A1878" s="1342"/>
      <c r="B1878" s="1343"/>
      <c r="C1878" s="1344" t="s">
        <v>4</v>
      </c>
      <c r="D1878" s="1345"/>
      <c r="E1878" s="1212" t="s">
        <v>2940</v>
      </c>
      <c r="F1878" s="1551">
        <v>14077.3</v>
      </c>
      <c r="G1878" s="1551">
        <v>15940.6</v>
      </c>
      <c r="H1878" s="31">
        <v>18066.3</v>
      </c>
      <c r="I1878" s="1125">
        <v>13883.6</v>
      </c>
      <c r="J1878" s="1125">
        <v>13899.6</v>
      </c>
      <c r="K1878" s="1217" t="s">
        <v>2941</v>
      </c>
      <c r="L1878" s="1289" t="s">
        <v>825</v>
      </c>
      <c r="M1878" s="759" t="s">
        <v>367</v>
      </c>
      <c r="N1878" s="759" t="s">
        <v>368</v>
      </c>
      <c r="O1878" s="759" t="s">
        <v>369</v>
      </c>
      <c r="P1878" s="759" t="s">
        <v>370</v>
      </c>
      <c r="Q1878" s="759" t="s">
        <v>371</v>
      </c>
    </row>
    <row r="1879" spans="1:17" ht="90" x14ac:dyDescent="0.25">
      <c r="A1879" s="1342"/>
      <c r="B1879" s="1343"/>
      <c r="C1879" s="1344" t="s">
        <v>5</v>
      </c>
      <c r="D1879" s="1345"/>
      <c r="E1879" s="1217" t="s">
        <v>2942</v>
      </c>
      <c r="F1879" s="1551">
        <v>57171.7</v>
      </c>
      <c r="G1879" s="1551">
        <v>41011.599999999999</v>
      </c>
      <c r="H1879" s="31">
        <v>34843.199999999997</v>
      </c>
      <c r="I1879" s="1125">
        <v>16103.1</v>
      </c>
      <c r="J1879" s="1125">
        <v>16103.1</v>
      </c>
      <c r="K1879" s="1217" t="s">
        <v>2943</v>
      </c>
      <c r="L1879" s="1289" t="s">
        <v>825</v>
      </c>
      <c r="M1879" s="759">
        <v>5</v>
      </c>
      <c r="N1879" s="761">
        <v>6</v>
      </c>
      <c r="O1879" s="761">
        <v>4</v>
      </c>
      <c r="P1879" s="761">
        <v>6</v>
      </c>
      <c r="Q1879" s="761">
        <v>5</v>
      </c>
    </row>
    <row r="1880" spans="1:17" ht="45" x14ac:dyDescent="0.25">
      <c r="A1880" s="1342"/>
      <c r="B1880" s="1343"/>
      <c r="C1880" s="1344" t="s">
        <v>7</v>
      </c>
      <c r="D1880" s="1345"/>
      <c r="E1880" s="1217" t="s">
        <v>2944</v>
      </c>
      <c r="F1880" s="1551">
        <v>16137.400000000001</v>
      </c>
      <c r="G1880" s="1551">
        <v>18518.599999999999</v>
      </c>
      <c r="H1880" s="31">
        <v>19749.900000000001</v>
      </c>
      <c r="I1880" s="1125">
        <v>17531.199999999997</v>
      </c>
      <c r="J1880" s="1125">
        <v>17581.199999999997</v>
      </c>
      <c r="K1880" s="1217" t="s">
        <v>2945</v>
      </c>
      <c r="L1880" s="1289" t="s">
        <v>825</v>
      </c>
      <c r="M1880" s="759">
        <v>5</v>
      </c>
      <c r="N1880" s="761">
        <v>3</v>
      </c>
      <c r="O1880" s="761">
        <v>4</v>
      </c>
      <c r="P1880" s="761">
        <v>4</v>
      </c>
      <c r="Q1880" s="761">
        <v>4</v>
      </c>
    </row>
    <row r="1881" spans="1:17" x14ac:dyDescent="0.25">
      <c r="A1881" s="1651" t="s">
        <v>2946</v>
      </c>
      <c r="B1881" s="1651"/>
      <c r="C1881" s="1782"/>
      <c r="D1881" s="1782"/>
      <c r="E1881" s="1783"/>
      <c r="F1881" s="42">
        <v>351566.1</v>
      </c>
      <c r="G1881" s="42">
        <v>365670.6</v>
      </c>
      <c r="H1881" s="42">
        <f>SUM(H1863+H1868+H1873+H1877)</f>
        <v>391444.70000000007</v>
      </c>
      <c r="I1881" s="42">
        <v>320877.29999999993</v>
      </c>
      <c r="J1881" s="42">
        <v>321277.29999999993</v>
      </c>
      <c r="K1881" s="15"/>
      <c r="L1881" s="1231"/>
      <c r="M1881" s="1231"/>
      <c r="N1881" s="1231"/>
      <c r="O1881" s="1231"/>
      <c r="P1881" s="1231"/>
      <c r="Q1881" s="1231"/>
    </row>
    <row r="1882" spans="1:17" x14ac:dyDescent="0.25">
      <c r="A1882" s="1648" t="s">
        <v>2947</v>
      </c>
      <c r="B1882" s="1649"/>
      <c r="C1882" s="1649"/>
      <c r="D1882" s="1649"/>
      <c r="E1882" s="1649"/>
      <c r="F1882" s="1649"/>
      <c r="G1882" s="1649"/>
      <c r="H1882" s="1649"/>
      <c r="I1882" s="1649"/>
      <c r="J1882" s="1649"/>
      <c r="K1882" s="1649"/>
      <c r="L1882" s="1649"/>
      <c r="M1882" s="1649"/>
      <c r="N1882" s="1649"/>
      <c r="O1882" s="1649"/>
      <c r="P1882" s="1649"/>
      <c r="Q1882" s="1650"/>
    </row>
    <row r="1883" spans="1:17" ht="102.75" x14ac:dyDescent="0.25">
      <c r="A1883" s="1103">
        <v>81</v>
      </c>
      <c r="B1883" s="1143">
        <v>2</v>
      </c>
      <c r="C1883" s="1105"/>
      <c r="D1883" s="1105"/>
      <c r="E1883" s="1212" t="s">
        <v>3142</v>
      </c>
      <c r="F1883" s="1202">
        <v>0</v>
      </c>
      <c r="G1883" s="1202">
        <v>0</v>
      </c>
      <c r="H1883" s="1202">
        <f>H1884</f>
        <v>234439.7</v>
      </c>
      <c r="I1883" s="1202">
        <v>232128.9</v>
      </c>
      <c r="J1883" s="1202">
        <v>232128.9</v>
      </c>
      <c r="K1883" s="1212"/>
      <c r="L1883" s="1196"/>
      <c r="M1883" s="1196"/>
      <c r="N1883" s="1234"/>
      <c r="O1883" s="1234"/>
      <c r="P1883" s="1234"/>
      <c r="Q1883" s="1234"/>
    </row>
    <row r="1884" spans="1:17" ht="60" x14ac:dyDescent="0.25">
      <c r="A1884" s="422"/>
      <c r="B1884" s="252"/>
      <c r="C1884" s="1105" t="s">
        <v>4</v>
      </c>
      <c r="D1884" s="1105"/>
      <c r="E1884" s="1217" t="s">
        <v>2948</v>
      </c>
      <c r="F1884" s="755"/>
      <c r="G1884" s="755"/>
      <c r="H1884" s="392">
        <v>234439.7</v>
      </c>
      <c r="I1884" s="1271">
        <v>232128.9</v>
      </c>
      <c r="J1884" s="1271">
        <v>232128.9</v>
      </c>
      <c r="K1884" s="1212" t="s">
        <v>2949</v>
      </c>
      <c r="L1884" s="1289" t="s">
        <v>1334</v>
      </c>
      <c r="M1884" s="1289">
        <v>7154</v>
      </c>
      <c r="N1884" s="31">
        <v>7200</v>
      </c>
      <c r="O1884" s="31">
        <v>7250</v>
      </c>
      <c r="P1884" s="31">
        <v>7300</v>
      </c>
      <c r="Q1884" s="31">
        <v>7400</v>
      </c>
    </row>
    <row r="1885" spans="1:17" x14ac:dyDescent="0.25">
      <c r="A1885" s="1784" t="s">
        <v>2950</v>
      </c>
      <c r="B1885" s="1785"/>
      <c r="C1885" s="1785"/>
      <c r="D1885" s="1785"/>
      <c r="E1885" s="1785"/>
      <c r="F1885" s="71">
        <v>0</v>
      </c>
      <c r="G1885" s="71">
        <v>0</v>
      </c>
      <c r="H1885" s="71">
        <f>H1883</f>
        <v>234439.7</v>
      </c>
      <c r="I1885" s="71">
        <v>232128.9</v>
      </c>
      <c r="J1885" s="71">
        <v>232128.9</v>
      </c>
      <c r="K1885" s="553"/>
      <c r="L1885" s="1272"/>
      <c r="M1885" s="1273"/>
      <c r="N1885" s="1273"/>
      <c r="O1885" s="1274"/>
      <c r="P1885" s="1029"/>
      <c r="Q1885" s="1030"/>
    </row>
    <row r="1886" spans="1:17" x14ac:dyDescent="0.25">
      <c r="A1886" s="1648" t="s">
        <v>2951</v>
      </c>
      <c r="B1886" s="1649"/>
      <c r="C1886" s="1649"/>
      <c r="D1886" s="1649"/>
      <c r="E1886" s="1649"/>
      <c r="F1886" s="1649"/>
      <c r="G1886" s="1649"/>
      <c r="H1886" s="1649"/>
      <c r="I1886" s="1649"/>
      <c r="J1886" s="1649"/>
      <c r="K1886" s="1649"/>
      <c r="L1886" s="1649"/>
      <c r="M1886" s="1649"/>
      <c r="N1886" s="1649"/>
      <c r="O1886" s="1649"/>
      <c r="P1886" s="1649"/>
      <c r="Q1886" s="1650"/>
    </row>
    <row r="1887" spans="1:17" ht="74.25" x14ac:dyDescent="0.25">
      <c r="A1887" s="1115">
        <v>82</v>
      </c>
      <c r="B1887" s="1297">
        <v>1</v>
      </c>
      <c r="C1887" s="1117"/>
      <c r="D1887" s="28"/>
      <c r="E1887" s="178" t="s">
        <v>3143</v>
      </c>
      <c r="F1887" s="1119">
        <v>11492.8</v>
      </c>
      <c r="G1887" s="1257">
        <v>11495.5</v>
      </c>
      <c r="H1887" s="1257">
        <f>SUM(H1888:H1895)</f>
        <v>12288.2</v>
      </c>
      <c r="I1887" s="1257">
        <v>11618.32</v>
      </c>
      <c r="J1887" s="1257">
        <v>11785.42</v>
      </c>
      <c r="K1887" s="1195" t="s">
        <v>2952</v>
      </c>
      <c r="L1887" s="1174" t="s">
        <v>34</v>
      </c>
      <c r="M1887" s="1031">
        <v>1</v>
      </c>
      <c r="N1887" s="1031">
        <v>1</v>
      </c>
      <c r="O1887" s="1031">
        <v>1</v>
      </c>
      <c r="P1887" s="1031">
        <v>1</v>
      </c>
      <c r="Q1887" s="1031">
        <v>1</v>
      </c>
    </row>
    <row r="1888" spans="1:17" x14ac:dyDescent="0.25">
      <c r="A1888" s="1170"/>
      <c r="B1888" s="1248"/>
      <c r="C1888" s="1117" t="s">
        <v>4</v>
      </c>
      <c r="D1888" s="1171"/>
      <c r="E1888" s="1100" t="s">
        <v>2707</v>
      </c>
      <c r="F1888" s="704">
        <v>1342.86</v>
      </c>
      <c r="G1888" s="704">
        <v>1342.86</v>
      </c>
      <c r="H1888" s="704">
        <v>1433.86</v>
      </c>
      <c r="I1888" s="704">
        <v>1386.44</v>
      </c>
      <c r="J1888" s="704">
        <v>1386.44</v>
      </c>
      <c r="K1888" s="1212" t="s">
        <v>2953</v>
      </c>
      <c r="L1888" s="1214" t="s">
        <v>241</v>
      </c>
      <c r="M1888" s="459"/>
      <c r="N1888" s="459"/>
      <c r="O1888" s="459"/>
      <c r="P1888" s="459"/>
      <c r="Q1888" s="459"/>
    </row>
    <row r="1889" spans="1:17" ht="30" x14ac:dyDescent="0.25">
      <c r="A1889" s="1170"/>
      <c r="B1889" s="1248"/>
      <c r="C1889" s="1117" t="s">
        <v>5</v>
      </c>
      <c r="D1889" s="1171"/>
      <c r="E1889" s="1302" t="s">
        <v>2954</v>
      </c>
      <c r="F1889" s="704">
        <v>790.14</v>
      </c>
      <c r="G1889" s="704">
        <v>790.14</v>
      </c>
      <c r="H1889" s="704">
        <v>888.04</v>
      </c>
      <c r="I1889" s="704">
        <v>739</v>
      </c>
      <c r="J1889" s="704">
        <v>739</v>
      </c>
      <c r="K1889" s="1212" t="s">
        <v>2955</v>
      </c>
      <c r="L1889" s="1214" t="s">
        <v>34</v>
      </c>
      <c r="M1889" s="1031">
        <v>1</v>
      </c>
      <c r="N1889" s="1031">
        <v>1</v>
      </c>
      <c r="O1889" s="1031">
        <v>1</v>
      </c>
      <c r="P1889" s="1031">
        <v>1</v>
      </c>
      <c r="Q1889" s="1031">
        <v>1</v>
      </c>
    </row>
    <row r="1890" spans="1:17" ht="30" x14ac:dyDescent="0.25">
      <c r="A1890" s="1170"/>
      <c r="B1890" s="1248"/>
      <c r="C1890" s="1117" t="s">
        <v>7</v>
      </c>
      <c r="D1890" s="1171"/>
      <c r="E1890" s="1302" t="s">
        <v>842</v>
      </c>
      <c r="F1890" s="704">
        <v>350.46</v>
      </c>
      <c r="G1890" s="704">
        <v>353.16</v>
      </c>
      <c r="H1890" s="704">
        <v>358.55</v>
      </c>
      <c r="I1890" s="704">
        <v>371</v>
      </c>
      <c r="J1890" s="704">
        <v>371</v>
      </c>
      <c r="K1890" s="1212" t="s">
        <v>2956</v>
      </c>
      <c r="L1890" s="1214" t="s">
        <v>34</v>
      </c>
      <c r="M1890" s="459">
        <v>100</v>
      </c>
      <c r="N1890" s="459" t="s">
        <v>1323</v>
      </c>
      <c r="O1890" s="459" t="s">
        <v>1323</v>
      </c>
      <c r="P1890" s="459" t="s">
        <v>1343</v>
      </c>
      <c r="Q1890" s="459" t="s">
        <v>1343</v>
      </c>
    </row>
    <row r="1891" spans="1:17" ht="30" x14ac:dyDescent="0.25">
      <c r="A1891" s="1170"/>
      <c r="B1891" s="1248"/>
      <c r="C1891" s="1117" t="s">
        <v>9</v>
      </c>
      <c r="D1891" s="1171"/>
      <c r="E1891" s="1302" t="s">
        <v>396</v>
      </c>
      <c r="F1891" s="704">
        <v>384.39</v>
      </c>
      <c r="G1891" s="704">
        <v>384.39</v>
      </c>
      <c r="H1891" s="704">
        <v>393.26</v>
      </c>
      <c r="I1891" s="704">
        <v>417</v>
      </c>
      <c r="J1891" s="704">
        <v>417</v>
      </c>
      <c r="K1891" s="1212" t="s">
        <v>2957</v>
      </c>
      <c r="L1891" s="1214" t="s">
        <v>1577</v>
      </c>
      <c r="M1891" s="459" t="s">
        <v>63</v>
      </c>
      <c r="N1891" s="459" t="s">
        <v>1323</v>
      </c>
      <c r="O1891" s="459" t="s">
        <v>1323</v>
      </c>
      <c r="P1891" s="459" t="s">
        <v>1343</v>
      </c>
      <c r="Q1891" s="459" t="s">
        <v>1343</v>
      </c>
    </row>
    <row r="1892" spans="1:17" ht="45" x14ac:dyDescent="0.25">
      <c r="A1892" s="1170"/>
      <c r="B1892" s="1248"/>
      <c r="C1892" s="1117" t="s">
        <v>11</v>
      </c>
      <c r="D1892" s="1171"/>
      <c r="E1892" s="1302" t="s">
        <v>2958</v>
      </c>
      <c r="F1892" s="704">
        <v>350.47</v>
      </c>
      <c r="G1892" s="704">
        <v>350.47</v>
      </c>
      <c r="H1892" s="704">
        <v>358.55</v>
      </c>
      <c r="I1892" s="704">
        <v>370</v>
      </c>
      <c r="J1892" s="704">
        <v>370</v>
      </c>
      <c r="K1892" s="1212" t="s">
        <v>2959</v>
      </c>
      <c r="L1892" s="1214" t="s">
        <v>780</v>
      </c>
      <c r="M1892" s="459"/>
      <c r="N1892" s="459" t="s">
        <v>1323</v>
      </c>
      <c r="O1892" s="459" t="s">
        <v>1323</v>
      </c>
      <c r="P1892" s="459" t="s">
        <v>1343</v>
      </c>
      <c r="Q1892" s="459" t="s">
        <v>1343</v>
      </c>
    </row>
    <row r="1893" spans="1:17" ht="45" x14ac:dyDescent="0.25">
      <c r="A1893" s="1170"/>
      <c r="B1893" s="1248"/>
      <c r="C1893" s="1117" t="s">
        <v>13</v>
      </c>
      <c r="D1893" s="1171"/>
      <c r="E1893" s="1217" t="s">
        <v>2960</v>
      </c>
      <c r="F1893" s="704">
        <v>1466.6</v>
      </c>
      <c r="G1893" s="704">
        <v>1466.6</v>
      </c>
      <c r="H1893" s="704">
        <v>1614.5</v>
      </c>
      <c r="I1893" s="704">
        <v>1520</v>
      </c>
      <c r="J1893" s="704">
        <v>1557.1</v>
      </c>
      <c r="K1893" s="1212" t="s">
        <v>2961</v>
      </c>
      <c r="L1893" s="1214" t="s">
        <v>34</v>
      </c>
      <c r="M1893" s="817">
        <v>7.5999999999999998E-2</v>
      </c>
      <c r="N1893" s="817">
        <v>7.5999999999999998E-2</v>
      </c>
      <c r="O1893" s="817">
        <v>7.5999999999999998E-2</v>
      </c>
      <c r="P1893" s="817">
        <v>7.5999999999999998E-2</v>
      </c>
      <c r="Q1893" s="817">
        <v>7.5999999999999998E-2</v>
      </c>
    </row>
    <row r="1894" spans="1:17" ht="45" x14ac:dyDescent="0.25">
      <c r="A1894" s="1170"/>
      <c r="B1894" s="1248"/>
      <c r="C1894" s="1117" t="s">
        <v>15</v>
      </c>
      <c r="D1894" s="1171"/>
      <c r="E1894" s="1217" t="s">
        <v>2962</v>
      </c>
      <c r="F1894" s="704">
        <v>2235.38</v>
      </c>
      <c r="G1894" s="704">
        <v>2235.38</v>
      </c>
      <c r="H1894" s="704">
        <v>2286.88</v>
      </c>
      <c r="I1894" s="704">
        <v>2235.38</v>
      </c>
      <c r="J1894" s="704">
        <v>2335.38</v>
      </c>
      <c r="K1894" s="1212" t="s">
        <v>2963</v>
      </c>
      <c r="L1894" s="1214" t="s">
        <v>34</v>
      </c>
      <c r="M1894" s="459">
        <v>100</v>
      </c>
      <c r="N1894" s="459"/>
      <c r="O1894" s="459" t="s">
        <v>1323</v>
      </c>
      <c r="P1894" s="459" t="s">
        <v>1343</v>
      </c>
      <c r="Q1894" s="459" t="s">
        <v>1343</v>
      </c>
    </row>
    <row r="1895" spans="1:17" ht="45" x14ac:dyDescent="0.25">
      <c r="A1895" s="1170"/>
      <c r="B1895" s="1248"/>
      <c r="C1895" s="1117" t="s">
        <v>16</v>
      </c>
      <c r="D1895" s="1171"/>
      <c r="E1895" s="1217" t="s">
        <v>2567</v>
      </c>
      <c r="F1895" s="704">
        <v>4572.5</v>
      </c>
      <c r="G1895" s="704">
        <v>4572.5</v>
      </c>
      <c r="H1895" s="704">
        <v>4954.5600000000004</v>
      </c>
      <c r="I1895" s="704">
        <v>4579.5</v>
      </c>
      <c r="J1895" s="704">
        <v>4609.5</v>
      </c>
      <c r="K1895" s="1212" t="s">
        <v>2964</v>
      </c>
      <c r="L1895" s="1214" t="s">
        <v>34</v>
      </c>
      <c r="M1895" s="817">
        <v>0.224</v>
      </c>
      <c r="N1895" s="459" t="s">
        <v>1323</v>
      </c>
      <c r="O1895" s="459" t="s">
        <v>1323</v>
      </c>
      <c r="P1895" s="459" t="s">
        <v>1343</v>
      </c>
      <c r="Q1895" s="459" t="s">
        <v>1343</v>
      </c>
    </row>
    <row r="1896" spans="1:17" ht="132.75" x14ac:dyDescent="0.25">
      <c r="A1896" s="416">
        <v>82</v>
      </c>
      <c r="B1896" s="58">
        <v>2</v>
      </c>
      <c r="C1896" s="24"/>
      <c r="D1896" s="1032"/>
      <c r="E1896" s="1195" t="s">
        <v>3144</v>
      </c>
      <c r="F1896" s="1119">
        <v>972.3</v>
      </c>
      <c r="G1896" s="1119">
        <v>972.3</v>
      </c>
      <c r="H1896" s="1119">
        <f>SUM(H1897:H1902)</f>
        <v>994.6</v>
      </c>
      <c r="I1896" s="1119">
        <v>1014</v>
      </c>
      <c r="J1896" s="1119">
        <v>1014</v>
      </c>
      <c r="K1896" s="178" t="s">
        <v>2965</v>
      </c>
      <c r="L1896" s="1033" t="s">
        <v>34</v>
      </c>
      <c r="M1896" s="818"/>
      <c r="N1896" s="459" t="s">
        <v>1323</v>
      </c>
      <c r="O1896" s="459" t="s">
        <v>1323</v>
      </c>
      <c r="P1896" s="459" t="s">
        <v>1343</v>
      </c>
      <c r="Q1896" s="459" t="s">
        <v>1343</v>
      </c>
    </row>
    <row r="1897" spans="1:17" ht="30" x14ac:dyDescent="0.25">
      <c r="A1897" s="1132"/>
      <c r="B1897" s="372"/>
      <c r="C1897" s="1134" t="s">
        <v>4</v>
      </c>
      <c r="D1897" s="1034"/>
      <c r="E1897" s="1217" t="s">
        <v>2966</v>
      </c>
      <c r="F1897" s="755">
        <v>237.4</v>
      </c>
      <c r="G1897" s="755">
        <v>237.4</v>
      </c>
      <c r="H1897" s="1035">
        <v>242.8</v>
      </c>
      <c r="I1897" s="725">
        <v>238</v>
      </c>
      <c r="J1897" s="725">
        <v>238</v>
      </c>
      <c r="K1897" s="1217" t="s">
        <v>2967</v>
      </c>
      <c r="L1897" s="802" t="s">
        <v>780</v>
      </c>
      <c r="M1897" s="1037">
        <v>31</v>
      </c>
      <c r="N1897" s="343" t="s">
        <v>1323</v>
      </c>
      <c r="O1897" s="343" t="s">
        <v>1323</v>
      </c>
      <c r="P1897" s="343" t="s">
        <v>1343</v>
      </c>
      <c r="Q1897" s="343" t="s">
        <v>1343</v>
      </c>
    </row>
    <row r="1898" spans="1:17" ht="45" x14ac:dyDescent="0.25">
      <c r="A1898" s="1132"/>
      <c r="B1898" s="372"/>
      <c r="C1898" s="1134" t="s">
        <v>5</v>
      </c>
      <c r="D1898" s="1034"/>
      <c r="E1898" s="1217" t="s">
        <v>2968</v>
      </c>
      <c r="F1898" s="755">
        <v>124.4</v>
      </c>
      <c r="G1898" s="755">
        <v>124.4</v>
      </c>
      <c r="H1898" s="1035">
        <v>127.3</v>
      </c>
      <c r="I1898" s="725">
        <v>132</v>
      </c>
      <c r="J1898" s="725">
        <v>132</v>
      </c>
      <c r="K1898" s="1217" t="s">
        <v>2969</v>
      </c>
      <c r="L1898" s="802" t="s">
        <v>1186</v>
      </c>
      <c r="M1898" s="1037">
        <v>80</v>
      </c>
      <c r="N1898" s="343" t="s">
        <v>1323</v>
      </c>
      <c r="O1898" s="343" t="s">
        <v>1323</v>
      </c>
      <c r="P1898" s="343" t="s">
        <v>1343</v>
      </c>
      <c r="Q1898" s="343" t="s">
        <v>1343</v>
      </c>
    </row>
    <row r="1899" spans="1:17" ht="60" x14ac:dyDescent="0.25">
      <c r="A1899" s="1132"/>
      <c r="B1899" s="372"/>
      <c r="C1899" s="1134" t="s">
        <v>7</v>
      </c>
      <c r="D1899" s="1034"/>
      <c r="E1899" s="1217" t="s">
        <v>2970</v>
      </c>
      <c r="F1899" s="755">
        <v>124.5</v>
      </c>
      <c r="G1899" s="755">
        <v>124.5</v>
      </c>
      <c r="H1899" s="1035">
        <v>127.3</v>
      </c>
      <c r="I1899" s="725">
        <v>131</v>
      </c>
      <c r="J1899" s="725">
        <v>131</v>
      </c>
      <c r="K1899" s="1217" t="s">
        <v>2971</v>
      </c>
      <c r="L1899" s="802" t="s">
        <v>34</v>
      </c>
      <c r="M1899" s="1135"/>
      <c r="N1899" s="343" t="s">
        <v>1323</v>
      </c>
      <c r="O1899" s="343" t="s">
        <v>1323</v>
      </c>
      <c r="P1899" s="343" t="s">
        <v>1343</v>
      </c>
      <c r="Q1899" s="343" t="s">
        <v>1343</v>
      </c>
    </row>
    <row r="1900" spans="1:17" ht="45" x14ac:dyDescent="0.25">
      <c r="A1900" s="1786"/>
      <c r="B1900" s="1787"/>
      <c r="C1900" s="1789" t="s">
        <v>9</v>
      </c>
      <c r="D1900" s="1790"/>
      <c r="E1900" s="1791" t="s">
        <v>2972</v>
      </c>
      <c r="F1900" s="1740">
        <v>373</v>
      </c>
      <c r="G1900" s="1740">
        <v>373</v>
      </c>
      <c r="H1900" s="1792">
        <v>381.6</v>
      </c>
      <c r="I1900" s="1794">
        <v>393</v>
      </c>
      <c r="J1900" s="1794">
        <v>393</v>
      </c>
      <c r="K1900" s="1217" t="s">
        <v>2973</v>
      </c>
      <c r="L1900" s="802" t="s">
        <v>780</v>
      </c>
      <c r="M1900" s="1135">
        <v>910</v>
      </c>
      <c r="N1900" s="343" t="s">
        <v>1323</v>
      </c>
      <c r="O1900" s="343" t="s">
        <v>1323</v>
      </c>
      <c r="P1900" s="343" t="s">
        <v>1343</v>
      </c>
      <c r="Q1900" s="343" t="s">
        <v>1343</v>
      </c>
    </row>
    <row r="1901" spans="1:17" ht="30" x14ac:dyDescent="0.25">
      <c r="A1901" s="1786"/>
      <c r="B1901" s="1788"/>
      <c r="C1901" s="1789"/>
      <c r="D1901" s="1790"/>
      <c r="E1901" s="1791"/>
      <c r="F1901" s="1741"/>
      <c r="G1901" s="1741"/>
      <c r="H1901" s="1793"/>
      <c r="I1901" s="1795"/>
      <c r="J1901" s="1795"/>
      <c r="K1901" s="1217" t="s">
        <v>2974</v>
      </c>
      <c r="L1901" s="802" t="s">
        <v>780</v>
      </c>
      <c r="M1901" s="1039">
        <v>82</v>
      </c>
      <c r="N1901" s="343" t="s">
        <v>1323</v>
      </c>
      <c r="O1901" s="343" t="s">
        <v>1323</v>
      </c>
      <c r="P1901" s="343" t="s">
        <v>1343</v>
      </c>
      <c r="Q1901" s="343" t="s">
        <v>1343</v>
      </c>
    </row>
    <row r="1902" spans="1:17" ht="75" x14ac:dyDescent="0.25">
      <c r="A1902" s="1132"/>
      <c r="B1902" s="372"/>
      <c r="C1902" s="1134" t="s">
        <v>11</v>
      </c>
      <c r="D1902" s="1034"/>
      <c r="E1902" s="1217" t="s">
        <v>2975</v>
      </c>
      <c r="F1902" s="755">
        <v>113</v>
      </c>
      <c r="G1902" s="755">
        <v>113</v>
      </c>
      <c r="H1902" s="1035">
        <v>115.6</v>
      </c>
      <c r="I1902" s="725">
        <v>120</v>
      </c>
      <c r="J1902" s="725">
        <v>120</v>
      </c>
      <c r="K1902" s="1217" t="s">
        <v>2976</v>
      </c>
      <c r="L1902" s="802" t="s">
        <v>34</v>
      </c>
      <c r="M1902" s="790">
        <v>1</v>
      </c>
      <c r="N1902" s="343" t="s">
        <v>1323</v>
      </c>
      <c r="O1902" s="343" t="s">
        <v>1323</v>
      </c>
      <c r="P1902" s="343" t="s">
        <v>1343</v>
      </c>
      <c r="Q1902" s="343" t="s">
        <v>1343</v>
      </c>
    </row>
    <row r="1903" spans="1:17" x14ac:dyDescent="0.25">
      <c r="A1903" s="1651" t="s">
        <v>2977</v>
      </c>
      <c r="B1903" s="1651"/>
      <c r="C1903" s="1766"/>
      <c r="D1903" s="1766"/>
      <c r="E1903" s="1767"/>
      <c r="F1903" s="42">
        <v>12465.099999999999</v>
      </c>
      <c r="G1903" s="42">
        <v>12467.8</v>
      </c>
      <c r="H1903" s="42">
        <f>H1887+H1896</f>
        <v>13282.800000000001</v>
      </c>
      <c r="I1903" s="42">
        <v>12632.32</v>
      </c>
      <c r="J1903" s="42">
        <v>12799.42</v>
      </c>
      <c r="K1903" s="15"/>
      <c r="L1903" s="1231"/>
      <c r="M1903" s="1231"/>
      <c r="N1903" s="1231"/>
      <c r="O1903" s="1231"/>
      <c r="P1903" s="1231"/>
      <c r="Q1903" s="1231"/>
    </row>
    <row r="1904" spans="1:17" x14ac:dyDescent="0.25">
      <c r="A1904" s="1648" t="s">
        <v>2978</v>
      </c>
      <c r="B1904" s="1649"/>
      <c r="C1904" s="1649"/>
      <c r="D1904" s="1649"/>
      <c r="E1904" s="1649"/>
      <c r="F1904" s="1649"/>
      <c r="G1904" s="1649"/>
      <c r="H1904" s="1649"/>
      <c r="I1904" s="1649"/>
      <c r="J1904" s="1649"/>
      <c r="K1904" s="1649"/>
      <c r="L1904" s="1649"/>
      <c r="M1904" s="1649"/>
      <c r="N1904" s="1649"/>
      <c r="O1904" s="1649"/>
      <c r="P1904" s="1649"/>
      <c r="Q1904" s="1650"/>
    </row>
    <row r="1905" spans="1:17" ht="74.25" x14ac:dyDescent="0.25">
      <c r="A1905" s="1115">
        <v>83</v>
      </c>
      <c r="B1905" s="1325">
        <v>1</v>
      </c>
      <c r="C1905" s="59"/>
      <c r="D1905" s="1040"/>
      <c r="E1905" s="1041" t="s">
        <v>3145</v>
      </c>
      <c r="F1905" s="1229">
        <v>11602.6</v>
      </c>
      <c r="G1905" s="1229">
        <v>15099.000000000002</v>
      </c>
      <c r="H1905" s="1229">
        <f>SUM(H1906:H1915)</f>
        <v>18333.467000000001</v>
      </c>
      <c r="I1905" s="1229">
        <v>15299</v>
      </c>
      <c r="J1905" s="1229">
        <v>15501</v>
      </c>
      <c r="K1905" s="1205"/>
      <c r="L1905" s="1214"/>
      <c r="M1905" s="1322"/>
      <c r="N1905" s="1322"/>
      <c r="O1905" s="1322"/>
      <c r="P1905" s="1322"/>
      <c r="Q1905" s="1322"/>
    </row>
    <row r="1906" spans="1:17" x14ac:dyDescent="0.25">
      <c r="A1906" s="1170"/>
      <c r="B1906" s="1248"/>
      <c r="C1906" s="1117" t="s">
        <v>4</v>
      </c>
      <c r="D1906" s="1117"/>
      <c r="E1906" s="1126" t="s">
        <v>2707</v>
      </c>
      <c r="F1906" s="1139">
        <v>2125.9</v>
      </c>
      <c r="G1906" s="1139">
        <v>2969.5</v>
      </c>
      <c r="H1906" s="1139">
        <v>3845.134</v>
      </c>
      <c r="I1906" s="1139">
        <v>3008</v>
      </c>
      <c r="J1906" s="1139">
        <v>3048</v>
      </c>
      <c r="K1906" s="1126" t="s">
        <v>2979</v>
      </c>
      <c r="L1906" s="1214" t="s">
        <v>34</v>
      </c>
      <c r="M1906" s="1214">
        <v>100</v>
      </c>
      <c r="N1906" s="1214">
        <v>100</v>
      </c>
      <c r="O1906" s="1214">
        <v>100</v>
      </c>
      <c r="P1906" s="1214">
        <v>100</v>
      </c>
      <c r="Q1906" s="1214">
        <v>100</v>
      </c>
    </row>
    <row r="1907" spans="1:17" x14ac:dyDescent="0.25">
      <c r="A1907" s="1770"/>
      <c r="B1907" s="1459"/>
      <c r="C1907" s="1772" t="s">
        <v>5</v>
      </c>
      <c r="D1907" s="1772"/>
      <c r="E1907" s="1766" t="s">
        <v>2708</v>
      </c>
      <c r="F1907" s="1774"/>
      <c r="G1907" s="1774">
        <v>1894.3</v>
      </c>
      <c r="H1907" s="1774">
        <v>2412.0500000000002</v>
      </c>
      <c r="I1907" s="1774">
        <v>1920</v>
      </c>
      <c r="J1907" s="1774">
        <v>1945</v>
      </c>
      <c r="K1907" s="1212" t="s">
        <v>515</v>
      </c>
      <c r="L1907" s="1214" t="s">
        <v>34</v>
      </c>
      <c r="M1907" s="1214">
        <v>100</v>
      </c>
      <c r="N1907" s="1214">
        <v>100</v>
      </c>
      <c r="O1907" s="1214">
        <v>100</v>
      </c>
      <c r="P1907" s="1214">
        <v>100</v>
      </c>
      <c r="Q1907" s="1214">
        <v>100</v>
      </c>
    </row>
    <row r="1908" spans="1:17" ht="45" x14ac:dyDescent="0.25">
      <c r="A1908" s="1771"/>
      <c r="B1908" s="1162"/>
      <c r="C1908" s="1773"/>
      <c r="D1908" s="1773"/>
      <c r="E1908" s="1766"/>
      <c r="F1908" s="1775"/>
      <c r="G1908" s="1775"/>
      <c r="H1908" s="1775"/>
      <c r="I1908" s="1775"/>
      <c r="J1908" s="1775"/>
      <c r="K1908" s="1217" t="s">
        <v>2980</v>
      </c>
      <c r="L1908" s="1214" t="s">
        <v>780</v>
      </c>
      <c r="M1908" s="1214">
        <v>45</v>
      </c>
      <c r="N1908" s="1214">
        <v>27</v>
      </c>
      <c r="O1908" s="1214">
        <v>27</v>
      </c>
      <c r="P1908" s="1214">
        <v>27</v>
      </c>
      <c r="Q1908" s="1214">
        <v>27</v>
      </c>
    </row>
    <row r="1909" spans="1:17" ht="30" x14ac:dyDescent="0.25">
      <c r="A1909" s="1170"/>
      <c r="B1909" s="1248"/>
      <c r="C1909" s="1117" t="s">
        <v>7</v>
      </c>
      <c r="D1909" s="1117"/>
      <c r="E1909" s="1302" t="s">
        <v>842</v>
      </c>
      <c r="F1909" s="1139">
        <v>7334.7</v>
      </c>
      <c r="G1909" s="1139">
        <v>2419.3000000000002</v>
      </c>
      <c r="H1909" s="1139">
        <v>2940.8</v>
      </c>
      <c r="I1909" s="1139">
        <v>2451</v>
      </c>
      <c r="J1909" s="1139">
        <v>2483</v>
      </c>
      <c r="K1909" s="1217" t="s">
        <v>2981</v>
      </c>
      <c r="L1909" s="1214" t="s">
        <v>1186</v>
      </c>
      <c r="M1909" s="30">
        <v>41</v>
      </c>
      <c r="N1909" s="30">
        <v>41</v>
      </c>
      <c r="O1909" s="30">
        <v>30</v>
      </c>
      <c r="P1909" s="30">
        <v>30</v>
      </c>
      <c r="Q1909" s="30">
        <v>30</v>
      </c>
    </row>
    <row r="1910" spans="1:17" ht="30" x14ac:dyDescent="0.25">
      <c r="A1910" s="1170"/>
      <c r="B1910" s="1361"/>
      <c r="C1910" s="1317" t="s">
        <v>9</v>
      </c>
      <c r="D1910" s="1317"/>
      <c r="E1910" s="1302" t="s">
        <v>2573</v>
      </c>
      <c r="F1910" s="1139">
        <v>2142</v>
      </c>
      <c r="G1910" s="1139">
        <v>1869.1</v>
      </c>
      <c r="H1910" s="1139">
        <v>2157.75</v>
      </c>
      <c r="I1910" s="1139">
        <v>1895</v>
      </c>
      <c r="J1910" s="1139">
        <v>1920</v>
      </c>
      <c r="K1910" s="1217" t="s">
        <v>2982</v>
      </c>
      <c r="L1910" s="1322" t="s">
        <v>780</v>
      </c>
      <c r="M1910" s="1214">
        <v>6</v>
      </c>
      <c r="N1910" s="43">
        <v>4</v>
      </c>
      <c r="O1910" s="43">
        <v>4</v>
      </c>
      <c r="P1910" s="43">
        <v>4</v>
      </c>
      <c r="Q1910" s="43">
        <v>4</v>
      </c>
    </row>
    <row r="1911" spans="1:17" ht="30" x14ac:dyDescent="0.25">
      <c r="A1911" s="1370"/>
      <c r="B1911" s="1361"/>
      <c r="C1911" s="1317" t="s">
        <v>11</v>
      </c>
      <c r="D1911" s="1317"/>
      <c r="E1911" s="1302" t="s">
        <v>2574</v>
      </c>
      <c r="F1911" s="1139"/>
      <c r="G1911" s="1139">
        <v>414.4</v>
      </c>
      <c r="H1911" s="1335">
        <v>554.40800000000002</v>
      </c>
      <c r="I1911" s="1335">
        <v>420</v>
      </c>
      <c r="J1911" s="1335">
        <v>426</v>
      </c>
      <c r="K1911" s="1217" t="s">
        <v>2983</v>
      </c>
      <c r="L1911" s="1214" t="s">
        <v>34</v>
      </c>
      <c r="M1911" s="1214">
        <v>100</v>
      </c>
      <c r="N1911" s="1214">
        <v>100</v>
      </c>
      <c r="O1911" s="1214">
        <v>100</v>
      </c>
      <c r="P1911" s="1214">
        <v>100</v>
      </c>
      <c r="Q1911" s="1214">
        <v>100</v>
      </c>
    </row>
    <row r="1912" spans="1:17" ht="45" x14ac:dyDescent="0.25">
      <c r="A1912" s="1170"/>
      <c r="B1912" s="1361"/>
      <c r="C1912" s="1317" t="s">
        <v>13</v>
      </c>
      <c r="D1912" s="1317"/>
      <c r="E1912" s="1217" t="s">
        <v>2710</v>
      </c>
      <c r="F1912" s="1139"/>
      <c r="G1912" s="1139">
        <v>2275.1999999999998</v>
      </c>
      <c r="H1912" s="1139">
        <v>2545.0500000000002</v>
      </c>
      <c r="I1912" s="1139">
        <v>2305</v>
      </c>
      <c r="J1912" s="1139">
        <v>2336</v>
      </c>
      <c r="K1912" s="1217" t="s">
        <v>2984</v>
      </c>
      <c r="L1912" s="1322" t="s">
        <v>34</v>
      </c>
      <c r="M1912" s="1214">
        <v>20</v>
      </c>
      <c r="N1912" s="1214">
        <v>20</v>
      </c>
      <c r="O1912" s="1214">
        <v>20</v>
      </c>
      <c r="P1912" s="1214">
        <v>20</v>
      </c>
      <c r="Q1912" s="1214">
        <v>20</v>
      </c>
    </row>
    <row r="1913" spans="1:17" ht="30" x14ac:dyDescent="0.25">
      <c r="A1913" s="1770"/>
      <c r="B1913" s="1459"/>
      <c r="C1913" s="1772" t="s">
        <v>15</v>
      </c>
      <c r="D1913" s="1772"/>
      <c r="E1913" s="1766" t="s">
        <v>2794</v>
      </c>
      <c r="F1913" s="1774"/>
      <c r="G1913" s="1774">
        <v>3257.2</v>
      </c>
      <c r="H1913" s="1774">
        <v>3878.2750000000001</v>
      </c>
      <c r="I1913" s="1774">
        <v>3300</v>
      </c>
      <c r="J1913" s="1774">
        <v>3343</v>
      </c>
      <c r="K1913" s="1217" t="s">
        <v>2985</v>
      </c>
      <c r="L1913" s="1214" t="s">
        <v>780</v>
      </c>
      <c r="M1913" s="30">
        <v>6</v>
      </c>
      <c r="N1913" s="30">
        <v>6</v>
      </c>
      <c r="O1913" s="30">
        <v>6</v>
      </c>
      <c r="P1913" s="30">
        <v>6</v>
      </c>
      <c r="Q1913" s="30">
        <v>6</v>
      </c>
    </row>
    <row r="1914" spans="1:17" ht="30" x14ac:dyDescent="0.25">
      <c r="A1914" s="1776"/>
      <c r="B1914" s="1209"/>
      <c r="C1914" s="1777"/>
      <c r="D1914" s="1777"/>
      <c r="E1914" s="1766"/>
      <c r="F1914" s="1778"/>
      <c r="G1914" s="1778"/>
      <c r="H1914" s="1778"/>
      <c r="I1914" s="1778"/>
      <c r="J1914" s="1778"/>
      <c r="K1914" s="1217" t="s">
        <v>2986</v>
      </c>
      <c r="L1914" s="1214" t="s">
        <v>780</v>
      </c>
      <c r="M1914" s="1214">
        <v>2</v>
      </c>
      <c r="N1914" s="1214">
        <v>2</v>
      </c>
      <c r="O1914" s="1214">
        <v>2</v>
      </c>
      <c r="P1914" s="1214">
        <v>2</v>
      </c>
      <c r="Q1914" s="1214">
        <v>2</v>
      </c>
    </row>
    <row r="1915" spans="1:17" ht="60" x14ac:dyDescent="0.25">
      <c r="A1915" s="1771"/>
      <c r="B1915" s="1162"/>
      <c r="C1915" s="1773"/>
      <c r="D1915" s="1773"/>
      <c r="E1915" s="1766"/>
      <c r="F1915" s="1775"/>
      <c r="G1915" s="1775"/>
      <c r="H1915" s="1775"/>
      <c r="I1915" s="1775"/>
      <c r="J1915" s="1775"/>
      <c r="K1915" s="1217" t="s">
        <v>2987</v>
      </c>
      <c r="L1915" s="1214" t="s">
        <v>34</v>
      </c>
      <c r="M1915" s="1214">
        <v>100</v>
      </c>
      <c r="N1915" s="1214">
        <v>100</v>
      </c>
      <c r="O1915" s="1214">
        <v>100</v>
      </c>
      <c r="P1915" s="1214">
        <v>100</v>
      </c>
      <c r="Q1915" s="1214">
        <v>100</v>
      </c>
    </row>
    <row r="1916" spans="1:17" ht="104.25" x14ac:dyDescent="0.25">
      <c r="A1916" s="1115">
        <v>83</v>
      </c>
      <c r="B1916" s="1325">
        <v>2</v>
      </c>
      <c r="C1916" s="1403"/>
      <c r="D1916" s="1554"/>
      <c r="E1916" s="1205" t="s">
        <v>3146</v>
      </c>
      <c r="F1916" s="1229">
        <v>8286.1</v>
      </c>
      <c r="G1916" s="1229">
        <v>5580.2</v>
      </c>
      <c r="H1916" s="1229">
        <f>SUM(H1917:H1921)</f>
        <v>8478.5</v>
      </c>
      <c r="I1916" s="1229">
        <v>5653</v>
      </c>
      <c r="J1916" s="1229">
        <v>5728.2</v>
      </c>
      <c r="K1916" s="1214"/>
      <c r="L1916" s="1323"/>
      <c r="M1916" s="1214"/>
      <c r="N1916" s="1171"/>
      <c r="O1916" s="1171"/>
      <c r="P1916" s="1171"/>
      <c r="Q1916" s="1171"/>
    </row>
    <row r="1917" spans="1:17" x14ac:dyDescent="0.25">
      <c r="A1917" s="1757"/>
      <c r="B1917" s="1514"/>
      <c r="C1917" s="1758" t="s">
        <v>4</v>
      </c>
      <c r="D1917" s="1758"/>
      <c r="E1917" s="1761" t="s">
        <v>2988</v>
      </c>
      <c r="F1917" s="1762">
        <v>5525.8</v>
      </c>
      <c r="G1917" s="1762">
        <v>2717.3</v>
      </c>
      <c r="H1917" s="1765">
        <v>3542.4</v>
      </c>
      <c r="I1917" s="1762">
        <v>2753</v>
      </c>
      <c r="J1917" s="1765">
        <v>2790</v>
      </c>
      <c r="K1917" s="1217" t="s">
        <v>2989</v>
      </c>
      <c r="L1917" s="1214" t="s">
        <v>825</v>
      </c>
      <c r="M1917" s="1214">
        <v>51</v>
      </c>
      <c r="N1917" s="1214">
        <v>80</v>
      </c>
      <c r="O1917" s="1214">
        <v>90</v>
      </c>
      <c r="P1917" s="1214">
        <v>90</v>
      </c>
      <c r="Q1917" s="1214">
        <v>90</v>
      </c>
    </row>
    <row r="1918" spans="1:17" x14ac:dyDescent="0.25">
      <c r="A1918" s="1757"/>
      <c r="B1918" s="369"/>
      <c r="C1918" s="1759"/>
      <c r="D1918" s="1759"/>
      <c r="E1918" s="1761"/>
      <c r="F1918" s="1763"/>
      <c r="G1918" s="1763"/>
      <c r="H1918" s="1765"/>
      <c r="I1918" s="1763"/>
      <c r="J1918" s="1765"/>
      <c r="K1918" s="1217" t="s">
        <v>2990</v>
      </c>
      <c r="L1918" s="1196" t="s">
        <v>825</v>
      </c>
      <c r="M1918" s="1196">
        <v>33</v>
      </c>
      <c r="N1918" s="1196">
        <v>40</v>
      </c>
      <c r="O1918" s="1196">
        <v>40</v>
      </c>
      <c r="P1918" s="1196">
        <v>40</v>
      </c>
      <c r="Q1918" s="1196">
        <v>40</v>
      </c>
    </row>
    <row r="1919" spans="1:17" x14ac:dyDescent="0.25">
      <c r="A1919" s="1757"/>
      <c r="B1919" s="1277"/>
      <c r="C1919" s="1760"/>
      <c r="D1919" s="1760"/>
      <c r="E1919" s="1761"/>
      <c r="F1919" s="1764"/>
      <c r="G1919" s="1764"/>
      <c r="H1919" s="1765"/>
      <c r="I1919" s="1764"/>
      <c r="J1919" s="1765"/>
      <c r="K1919" s="1217" t="s">
        <v>2991</v>
      </c>
      <c r="L1919" s="1196" t="s">
        <v>825</v>
      </c>
      <c r="M1919" s="1196">
        <v>8</v>
      </c>
      <c r="N1919" s="1196">
        <v>2</v>
      </c>
      <c r="O1919" s="1196">
        <v>2</v>
      </c>
      <c r="P1919" s="1196">
        <v>2</v>
      </c>
      <c r="Q1919" s="1196">
        <v>2</v>
      </c>
    </row>
    <row r="1920" spans="1:17" x14ac:dyDescent="0.25">
      <c r="A1920" s="1122"/>
      <c r="B1920" s="382"/>
      <c r="C1920" s="1146" t="s">
        <v>5</v>
      </c>
      <c r="D1920" s="1146"/>
      <c r="E1920" s="1123" t="s">
        <v>2992</v>
      </c>
      <c r="F1920" s="1125">
        <v>1370.3</v>
      </c>
      <c r="G1920" s="1125">
        <v>1076.0999999999999</v>
      </c>
      <c r="H1920" s="1125">
        <v>2679.1</v>
      </c>
      <c r="I1920" s="1125">
        <v>1090</v>
      </c>
      <c r="J1920" s="1125">
        <v>1105</v>
      </c>
      <c r="K1920" s="1217" t="s">
        <v>2993</v>
      </c>
      <c r="L1920" s="1196" t="s">
        <v>825</v>
      </c>
      <c r="M1920" s="1196">
        <v>4</v>
      </c>
      <c r="N1920" s="1196">
        <v>100</v>
      </c>
      <c r="O1920" s="1196">
        <v>30</v>
      </c>
      <c r="P1920" s="1196">
        <v>30</v>
      </c>
      <c r="Q1920" s="1196">
        <v>20</v>
      </c>
    </row>
    <row r="1921" spans="1:17" ht="30" x14ac:dyDescent="0.25">
      <c r="A1921" s="1122"/>
      <c r="B1921" s="382"/>
      <c r="C1921" s="1146" t="s">
        <v>7</v>
      </c>
      <c r="D1921" s="1146"/>
      <c r="E1921" s="1126" t="s">
        <v>2994</v>
      </c>
      <c r="F1921" s="1125">
        <v>1390</v>
      </c>
      <c r="G1921" s="1125">
        <v>1786.8</v>
      </c>
      <c r="H1921" s="1125">
        <v>2257</v>
      </c>
      <c r="I1921" s="1125">
        <v>1810</v>
      </c>
      <c r="J1921" s="1125">
        <v>1833.2</v>
      </c>
      <c r="K1921" s="1126" t="s">
        <v>2995</v>
      </c>
      <c r="L1921" s="1196" t="s">
        <v>825</v>
      </c>
      <c r="M1921" s="1196">
        <v>38</v>
      </c>
      <c r="N1921" s="1196">
        <v>32</v>
      </c>
      <c r="O1921" s="1196">
        <v>32</v>
      </c>
      <c r="P1921" s="1196">
        <v>32</v>
      </c>
      <c r="Q1921" s="1196">
        <v>32</v>
      </c>
    </row>
    <row r="1922" spans="1:17" x14ac:dyDescent="0.25">
      <c r="A1922" s="1651" t="s">
        <v>2996</v>
      </c>
      <c r="B1922" s="1651"/>
      <c r="C1922" s="1766"/>
      <c r="D1922" s="1766"/>
      <c r="E1922" s="1767"/>
      <c r="F1922" s="697">
        <v>19888.7</v>
      </c>
      <c r="G1922" s="697">
        <v>20679.2</v>
      </c>
      <c r="H1922" s="697">
        <f>H1905+H1916</f>
        <v>26811.967000000001</v>
      </c>
      <c r="I1922" s="697">
        <v>20952</v>
      </c>
      <c r="J1922" s="697">
        <v>21229.200000000001</v>
      </c>
      <c r="K1922" s="15"/>
      <c r="L1922" s="1231"/>
      <c r="M1922" s="1231"/>
      <c r="N1922" s="1231"/>
      <c r="O1922" s="1231"/>
      <c r="P1922" s="1231"/>
      <c r="Q1922" s="1231"/>
    </row>
    <row r="1923" spans="1:17" x14ac:dyDescent="0.25">
      <c r="A1923" s="1648" t="s">
        <v>2997</v>
      </c>
      <c r="B1923" s="1649"/>
      <c r="C1923" s="1649"/>
      <c r="D1923" s="1649"/>
      <c r="E1923" s="1649"/>
      <c r="F1923" s="1649"/>
      <c r="G1923" s="1649"/>
      <c r="H1923" s="1649"/>
      <c r="I1923" s="1649"/>
      <c r="J1923" s="1649"/>
      <c r="K1923" s="1649"/>
      <c r="L1923" s="1649"/>
      <c r="M1923" s="1649"/>
      <c r="N1923" s="1649"/>
      <c r="O1923" s="1649"/>
      <c r="P1923" s="1649"/>
      <c r="Q1923" s="1650"/>
    </row>
    <row r="1924" spans="1:17" x14ac:dyDescent="0.25">
      <c r="A1924" s="1115">
        <v>84</v>
      </c>
      <c r="B1924" s="1297">
        <v>2</v>
      </c>
      <c r="C1924" s="1117"/>
      <c r="D1924" s="48"/>
      <c r="E1924" s="646" t="s">
        <v>2998</v>
      </c>
      <c r="F1924" s="901">
        <v>0</v>
      </c>
      <c r="G1924" s="901">
        <v>481.3</v>
      </c>
      <c r="H1924" s="901">
        <v>481.3</v>
      </c>
      <c r="I1924" s="901">
        <v>487.6</v>
      </c>
      <c r="J1924" s="901">
        <v>494.1</v>
      </c>
      <c r="K1924" s="460"/>
      <c r="L1924" s="459"/>
      <c r="M1924" s="459"/>
      <c r="N1924" s="459"/>
      <c r="O1924" s="459"/>
      <c r="P1924" s="459"/>
      <c r="Q1924" s="459"/>
    </row>
    <row r="1925" spans="1:17" ht="60" x14ac:dyDescent="0.25">
      <c r="A1925" s="1170"/>
      <c r="B1925" s="1248"/>
      <c r="C1925" s="1117" t="s">
        <v>4</v>
      </c>
      <c r="D1925" s="12"/>
      <c r="E1925" s="1302" t="s">
        <v>2999</v>
      </c>
      <c r="F1925" s="901"/>
      <c r="G1925" s="1175">
        <v>481.3</v>
      </c>
      <c r="H1925" s="1303">
        <v>481.3</v>
      </c>
      <c r="I1925" s="1303">
        <v>487.6</v>
      </c>
      <c r="J1925" s="1303">
        <v>494.1</v>
      </c>
      <c r="K1925" s="1212" t="s">
        <v>3000</v>
      </c>
      <c r="L1925" s="1214" t="s">
        <v>34</v>
      </c>
      <c r="M1925" s="459">
        <v>100</v>
      </c>
      <c r="N1925" s="459">
        <v>100</v>
      </c>
      <c r="O1925" s="459">
        <v>100</v>
      </c>
      <c r="P1925" s="459">
        <v>100</v>
      </c>
      <c r="Q1925" s="459">
        <v>100</v>
      </c>
    </row>
    <row r="1926" spans="1:17" x14ac:dyDescent="0.25">
      <c r="A1926" s="1748" t="s">
        <v>3001</v>
      </c>
      <c r="B1926" s="1748"/>
      <c r="C1926" s="1748"/>
      <c r="D1926" s="1748"/>
      <c r="E1926" s="1749"/>
      <c r="F1926" s="42">
        <v>0</v>
      </c>
      <c r="G1926" s="42">
        <v>481.3</v>
      </c>
      <c r="H1926" s="42">
        <v>481.3</v>
      </c>
      <c r="I1926" s="42">
        <v>487.6</v>
      </c>
      <c r="J1926" s="42">
        <v>494.1</v>
      </c>
      <c r="K1926" s="15"/>
      <c r="L1926" s="1231"/>
      <c r="M1926" s="1231"/>
      <c r="N1926" s="1231"/>
      <c r="O1926" s="1231"/>
      <c r="P1926" s="1231"/>
      <c r="Q1926" s="1231"/>
    </row>
    <row r="1927" spans="1:17" x14ac:dyDescent="0.25">
      <c r="A1927" s="1648" t="s">
        <v>3002</v>
      </c>
      <c r="B1927" s="1649"/>
      <c r="C1927" s="1649"/>
      <c r="D1927" s="1649"/>
      <c r="E1927" s="1649"/>
      <c r="F1927" s="1649"/>
      <c r="G1927" s="1649"/>
      <c r="H1927" s="1649"/>
      <c r="I1927" s="1649"/>
      <c r="J1927" s="1649"/>
      <c r="K1927" s="1649"/>
      <c r="L1927" s="1649"/>
      <c r="M1927" s="1649"/>
      <c r="N1927" s="1649"/>
      <c r="O1927" s="1649"/>
      <c r="P1927" s="1649"/>
      <c r="Q1927" s="1650"/>
    </row>
    <row r="1928" spans="1:17" x14ac:dyDescent="0.25">
      <c r="A1928" s="1648" t="s">
        <v>3003</v>
      </c>
      <c r="B1928" s="1649"/>
      <c r="C1928" s="1649"/>
      <c r="D1928" s="1649"/>
      <c r="E1928" s="1649"/>
      <c r="F1928" s="1649"/>
      <c r="G1928" s="1649"/>
      <c r="H1928" s="1649"/>
      <c r="I1928" s="1649"/>
      <c r="J1928" s="1649"/>
      <c r="K1928" s="1649"/>
      <c r="L1928" s="1649"/>
      <c r="M1928" s="1649"/>
      <c r="N1928" s="1649"/>
      <c r="O1928" s="1649"/>
      <c r="P1928" s="1649"/>
      <c r="Q1928" s="1650"/>
    </row>
    <row r="1929" spans="1:17" ht="103.5" x14ac:dyDescent="0.25">
      <c r="A1929" s="1115">
        <v>85</v>
      </c>
      <c r="B1929" s="1297">
        <v>1</v>
      </c>
      <c r="C1929" s="1117"/>
      <c r="D1929" s="28"/>
      <c r="E1929" s="178" t="s">
        <v>3147</v>
      </c>
      <c r="F1929" s="1119">
        <v>17467.099999999999</v>
      </c>
      <c r="G1929" s="1119">
        <v>21431.5</v>
      </c>
      <c r="H1929" s="1119">
        <f>SUM(H1930:H1935)</f>
        <v>15744.5</v>
      </c>
      <c r="I1929" s="1119">
        <v>16244.4</v>
      </c>
      <c r="J1929" s="1119">
        <v>16244.4</v>
      </c>
      <c r="K1929" s="1195" t="s">
        <v>3004</v>
      </c>
      <c r="L1929" s="459" t="s">
        <v>34</v>
      </c>
      <c r="M1929" s="1174">
        <v>10.5</v>
      </c>
      <c r="N1929" s="1174">
        <v>10.9</v>
      </c>
      <c r="O1929" s="1174">
        <v>10.199999999999999</v>
      </c>
      <c r="P1929" s="1042">
        <v>10.199999999999999</v>
      </c>
      <c r="Q1929" s="1174">
        <v>10.199999999999999</v>
      </c>
    </row>
    <row r="1930" spans="1:17" x14ac:dyDescent="0.25">
      <c r="A1930" s="1115"/>
      <c r="B1930" s="1297"/>
      <c r="C1930" s="1117" t="s">
        <v>4</v>
      </c>
      <c r="D1930" s="1171"/>
      <c r="E1930" s="1149" t="s">
        <v>1406</v>
      </c>
      <c r="F1930" s="1171">
        <v>5040.3999999999996</v>
      </c>
      <c r="G1930" s="1171">
        <v>3666.7</v>
      </c>
      <c r="H1930" s="1120">
        <v>5558.6</v>
      </c>
      <c r="I1930" s="1121">
        <v>5858.6</v>
      </c>
      <c r="J1930" s="1121">
        <v>5858.6</v>
      </c>
      <c r="K1930" s="1212" t="s">
        <v>438</v>
      </c>
      <c r="L1930" s="1214" t="s">
        <v>241</v>
      </c>
      <c r="M1930" s="459">
        <v>75</v>
      </c>
      <c r="N1930" s="459">
        <v>75</v>
      </c>
      <c r="O1930" s="459">
        <v>76</v>
      </c>
      <c r="P1930" s="807">
        <v>76</v>
      </c>
      <c r="Q1930" s="459">
        <v>76</v>
      </c>
    </row>
    <row r="1931" spans="1:17" ht="30" x14ac:dyDescent="0.25">
      <c r="A1931" s="1115"/>
      <c r="B1931" s="1297"/>
      <c r="C1931" s="1117" t="s">
        <v>5</v>
      </c>
      <c r="D1931" s="1171"/>
      <c r="E1931" s="1149" t="s">
        <v>2708</v>
      </c>
      <c r="F1931" s="1171">
        <v>5621.2</v>
      </c>
      <c r="G1931" s="1171">
        <v>7704.6</v>
      </c>
      <c r="H1931" s="1120">
        <v>4948.2</v>
      </c>
      <c r="I1931" s="1121">
        <v>5098.2</v>
      </c>
      <c r="J1931" s="1121">
        <v>5098.2</v>
      </c>
      <c r="K1931" s="1212" t="s">
        <v>3005</v>
      </c>
      <c r="L1931" s="1214" t="s">
        <v>34</v>
      </c>
      <c r="M1931" s="459">
        <v>99.7</v>
      </c>
      <c r="N1931" s="459">
        <v>99.8</v>
      </c>
      <c r="O1931" s="459">
        <v>100</v>
      </c>
      <c r="P1931" s="807">
        <v>100</v>
      </c>
      <c r="Q1931" s="459">
        <v>100</v>
      </c>
    </row>
    <row r="1932" spans="1:17" ht="30" x14ac:dyDescent="0.25">
      <c r="A1932" s="1115"/>
      <c r="B1932" s="1297"/>
      <c r="C1932" s="1117" t="s">
        <v>7</v>
      </c>
      <c r="D1932" s="1171"/>
      <c r="E1932" s="1149" t="s">
        <v>3006</v>
      </c>
      <c r="F1932" s="1171">
        <v>1359.8</v>
      </c>
      <c r="G1932" s="1171">
        <v>1558.9</v>
      </c>
      <c r="H1932" s="1120">
        <v>1548</v>
      </c>
      <c r="I1932" s="1121">
        <v>1548</v>
      </c>
      <c r="J1932" s="1121">
        <v>1548</v>
      </c>
      <c r="K1932" s="1212" t="s">
        <v>3007</v>
      </c>
      <c r="L1932" s="1214" t="s">
        <v>34</v>
      </c>
      <c r="M1932" s="459">
        <v>80</v>
      </c>
      <c r="N1932" s="24" t="s">
        <v>372</v>
      </c>
      <c r="O1932" s="459">
        <v>100</v>
      </c>
      <c r="P1932" s="807">
        <v>100</v>
      </c>
      <c r="Q1932" s="459">
        <v>100</v>
      </c>
    </row>
    <row r="1933" spans="1:17" ht="30" x14ac:dyDescent="0.25">
      <c r="A1933" s="1324"/>
      <c r="B1933" s="1427"/>
      <c r="C1933" s="330" t="s">
        <v>9</v>
      </c>
      <c r="D1933" s="1114"/>
      <c r="E1933" s="1149" t="s">
        <v>3008</v>
      </c>
      <c r="F1933" s="1171">
        <v>858.2</v>
      </c>
      <c r="G1933" s="1171">
        <v>1340</v>
      </c>
      <c r="H1933" s="1120">
        <v>512.20000000000005</v>
      </c>
      <c r="I1933" s="1121">
        <v>512.20000000000005</v>
      </c>
      <c r="J1933" s="1121">
        <v>512.20000000000005</v>
      </c>
      <c r="K1933" s="1212" t="s">
        <v>3009</v>
      </c>
      <c r="L1933" s="1214" t="s">
        <v>1577</v>
      </c>
      <c r="M1933" s="24" t="s">
        <v>373</v>
      </c>
      <c r="N1933" s="24" t="s">
        <v>374</v>
      </c>
      <c r="O1933" s="24" t="s">
        <v>375</v>
      </c>
      <c r="P1933" s="24" t="s">
        <v>376</v>
      </c>
      <c r="Q1933" s="24" t="s">
        <v>377</v>
      </c>
    </row>
    <row r="1934" spans="1:17" ht="30" x14ac:dyDescent="0.25">
      <c r="A1934" s="1324"/>
      <c r="B1934" s="1427"/>
      <c r="C1934" s="330" t="s">
        <v>11</v>
      </c>
      <c r="D1934" s="1114"/>
      <c r="E1934" s="1149" t="s">
        <v>2574</v>
      </c>
      <c r="F1934" s="1171">
        <v>2384</v>
      </c>
      <c r="G1934" s="1171">
        <v>5050.8</v>
      </c>
      <c r="H1934" s="1120">
        <v>1293.4000000000001</v>
      </c>
      <c r="I1934" s="1121">
        <v>1343.4</v>
      </c>
      <c r="J1934" s="1121">
        <v>1343.4</v>
      </c>
      <c r="K1934" s="1212" t="s">
        <v>3010</v>
      </c>
      <c r="L1934" s="1214" t="s">
        <v>780</v>
      </c>
      <c r="M1934" s="459">
        <v>500</v>
      </c>
      <c r="N1934" s="459">
        <v>700</v>
      </c>
      <c r="O1934" s="459">
        <v>800</v>
      </c>
      <c r="P1934" s="807">
        <v>800</v>
      </c>
      <c r="Q1934" s="459">
        <v>800</v>
      </c>
    </row>
    <row r="1935" spans="1:17" ht="45" x14ac:dyDescent="0.25">
      <c r="A1935" s="1324"/>
      <c r="B1935" s="1325"/>
      <c r="C1935" s="1117" t="s">
        <v>13</v>
      </c>
      <c r="D1935" s="1114"/>
      <c r="E1935" s="1217" t="s">
        <v>2710</v>
      </c>
      <c r="F1935" s="1171">
        <v>2203.5</v>
      </c>
      <c r="G1935" s="1171">
        <v>2110.5</v>
      </c>
      <c r="H1935" s="1120">
        <v>1884.1</v>
      </c>
      <c r="I1935" s="1121">
        <v>1884</v>
      </c>
      <c r="J1935" s="1121">
        <v>1884</v>
      </c>
      <c r="K1935" s="1212" t="s">
        <v>3011</v>
      </c>
      <c r="L1935" s="1322" t="s">
        <v>34</v>
      </c>
      <c r="M1935" s="1436">
        <v>1.7</v>
      </c>
      <c r="N1935" s="1436">
        <v>1.7</v>
      </c>
      <c r="O1935" s="1436">
        <v>1.7</v>
      </c>
      <c r="P1935" s="1555">
        <v>1.7</v>
      </c>
      <c r="Q1935" s="1436">
        <v>1.7</v>
      </c>
    </row>
    <row r="1936" spans="1:17" ht="58.5" x14ac:dyDescent="0.25">
      <c r="A1936" s="1324">
        <v>85</v>
      </c>
      <c r="B1936" s="1325">
        <v>2</v>
      </c>
      <c r="C1936" s="1317"/>
      <c r="D1936" s="1317"/>
      <c r="E1936" s="1597" t="s">
        <v>3148</v>
      </c>
      <c r="F1936" s="1119">
        <v>286945.59999999998</v>
      </c>
      <c r="G1936" s="1119">
        <v>225697.19999999998</v>
      </c>
      <c r="H1936" s="1119">
        <f>SUM(H1937:H1945)</f>
        <v>207009.1</v>
      </c>
      <c r="I1936" s="1119">
        <v>215307.5</v>
      </c>
      <c r="J1936" s="1119">
        <v>216307.5</v>
      </c>
      <c r="K1936" s="1511"/>
      <c r="L1936" s="1436"/>
      <c r="M1936" s="1323"/>
      <c r="N1936" s="1323"/>
      <c r="O1936" s="1323"/>
      <c r="P1936" s="1556"/>
      <c r="Q1936" s="1323"/>
    </row>
    <row r="1937" spans="1:17" x14ac:dyDescent="0.25">
      <c r="A1937" s="1678"/>
      <c r="B1937" s="1325"/>
      <c r="C1937" s="1669" t="s">
        <v>4</v>
      </c>
      <c r="D1937" s="1669"/>
      <c r="E1937" s="1684" t="s">
        <v>3012</v>
      </c>
      <c r="F1937" s="1639">
        <v>3512.9</v>
      </c>
      <c r="G1937" s="1639">
        <v>1420.1</v>
      </c>
      <c r="H1937" s="1768">
        <v>2382.5</v>
      </c>
      <c r="I1937" s="1658">
        <v>2382.5</v>
      </c>
      <c r="J1937" s="1658">
        <v>2382.5</v>
      </c>
      <c r="K1937" s="1196" t="s">
        <v>3013</v>
      </c>
      <c r="L1937" s="1127" t="s">
        <v>34</v>
      </c>
      <c r="M1937" s="1130">
        <v>97.7</v>
      </c>
      <c r="N1937" s="1130">
        <v>100</v>
      </c>
      <c r="O1937" s="1130">
        <v>100</v>
      </c>
      <c r="P1937" s="1043">
        <v>100</v>
      </c>
      <c r="Q1937" s="1130">
        <v>100</v>
      </c>
    </row>
    <row r="1938" spans="1:17" x14ac:dyDescent="0.25">
      <c r="A1938" s="1679"/>
      <c r="B1938" s="1116"/>
      <c r="C1938" s="1670"/>
      <c r="D1938" s="1670"/>
      <c r="E1938" s="1686"/>
      <c r="F1938" s="1640"/>
      <c r="G1938" s="1640"/>
      <c r="H1938" s="1769"/>
      <c r="I1938" s="1656"/>
      <c r="J1938" s="1656"/>
      <c r="K1938" s="1580" t="s">
        <v>3014</v>
      </c>
      <c r="L1938" s="1322" t="s">
        <v>822</v>
      </c>
      <c r="M1938" s="1335"/>
      <c r="N1938" s="1335"/>
      <c r="O1938" s="1335"/>
      <c r="P1938" s="1542"/>
      <c r="Q1938" s="1335"/>
    </row>
    <row r="1939" spans="1:17" x14ac:dyDescent="0.25">
      <c r="A1939" s="1678"/>
      <c r="B1939" s="1325"/>
      <c r="C1939" s="1669" t="s">
        <v>5</v>
      </c>
      <c r="D1939" s="1669"/>
      <c r="E1939" s="1684" t="s">
        <v>3015</v>
      </c>
      <c r="F1939" s="1639">
        <v>46788</v>
      </c>
      <c r="G1939" s="1639">
        <v>56074.2</v>
      </c>
      <c r="H1939" s="1756">
        <v>50656.9</v>
      </c>
      <c r="I1939" s="1660">
        <v>52523.9</v>
      </c>
      <c r="J1939" s="1660">
        <v>52523.9</v>
      </c>
      <c r="K1939" s="1196" t="s">
        <v>3016</v>
      </c>
      <c r="L1939" s="1322" t="s">
        <v>1334</v>
      </c>
      <c r="M1939" s="1557" t="s">
        <v>378</v>
      </c>
      <c r="N1939" s="1557" t="s">
        <v>378</v>
      </c>
      <c r="O1939" s="1557" t="s">
        <v>378</v>
      </c>
      <c r="P1939" s="1557" t="s">
        <v>378</v>
      </c>
      <c r="Q1939" s="1557" t="s">
        <v>378</v>
      </c>
    </row>
    <row r="1940" spans="1:17" x14ac:dyDescent="0.25">
      <c r="A1940" s="1679"/>
      <c r="B1940" s="1116"/>
      <c r="C1940" s="1670"/>
      <c r="D1940" s="1670"/>
      <c r="E1940" s="1686"/>
      <c r="F1940" s="1640"/>
      <c r="G1940" s="1640"/>
      <c r="H1940" s="1756"/>
      <c r="I1940" s="1660"/>
      <c r="J1940" s="1660"/>
      <c r="K1940" s="1157"/>
      <c r="L1940" s="1176"/>
      <c r="M1940" s="1044"/>
      <c r="N1940" s="1177"/>
      <c r="O1940" s="1045"/>
      <c r="P1940" s="1046"/>
      <c r="Q1940" s="1047"/>
    </row>
    <row r="1941" spans="1:17" x14ac:dyDescent="0.25">
      <c r="A1941" s="1678"/>
      <c r="B1941" s="1325"/>
      <c r="C1941" s="1669" t="s">
        <v>7</v>
      </c>
      <c r="D1941" s="1669"/>
      <c r="E1941" s="1684" t="s">
        <v>3017</v>
      </c>
      <c r="F1941" s="1639">
        <v>47298</v>
      </c>
      <c r="G1941" s="1639">
        <v>38630.5</v>
      </c>
      <c r="H1941" s="1756">
        <v>48632.3</v>
      </c>
      <c r="I1941" s="1660">
        <v>51963.6</v>
      </c>
      <c r="J1941" s="1660">
        <v>51963.6</v>
      </c>
      <c r="K1941" s="1196" t="s">
        <v>3018</v>
      </c>
      <c r="L1941" s="1322" t="s">
        <v>1334</v>
      </c>
      <c r="M1941" s="1558" t="s">
        <v>379</v>
      </c>
      <c r="N1941" s="1559" t="s">
        <v>379</v>
      </c>
      <c r="O1941" s="1559" t="s">
        <v>379</v>
      </c>
      <c r="P1941" s="1560" t="s">
        <v>380</v>
      </c>
      <c r="Q1941" s="1559" t="s">
        <v>380</v>
      </c>
    </row>
    <row r="1942" spans="1:17" x14ac:dyDescent="0.25">
      <c r="A1942" s="1679"/>
      <c r="B1942" s="1116"/>
      <c r="C1942" s="1670"/>
      <c r="D1942" s="1670"/>
      <c r="E1942" s="1686"/>
      <c r="F1942" s="1640"/>
      <c r="G1942" s="1640"/>
      <c r="H1942" s="1756"/>
      <c r="I1942" s="1660"/>
      <c r="J1942" s="1660"/>
      <c r="K1942" s="1157"/>
      <c r="L1942" s="1127"/>
      <c r="M1942" s="1048"/>
      <c r="N1942" s="1048"/>
      <c r="O1942" s="1048"/>
      <c r="P1942" s="1049"/>
      <c r="Q1942" s="1048"/>
    </row>
    <row r="1943" spans="1:17" x14ac:dyDescent="0.25">
      <c r="A1943" s="1111"/>
      <c r="B1943" s="1116"/>
      <c r="C1943" s="1112" t="s">
        <v>9</v>
      </c>
      <c r="D1943" s="1112"/>
      <c r="E1943" s="1212" t="s">
        <v>3019</v>
      </c>
      <c r="F1943" s="1171">
        <v>8202.2999999999993</v>
      </c>
      <c r="G1943" s="1171">
        <v>5658.5</v>
      </c>
      <c r="H1943" s="1120">
        <v>5675</v>
      </c>
      <c r="I1943" s="1121">
        <v>5775.1</v>
      </c>
      <c r="J1943" s="1121">
        <v>5775.1</v>
      </c>
      <c r="K1943" s="1196" t="s">
        <v>3020</v>
      </c>
      <c r="L1943" s="1127" t="s">
        <v>1160</v>
      </c>
      <c r="M1943" s="1050">
        <v>44530</v>
      </c>
      <c r="N1943" s="1050">
        <v>49275</v>
      </c>
      <c r="O1943" s="1050">
        <v>49275</v>
      </c>
      <c r="P1943" s="1051">
        <v>49275</v>
      </c>
      <c r="Q1943" s="1050">
        <v>49275</v>
      </c>
    </row>
    <row r="1944" spans="1:17" ht="30" x14ac:dyDescent="0.25">
      <c r="A1944" s="1115"/>
      <c r="B1944" s="1297"/>
      <c r="C1944" s="1117" t="s">
        <v>11</v>
      </c>
      <c r="D1944" s="1117"/>
      <c r="E1944" s="1217" t="s">
        <v>3021</v>
      </c>
      <c r="F1944" s="1323">
        <v>103587.8</v>
      </c>
      <c r="G1944" s="1171">
        <v>30818.799999999999</v>
      </c>
      <c r="H1944" s="1120"/>
      <c r="I1944" s="1121"/>
      <c r="J1944" s="1121"/>
      <c r="K1944" s="1205" t="s">
        <v>3022</v>
      </c>
      <c r="L1944" s="1214" t="s">
        <v>34</v>
      </c>
      <c r="M1944" s="1139">
        <v>95</v>
      </c>
      <c r="N1944" s="43">
        <v>98.5</v>
      </c>
      <c r="O1944" s="43">
        <v>99</v>
      </c>
      <c r="P1944" s="1052">
        <v>100</v>
      </c>
      <c r="Q1944" s="43">
        <v>100</v>
      </c>
    </row>
    <row r="1945" spans="1:17" ht="30" x14ac:dyDescent="0.25">
      <c r="A1945" s="1153"/>
      <c r="B1945" s="1154"/>
      <c r="C1945" s="1155" t="s">
        <v>13</v>
      </c>
      <c r="D1945" s="1155"/>
      <c r="E1945" s="1217" t="s">
        <v>3023</v>
      </c>
      <c r="F1945" s="1171">
        <v>77556.600000000006</v>
      </c>
      <c r="G1945" s="1171">
        <v>93095.1</v>
      </c>
      <c r="H1945" s="1053">
        <v>99662.399999999994</v>
      </c>
      <c r="I1945" s="66">
        <v>102662.39999999999</v>
      </c>
      <c r="J1945" s="66">
        <v>103662.39999999999</v>
      </c>
      <c r="K1945" s="1196" t="s">
        <v>3024</v>
      </c>
      <c r="L1945" s="1322" t="s">
        <v>381</v>
      </c>
      <c r="M1945" s="1335">
        <v>99.9</v>
      </c>
      <c r="N1945" s="1335">
        <v>99</v>
      </c>
      <c r="O1945" s="1335">
        <v>100</v>
      </c>
      <c r="P1945" s="1542">
        <v>100</v>
      </c>
      <c r="Q1945" s="1335">
        <v>100</v>
      </c>
    </row>
    <row r="1946" spans="1:17" ht="57" x14ac:dyDescent="0.25">
      <c r="A1946" s="1324">
        <v>85</v>
      </c>
      <c r="B1946" s="1325">
        <v>3</v>
      </c>
      <c r="C1946" s="1317"/>
      <c r="D1946" s="1317"/>
      <c r="E1946" s="1597" t="s">
        <v>3025</v>
      </c>
      <c r="F1946" s="1119">
        <v>160248.20000000001</v>
      </c>
      <c r="G1946" s="1119">
        <v>138425.9</v>
      </c>
      <c r="H1946" s="1119">
        <f>SUM(H1947:H1955)</f>
        <v>156461.4</v>
      </c>
      <c r="I1946" s="1119">
        <v>159237.20000000001</v>
      </c>
      <c r="J1946" s="1119">
        <v>159490.90000000002</v>
      </c>
      <c r="K1946" s="1511"/>
      <c r="L1946" s="1436"/>
      <c r="M1946" s="1323"/>
      <c r="N1946" s="1323"/>
      <c r="O1946" s="1323"/>
      <c r="P1946" s="1323"/>
      <c r="Q1946" s="1323"/>
    </row>
    <row r="1947" spans="1:17" ht="30" x14ac:dyDescent="0.25">
      <c r="A1947" s="1678"/>
      <c r="B1947" s="1325"/>
      <c r="C1947" s="1669" t="s">
        <v>4</v>
      </c>
      <c r="D1947" s="1669"/>
      <c r="E1947" s="1684" t="s">
        <v>3026</v>
      </c>
      <c r="F1947" s="1639">
        <v>22200.7</v>
      </c>
      <c r="G1947" s="1639">
        <v>14010.8</v>
      </c>
      <c r="H1947" s="1756">
        <v>16260.8</v>
      </c>
      <c r="I1947" s="1660">
        <v>16260.8</v>
      </c>
      <c r="J1947" s="1660">
        <v>16260.8</v>
      </c>
      <c r="K1947" s="1580" t="s">
        <v>3027</v>
      </c>
      <c r="L1947" s="1322" t="s">
        <v>34</v>
      </c>
      <c r="M1947" s="1335" t="s">
        <v>382</v>
      </c>
      <c r="N1947" s="1335" t="s">
        <v>383</v>
      </c>
      <c r="O1947" s="1335" t="s">
        <v>384</v>
      </c>
      <c r="P1947" s="1542" t="s">
        <v>384</v>
      </c>
      <c r="Q1947" s="1335" t="s">
        <v>384</v>
      </c>
    </row>
    <row r="1948" spans="1:17" x14ac:dyDescent="0.25">
      <c r="A1948" s="1679"/>
      <c r="B1948" s="1116"/>
      <c r="C1948" s="1670"/>
      <c r="D1948" s="1670"/>
      <c r="E1948" s="1686"/>
      <c r="F1948" s="1640"/>
      <c r="G1948" s="1640"/>
      <c r="H1948" s="1756"/>
      <c r="I1948" s="1660"/>
      <c r="J1948" s="1660"/>
      <c r="K1948" s="1157"/>
      <c r="L1948" s="1127"/>
      <c r="M1948" s="1130"/>
      <c r="N1948" s="1130"/>
      <c r="O1948" s="1130"/>
      <c r="P1948" s="1054"/>
      <c r="Q1948" s="1131"/>
    </row>
    <row r="1949" spans="1:17" ht="30" x14ac:dyDescent="0.25">
      <c r="A1949" s="1678"/>
      <c r="B1949" s="1325"/>
      <c r="C1949" s="1669" t="s">
        <v>5</v>
      </c>
      <c r="D1949" s="1669"/>
      <c r="E1949" s="1684" t="s">
        <v>3017</v>
      </c>
      <c r="F1949" s="1639">
        <v>24544</v>
      </c>
      <c r="G1949" s="1639">
        <v>16979.599999999999</v>
      </c>
      <c r="H1949" s="1756">
        <v>21664.799999999999</v>
      </c>
      <c r="I1949" s="1660">
        <v>22106</v>
      </c>
      <c r="J1949" s="1660">
        <v>22106</v>
      </c>
      <c r="K1949" s="1580" t="s">
        <v>3027</v>
      </c>
      <c r="L1949" s="1322" t="s">
        <v>34</v>
      </c>
      <c r="M1949" s="1335" t="s">
        <v>385</v>
      </c>
      <c r="N1949" s="1335" t="s">
        <v>386</v>
      </c>
      <c r="O1949" s="1335" t="s">
        <v>378</v>
      </c>
      <c r="P1949" s="1542" t="s">
        <v>378</v>
      </c>
      <c r="Q1949" s="1335" t="s">
        <v>378</v>
      </c>
    </row>
    <row r="1950" spans="1:17" x14ac:dyDescent="0.25">
      <c r="A1950" s="1679"/>
      <c r="B1950" s="1116"/>
      <c r="C1950" s="1670"/>
      <c r="D1950" s="1670"/>
      <c r="E1950" s="1686"/>
      <c r="F1950" s="1640"/>
      <c r="G1950" s="1640"/>
      <c r="H1950" s="1756"/>
      <c r="I1950" s="1660"/>
      <c r="J1950" s="1660"/>
      <c r="K1950" s="1157"/>
      <c r="L1950" s="1127"/>
      <c r="M1950" s="1130"/>
      <c r="N1950" s="1130"/>
      <c r="O1950" s="1130"/>
      <c r="P1950" s="1043"/>
      <c r="Q1950" s="1130"/>
    </row>
    <row r="1951" spans="1:17" ht="30" x14ac:dyDescent="0.25">
      <c r="A1951" s="1115"/>
      <c r="B1951" s="1297"/>
      <c r="C1951" s="1117" t="s">
        <v>7</v>
      </c>
      <c r="D1951" s="1117"/>
      <c r="E1951" s="1097" t="s">
        <v>3028</v>
      </c>
      <c r="F1951" s="1171">
        <v>1620.9</v>
      </c>
      <c r="G1951" s="1171">
        <v>1610.7</v>
      </c>
      <c r="H1951" s="1120">
        <v>7631.5</v>
      </c>
      <c r="I1951" s="1121">
        <v>7631.5</v>
      </c>
      <c r="J1951" s="1121">
        <v>7631.5</v>
      </c>
      <c r="K1951" s="1157" t="s">
        <v>3013</v>
      </c>
      <c r="L1951" s="1114" t="s">
        <v>34</v>
      </c>
      <c r="M1951" s="1171">
        <v>89.1</v>
      </c>
      <c r="N1951" s="1130">
        <v>91.5</v>
      </c>
      <c r="O1951" s="1130">
        <v>100</v>
      </c>
      <c r="P1951" s="1043">
        <v>100</v>
      </c>
      <c r="Q1951" s="1130">
        <v>100</v>
      </c>
    </row>
    <row r="1952" spans="1:17" ht="30" x14ac:dyDescent="0.25">
      <c r="A1952" s="1115"/>
      <c r="B1952" s="1297"/>
      <c r="C1952" s="1117" t="s">
        <v>9</v>
      </c>
      <c r="D1952" s="1117"/>
      <c r="E1952" s="1097" t="s">
        <v>3029</v>
      </c>
      <c r="F1952" s="1171">
        <v>8184.6</v>
      </c>
      <c r="G1952" s="1171">
        <v>4178.1000000000004</v>
      </c>
      <c r="H1952" s="1433">
        <v>2525</v>
      </c>
      <c r="I1952" s="1319">
        <v>2625.1</v>
      </c>
      <c r="J1952" s="1319">
        <v>2625.1</v>
      </c>
      <c r="K1952" s="1000" t="s">
        <v>3020</v>
      </c>
      <c r="L1952" s="1214" t="s">
        <v>1160</v>
      </c>
      <c r="M1952" s="61">
        <v>21900</v>
      </c>
      <c r="N1952" s="61">
        <v>26280</v>
      </c>
      <c r="O1952" s="61">
        <v>26280</v>
      </c>
      <c r="P1952" s="1055">
        <v>26280</v>
      </c>
      <c r="Q1952" s="61">
        <v>26280</v>
      </c>
    </row>
    <row r="1953" spans="1:17" ht="30" x14ac:dyDescent="0.25">
      <c r="A1953" s="1115"/>
      <c r="B1953" s="1297"/>
      <c r="C1953" s="1117" t="s">
        <v>11</v>
      </c>
      <c r="D1953" s="1117"/>
      <c r="E1953" s="1097" t="s">
        <v>387</v>
      </c>
      <c r="F1953" s="1171">
        <v>70885.600000000006</v>
      </c>
      <c r="G1953" s="1171">
        <v>71834.3</v>
      </c>
      <c r="H1953" s="1433">
        <v>85134.3</v>
      </c>
      <c r="I1953" s="1319">
        <v>85134.3</v>
      </c>
      <c r="J1953" s="1319">
        <v>85134.3</v>
      </c>
      <c r="K1953" s="1000" t="s">
        <v>3030</v>
      </c>
      <c r="L1953" s="1214" t="s">
        <v>34</v>
      </c>
      <c r="M1953" s="1139">
        <v>95</v>
      </c>
      <c r="N1953" s="43">
        <v>98.5</v>
      </c>
      <c r="O1953" s="43">
        <v>99</v>
      </c>
      <c r="P1953" s="1052">
        <v>100</v>
      </c>
      <c r="Q1953" s="43">
        <v>100</v>
      </c>
    </row>
    <row r="1954" spans="1:17" x14ac:dyDescent="0.25">
      <c r="A1954" s="1678"/>
      <c r="B1954" s="1325"/>
      <c r="C1954" s="1669" t="s">
        <v>13</v>
      </c>
      <c r="D1954" s="1669"/>
      <c r="E1954" s="1684" t="s">
        <v>3031</v>
      </c>
      <c r="F1954" s="1639">
        <v>32812.400000000001</v>
      </c>
      <c r="G1954" s="1639">
        <v>29812.400000000001</v>
      </c>
      <c r="H1954" s="1433"/>
      <c r="I1954" s="1319"/>
      <c r="J1954" s="1319"/>
      <c r="K1954" s="1580" t="s">
        <v>3032</v>
      </c>
      <c r="L1954" s="1322" t="s">
        <v>34</v>
      </c>
      <c r="M1954" s="1335">
        <v>99.9</v>
      </c>
      <c r="N1954" s="1333">
        <v>100</v>
      </c>
      <c r="O1954" s="1333">
        <v>100</v>
      </c>
      <c r="P1954" s="1333">
        <v>100</v>
      </c>
      <c r="Q1954" s="1333">
        <v>100</v>
      </c>
    </row>
    <row r="1955" spans="1:17" x14ac:dyDescent="0.25">
      <c r="A1955" s="1679"/>
      <c r="B1955" s="1116"/>
      <c r="C1955" s="1670"/>
      <c r="D1955" s="1670"/>
      <c r="E1955" s="1686"/>
      <c r="F1955" s="1640"/>
      <c r="G1955" s="1640"/>
      <c r="H1955" s="1056">
        <v>23245</v>
      </c>
      <c r="I1955" s="1252">
        <v>25479.5</v>
      </c>
      <c r="J1955" s="1252">
        <v>25733.200000000001</v>
      </c>
      <c r="K1955" s="1157"/>
      <c r="L1955" s="1127"/>
      <c r="M1955" s="1130"/>
      <c r="N1955" s="1177"/>
      <c r="O1955" s="1177"/>
      <c r="P1955" s="1177"/>
      <c r="Q1955" s="1177"/>
    </row>
    <row r="1956" spans="1:17" x14ac:dyDescent="0.25">
      <c r="A1956" s="1680">
        <v>85</v>
      </c>
      <c r="B1956" s="1751">
        <v>4</v>
      </c>
      <c r="C1956" s="1753"/>
      <c r="D1956" s="1753"/>
      <c r="E1956" s="1754" t="s">
        <v>3149</v>
      </c>
      <c r="F1956" s="1657">
        <v>11263.7</v>
      </c>
      <c r="G1956" s="1657">
        <v>11263.8</v>
      </c>
      <c r="H1956" s="1657">
        <f>H1958</f>
        <v>11263.8</v>
      </c>
      <c r="I1956" s="1657">
        <v>11263.8</v>
      </c>
      <c r="J1956" s="1657">
        <v>15329.9</v>
      </c>
      <c r="K1956" s="460" t="s">
        <v>3033</v>
      </c>
      <c r="L1956" s="459" t="s">
        <v>825</v>
      </c>
      <c r="M1956" s="704">
        <v>43</v>
      </c>
      <c r="N1956" s="704">
        <v>46</v>
      </c>
      <c r="O1956" s="704">
        <v>48</v>
      </c>
      <c r="P1956" s="1057">
        <v>50</v>
      </c>
      <c r="Q1956" s="704">
        <v>50</v>
      </c>
    </row>
    <row r="1957" spans="1:17" ht="28.5" x14ac:dyDescent="0.25">
      <c r="A1957" s="1680"/>
      <c r="B1957" s="1752"/>
      <c r="C1957" s="1753"/>
      <c r="D1957" s="1753"/>
      <c r="E1957" s="1755"/>
      <c r="F1957" s="1657"/>
      <c r="G1957" s="1657"/>
      <c r="H1957" s="1657"/>
      <c r="I1957" s="1657"/>
      <c r="J1957" s="1657"/>
      <c r="K1957" s="460" t="s">
        <v>3034</v>
      </c>
      <c r="L1957" s="459" t="s">
        <v>823</v>
      </c>
      <c r="M1957" s="28">
        <v>0</v>
      </c>
      <c r="N1957" s="1058">
        <v>20000</v>
      </c>
      <c r="O1957" s="1059">
        <v>17540</v>
      </c>
      <c r="P1957" s="1060">
        <v>17540</v>
      </c>
      <c r="Q1957" s="1058">
        <v>17540</v>
      </c>
    </row>
    <row r="1958" spans="1:17" ht="30" x14ac:dyDescent="0.25">
      <c r="A1958" s="1103"/>
      <c r="B1958" s="1143"/>
      <c r="C1958" s="1105" t="s">
        <v>4</v>
      </c>
      <c r="D1958" s="1105"/>
      <c r="E1958" s="1217" t="s">
        <v>3035</v>
      </c>
      <c r="F1958" s="1286">
        <v>11263.7</v>
      </c>
      <c r="G1958" s="1286">
        <v>11263.8</v>
      </c>
      <c r="H1958" s="1439">
        <v>11263.8</v>
      </c>
      <c r="I1958" s="1440">
        <v>11263.8</v>
      </c>
      <c r="J1958" s="1440">
        <v>15329.9</v>
      </c>
      <c r="K1958" s="1212" t="s">
        <v>3036</v>
      </c>
      <c r="L1958" s="1196" t="s">
        <v>825</v>
      </c>
      <c r="M1958" s="1125">
        <v>37</v>
      </c>
      <c r="N1958" s="1125">
        <v>37</v>
      </c>
      <c r="O1958" s="1125">
        <v>37</v>
      </c>
      <c r="P1958" s="942">
        <v>37</v>
      </c>
      <c r="Q1958" s="1125">
        <v>40</v>
      </c>
    </row>
    <row r="1959" spans="1:17" x14ac:dyDescent="0.25">
      <c r="A1959" s="1652" t="s">
        <v>3037</v>
      </c>
      <c r="B1959" s="1715"/>
      <c r="C1959" s="1715"/>
      <c r="D1959" s="1715"/>
      <c r="E1959" s="1715"/>
      <c r="F1959" s="42">
        <v>475924.6</v>
      </c>
      <c r="G1959" s="42">
        <v>396818.39999999997</v>
      </c>
      <c r="H1959" s="42">
        <f>H1929+H1936+H1946+H1956</f>
        <v>390478.8</v>
      </c>
      <c r="I1959" s="42">
        <v>402052.89999999997</v>
      </c>
      <c r="J1959" s="42">
        <v>407372.70000000007</v>
      </c>
      <c r="K1959" s="15"/>
      <c r="L1959" s="1231"/>
      <c r="M1959" s="1231"/>
      <c r="N1959" s="1231"/>
      <c r="O1959" s="1231"/>
      <c r="P1959" s="1231"/>
      <c r="Q1959" s="1231"/>
    </row>
    <row r="1960" spans="1:17" x14ac:dyDescent="0.25">
      <c r="A1960" s="1648" t="s">
        <v>3038</v>
      </c>
      <c r="B1960" s="1649"/>
      <c r="C1960" s="1649"/>
      <c r="D1960" s="1649"/>
      <c r="E1960" s="1649"/>
      <c r="F1960" s="1649"/>
      <c r="G1960" s="1649"/>
      <c r="H1960" s="1649"/>
      <c r="I1960" s="1649"/>
      <c r="J1960" s="1649"/>
      <c r="K1960" s="1649"/>
      <c r="L1960" s="1649"/>
      <c r="M1960" s="1649"/>
      <c r="N1960" s="1649"/>
      <c r="O1960" s="1649"/>
      <c r="P1960" s="1649"/>
      <c r="Q1960" s="1650"/>
    </row>
    <row r="1961" spans="1:17" ht="58.5" x14ac:dyDescent="0.25">
      <c r="A1961" s="1232">
        <v>85</v>
      </c>
      <c r="B1961" s="386">
        <v>1</v>
      </c>
      <c r="C1961" s="1105"/>
      <c r="D1961" s="753"/>
      <c r="E1961" s="178" t="s">
        <v>3150</v>
      </c>
      <c r="F1961" s="1299">
        <v>7044.2</v>
      </c>
      <c r="G1961" s="1299">
        <v>7044.2</v>
      </c>
      <c r="H1961" s="1299">
        <v>7044.2</v>
      </c>
      <c r="I1961" s="1299">
        <v>7244.2</v>
      </c>
      <c r="J1961" s="1299">
        <v>7494.2</v>
      </c>
      <c r="K1961" s="1195" t="s">
        <v>3039</v>
      </c>
      <c r="L1961" s="343" t="s">
        <v>34</v>
      </c>
      <c r="M1961" s="1061">
        <v>48</v>
      </c>
      <c r="N1961" s="1061">
        <v>48</v>
      </c>
      <c r="O1961" s="1061">
        <v>48</v>
      </c>
      <c r="P1961" s="1061">
        <v>48</v>
      </c>
      <c r="Q1961" s="1061">
        <v>48</v>
      </c>
    </row>
    <row r="1962" spans="1:17" x14ac:dyDescent="0.25">
      <c r="A1962" s="1232"/>
      <c r="B1962" s="386"/>
      <c r="C1962" s="1146" t="s">
        <v>4</v>
      </c>
      <c r="D1962" s="1199"/>
      <c r="E1962" s="1100" t="s">
        <v>393</v>
      </c>
      <c r="F1962" s="1062">
        <v>1602</v>
      </c>
      <c r="G1962" s="1062">
        <v>1602</v>
      </c>
      <c r="H1962" s="1062">
        <v>1602</v>
      </c>
      <c r="I1962" s="1062">
        <v>1632</v>
      </c>
      <c r="J1962" s="1062">
        <v>1652</v>
      </c>
      <c r="K1962" s="1212" t="s">
        <v>438</v>
      </c>
      <c r="L1962" s="1196" t="s">
        <v>34</v>
      </c>
      <c r="M1962" s="72">
        <v>98</v>
      </c>
      <c r="N1962" s="72">
        <v>98</v>
      </c>
      <c r="O1962" s="72">
        <v>98</v>
      </c>
      <c r="P1962" s="72">
        <v>98</v>
      </c>
      <c r="Q1962" s="72">
        <v>98</v>
      </c>
    </row>
    <row r="1963" spans="1:17" ht="30" x14ac:dyDescent="0.25">
      <c r="A1963" s="1232"/>
      <c r="B1963" s="386"/>
      <c r="C1963" s="1146" t="s">
        <v>5</v>
      </c>
      <c r="D1963" s="1199"/>
      <c r="E1963" s="1302" t="s">
        <v>2508</v>
      </c>
      <c r="F1963" s="1062">
        <v>1221</v>
      </c>
      <c r="G1963" s="1062">
        <v>1221</v>
      </c>
      <c r="H1963" s="1062">
        <v>1221</v>
      </c>
      <c r="I1963" s="1062">
        <v>1221</v>
      </c>
      <c r="J1963" s="1062">
        <v>1221</v>
      </c>
      <c r="K1963" s="1212" t="s">
        <v>2593</v>
      </c>
      <c r="L1963" s="1196" t="s">
        <v>34</v>
      </c>
      <c r="M1963" s="72">
        <v>100</v>
      </c>
      <c r="N1963" s="72">
        <v>0</v>
      </c>
      <c r="O1963" s="72">
        <v>0</v>
      </c>
      <c r="P1963" s="72">
        <v>0</v>
      </c>
      <c r="Q1963" s="72">
        <v>0</v>
      </c>
    </row>
    <row r="1964" spans="1:17" ht="30" x14ac:dyDescent="0.25">
      <c r="A1964" s="1232"/>
      <c r="B1964" s="386"/>
      <c r="C1964" s="1146" t="s">
        <v>7</v>
      </c>
      <c r="D1964" s="1199"/>
      <c r="E1964" s="1302" t="s">
        <v>395</v>
      </c>
      <c r="F1964" s="1062">
        <v>445.6</v>
      </c>
      <c r="G1964" s="1062">
        <v>445.6</v>
      </c>
      <c r="H1964" s="1062">
        <v>445.6</v>
      </c>
      <c r="I1964" s="1062">
        <v>445.6</v>
      </c>
      <c r="J1964" s="1062">
        <v>445.6</v>
      </c>
      <c r="K1964" s="1212" t="s">
        <v>2131</v>
      </c>
      <c r="L1964" s="1196" t="s">
        <v>34</v>
      </c>
      <c r="M1964" s="72">
        <v>100</v>
      </c>
      <c r="N1964" s="72">
        <v>100</v>
      </c>
      <c r="O1964" s="72">
        <v>100</v>
      </c>
      <c r="P1964" s="72">
        <v>100</v>
      </c>
      <c r="Q1964" s="72">
        <v>100</v>
      </c>
    </row>
    <row r="1965" spans="1:17" ht="30" x14ac:dyDescent="0.25">
      <c r="A1965" s="1232"/>
      <c r="B1965" s="386"/>
      <c r="C1965" s="1146" t="s">
        <v>9</v>
      </c>
      <c r="D1965" s="1199"/>
      <c r="E1965" s="1302" t="s">
        <v>396</v>
      </c>
      <c r="F1965" s="1062">
        <v>367</v>
      </c>
      <c r="G1965" s="1062">
        <v>367</v>
      </c>
      <c r="H1965" s="1062">
        <v>367</v>
      </c>
      <c r="I1965" s="1062">
        <v>367</v>
      </c>
      <c r="J1965" s="1062">
        <v>367</v>
      </c>
      <c r="K1965" s="1212" t="s">
        <v>2132</v>
      </c>
      <c r="L1965" s="1196" t="s">
        <v>1577</v>
      </c>
      <c r="M1965" s="72">
        <v>100</v>
      </c>
      <c r="N1965" s="72">
        <v>100</v>
      </c>
      <c r="O1965" s="72">
        <v>100</v>
      </c>
      <c r="P1965" s="72">
        <v>100</v>
      </c>
      <c r="Q1965" s="72">
        <v>100</v>
      </c>
    </row>
    <row r="1966" spans="1:17" ht="30" x14ac:dyDescent="0.25">
      <c r="A1966" s="1447"/>
      <c r="B1966" s="1449"/>
      <c r="C1966" s="789" t="s">
        <v>11</v>
      </c>
      <c r="D1966" s="677"/>
      <c r="E1966" s="1302" t="s">
        <v>843</v>
      </c>
      <c r="F1966" s="755"/>
      <c r="G1966" s="755"/>
      <c r="H1966" s="1151"/>
      <c r="I1966" s="1152"/>
      <c r="J1966" s="1152"/>
      <c r="K1966" s="1212" t="s">
        <v>2594</v>
      </c>
      <c r="L1966" s="1196" t="s">
        <v>780</v>
      </c>
      <c r="M1966" s="72">
        <v>0</v>
      </c>
      <c r="N1966" s="72">
        <v>0</v>
      </c>
      <c r="O1966" s="72">
        <v>0</v>
      </c>
      <c r="P1966" s="72">
        <v>0</v>
      </c>
      <c r="Q1966" s="72">
        <v>0</v>
      </c>
    </row>
    <row r="1967" spans="1:17" ht="45" x14ac:dyDescent="0.25">
      <c r="A1967" s="1447"/>
      <c r="B1967" s="1448"/>
      <c r="C1967" s="1146" t="s">
        <v>13</v>
      </c>
      <c r="D1967" s="677"/>
      <c r="E1967" s="1217" t="s">
        <v>534</v>
      </c>
      <c r="F1967" s="1062">
        <v>3408.6</v>
      </c>
      <c r="G1967" s="1062">
        <v>3408.6</v>
      </c>
      <c r="H1967" s="1062">
        <v>3408.6</v>
      </c>
      <c r="I1967" s="1062">
        <v>3578.6</v>
      </c>
      <c r="J1967" s="1062">
        <v>3808.6</v>
      </c>
      <c r="K1967" s="1212" t="s">
        <v>3040</v>
      </c>
      <c r="L1967" s="1196" t="s">
        <v>34</v>
      </c>
      <c r="M1967" s="72">
        <v>58</v>
      </c>
      <c r="N1967" s="72">
        <v>58</v>
      </c>
      <c r="O1967" s="72">
        <v>58</v>
      </c>
      <c r="P1967" s="72">
        <v>58</v>
      </c>
      <c r="Q1967" s="72">
        <v>58</v>
      </c>
    </row>
    <row r="1968" spans="1:17" ht="58.5" x14ac:dyDescent="0.25">
      <c r="A1968" s="1430">
        <v>85</v>
      </c>
      <c r="B1968" s="1438">
        <v>5</v>
      </c>
      <c r="C1968" s="1399"/>
      <c r="D1968" s="1523"/>
      <c r="E1968" s="1326" t="s">
        <v>3151</v>
      </c>
      <c r="F1968" s="1464">
        <v>27846.699999999997</v>
      </c>
      <c r="G1968" s="1464">
        <v>27891</v>
      </c>
      <c r="H1968" s="1200">
        <v>27891</v>
      </c>
      <c r="I1968" s="1202">
        <v>28151.8</v>
      </c>
      <c r="J1968" s="1202">
        <v>28370.199999999997</v>
      </c>
      <c r="K1968" s="1326" t="s">
        <v>3041</v>
      </c>
      <c r="L1968" s="343" t="s">
        <v>1160</v>
      </c>
      <c r="M1968" s="72"/>
      <c r="N1968" s="72"/>
      <c r="O1968" s="72"/>
      <c r="P1968" s="72"/>
      <c r="Q1968" s="72"/>
    </row>
    <row r="1969" spans="1:17" ht="30" x14ac:dyDescent="0.25">
      <c r="A1969" s="1430"/>
      <c r="B1969" s="1438"/>
      <c r="C1969" s="1399" t="s">
        <v>4</v>
      </c>
      <c r="D1969" s="1523"/>
      <c r="E1969" s="1598" t="s">
        <v>3042</v>
      </c>
      <c r="F1969" s="1561">
        <v>6077.4</v>
      </c>
      <c r="G1969" s="1561">
        <v>6121.7</v>
      </c>
      <c r="H1969" s="1561">
        <v>6121.8</v>
      </c>
      <c r="I1969" s="1062">
        <v>6382.5</v>
      </c>
      <c r="J1969" s="1062">
        <v>6600.9</v>
      </c>
      <c r="K1969" s="1212" t="s">
        <v>3043</v>
      </c>
      <c r="L1969" s="1196" t="s">
        <v>1160</v>
      </c>
      <c r="M1969" s="1100" t="s">
        <v>388</v>
      </c>
      <c r="N1969" s="1100" t="s">
        <v>388</v>
      </c>
      <c r="O1969" s="1100" t="s">
        <v>388</v>
      </c>
      <c r="P1969" s="1100" t="s">
        <v>388</v>
      </c>
      <c r="Q1969" s="1100" t="s">
        <v>388</v>
      </c>
    </row>
    <row r="1970" spans="1:17" ht="30" x14ac:dyDescent="0.25">
      <c r="A1970" s="1103"/>
      <c r="B1970" s="1143"/>
      <c r="C1970" s="1105" t="s">
        <v>5</v>
      </c>
      <c r="D1970" s="1106"/>
      <c r="E1970" s="1150" t="s">
        <v>3044</v>
      </c>
      <c r="F1970" s="1561">
        <v>1024.7</v>
      </c>
      <c r="G1970" s="1561">
        <v>1024.7</v>
      </c>
      <c r="H1970" s="1561">
        <v>1024.5999999999999</v>
      </c>
      <c r="I1970" s="1561">
        <v>1024.7</v>
      </c>
      <c r="J1970" s="1561">
        <v>1024.7</v>
      </c>
      <c r="K1970" s="1212" t="s">
        <v>3045</v>
      </c>
      <c r="L1970" s="1196" t="s">
        <v>1160</v>
      </c>
      <c r="M1970" s="1100" t="s">
        <v>389</v>
      </c>
      <c r="N1970" s="1100" t="s">
        <v>389</v>
      </c>
      <c r="O1970" s="1100" t="s">
        <v>389</v>
      </c>
      <c r="P1970" s="1100" t="s">
        <v>389</v>
      </c>
      <c r="Q1970" s="1100" t="s">
        <v>389</v>
      </c>
    </row>
    <row r="1971" spans="1:17" x14ac:dyDescent="0.25">
      <c r="A1971" s="1733"/>
      <c r="B1971" s="1734"/>
      <c r="C1971" s="1736" t="s">
        <v>7</v>
      </c>
      <c r="D1971" s="1737"/>
      <c r="E1971" s="1738" t="s">
        <v>3046</v>
      </c>
      <c r="F1971" s="1740">
        <v>20744.599999999999</v>
      </c>
      <c r="G1971" s="1740">
        <v>20744.599999999999</v>
      </c>
      <c r="H1971" s="1742">
        <v>20744.599999999999</v>
      </c>
      <c r="I1971" s="1744">
        <v>20744.599999999999</v>
      </c>
      <c r="J1971" s="1744">
        <v>20744.599999999999</v>
      </c>
      <c r="K1971" s="1746" t="s">
        <v>3047</v>
      </c>
      <c r="L1971" s="1196" t="s">
        <v>1160</v>
      </c>
      <c r="M1971" s="73" t="s">
        <v>390</v>
      </c>
      <c r="N1971" s="73" t="s">
        <v>390</v>
      </c>
      <c r="O1971" s="73" t="s">
        <v>390</v>
      </c>
      <c r="P1971" s="73" t="s">
        <v>390</v>
      </c>
      <c r="Q1971" s="73" t="s">
        <v>390</v>
      </c>
    </row>
    <row r="1972" spans="1:17" x14ac:dyDescent="0.25">
      <c r="A1972" s="1733"/>
      <c r="B1972" s="1735"/>
      <c r="C1972" s="1736"/>
      <c r="D1972" s="1737"/>
      <c r="E1972" s="1739"/>
      <c r="F1972" s="1741"/>
      <c r="G1972" s="1741"/>
      <c r="H1972" s="1743"/>
      <c r="I1972" s="1745"/>
      <c r="J1972" s="1745"/>
      <c r="K1972" s="1747"/>
      <c r="L1972" s="1196"/>
      <c r="M1972" s="1063" t="s">
        <v>391</v>
      </c>
      <c r="N1972" s="1063" t="s">
        <v>391</v>
      </c>
      <c r="O1972" s="1063" t="s">
        <v>391</v>
      </c>
      <c r="P1972" s="1063" t="s">
        <v>391</v>
      </c>
      <c r="Q1972" s="1063" t="s">
        <v>391</v>
      </c>
    </row>
    <row r="1973" spans="1:17" x14ac:dyDescent="0.25">
      <c r="A1973" s="1652" t="s">
        <v>3048</v>
      </c>
      <c r="B1973" s="1715"/>
      <c r="C1973" s="1715"/>
      <c r="D1973" s="1715"/>
      <c r="E1973" s="1715"/>
      <c r="F1973" s="42">
        <v>34890.899999999994</v>
      </c>
      <c r="G1973" s="42">
        <v>34935.199999999997</v>
      </c>
      <c r="H1973" s="42">
        <v>34935.199999999997</v>
      </c>
      <c r="I1973" s="42">
        <v>35396</v>
      </c>
      <c r="J1973" s="42">
        <v>35864.399999999994</v>
      </c>
      <c r="K1973" s="15"/>
      <c r="L1973" s="1231"/>
      <c r="M1973" s="1231"/>
      <c r="N1973" s="1231"/>
      <c r="O1973" s="1231"/>
      <c r="P1973" s="1231"/>
      <c r="Q1973" s="1231"/>
    </row>
    <row r="1974" spans="1:17" x14ac:dyDescent="0.25">
      <c r="A1974" s="1648" t="e">
        <f>E1975-ЭлТР коомдук телевидениеси</f>
        <v>#VALUE!</v>
      </c>
      <c r="B1974" s="1649"/>
      <c r="C1974" s="1649"/>
      <c r="D1974" s="1649"/>
      <c r="E1974" s="1649"/>
      <c r="F1974" s="1649"/>
      <c r="G1974" s="1649"/>
      <c r="H1974" s="1649"/>
      <c r="I1974" s="1649"/>
      <c r="J1974" s="1649"/>
      <c r="K1974" s="1649"/>
      <c r="L1974" s="1649"/>
      <c r="M1974" s="1649"/>
      <c r="N1974" s="1649"/>
      <c r="O1974" s="1649"/>
      <c r="P1974" s="1649"/>
      <c r="Q1974" s="1650"/>
    </row>
    <row r="1975" spans="1:17" ht="44.25" x14ac:dyDescent="0.25">
      <c r="A1975" s="1232">
        <v>85</v>
      </c>
      <c r="B1975" s="386">
        <v>1</v>
      </c>
      <c r="C1975" s="1105"/>
      <c r="D1975" s="753"/>
      <c r="E1975" s="1167" t="s">
        <v>3152</v>
      </c>
      <c r="F1975" s="1202">
        <v>14040.3</v>
      </c>
      <c r="G1975" s="1200">
        <v>15979.599999999999</v>
      </c>
      <c r="H1975" s="1200">
        <f>SUM(H1976:H1981)</f>
        <v>19293.599999999999</v>
      </c>
      <c r="I1975" s="1200">
        <v>15934.7</v>
      </c>
      <c r="J1975" s="1200">
        <v>15934.7</v>
      </c>
      <c r="K1975" s="1195" t="s">
        <v>2591</v>
      </c>
      <c r="L1975" s="343" t="s">
        <v>34</v>
      </c>
      <c r="M1975" s="343"/>
      <c r="N1975" s="343"/>
      <c r="O1975" s="343"/>
      <c r="P1975" s="343"/>
      <c r="Q1975" s="343"/>
    </row>
    <row r="1976" spans="1:17" x14ac:dyDescent="0.25">
      <c r="A1976" s="1232"/>
      <c r="B1976" s="386"/>
      <c r="C1976" s="1146" t="s">
        <v>4</v>
      </c>
      <c r="D1976" s="1199"/>
      <c r="E1976" s="1235" t="s">
        <v>1406</v>
      </c>
      <c r="F1976" s="755">
        <v>2315.6999999999998</v>
      </c>
      <c r="G1976" s="755">
        <v>2574.1</v>
      </c>
      <c r="H1976" s="755">
        <v>3545.3</v>
      </c>
      <c r="I1976" s="755">
        <v>2574</v>
      </c>
      <c r="J1976" s="755">
        <v>2574</v>
      </c>
      <c r="K1976" s="1212" t="s">
        <v>438</v>
      </c>
      <c r="L1976" s="1196" t="s">
        <v>241</v>
      </c>
      <c r="M1976" s="343"/>
      <c r="N1976" s="343"/>
      <c r="O1976" s="343"/>
      <c r="P1976" s="343"/>
      <c r="Q1976" s="343"/>
    </row>
    <row r="1977" spans="1:17" ht="30" x14ac:dyDescent="0.25">
      <c r="A1977" s="1232"/>
      <c r="B1977" s="386"/>
      <c r="C1977" s="1146" t="s">
        <v>5</v>
      </c>
      <c r="D1977" s="1199"/>
      <c r="E1977" s="1302" t="s">
        <v>2508</v>
      </c>
      <c r="F1977" s="755">
        <v>2685.8</v>
      </c>
      <c r="G1977" s="755">
        <v>2869.7</v>
      </c>
      <c r="H1977" s="755">
        <v>4306.8999999999996</v>
      </c>
      <c r="I1977" s="755">
        <v>2869.7</v>
      </c>
      <c r="J1977" s="755">
        <v>2869.7</v>
      </c>
      <c r="K1977" s="1212" t="s">
        <v>2593</v>
      </c>
      <c r="L1977" s="1196" t="s">
        <v>34</v>
      </c>
      <c r="M1977" s="343">
        <v>100</v>
      </c>
      <c r="N1977" s="343">
        <v>100</v>
      </c>
      <c r="O1977" s="343">
        <v>100</v>
      </c>
      <c r="P1977" s="343">
        <v>100</v>
      </c>
      <c r="Q1977" s="343">
        <v>100</v>
      </c>
    </row>
    <row r="1978" spans="1:17" ht="30" x14ac:dyDescent="0.25">
      <c r="A1978" s="1232"/>
      <c r="B1978" s="386"/>
      <c r="C1978" s="1146" t="s">
        <v>7</v>
      </c>
      <c r="D1978" s="1199"/>
      <c r="E1978" s="1302" t="s">
        <v>395</v>
      </c>
      <c r="F1978" s="755">
        <v>721</v>
      </c>
      <c r="G1978" s="755">
        <v>763</v>
      </c>
      <c r="H1978" s="755">
        <v>1266.9000000000001</v>
      </c>
      <c r="I1978" s="755">
        <v>763</v>
      </c>
      <c r="J1978" s="755">
        <v>763</v>
      </c>
      <c r="K1978" s="1212" t="s">
        <v>2131</v>
      </c>
      <c r="L1978" s="1196" t="s">
        <v>34</v>
      </c>
      <c r="M1978" s="790">
        <v>1</v>
      </c>
      <c r="N1978" s="790">
        <v>1</v>
      </c>
      <c r="O1978" s="790">
        <v>1</v>
      </c>
      <c r="P1978" s="790">
        <v>1</v>
      </c>
      <c r="Q1978" s="790">
        <v>1</v>
      </c>
    </row>
    <row r="1979" spans="1:17" ht="30" x14ac:dyDescent="0.25">
      <c r="A1979" s="1232"/>
      <c r="B1979" s="386"/>
      <c r="C1979" s="1146" t="s">
        <v>9</v>
      </c>
      <c r="D1979" s="1199"/>
      <c r="E1979" s="1302" t="s">
        <v>396</v>
      </c>
      <c r="F1979" s="755">
        <v>431.5</v>
      </c>
      <c r="G1979" s="755">
        <v>496.6</v>
      </c>
      <c r="H1979" s="755">
        <v>650.4</v>
      </c>
      <c r="I1979" s="755">
        <v>496.6</v>
      </c>
      <c r="J1979" s="755">
        <v>496.6</v>
      </c>
      <c r="K1979" s="1212" t="s">
        <v>3049</v>
      </c>
      <c r="L1979" s="1196" t="s">
        <v>1577</v>
      </c>
      <c r="M1979" s="790"/>
      <c r="N1979" s="790"/>
      <c r="O1979" s="790"/>
      <c r="P1979" s="790"/>
      <c r="Q1979" s="790"/>
    </row>
    <row r="1980" spans="1:17" ht="30" x14ac:dyDescent="0.25">
      <c r="A1980" s="1232"/>
      <c r="B1980" s="386"/>
      <c r="C1980" s="1146" t="s">
        <v>11</v>
      </c>
      <c r="D1980" s="1199"/>
      <c r="E1980" s="1302" t="s">
        <v>843</v>
      </c>
      <c r="F1980" s="755">
        <v>812.1</v>
      </c>
      <c r="G1980" s="755">
        <v>854.7</v>
      </c>
      <c r="H1980" s="755">
        <v>860.6</v>
      </c>
      <c r="I1980" s="755">
        <v>854.7</v>
      </c>
      <c r="J1980" s="755">
        <v>854.7</v>
      </c>
      <c r="K1980" s="1212" t="s">
        <v>3050</v>
      </c>
      <c r="L1980" s="1196" t="s">
        <v>780</v>
      </c>
      <c r="M1980" s="343"/>
      <c r="N1980" s="343"/>
      <c r="O1980" s="343"/>
      <c r="P1980" s="343"/>
      <c r="Q1980" s="343"/>
    </row>
    <row r="1981" spans="1:17" ht="30" x14ac:dyDescent="0.25">
      <c r="A1981" s="1232"/>
      <c r="B1981" s="386"/>
      <c r="C1981" s="1146" t="s">
        <v>13</v>
      </c>
      <c r="D1981" s="1199"/>
      <c r="E1981" s="1217" t="s">
        <v>534</v>
      </c>
      <c r="F1981" s="755">
        <v>7074.2</v>
      </c>
      <c r="G1981" s="755">
        <v>8421.5</v>
      </c>
      <c r="H1981" s="755">
        <v>8663.5</v>
      </c>
      <c r="I1981" s="755">
        <v>8376.7000000000007</v>
      </c>
      <c r="J1981" s="755">
        <v>8376.7000000000007</v>
      </c>
      <c r="K1981" s="1212" t="s">
        <v>3051</v>
      </c>
      <c r="L1981" s="1196" t="s">
        <v>34</v>
      </c>
      <c r="M1981" s="343"/>
      <c r="N1981" s="343"/>
      <c r="O1981" s="343"/>
      <c r="P1981" s="343"/>
      <c r="Q1981" s="343"/>
    </row>
    <row r="1982" spans="1:17" ht="102.75" x14ac:dyDescent="0.25">
      <c r="A1982" s="1103">
        <v>85</v>
      </c>
      <c r="B1982" s="1143">
        <v>6</v>
      </c>
      <c r="C1982" s="1105"/>
      <c r="D1982" s="253"/>
      <c r="E1982" s="1195" t="s">
        <v>3153</v>
      </c>
      <c r="F1982" s="1202">
        <v>80822.600000000006</v>
      </c>
      <c r="G1982" s="1202">
        <v>79005</v>
      </c>
      <c r="H1982" s="1202">
        <f>SUM(H1983:H1984)</f>
        <v>81865.7</v>
      </c>
      <c r="I1982" s="1202">
        <v>80076.399999999994</v>
      </c>
      <c r="J1982" s="1202">
        <v>81374.2</v>
      </c>
      <c r="K1982" s="178" t="s">
        <v>3052</v>
      </c>
      <c r="L1982" s="1196"/>
      <c r="M1982" s="679">
        <v>1</v>
      </c>
      <c r="N1982" s="679">
        <v>1</v>
      </c>
      <c r="O1982" s="679">
        <v>1</v>
      </c>
      <c r="P1982" s="679">
        <v>1</v>
      </c>
      <c r="Q1982" s="679">
        <v>1</v>
      </c>
    </row>
    <row r="1983" spans="1:17" ht="30" x14ac:dyDescent="0.25">
      <c r="A1983" s="1103"/>
      <c r="B1983" s="1143"/>
      <c r="C1983" s="1105" t="s">
        <v>4</v>
      </c>
      <c r="D1983" s="253"/>
      <c r="E1983" s="1217" t="s">
        <v>3053</v>
      </c>
      <c r="F1983" s="755">
        <v>69135.600000000006</v>
      </c>
      <c r="G1983" s="755">
        <v>67567.5</v>
      </c>
      <c r="H1983" s="755">
        <v>71086.8</v>
      </c>
      <c r="I1983" s="755">
        <v>68471.7</v>
      </c>
      <c r="J1983" s="755">
        <v>69558.8</v>
      </c>
      <c r="K1983" s="1212" t="s">
        <v>3054</v>
      </c>
      <c r="L1983" s="1196" t="s">
        <v>34</v>
      </c>
      <c r="M1983" s="1196">
        <v>90</v>
      </c>
      <c r="N1983" s="1196">
        <v>90</v>
      </c>
      <c r="O1983" s="1196">
        <v>90</v>
      </c>
      <c r="P1983" s="1196">
        <v>90</v>
      </c>
      <c r="Q1983" s="1196">
        <v>90</v>
      </c>
    </row>
    <row r="1984" spans="1:17" ht="30" x14ac:dyDescent="0.25">
      <c r="A1984" s="1103"/>
      <c r="B1984" s="1143"/>
      <c r="C1984" s="1105" t="s">
        <v>5</v>
      </c>
      <c r="D1984" s="253"/>
      <c r="E1984" s="1217" t="s">
        <v>3055</v>
      </c>
      <c r="F1984" s="755">
        <v>11687</v>
      </c>
      <c r="G1984" s="755">
        <v>11437.5</v>
      </c>
      <c r="H1984" s="755">
        <v>10778.9</v>
      </c>
      <c r="I1984" s="755">
        <v>11604.7</v>
      </c>
      <c r="J1984" s="755">
        <v>11815.4</v>
      </c>
      <c r="K1984" s="1212" t="s">
        <v>3056</v>
      </c>
      <c r="L1984" s="1196" t="s">
        <v>34</v>
      </c>
      <c r="M1984" s="1196">
        <v>95</v>
      </c>
      <c r="N1984" s="1125">
        <v>95</v>
      </c>
      <c r="O1984" s="1125">
        <v>95</v>
      </c>
      <c r="P1984" s="1125">
        <v>95</v>
      </c>
      <c r="Q1984" s="1125">
        <v>95</v>
      </c>
    </row>
    <row r="1985" spans="1:17" ht="102.75" x14ac:dyDescent="0.25">
      <c r="A1985" s="1103">
        <v>85</v>
      </c>
      <c r="B1985" s="1143">
        <v>7</v>
      </c>
      <c r="C1985" s="1105"/>
      <c r="D1985" s="253"/>
      <c r="E1985" s="1195" t="s">
        <v>3154</v>
      </c>
      <c r="F1985" s="1202">
        <v>5165.3</v>
      </c>
      <c r="G1985" s="1202">
        <v>6488.3</v>
      </c>
      <c r="H1985" s="1202">
        <f>SUM(H1986:H1987)</f>
        <v>3529.9</v>
      </c>
      <c r="I1985" s="1202">
        <v>6800.3</v>
      </c>
      <c r="J1985" s="1202">
        <v>6862.9</v>
      </c>
      <c r="K1985" s="1195" t="s">
        <v>3057</v>
      </c>
      <c r="L1985" s="1196"/>
      <c r="M1985" s="679">
        <v>1</v>
      </c>
      <c r="N1985" s="679">
        <v>1</v>
      </c>
      <c r="O1985" s="679">
        <v>1</v>
      </c>
      <c r="P1985" s="679">
        <v>1</v>
      </c>
      <c r="Q1985" s="679">
        <v>1</v>
      </c>
    </row>
    <row r="1986" spans="1:17" ht="30" x14ac:dyDescent="0.25">
      <c r="A1986" s="1103"/>
      <c r="B1986" s="1143"/>
      <c r="C1986" s="1105" t="s">
        <v>4</v>
      </c>
      <c r="D1986" s="253"/>
      <c r="E1986" s="1217" t="s">
        <v>3058</v>
      </c>
      <c r="F1986" s="755">
        <v>5165.3</v>
      </c>
      <c r="G1986" s="755">
        <v>6488.3</v>
      </c>
      <c r="H1986" s="755">
        <v>3529.9</v>
      </c>
      <c r="I1986" s="755">
        <v>6800.3</v>
      </c>
      <c r="J1986" s="755">
        <v>6862.9</v>
      </c>
      <c r="K1986" s="1212" t="s">
        <v>3059</v>
      </c>
      <c r="L1986" s="1196" t="s">
        <v>34</v>
      </c>
      <c r="M1986" s="1196">
        <v>80</v>
      </c>
      <c r="N1986" s="1196">
        <v>80</v>
      </c>
      <c r="O1986" s="1196">
        <v>80</v>
      </c>
      <c r="P1986" s="1196">
        <v>80</v>
      </c>
      <c r="Q1986" s="1196">
        <v>80</v>
      </c>
    </row>
    <row r="1987" spans="1:17" ht="30" x14ac:dyDescent="0.25">
      <c r="A1987" s="1103"/>
      <c r="B1987" s="1143"/>
      <c r="C1987" s="1105" t="s">
        <v>5</v>
      </c>
      <c r="D1987" s="253"/>
      <c r="E1987" s="1217" t="s">
        <v>3060</v>
      </c>
      <c r="F1987" s="755"/>
      <c r="G1987" s="755"/>
      <c r="H1987" s="755"/>
      <c r="I1987" s="755"/>
      <c r="J1987" s="755"/>
      <c r="K1987" s="1212" t="s">
        <v>3061</v>
      </c>
      <c r="L1987" s="1196"/>
      <c r="M1987" s="1196"/>
      <c r="N1987" s="1125"/>
      <c r="O1987" s="1125"/>
      <c r="P1987" s="1125"/>
      <c r="Q1987" s="1125"/>
    </row>
    <row r="1988" spans="1:17" x14ac:dyDescent="0.25">
      <c r="A1988" s="1748" t="s">
        <v>3062</v>
      </c>
      <c r="B1988" s="1748"/>
      <c r="C1988" s="1748"/>
      <c r="D1988" s="1748"/>
      <c r="E1988" s="1749"/>
      <c r="F1988" s="42">
        <v>100028.20000000001</v>
      </c>
      <c r="G1988" s="42">
        <v>101472.90000000001</v>
      </c>
      <c r="H1988" s="42">
        <f>SUM(H1975+H1982+H1985)</f>
        <v>104689.19999999998</v>
      </c>
      <c r="I1988" s="42">
        <v>102811.4</v>
      </c>
      <c r="J1988" s="42">
        <v>104171.79999999999</v>
      </c>
      <c r="K1988" s="15"/>
      <c r="L1988" s="1231"/>
      <c r="M1988" s="1231"/>
      <c r="N1988" s="1231"/>
      <c r="O1988" s="1231"/>
      <c r="P1988" s="1231"/>
      <c r="Q1988" s="1231"/>
    </row>
    <row r="1989" spans="1:17" ht="15.75" thickBot="1" x14ac:dyDescent="0.3">
      <c r="A1989" s="1662" t="s">
        <v>3063</v>
      </c>
      <c r="B1989" s="1663"/>
      <c r="C1989" s="1663"/>
      <c r="D1989" s="1663"/>
      <c r="E1989" s="1663"/>
      <c r="F1989" s="1663"/>
      <c r="G1989" s="1663"/>
      <c r="H1989" s="1663"/>
      <c r="I1989" s="1663"/>
      <c r="J1989" s="1663"/>
      <c r="K1989" s="1663"/>
      <c r="L1989" s="1663"/>
      <c r="M1989" s="1663"/>
      <c r="N1989" s="1663"/>
      <c r="O1989" s="1663"/>
      <c r="P1989" s="1663"/>
      <c r="Q1989" s="1664"/>
    </row>
    <row r="1990" spans="1:17" ht="58.5" x14ac:dyDescent="0.25">
      <c r="A1990" s="1064">
        <v>86</v>
      </c>
      <c r="B1990" s="1065">
        <v>1</v>
      </c>
      <c r="C1990" s="334"/>
      <c r="D1990" s="180"/>
      <c r="E1990" s="1195" t="s">
        <v>3155</v>
      </c>
      <c r="F1990" s="196">
        <v>20276.8</v>
      </c>
      <c r="G1990" s="196">
        <v>14819.5</v>
      </c>
      <c r="H1990" s="196">
        <f>SUM(H1991:H1995)</f>
        <v>15383.199999999999</v>
      </c>
      <c r="I1990" s="196">
        <v>15611.3</v>
      </c>
      <c r="J1990" s="196">
        <v>16315.8</v>
      </c>
      <c r="K1990" s="1212" t="s">
        <v>2591</v>
      </c>
      <c r="L1990" s="142" t="s">
        <v>34</v>
      </c>
      <c r="M1990" s="142">
        <v>33.700000000000003</v>
      </c>
      <c r="N1990" s="142">
        <v>33.700000000000003</v>
      </c>
      <c r="O1990" s="142">
        <v>33.700000000000003</v>
      </c>
      <c r="P1990" s="142">
        <v>33.700000000000003</v>
      </c>
      <c r="Q1990" s="142">
        <v>33.700000000000003</v>
      </c>
    </row>
    <row r="1991" spans="1:17" x14ac:dyDescent="0.25">
      <c r="A1991" s="1562"/>
      <c r="B1991" s="1563"/>
      <c r="C1991" s="1562">
        <v>1</v>
      </c>
      <c r="D1991" s="180"/>
      <c r="E1991" s="1100" t="s">
        <v>393</v>
      </c>
      <c r="F1991" s="141">
        <v>1020</v>
      </c>
      <c r="G1991" s="141">
        <v>2510.6999999999998</v>
      </c>
      <c r="H1991" s="141">
        <v>2488.9</v>
      </c>
      <c r="I1991" s="141">
        <v>2686.4</v>
      </c>
      <c r="J1991" s="141">
        <v>2834.7</v>
      </c>
      <c r="K1991" s="1212" t="s">
        <v>438</v>
      </c>
      <c r="L1991" s="143" t="s">
        <v>35</v>
      </c>
      <c r="M1991" s="143">
        <v>0.92</v>
      </c>
      <c r="N1991" s="143">
        <v>0.92</v>
      </c>
      <c r="O1991" s="143">
        <v>0.92</v>
      </c>
      <c r="P1991" s="143">
        <v>0.92</v>
      </c>
      <c r="Q1991" s="143">
        <v>0.92</v>
      </c>
    </row>
    <row r="1992" spans="1:17" ht="30" x14ac:dyDescent="0.25">
      <c r="A1992" s="1562"/>
      <c r="B1992" s="1564"/>
      <c r="C1992" s="335">
        <v>2</v>
      </c>
      <c r="D1992" s="180"/>
      <c r="E1992" s="1302" t="s">
        <v>2508</v>
      </c>
      <c r="F1992" s="341">
        <v>18676.8</v>
      </c>
      <c r="G1992" s="341">
        <v>9049</v>
      </c>
      <c r="H1992" s="341">
        <v>9613.9</v>
      </c>
      <c r="I1992" s="341">
        <v>9634.5</v>
      </c>
      <c r="J1992" s="341">
        <v>10180.700000000001</v>
      </c>
      <c r="K1992" s="1212" t="s">
        <v>2593</v>
      </c>
      <c r="L1992" s="143" t="s">
        <v>34</v>
      </c>
      <c r="M1992" s="143">
        <v>100</v>
      </c>
      <c r="N1992" s="143">
        <v>100</v>
      </c>
      <c r="O1992" s="143">
        <v>100</v>
      </c>
      <c r="P1992" s="143">
        <v>100</v>
      </c>
      <c r="Q1992" s="143">
        <v>100</v>
      </c>
    </row>
    <row r="1993" spans="1:17" ht="30" x14ac:dyDescent="0.25">
      <c r="A1993" s="1562"/>
      <c r="B1993" s="1564"/>
      <c r="C1993" s="335">
        <v>3</v>
      </c>
      <c r="D1993" s="180"/>
      <c r="E1993" s="1302" t="s">
        <v>395</v>
      </c>
      <c r="F1993" s="141">
        <v>240</v>
      </c>
      <c r="G1993" s="141">
        <v>422.1</v>
      </c>
      <c r="H1993" s="141">
        <v>675</v>
      </c>
      <c r="I1993" s="141">
        <v>685</v>
      </c>
      <c r="J1993" s="141">
        <v>695</v>
      </c>
      <c r="K1993" s="1212" t="s">
        <v>2131</v>
      </c>
      <c r="L1993" s="143" t="s">
        <v>34</v>
      </c>
      <c r="M1993" s="143"/>
      <c r="N1993" s="143"/>
      <c r="O1993" s="143"/>
      <c r="P1993" s="143"/>
      <c r="Q1993" s="143"/>
    </row>
    <row r="1994" spans="1:17" ht="30" x14ac:dyDescent="0.25">
      <c r="A1994" s="1562"/>
      <c r="B1994" s="1564"/>
      <c r="C1994" s="335">
        <v>4</v>
      </c>
      <c r="D1994" s="180"/>
      <c r="E1994" s="1302" t="s">
        <v>396</v>
      </c>
      <c r="F1994" s="141">
        <v>220</v>
      </c>
      <c r="G1994" s="141">
        <v>798.9</v>
      </c>
      <c r="H1994" s="141">
        <v>798.9</v>
      </c>
      <c r="I1994" s="141">
        <v>798.9</v>
      </c>
      <c r="J1994" s="141">
        <v>798.9</v>
      </c>
      <c r="K1994" s="1212" t="s">
        <v>3049</v>
      </c>
      <c r="L1994" s="143" t="s">
        <v>1910</v>
      </c>
      <c r="M1994" s="143"/>
      <c r="N1994" s="143"/>
      <c r="O1994" s="143"/>
      <c r="P1994" s="143"/>
      <c r="Q1994" s="143"/>
    </row>
    <row r="1995" spans="1:17" ht="45" x14ac:dyDescent="0.25">
      <c r="A1995" s="1562"/>
      <c r="B1995" s="1563"/>
      <c r="C1995" s="765">
        <v>6</v>
      </c>
      <c r="D1995" s="180"/>
      <c r="E1995" s="1217" t="s">
        <v>534</v>
      </c>
      <c r="F1995" s="141">
        <v>120</v>
      </c>
      <c r="G1995" s="141">
        <v>2038.8</v>
      </c>
      <c r="H1995" s="141">
        <v>1806.5</v>
      </c>
      <c r="I1995" s="141">
        <v>1806.5</v>
      </c>
      <c r="J1995" s="141">
        <v>1806.5</v>
      </c>
      <c r="K1995" s="1212" t="s">
        <v>3040</v>
      </c>
      <c r="L1995" s="143" t="s">
        <v>34</v>
      </c>
      <c r="M1995" s="143">
        <v>16</v>
      </c>
      <c r="N1995" s="143">
        <v>16</v>
      </c>
      <c r="O1995" s="143">
        <v>16</v>
      </c>
      <c r="P1995" s="143">
        <v>16</v>
      </c>
      <c r="Q1995" s="143">
        <v>16</v>
      </c>
    </row>
    <row r="1996" spans="1:17" ht="44.25" x14ac:dyDescent="0.25">
      <c r="A1996" s="1312">
        <v>86</v>
      </c>
      <c r="B1996" s="1313">
        <v>2</v>
      </c>
      <c r="C1996" s="1314"/>
      <c r="D1996" s="1565"/>
      <c r="E1996" s="1195" t="s">
        <v>3156</v>
      </c>
      <c r="F1996" s="190">
        <v>20081</v>
      </c>
      <c r="G1996" s="190">
        <v>25843.8</v>
      </c>
      <c r="H1996" s="190">
        <f>H1997</f>
        <v>27787.1</v>
      </c>
      <c r="I1996" s="190">
        <v>25624.799999999999</v>
      </c>
      <c r="J1996" s="190">
        <v>25496</v>
      </c>
      <c r="K1996" s="1212" t="s">
        <v>3064</v>
      </c>
      <c r="L1996" s="184" t="s">
        <v>34</v>
      </c>
      <c r="M1996" s="184">
        <v>100</v>
      </c>
      <c r="N1996" s="184">
        <v>100</v>
      </c>
      <c r="O1996" s="184">
        <v>100</v>
      </c>
      <c r="P1996" s="184">
        <v>100</v>
      </c>
      <c r="Q1996" s="184">
        <v>100</v>
      </c>
    </row>
    <row r="1997" spans="1:17" x14ac:dyDescent="0.25">
      <c r="A1997" s="1566"/>
      <c r="B1997" s="1426"/>
      <c r="C1997" s="1314" t="s">
        <v>4</v>
      </c>
      <c r="D1997" s="1565"/>
      <c r="E1997" s="1212" t="s">
        <v>3065</v>
      </c>
      <c r="F1997" s="1546">
        <v>20081</v>
      </c>
      <c r="G1997" s="1546">
        <v>25843.8</v>
      </c>
      <c r="H1997" s="141">
        <f>25687.1+2100</f>
        <v>27787.1</v>
      </c>
      <c r="I1997" s="141">
        <v>25624.799999999999</v>
      </c>
      <c r="J1997" s="141">
        <v>25496</v>
      </c>
      <c r="K1997" s="1212" t="s">
        <v>3066</v>
      </c>
      <c r="L1997" s="184" t="s">
        <v>3067</v>
      </c>
      <c r="M1997" s="184">
        <v>9300</v>
      </c>
      <c r="N1997" s="1066">
        <v>9500</v>
      </c>
      <c r="O1997" s="1066">
        <v>9500</v>
      </c>
      <c r="P1997" s="1066">
        <v>9500</v>
      </c>
      <c r="Q1997" s="1066">
        <v>9500</v>
      </c>
    </row>
    <row r="1998" spans="1:17" x14ac:dyDescent="0.25">
      <c r="A1998" s="1652" t="s">
        <v>3068</v>
      </c>
      <c r="B1998" s="1715"/>
      <c r="C1998" s="1750"/>
      <c r="D1998" s="1750"/>
      <c r="E1998" s="1750"/>
      <c r="F1998" s="1567">
        <v>40357.800000000003</v>
      </c>
      <c r="G1998" s="1567">
        <v>40663.300000000003</v>
      </c>
      <c r="H1998" s="1567">
        <f>H1990+H1996</f>
        <v>43170.299999999996</v>
      </c>
      <c r="I1998" s="1567">
        <v>41236.1</v>
      </c>
      <c r="J1998" s="1567">
        <v>41811.800000000003</v>
      </c>
      <c r="K1998" s="15"/>
      <c r="L1998" s="1231"/>
      <c r="M1998" s="1231"/>
      <c r="N1998" s="1231"/>
      <c r="O1998" s="1231"/>
      <c r="P1998" s="1231"/>
      <c r="Q1998" s="1231"/>
    </row>
    <row r="1999" spans="1:17" x14ac:dyDescent="0.25">
      <c r="A1999" s="1648" t="s">
        <v>3069</v>
      </c>
      <c r="B1999" s="1649"/>
      <c r="C1999" s="1649"/>
      <c r="D1999" s="1649"/>
      <c r="E1999" s="1649"/>
      <c r="F1999" s="1649"/>
      <c r="G1999" s="1649"/>
      <c r="H1999" s="1649"/>
      <c r="I1999" s="1649"/>
      <c r="J1999" s="1649"/>
      <c r="K1999" s="1649"/>
      <c r="L1999" s="1649"/>
      <c r="M1999" s="1649"/>
      <c r="N1999" s="1649"/>
      <c r="O1999" s="1649"/>
      <c r="P1999" s="1649"/>
      <c r="Q1999" s="1650"/>
    </row>
    <row r="2000" spans="1:17" ht="58.5" x14ac:dyDescent="0.25">
      <c r="A2000" s="1067">
        <v>87</v>
      </c>
      <c r="B2000" s="1068">
        <v>1</v>
      </c>
      <c r="C2000" s="1069"/>
      <c r="D2000" s="1070"/>
      <c r="E2000" s="178" t="s">
        <v>3157</v>
      </c>
      <c r="F2000" s="1071"/>
      <c r="G2000" s="1072">
        <v>2295.5</v>
      </c>
      <c r="H2000" s="1072">
        <v>3296.9</v>
      </c>
      <c r="I2000" s="1072">
        <v>3296.9</v>
      </c>
      <c r="J2000" s="1072">
        <v>3296.9</v>
      </c>
      <c r="K2000" s="1212" t="s">
        <v>438</v>
      </c>
      <c r="L2000" s="1074"/>
      <c r="M2000" s="1075"/>
      <c r="N2000" s="1074"/>
      <c r="O2000" s="1075"/>
      <c r="P2000" s="1075"/>
      <c r="Q2000" s="1076"/>
    </row>
    <row r="2001" spans="1:17" x14ac:dyDescent="0.25">
      <c r="A2001" s="1077"/>
      <c r="B2001" s="1078"/>
      <c r="C2001" s="1069" t="s">
        <v>4</v>
      </c>
      <c r="D2001" s="1070"/>
      <c r="E2001" s="1599" t="s">
        <v>3070</v>
      </c>
      <c r="F2001" s="1071"/>
      <c r="G2001" s="1071">
        <v>850</v>
      </c>
      <c r="H2001" s="1071">
        <v>1100</v>
      </c>
      <c r="I2001" s="1071">
        <v>1100</v>
      </c>
      <c r="J2001" s="1071">
        <v>1100</v>
      </c>
      <c r="K2001" s="1599"/>
      <c r="L2001" s="1074" t="s">
        <v>34</v>
      </c>
      <c r="M2001" s="1075"/>
      <c r="N2001" s="1074">
        <v>100</v>
      </c>
      <c r="O2001" s="1074">
        <v>100</v>
      </c>
      <c r="P2001" s="1074">
        <v>100</v>
      </c>
      <c r="Q2001" s="1079">
        <v>100</v>
      </c>
    </row>
    <row r="2002" spans="1:17" ht="30" x14ac:dyDescent="0.25">
      <c r="A2002" s="1080"/>
      <c r="B2002" s="1081"/>
      <c r="C2002" s="1069" t="s">
        <v>5</v>
      </c>
      <c r="D2002" s="1073"/>
      <c r="E2002" s="1302" t="s">
        <v>2508</v>
      </c>
      <c r="F2002" s="1071"/>
      <c r="G2002" s="1071">
        <v>450</v>
      </c>
      <c r="H2002" s="1071">
        <v>800</v>
      </c>
      <c r="I2002" s="1071">
        <v>800</v>
      </c>
      <c r="J2002" s="1071">
        <v>800</v>
      </c>
      <c r="K2002" s="1212" t="s">
        <v>2593</v>
      </c>
      <c r="L2002" s="718" t="s">
        <v>34</v>
      </c>
      <c r="M2002" s="718"/>
      <c r="N2002" s="718">
        <v>100</v>
      </c>
      <c r="O2002" s="718">
        <v>100</v>
      </c>
      <c r="P2002" s="718">
        <v>100</v>
      </c>
      <c r="Q2002" s="1082">
        <v>100</v>
      </c>
    </row>
    <row r="2003" spans="1:17" x14ac:dyDescent="0.25">
      <c r="A2003" s="1080"/>
      <c r="B2003" s="1081"/>
      <c r="C2003" s="1069" t="s">
        <v>13</v>
      </c>
      <c r="D2003" s="1073"/>
      <c r="E2003" s="1402" t="s">
        <v>534</v>
      </c>
      <c r="F2003" s="1071"/>
      <c r="G2003" s="1071">
        <v>995.5</v>
      </c>
      <c r="H2003" s="1071">
        <v>1396.9</v>
      </c>
      <c r="I2003" s="1071">
        <v>1396.9</v>
      </c>
      <c r="J2003" s="1071">
        <v>1396.9</v>
      </c>
      <c r="K2003" s="1212" t="s">
        <v>3071</v>
      </c>
      <c r="L2003" s="718" t="s">
        <v>34</v>
      </c>
      <c r="M2003" s="718"/>
      <c r="N2003" s="718">
        <v>100</v>
      </c>
      <c r="O2003" s="718">
        <v>100</v>
      </c>
      <c r="P2003" s="718">
        <v>100</v>
      </c>
      <c r="Q2003" s="1082">
        <v>100</v>
      </c>
    </row>
    <row r="2004" spans="1:17" ht="85.5" x14ac:dyDescent="0.25">
      <c r="A2004" s="1717">
        <v>87</v>
      </c>
      <c r="B2004" s="1719">
        <v>2</v>
      </c>
      <c r="C2004" s="1721"/>
      <c r="D2004" s="1723"/>
      <c r="E2004" s="1600" t="s">
        <v>3072</v>
      </c>
      <c r="F2004" s="1725"/>
      <c r="G2004" s="1693">
        <v>12028.9</v>
      </c>
      <c r="H2004" s="1693">
        <v>15750</v>
      </c>
      <c r="I2004" s="1693">
        <v>15750</v>
      </c>
      <c r="J2004" s="1693">
        <v>15750</v>
      </c>
      <c r="K2004" s="1695"/>
      <c r="L2004" s="1727"/>
      <c r="M2004" s="1727"/>
      <c r="N2004" s="1729"/>
      <c r="O2004" s="1727"/>
      <c r="P2004" s="1727"/>
      <c r="Q2004" s="1731"/>
    </row>
    <row r="2005" spans="1:17" ht="60" x14ac:dyDescent="0.25">
      <c r="A2005" s="1718"/>
      <c r="B2005" s="1720"/>
      <c r="C2005" s="1722"/>
      <c r="D2005" s="1724"/>
      <c r="E2005" s="1601" t="s">
        <v>3073</v>
      </c>
      <c r="F2005" s="1726"/>
      <c r="G2005" s="1694"/>
      <c r="H2005" s="1694"/>
      <c r="I2005" s="1694"/>
      <c r="J2005" s="1694"/>
      <c r="K2005" s="1696"/>
      <c r="L2005" s="1728"/>
      <c r="M2005" s="1728"/>
      <c r="N2005" s="1730"/>
      <c r="O2005" s="1728"/>
      <c r="P2005" s="1728"/>
      <c r="Q2005" s="1732"/>
    </row>
    <row r="2006" spans="1:17" x14ac:dyDescent="0.25">
      <c r="A2006" s="1077"/>
      <c r="B2006" s="1078"/>
      <c r="C2006" s="1069" t="s">
        <v>4</v>
      </c>
      <c r="D2006" s="1070"/>
      <c r="E2006" s="1602" t="s">
        <v>3074</v>
      </c>
      <c r="F2006" s="1071"/>
      <c r="G2006" s="1071">
        <v>5800</v>
      </c>
      <c r="H2006" s="1071">
        <v>7247.9750000000004</v>
      </c>
      <c r="I2006" s="1071">
        <v>6800</v>
      </c>
      <c r="J2006" s="1071">
        <v>6800</v>
      </c>
      <c r="K2006" s="1212" t="s">
        <v>3075</v>
      </c>
      <c r="L2006" s="228" t="s">
        <v>780</v>
      </c>
      <c r="M2006" s="228"/>
      <c r="N2006" s="228">
        <v>30000</v>
      </c>
      <c r="O2006" s="228">
        <v>50000</v>
      </c>
      <c r="P2006" s="228">
        <v>50000</v>
      </c>
      <c r="Q2006" s="1083">
        <v>50000</v>
      </c>
    </row>
    <row r="2007" spans="1:17" ht="45" x14ac:dyDescent="0.25">
      <c r="A2007" s="1084"/>
      <c r="B2007" s="1085"/>
      <c r="C2007" s="1069" t="s">
        <v>5</v>
      </c>
      <c r="D2007" s="1075"/>
      <c r="E2007" s="1599" t="s">
        <v>3076</v>
      </c>
      <c r="F2007" s="1071"/>
      <c r="G2007" s="1071">
        <v>2000</v>
      </c>
      <c r="H2007" s="1071">
        <v>2700</v>
      </c>
      <c r="I2007" s="1071">
        <v>2700</v>
      </c>
      <c r="J2007" s="1071">
        <v>2700</v>
      </c>
      <c r="K2007" s="1621" t="s">
        <v>3077</v>
      </c>
      <c r="L2007" s="1074" t="s">
        <v>780</v>
      </c>
      <c r="M2007" s="1086"/>
      <c r="N2007" s="1087">
        <v>25000</v>
      </c>
      <c r="O2007" s="1087">
        <v>25000</v>
      </c>
      <c r="P2007" s="1087">
        <v>25000</v>
      </c>
      <c r="Q2007" s="1088">
        <v>25000</v>
      </c>
    </row>
    <row r="2008" spans="1:17" ht="30" x14ac:dyDescent="0.25">
      <c r="A2008" s="1084"/>
      <c r="B2008" s="1085"/>
      <c r="C2008" s="1069" t="s">
        <v>7</v>
      </c>
      <c r="D2008" s="1075"/>
      <c r="E2008" s="1599" t="s">
        <v>3078</v>
      </c>
      <c r="F2008" s="1071"/>
      <c r="G2008" s="1071">
        <v>1000</v>
      </c>
      <c r="H2008" s="1071">
        <v>1900</v>
      </c>
      <c r="I2008" s="1071">
        <v>1900</v>
      </c>
      <c r="J2008" s="1071">
        <v>1900</v>
      </c>
      <c r="K2008" s="1621" t="s">
        <v>3079</v>
      </c>
      <c r="L2008" s="1074" t="s">
        <v>780</v>
      </c>
      <c r="M2008" s="1086"/>
      <c r="N2008" s="739">
        <v>10000</v>
      </c>
      <c r="O2008" s="176">
        <v>20000</v>
      </c>
      <c r="P2008" s="176">
        <v>20000</v>
      </c>
      <c r="Q2008" s="1089">
        <v>30000</v>
      </c>
    </row>
    <row r="2009" spans="1:17" ht="30" x14ac:dyDescent="0.25">
      <c r="A2009" s="1084"/>
      <c r="B2009" s="1085"/>
      <c r="C2009" s="1069" t="s">
        <v>9</v>
      </c>
      <c r="D2009" s="1075"/>
      <c r="E2009" s="1599" t="s">
        <v>3080</v>
      </c>
      <c r="F2009" s="1071"/>
      <c r="G2009" s="1071">
        <v>1500</v>
      </c>
      <c r="H2009" s="1071">
        <v>1752.0250000000001</v>
      </c>
      <c r="I2009" s="1071">
        <v>2200</v>
      </c>
      <c r="J2009" s="1071">
        <v>2200</v>
      </c>
      <c r="K2009" s="1217" t="s">
        <v>3081</v>
      </c>
      <c r="L2009" s="228" t="s">
        <v>780</v>
      </c>
      <c r="M2009" s="1242"/>
      <c r="N2009" s="871">
        <v>1</v>
      </c>
      <c r="O2009" s="871">
        <v>2</v>
      </c>
      <c r="P2009" s="871">
        <v>2</v>
      </c>
      <c r="Q2009" s="1090">
        <v>2</v>
      </c>
    </row>
    <row r="2010" spans="1:17" ht="60" x14ac:dyDescent="0.25">
      <c r="A2010" s="1084"/>
      <c r="B2010" s="1085"/>
      <c r="C2010" s="1069" t="s">
        <v>11</v>
      </c>
      <c r="D2010" s="1075"/>
      <c r="E2010" s="1599" t="s">
        <v>3082</v>
      </c>
      <c r="F2010" s="1071"/>
      <c r="G2010" s="1071">
        <v>828.9</v>
      </c>
      <c r="H2010" s="1071">
        <v>1000</v>
      </c>
      <c r="I2010" s="1071">
        <v>1000</v>
      </c>
      <c r="J2010" s="1071">
        <v>1000</v>
      </c>
      <c r="K2010" s="1217" t="s">
        <v>3083</v>
      </c>
      <c r="L2010" s="228" t="s">
        <v>34</v>
      </c>
      <c r="M2010" s="1242"/>
      <c r="N2010" s="176">
        <v>80</v>
      </c>
      <c r="O2010" s="176">
        <v>100</v>
      </c>
      <c r="P2010" s="176">
        <v>100</v>
      </c>
      <c r="Q2010" s="1089">
        <v>100</v>
      </c>
    </row>
    <row r="2011" spans="1:17" ht="30" x14ac:dyDescent="0.25">
      <c r="A2011" s="1084"/>
      <c r="B2011" s="1085"/>
      <c r="C2011" s="1069" t="s">
        <v>13</v>
      </c>
      <c r="D2011" s="1075"/>
      <c r="E2011" s="1599" t="s">
        <v>3084</v>
      </c>
      <c r="F2011" s="1071"/>
      <c r="G2011" s="1071">
        <v>600</v>
      </c>
      <c r="H2011" s="1071">
        <v>800</v>
      </c>
      <c r="I2011" s="1071">
        <v>800</v>
      </c>
      <c r="J2011" s="1071">
        <v>800</v>
      </c>
      <c r="K2011" s="1212" t="s">
        <v>3075</v>
      </c>
      <c r="L2011" s="1198" t="s">
        <v>780</v>
      </c>
      <c r="M2011" s="1091"/>
      <c r="N2011" s="1091">
        <v>20000</v>
      </c>
      <c r="O2011" s="1091">
        <v>50000</v>
      </c>
      <c r="P2011" s="1091">
        <v>50000</v>
      </c>
      <c r="Q2011" s="1092">
        <v>50000</v>
      </c>
    </row>
    <row r="2012" spans="1:17" ht="30" x14ac:dyDescent="0.25">
      <c r="A2012" s="1084"/>
      <c r="B2012" s="1085"/>
      <c r="C2012" s="1069" t="s">
        <v>15</v>
      </c>
      <c r="D2012" s="1075"/>
      <c r="E2012" s="1599" t="s">
        <v>3085</v>
      </c>
      <c r="F2012" s="1071"/>
      <c r="G2012" s="1071">
        <v>300</v>
      </c>
      <c r="H2012" s="1071">
        <v>350</v>
      </c>
      <c r="I2012" s="1071">
        <v>350</v>
      </c>
      <c r="J2012" s="1071">
        <v>350</v>
      </c>
      <c r="K2012" s="931" t="s">
        <v>3086</v>
      </c>
      <c r="L2012" s="1258" t="s">
        <v>34</v>
      </c>
      <c r="M2012" s="1093"/>
      <c r="N2012" s="1093">
        <v>60</v>
      </c>
      <c r="O2012" s="1093">
        <v>75</v>
      </c>
      <c r="P2012" s="1093">
        <v>100</v>
      </c>
      <c r="Q2012" s="1094">
        <v>100</v>
      </c>
    </row>
    <row r="2013" spans="1:17" x14ac:dyDescent="0.25">
      <c r="A2013" s="1652" t="s">
        <v>3087</v>
      </c>
      <c r="B2013" s="1715"/>
      <c r="C2013" s="1715"/>
      <c r="D2013" s="1715"/>
      <c r="E2013" s="1716"/>
      <c r="F2013" s="797">
        <v>0</v>
      </c>
      <c r="G2013" s="797">
        <v>14324.4</v>
      </c>
      <c r="H2013" s="797">
        <v>19046.900000000001</v>
      </c>
      <c r="I2013" s="797">
        <v>19046.900000000001</v>
      </c>
      <c r="J2013" s="797">
        <v>19046.900000000001</v>
      </c>
      <c r="K2013" s="906"/>
      <c r="L2013" s="21"/>
      <c r="M2013" s="1095"/>
      <c r="N2013" s="1095"/>
      <c r="O2013" s="1095"/>
      <c r="P2013" s="1095"/>
      <c r="Q2013" s="1095"/>
    </row>
    <row r="2014" spans="1:17" x14ac:dyDescent="0.25">
      <c r="A2014" s="1648" t="s">
        <v>3088</v>
      </c>
      <c r="B2014" s="1649"/>
      <c r="C2014" s="1649"/>
      <c r="D2014" s="1649"/>
      <c r="E2014" s="1649"/>
      <c r="F2014" s="1649"/>
      <c r="G2014" s="1649"/>
      <c r="H2014" s="1649"/>
      <c r="I2014" s="1649"/>
      <c r="J2014" s="1649"/>
      <c r="K2014" s="1649"/>
      <c r="L2014" s="1649"/>
      <c r="M2014" s="1649"/>
      <c r="N2014" s="1649"/>
      <c r="O2014" s="1649"/>
      <c r="P2014" s="1649"/>
      <c r="Q2014" s="1650"/>
    </row>
    <row r="2015" spans="1:17" ht="73.5" x14ac:dyDescent="0.25">
      <c r="A2015" s="1067">
        <v>87</v>
      </c>
      <c r="B2015" s="1068">
        <v>1</v>
      </c>
      <c r="C2015" s="1069"/>
      <c r="D2015" s="1070"/>
      <c r="E2015" s="178" t="s">
        <v>3158</v>
      </c>
      <c r="F2015" s="1071"/>
      <c r="G2015" s="1072"/>
      <c r="H2015" s="1072">
        <f>H2016+H2017</f>
        <v>2520.8000000000002</v>
      </c>
      <c r="I2015" s="1072">
        <f t="shared" ref="I2015:J2015" si="2">I2016+I2017</f>
        <v>2520.8000000000002</v>
      </c>
      <c r="J2015" s="1072">
        <f t="shared" si="2"/>
        <v>2520.8000000000002</v>
      </c>
      <c r="K2015" s="1212" t="s">
        <v>438</v>
      </c>
      <c r="L2015" s="1074"/>
      <c r="M2015" s="1075"/>
      <c r="N2015" s="1074"/>
      <c r="O2015" s="1075"/>
      <c r="P2015" s="1075"/>
      <c r="Q2015" s="1076"/>
    </row>
    <row r="2016" spans="1:17" ht="30" x14ac:dyDescent="0.25">
      <c r="A2016" s="1080"/>
      <c r="B2016" s="1081"/>
      <c r="C2016" s="1069" t="s">
        <v>5</v>
      </c>
      <c r="D2016" s="1073"/>
      <c r="E2016" s="1302" t="s">
        <v>2508</v>
      </c>
      <c r="F2016" s="1071"/>
      <c r="G2016" s="1071"/>
      <c r="H2016" s="1071">
        <v>1977.6</v>
      </c>
      <c r="I2016" s="1071">
        <v>1977.6</v>
      </c>
      <c r="J2016" s="1071">
        <v>1977.6</v>
      </c>
      <c r="K2016" s="1212" t="s">
        <v>3089</v>
      </c>
      <c r="L2016" s="718" t="s">
        <v>34</v>
      </c>
      <c r="M2016" s="718"/>
      <c r="N2016" s="718">
        <v>100</v>
      </c>
      <c r="O2016" s="718">
        <v>100</v>
      </c>
      <c r="P2016" s="718">
        <v>100</v>
      </c>
      <c r="Q2016" s="1082">
        <v>100</v>
      </c>
    </row>
    <row r="2017" spans="1:17" x14ac:dyDescent="0.25">
      <c r="A2017" s="1080"/>
      <c r="B2017" s="1081"/>
      <c r="C2017" s="1069" t="s">
        <v>7</v>
      </c>
      <c r="D2017" s="1073"/>
      <c r="E2017" s="1603" t="s">
        <v>842</v>
      </c>
      <c r="F2017" s="1071"/>
      <c r="G2017" s="1071"/>
      <c r="H2017" s="1071">
        <v>543.20000000000005</v>
      </c>
      <c r="I2017" s="1071">
        <v>543.20000000000005</v>
      </c>
      <c r="J2017" s="1071">
        <v>543.20000000000005</v>
      </c>
      <c r="K2017" s="32" t="s">
        <v>3090</v>
      </c>
      <c r="L2017" s="718"/>
      <c r="M2017" s="718"/>
      <c r="N2017" s="718"/>
      <c r="O2017" s="718"/>
      <c r="P2017" s="718"/>
      <c r="Q2017" s="1082"/>
    </row>
    <row r="2018" spans="1:17" ht="42.75" x14ac:dyDescent="0.25">
      <c r="A2018" s="1717">
        <v>87</v>
      </c>
      <c r="B2018" s="1719">
        <v>2</v>
      </c>
      <c r="C2018" s="1721"/>
      <c r="D2018" s="1723"/>
      <c r="E2018" s="1600" t="s">
        <v>3091</v>
      </c>
      <c r="F2018" s="1725"/>
      <c r="G2018" s="1693"/>
      <c r="H2018" s="1693">
        <f>H2020</f>
        <v>11864.7</v>
      </c>
      <c r="I2018" s="1693">
        <f t="shared" ref="I2018:J2018" si="3">I2020</f>
        <v>11864.7</v>
      </c>
      <c r="J2018" s="1693">
        <f t="shared" si="3"/>
        <v>11864.7</v>
      </c>
      <c r="K2018" s="1695"/>
      <c r="L2018" s="1727"/>
      <c r="M2018" s="1727"/>
      <c r="N2018" s="1729"/>
      <c r="O2018" s="1727"/>
      <c r="P2018" s="1727"/>
      <c r="Q2018" s="1731"/>
    </row>
    <row r="2019" spans="1:17" x14ac:dyDescent="0.25">
      <c r="A2019" s="1718"/>
      <c r="B2019" s="1720"/>
      <c r="C2019" s="1722"/>
      <c r="D2019" s="1724"/>
      <c r="E2019" s="1604"/>
      <c r="F2019" s="1726"/>
      <c r="G2019" s="1694"/>
      <c r="H2019" s="1694"/>
      <c r="I2019" s="1694"/>
      <c r="J2019" s="1694"/>
      <c r="K2019" s="1696"/>
      <c r="L2019" s="1728"/>
      <c r="M2019" s="1728"/>
      <c r="N2019" s="1730"/>
      <c r="O2019" s="1728"/>
      <c r="P2019" s="1728"/>
      <c r="Q2019" s="1732"/>
    </row>
    <row r="2020" spans="1:17" x14ac:dyDescent="0.25">
      <c r="A2020" s="1077"/>
      <c r="B2020" s="1078"/>
      <c r="C2020" s="1069" t="s">
        <v>4</v>
      </c>
      <c r="D2020" s="1070"/>
      <c r="E2020" s="1602" t="s">
        <v>3092</v>
      </c>
      <c r="F2020" s="1071"/>
      <c r="G2020" s="1071"/>
      <c r="H2020" s="1071">
        <v>11864.7</v>
      </c>
      <c r="I2020" s="1071">
        <v>11864.7</v>
      </c>
      <c r="J2020" s="1071">
        <v>11864.7</v>
      </c>
      <c r="K2020" s="1212" t="s">
        <v>3093</v>
      </c>
      <c r="L2020" s="228" t="s">
        <v>780</v>
      </c>
      <c r="M2020" s="228"/>
      <c r="N2020" s="228">
        <v>30000</v>
      </c>
      <c r="O2020" s="228">
        <v>50000</v>
      </c>
      <c r="P2020" s="228">
        <v>50000</v>
      </c>
      <c r="Q2020" s="1083">
        <v>50000</v>
      </c>
    </row>
    <row r="2021" spans="1:17" x14ac:dyDescent="0.25">
      <c r="A2021" s="1652" t="s">
        <v>3094</v>
      </c>
      <c r="B2021" s="1715"/>
      <c r="C2021" s="1715"/>
      <c r="D2021" s="1715"/>
      <c r="E2021" s="1716"/>
      <c r="F2021" s="797">
        <v>0</v>
      </c>
      <c r="G2021" s="797">
        <v>0</v>
      </c>
      <c r="H2021" s="797">
        <f>H2015+H2018</f>
        <v>14385.5</v>
      </c>
      <c r="I2021" s="797">
        <f t="shared" ref="I2021:J2021" si="4">I2015+I2018</f>
        <v>14385.5</v>
      </c>
      <c r="J2021" s="797">
        <f t="shared" si="4"/>
        <v>14385.5</v>
      </c>
      <c r="K2021" s="906"/>
      <c r="L2021" s="21"/>
      <c r="M2021" s="1095"/>
      <c r="N2021" s="1095"/>
      <c r="O2021" s="1095"/>
      <c r="P2021" s="1095"/>
      <c r="Q2021" s="1095"/>
    </row>
  </sheetData>
  <mergeCells count="3109">
    <mergeCell ref="B599:B600"/>
    <mergeCell ref="B608:B609"/>
    <mergeCell ref="B601:B604"/>
    <mergeCell ref="C633:C634"/>
    <mergeCell ref="D638:D639"/>
    <mergeCell ref="C643:C644"/>
    <mergeCell ref="C273:C274"/>
    <mergeCell ref="B273:B274"/>
    <mergeCell ref="D533:D539"/>
    <mergeCell ref="D540:D542"/>
    <mergeCell ref="D528:D529"/>
    <mergeCell ref="C599:C600"/>
    <mergeCell ref="C601:C604"/>
    <mergeCell ref="C371:C372"/>
    <mergeCell ref="K5:Q5"/>
    <mergeCell ref="I457:I459"/>
    <mergeCell ref="J457:J459"/>
    <mergeCell ref="F440:F441"/>
    <mergeCell ref="G440:G441"/>
    <mergeCell ref="H440:H441"/>
    <mergeCell ref="I440:I441"/>
    <mergeCell ref="J440:J441"/>
    <mergeCell ref="B25:B26"/>
    <mergeCell ref="B30:B31"/>
    <mergeCell ref="F430:F432"/>
    <mergeCell ref="G430:G432"/>
    <mergeCell ref="H430:H432"/>
    <mergeCell ref="J452:J456"/>
    <mergeCell ref="H383:H384"/>
    <mergeCell ref="I383:I389"/>
    <mergeCell ref="I37:I38"/>
    <mergeCell ref="I34:I36"/>
    <mergeCell ref="A434:A435"/>
    <mergeCell ref="C434:C435"/>
    <mergeCell ref="A436:A439"/>
    <mergeCell ref="A440:A441"/>
    <mergeCell ref="C440:C441"/>
    <mergeCell ref="A442:A445"/>
    <mergeCell ref="C442:C445"/>
    <mergeCell ref="A351:Q351"/>
    <mergeCell ref="A358:A359"/>
    <mergeCell ref="C358:C359"/>
    <mergeCell ref="K216:K217"/>
    <mergeCell ref="K219:K220"/>
    <mergeCell ref="F457:F459"/>
    <mergeCell ref="G457:G459"/>
    <mergeCell ref="D711:D712"/>
    <mergeCell ref="B715:B716"/>
    <mergeCell ref="D715:D716"/>
    <mergeCell ref="B457:B459"/>
    <mergeCell ref="C457:C459"/>
    <mergeCell ref="D457:D459"/>
    <mergeCell ref="D442:D445"/>
    <mergeCell ref="B427:B428"/>
    <mergeCell ref="C427:C428"/>
    <mergeCell ref="B430:B432"/>
    <mergeCell ref="C430:C432"/>
    <mergeCell ref="C422:C424"/>
    <mergeCell ref="D237:D238"/>
    <mergeCell ref="B336:B338"/>
    <mergeCell ref="C597:C598"/>
    <mergeCell ref="D597:D598"/>
    <mergeCell ref="D436:D439"/>
    <mergeCell ref="D430:D432"/>
    <mergeCell ref="F336:F338"/>
    <mergeCell ref="G336:G338"/>
    <mergeCell ref="I336:I338"/>
    <mergeCell ref="J336:J338"/>
    <mergeCell ref="A39:E39"/>
    <mergeCell ref="A45:E45"/>
    <mergeCell ref="A64:E64"/>
    <mergeCell ref="A407:A409"/>
    <mergeCell ref="C407:C409"/>
    <mergeCell ref="F410:F411"/>
    <mergeCell ref="I410:I411"/>
    <mergeCell ref="A416:E416"/>
    <mergeCell ref="A417:Q417"/>
    <mergeCell ref="A418:A419"/>
    <mergeCell ref="B422:B424"/>
    <mergeCell ref="A427:A428"/>
    <mergeCell ref="A430:A432"/>
    <mergeCell ref="A65:Q65"/>
    <mergeCell ref="A371:A372"/>
    <mergeCell ref="F371:F373"/>
    <mergeCell ref="A377:A378"/>
    <mergeCell ref="C377:C378"/>
    <mergeCell ref="F377:F381"/>
    <mergeCell ref="A379:A381"/>
    <mergeCell ref="C379:C381"/>
    <mergeCell ref="A383:A384"/>
    <mergeCell ref="C383:C384"/>
    <mergeCell ref="F383:F389"/>
    <mergeCell ref="D383:D384"/>
    <mergeCell ref="E383:E384"/>
    <mergeCell ref="A386:A388"/>
    <mergeCell ref="F362:F365"/>
    <mergeCell ref="L455:L456"/>
    <mergeCell ref="E695:E699"/>
    <mergeCell ref="F695:F699"/>
    <mergeCell ref="A391:A393"/>
    <mergeCell ref="F391:F395"/>
    <mergeCell ref="A403:A404"/>
    <mergeCell ref="C403:C404"/>
    <mergeCell ref="F405:F409"/>
    <mergeCell ref="I405:I409"/>
    <mergeCell ref="D440:D441"/>
    <mergeCell ref="B452:B456"/>
    <mergeCell ref="C452:C456"/>
    <mergeCell ref="D452:D456"/>
    <mergeCell ref="F452:F456"/>
    <mergeCell ref="G452:G456"/>
    <mergeCell ref="H452:H456"/>
    <mergeCell ref="I452:I456"/>
    <mergeCell ref="D434:D435"/>
    <mergeCell ref="F434:F435"/>
    <mergeCell ref="G434:G435"/>
    <mergeCell ref="H434:H435"/>
    <mergeCell ref="I434:I435"/>
    <mergeCell ref="B418:B419"/>
    <mergeCell ref="C418:C419"/>
    <mergeCell ref="D418:D419"/>
    <mergeCell ref="F418:F419"/>
    <mergeCell ref="G418:G419"/>
    <mergeCell ref="H418:H419"/>
    <mergeCell ref="A452:A456"/>
    <mergeCell ref="B436:B439"/>
    <mergeCell ref="K502:Q502"/>
    <mergeCell ref="Q405:Q406"/>
    <mergeCell ref="D407:D409"/>
    <mergeCell ref="E407:E409"/>
    <mergeCell ref="K405:K406"/>
    <mergeCell ref="P405:P406"/>
    <mergeCell ref="J434:J435"/>
    <mergeCell ref="H405:H409"/>
    <mergeCell ref="H410:H411"/>
    <mergeCell ref="F436:F439"/>
    <mergeCell ref="G436:G439"/>
    <mergeCell ref="H436:H439"/>
    <mergeCell ref="I436:I439"/>
    <mergeCell ref="J436:J439"/>
    <mergeCell ref="D427:D428"/>
    <mergeCell ref="F427:F428"/>
    <mergeCell ref="G427:G428"/>
    <mergeCell ref="H427:H428"/>
    <mergeCell ref="I427:I428"/>
    <mergeCell ref="J427:J428"/>
    <mergeCell ref="H422:H424"/>
    <mergeCell ref="F422:F424"/>
    <mergeCell ref="G422:G424"/>
    <mergeCell ref="L405:L406"/>
    <mergeCell ref="I418:I419"/>
    <mergeCell ref="J418:J419"/>
    <mergeCell ref="C707:C710"/>
    <mergeCell ref="E723:E724"/>
    <mergeCell ref="G702:G703"/>
    <mergeCell ref="F702:F703"/>
    <mergeCell ref="E745:E747"/>
    <mergeCell ref="B73:B74"/>
    <mergeCell ref="B75:B80"/>
    <mergeCell ref="B350:E350"/>
    <mergeCell ref="A107:A108"/>
    <mergeCell ref="C107:C108"/>
    <mergeCell ref="D107:D108"/>
    <mergeCell ref="J391:J395"/>
    <mergeCell ref="J410:J411"/>
    <mergeCell ref="I430:I432"/>
    <mergeCell ref="J430:J432"/>
    <mergeCell ref="D358:D359"/>
    <mergeCell ref="E358:E359"/>
    <mergeCell ref="F358:F359"/>
    <mergeCell ref="G358:G359"/>
    <mergeCell ref="H358:H359"/>
    <mergeCell ref="I358:I359"/>
    <mergeCell ref="J358:J359"/>
    <mergeCell ref="F368:F369"/>
    <mergeCell ref="G368:G369"/>
    <mergeCell ref="H368:H369"/>
    <mergeCell ref="I368:I369"/>
    <mergeCell ref="J81:J91"/>
    <mergeCell ref="G410:G411"/>
    <mergeCell ref="H73:H74"/>
    <mergeCell ref="I73:I74"/>
    <mergeCell ref="I92:I94"/>
    <mergeCell ref="E81:E91"/>
    <mergeCell ref="G728:G730"/>
    <mergeCell ref="H728:H730"/>
    <mergeCell ref="F715:F716"/>
    <mergeCell ref="G715:G716"/>
    <mergeCell ref="B711:B712"/>
    <mergeCell ref="G695:G699"/>
    <mergeCell ref="H695:H699"/>
    <mergeCell ref="I695:I699"/>
    <mergeCell ref="J695:J699"/>
    <mergeCell ref="B700:B701"/>
    <mergeCell ref="F700:F701"/>
    <mergeCell ref="C702:C703"/>
    <mergeCell ref="E702:E703"/>
    <mergeCell ref="A760:E760"/>
    <mergeCell ref="C753:C754"/>
    <mergeCell ref="I707:I710"/>
    <mergeCell ref="J707:J710"/>
    <mergeCell ref="F704:F705"/>
    <mergeCell ref="D743:D744"/>
    <mergeCell ref="E743:E744"/>
    <mergeCell ref="E715:E716"/>
    <mergeCell ref="G723:G724"/>
    <mergeCell ref="A711:A712"/>
    <mergeCell ref="C711:C712"/>
    <mergeCell ref="E711:E712"/>
    <mergeCell ref="F711:F712"/>
    <mergeCell ref="G711:G712"/>
    <mergeCell ref="H711:H712"/>
    <mergeCell ref="I711:I712"/>
    <mergeCell ref="J711:J712"/>
    <mergeCell ref="I728:I730"/>
    <mergeCell ref="A707:A710"/>
    <mergeCell ref="D723:D724"/>
    <mergeCell ref="E741:E742"/>
    <mergeCell ref="F736:F740"/>
    <mergeCell ref="C715:C716"/>
    <mergeCell ref="F745:F747"/>
    <mergeCell ref="G745:G747"/>
    <mergeCell ref="H745:H747"/>
    <mergeCell ref="G753:G754"/>
    <mergeCell ref="F753:F754"/>
    <mergeCell ref="G741:G742"/>
    <mergeCell ref="C726:C727"/>
    <mergeCell ref="J704:J705"/>
    <mergeCell ref="A704:A705"/>
    <mergeCell ref="C704:C705"/>
    <mergeCell ref="D728:D730"/>
    <mergeCell ref="E728:E730"/>
    <mergeCell ref="D726:D727"/>
    <mergeCell ref="C748:C749"/>
    <mergeCell ref="F748:F749"/>
    <mergeCell ref="H707:H710"/>
    <mergeCell ref="J743:J744"/>
    <mergeCell ref="E753:E754"/>
    <mergeCell ref="D748:D749"/>
    <mergeCell ref="H753:H754"/>
    <mergeCell ref="I753:I754"/>
    <mergeCell ref="J753:J754"/>
    <mergeCell ref="F723:F724"/>
    <mergeCell ref="F707:F710"/>
    <mergeCell ref="G707:G710"/>
    <mergeCell ref="B707:B710"/>
    <mergeCell ref="D707:D710"/>
    <mergeCell ref="A720:P720"/>
    <mergeCell ref="J745:J747"/>
    <mergeCell ref="F726:F727"/>
    <mergeCell ref="G726:G727"/>
    <mergeCell ref="K715:K716"/>
    <mergeCell ref="L715:L716"/>
    <mergeCell ref="H702:H703"/>
    <mergeCell ref="I702:I703"/>
    <mergeCell ref="J702:J703"/>
    <mergeCell ref="B723:B724"/>
    <mergeCell ref="B726:B727"/>
    <mergeCell ref="B728:B730"/>
    <mergeCell ref="B741:B742"/>
    <mergeCell ref="D741:D742"/>
    <mergeCell ref="B743:B744"/>
    <mergeCell ref="C743:C744"/>
    <mergeCell ref="B745:B747"/>
    <mergeCell ref="M715:M716"/>
    <mergeCell ref="C736:C740"/>
    <mergeCell ref="B736:B740"/>
    <mergeCell ref="C741:C742"/>
    <mergeCell ref="F743:F744"/>
    <mergeCell ref="I736:I740"/>
    <mergeCell ref="J736:J740"/>
    <mergeCell ref="H715:H716"/>
    <mergeCell ref="I715:I716"/>
    <mergeCell ref="J715:J716"/>
    <mergeCell ref="I745:I747"/>
    <mergeCell ref="H743:H744"/>
    <mergeCell ref="I743:I744"/>
    <mergeCell ref="F741:F742"/>
    <mergeCell ref="J741:J742"/>
    <mergeCell ref="C728:C730"/>
    <mergeCell ref="C695:C699"/>
    <mergeCell ref="F247:F248"/>
    <mergeCell ref="H580:H581"/>
    <mergeCell ref="I580:I581"/>
    <mergeCell ref="H681:H684"/>
    <mergeCell ref="N715:N716"/>
    <mergeCell ref="B748:B749"/>
    <mergeCell ref="D736:D740"/>
    <mergeCell ref="E736:E740"/>
    <mergeCell ref="H736:H740"/>
    <mergeCell ref="C745:C747"/>
    <mergeCell ref="B753:B754"/>
    <mergeCell ref="O715:O716"/>
    <mergeCell ref="P715:P716"/>
    <mergeCell ref="Q715:Q716"/>
    <mergeCell ref="A719:E719"/>
    <mergeCell ref="G736:G740"/>
    <mergeCell ref="A715:A716"/>
    <mergeCell ref="E748:E749"/>
    <mergeCell ref="D753:D754"/>
    <mergeCell ref="D745:D747"/>
    <mergeCell ref="J728:J730"/>
    <mergeCell ref="E726:E727"/>
    <mergeCell ref="G748:G749"/>
    <mergeCell ref="G743:G744"/>
    <mergeCell ref="H748:H749"/>
    <mergeCell ref="I748:I749"/>
    <mergeCell ref="J748:J749"/>
    <mergeCell ref="F728:F730"/>
    <mergeCell ref="I723:I724"/>
    <mergeCell ref="H741:H742"/>
    <mergeCell ref="I741:I742"/>
    <mergeCell ref="Q672:Q673"/>
    <mergeCell ref="O674:O676"/>
    <mergeCell ref="P674:P676"/>
    <mergeCell ref="A119:Q119"/>
    <mergeCell ref="A102:E102"/>
    <mergeCell ref="G383:G389"/>
    <mergeCell ref="J383:J389"/>
    <mergeCell ref="D386:D388"/>
    <mergeCell ref="E386:E388"/>
    <mergeCell ref="D391:D393"/>
    <mergeCell ref="E391:E393"/>
    <mergeCell ref="G391:G395"/>
    <mergeCell ref="H391:H395"/>
    <mergeCell ref="I391:I395"/>
    <mergeCell ref="A245:A246"/>
    <mergeCell ref="B245:B246"/>
    <mergeCell ref="B247:B248"/>
    <mergeCell ref="B528:B529"/>
    <mergeCell ref="B547:B548"/>
    <mergeCell ref="A674:A677"/>
    <mergeCell ref="C674:C677"/>
    <mergeCell ref="A633:A634"/>
    <mergeCell ref="B633:B634"/>
    <mergeCell ref="D422:D424"/>
    <mergeCell ref="A364:A365"/>
    <mergeCell ref="C364:C365"/>
    <mergeCell ref="A368:A369"/>
    <mergeCell ref="C368:C369"/>
    <mergeCell ref="C436:C439"/>
    <mergeCell ref="A457:A459"/>
    <mergeCell ref="H457:H459"/>
    <mergeCell ref="F442:F445"/>
    <mergeCell ref="G371:G373"/>
    <mergeCell ref="L666:L667"/>
    <mergeCell ref="M666:M667"/>
    <mergeCell ref="K358:K359"/>
    <mergeCell ref="L358:L359"/>
    <mergeCell ref="G362:G365"/>
    <mergeCell ref="H362:H365"/>
    <mergeCell ref="I362:I365"/>
    <mergeCell ref="J362:J365"/>
    <mergeCell ref="D364:D365"/>
    <mergeCell ref="E364:E365"/>
    <mergeCell ref="B391:B393"/>
    <mergeCell ref="C391:C393"/>
    <mergeCell ref="J368:J369"/>
    <mergeCell ref="D371:D372"/>
    <mergeCell ref="E403:E404"/>
    <mergeCell ref="F403:F404"/>
    <mergeCell ref="G403:G404"/>
    <mergeCell ref="H403:H404"/>
    <mergeCell ref="I403:I404"/>
    <mergeCell ref="J403:J404"/>
    <mergeCell ref="G405:G409"/>
    <mergeCell ref="E379:E381"/>
    <mergeCell ref="E368:E369"/>
    <mergeCell ref="G597:G598"/>
    <mergeCell ref="G610:G613"/>
    <mergeCell ref="F638:F639"/>
    <mergeCell ref="G442:G445"/>
    <mergeCell ref="H442:H445"/>
    <mergeCell ref="I442:I445"/>
    <mergeCell ref="J442:J445"/>
    <mergeCell ref="C386:C388"/>
    <mergeCell ref="G605:G607"/>
    <mergeCell ref="G659:G664"/>
    <mergeCell ref="H659:H664"/>
    <mergeCell ref="G589:G591"/>
    <mergeCell ref="I659:I664"/>
    <mergeCell ref="J659:J664"/>
    <mergeCell ref="H674:H677"/>
    <mergeCell ref="J643:J644"/>
    <mergeCell ref="I633:I634"/>
    <mergeCell ref="F633:F634"/>
    <mergeCell ref="H638:H639"/>
    <mergeCell ref="I608:I609"/>
    <mergeCell ref="I681:I684"/>
    <mergeCell ref="D559:D561"/>
    <mergeCell ref="C559:C561"/>
    <mergeCell ref="D681:D684"/>
    <mergeCell ref="I610:I613"/>
    <mergeCell ref="C666:C673"/>
    <mergeCell ref="E666:E673"/>
    <mergeCell ref="A688:A689"/>
    <mergeCell ref="C688:C689"/>
    <mergeCell ref="D688:D689"/>
    <mergeCell ref="E688:E689"/>
    <mergeCell ref="G688:G689"/>
    <mergeCell ref="H688:H689"/>
    <mergeCell ref="I688:I689"/>
    <mergeCell ref="J688:J689"/>
    <mergeCell ref="J605:J607"/>
    <mergeCell ref="G690:G691"/>
    <mergeCell ref="F674:F677"/>
    <mergeCell ref="J666:J673"/>
    <mergeCell ref="F681:F684"/>
    <mergeCell ref="J674:J677"/>
    <mergeCell ref="F643:F644"/>
    <mergeCell ref="A690:A691"/>
    <mergeCell ref="A605:A607"/>
    <mergeCell ref="C605:C607"/>
    <mergeCell ref="I674:I677"/>
    <mergeCell ref="A666:A673"/>
    <mergeCell ref="J610:J613"/>
    <mergeCell ref="D633:D634"/>
    <mergeCell ref="H685:H686"/>
    <mergeCell ref="I685:I686"/>
    <mergeCell ref="J685:J686"/>
    <mergeCell ref="F605:F607"/>
    <mergeCell ref="J633:J634"/>
    <mergeCell ref="I643:I644"/>
    <mergeCell ref="B638:B639"/>
    <mergeCell ref="B688:B689"/>
    <mergeCell ref="J608:J609"/>
    <mergeCell ref="H610:H613"/>
    <mergeCell ref="G700:G701"/>
    <mergeCell ref="H700:H701"/>
    <mergeCell ref="I700:I701"/>
    <mergeCell ref="J700:J701"/>
    <mergeCell ref="N672:N673"/>
    <mergeCell ref="G685:G686"/>
    <mergeCell ref="C659:C664"/>
    <mergeCell ref="E659:E664"/>
    <mergeCell ref="K674:K676"/>
    <mergeCell ref="L674:L676"/>
    <mergeCell ref="M674:M676"/>
    <mergeCell ref="N674:N676"/>
    <mergeCell ref="E681:E684"/>
    <mergeCell ref="E638:E639"/>
    <mergeCell ref="H643:H644"/>
    <mergeCell ref="H666:H673"/>
    <mergeCell ref="I666:I673"/>
    <mergeCell ref="G638:G639"/>
    <mergeCell ref="D643:D644"/>
    <mergeCell ref="E643:E644"/>
    <mergeCell ref="L698:L699"/>
    <mergeCell ref="M698:M699"/>
    <mergeCell ref="G681:G684"/>
    <mergeCell ref="L643:L644"/>
    <mergeCell ref="H690:H691"/>
    <mergeCell ref="I690:I691"/>
    <mergeCell ref="J690:J691"/>
    <mergeCell ref="E674:E677"/>
    <mergeCell ref="F666:F673"/>
    <mergeCell ref="G666:G673"/>
    <mergeCell ref="J681:J684"/>
    <mergeCell ref="G674:G677"/>
    <mergeCell ref="N704:N705"/>
    <mergeCell ref="O704:O705"/>
    <mergeCell ref="P704:P705"/>
    <mergeCell ref="Q704:Q705"/>
    <mergeCell ref="O682:O684"/>
    <mergeCell ref="K682:K684"/>
    <mergeCell ref="K704:K705"/>
    <mergeCell ref="Q682:Q684"/>
    <mergeCell ref="P666:P667"/>
    <mergeCell ref="Q666:Q667"/>
    <mergeCell ref="O672:O673"/>
    <mergeCell ref="M672:M673"/>
    <mergeCell ref="K666:K667"/>
    <mergeCell ref="Q685:Q686"/>
    <mergeCell ref="I704:I705"/>
    <mergeCell ref="Q698:Q699"/>
    <mergeCell ref="O698:O699"/>
    <mergeCell ref="P698:P699"/>
    <mergeCell ref="N698:N699"/>
    <mergeCell ref="L682:L684"/>
    <mergeCell ref="M682:M684"/>
    <mergeCell ref="N682:N684"/>
    <mergeCell ref="L685:L686"/>
    <mergeCell ref="M685:M686"/>
    <mergeCell ref="Q674:Q676"/>
    <mergeCell ref="P682:P684"/>
    <mergeCell ref="O685:O686"/>
    <mergeCell ref="P685:P686"/>
    <mergeCell ref="N685:N686"/>
    <mergeCell ref="N666:N667"/>
    <mergeCell ref="K698:K699"/>
    <mergeCell ref="P672:P673"/>
    <mergeCell ref="H377:H381"/>
    <mergeCell ref="D403:D404"/>
    <mergeCell ref="D379:D381"/>
    <mergeCell ref="D368:D369"/>
    <mergeCell ref="I422:I424"/>
    <mergeCell ref="J422:J424"/>
    <mergeCell ref="J405:J409"/>
    <mergeCell ref="Q582:Q583"/>
    <mergeCell ref="J582:J583"/>
    <mergeCell ref="F533:F539"/>
    <mergeCell ref="F559:F561"/>
    <mergeCell ref="G559:G561"/>
    <mergeCell ref="L557:L558"/>
    <mergeCell ref="E569:E572"/>
    <mergeCell ref="K557:K558"/>
    <mergeCell ref="P582:P583"/>
    <mergeCell ref="G582:G583"/>
    <mergeCell ref="H582:H583"/>
    <mergeCell ref="I582:I583"/>
    <mergeCell ref="H575:H576"/>
    <mergeCell ref="K582:K583"/>
    <mergeCell ref="L582:L583"/>
    <mergeCell ref="I543:I544"/>
    <mergeCell ref="G569:G572"/>
    <mergeCell ref="J580:J581"/>
    <mergeCell ref="F575:F576"/>
    <mergeCell ref="G575:G576"/>
    <mergeCell ref="H559:H561"/>
    <mergeCell ref="Q547:Q548"/>
    <mergeCell ref="I557:I558"/>
    <mergeCell ref="M582:M583"/>
    <mergeCell ref="F564:F568"/>
    <mergeCell ref="E247:E248"/>
    <mergeCell ref="E243:E244"/>
    <mergeCell ref="E245:E246"/>
    <mergeCell ref="J233:J234"/>
    <mergeCell ref="D231:D232"/>
    <mergeCell ref="E231:E232"/>
    <mergeCell ref="F51:F52"/>
    <mergeCell ref="O299:O300"/>
    <mergeCell ref="J291:J300"/>
    <mergeCell ref="M194:M195"/>
    <mergeCell ref="L194:L195"/>
    <mergeCell ref="K194:K195"/>
    <mergeCell ref="J194:J195"/>
    <mergeCell ref="I178:I180"/>
    <mergeCell ref="J241:J242"/>
    <mergeCell ref="J243:J244"/>
    <mergeCell ref="K243:K244"/>
    <mergeCell ref="H287:H288"/>
    <mergeCell ref="M243:M244"/>
    <mergeCell ref="M299:M300"/>
    <mergeCell ref="K246:K247"/>
    <mergeCell ref="K248:K249"/>
    <mergeCell ref="H239:H240"/>
    <mergeCell ref="K239:K240"/>
    <mergeCell ref="A204:Q204"/>
    <mergeCell ref="N194:N195"/>
    <mergeCell ref="E194:E195"/>
    <mergeCell ref="A203:E203"/>
    <mergeCell ref="F241:F242"/>
    <mergeCell ref="F287:F288"/>
    <mergeCell ref="I241:I242"/>
    <mergeCell ref="E287:E288"/>
    <mergeCell ref="A6:E6"/>
    <mergeCell ref="A8:A10"/>
    <mergeCell ref="C8:C10"/>
    <mergeCell ref="D8:D10"/>
    <mergeCell ref="E8:E10"/>
    <mergeCell ref="A30:A31"/>
    <mergeCell ref="C30:C31"/>
    <mergeCell ref="D30:D31"/>
    <mergeCell ref="E30:E31"/>
    <mergeCell ref="A25:A26"/>
    <mergeCell ref="C25:C26"/>
    <mergeCell ref="D25:D26"/>
    <mergeCell ref="E25:E26"/>
    <mergeCell ref="E47:E48"/>
    <mergeCell ref="A37:A38"/>
    <mergeCell ref="C37:C38"/>
    <mergeCell ref="I25:I26"/>
    <mergeCell ref="A11:Q11"/>
    <mergeCell ref="E37:E38"/>
    <mergeCell ref="A34:A36"/>
    <mergeCell ref="C34:C36"/>
    <mergeCell ref="D34:D36"/>
    <mergeCell ref="A46:Q46"/>
    <mergeCell ref="F25:F26"/>
    <mergeCell ref="J47:J48"/>
    <mergeCell ref="J34:J36"/>
    <mergeCell ref="K8:K10"/>
    <mergeCell ref="L8:L10"/>
    <mergeCell ref="M8:M9"/>
    <mergeCell ref="L39:Q39"/>
    <mergeCell ref="H47:H48"/>
    <mergeCell ref="I47:I48"/>
    <mergeCell ref="F9:J9"/>
    <mergeCell ref="F8:J8"/>
    <mergeCell ref="G235:G236"/>
    <mergeCell ref="P146:P147"/>
    <mergeCell ref="L233:L234"/>
    <mergeCell ref="A117:E117"/>
    <mergeCell ref="A149:E149"/>
    <mergeCell ref="F176:F177"/>
    <mergeCell ref="D37:D38"/>
    <mergeCell ref="A40:Q40"/>
    <mergeCell ref="L45:Q45"/>
    <mergeCell ref="J25:J26"/>
    <mergeCell ref="G25:G26"/>
    <mergeCell ref="G34:G36"/>
    <mergeCell ref="F30:F31"/>
    <mergeCell ref="H37:H38"/>
    <mergeCell ref="J30:J31"/>
    <mergeCell ref="F34:F36"/>
    <mergeCell ref="B8:B10"/>
    <mergeCell ref="H30:H31"/>
    <mergeCell ref="N8:Q9"/>
    <mergeCell ref="H25:H26"/>
    <mergeCell ref="P92:P94"/>
    <mergeCell ref="A92:A94"/>
    <mergeCell ref="C92:C94"/>
    <mergeCell ref="D92:D94"/>
    <mergeCell ref="C194:C195"/>
    <mergeCell ref="H194:H195"/>
    <mergeCell ref="G194:G195"/>
    <mergeCell ref="G233:G234"/>
    <mergeCell ref="F194:F195"/>
    <mergeCell ref="K146:K147"/>
    <mergeCell ref="P243:P244"/>
    <mergeCell ref="Q243:Q244"/>
    <mergeCell ref="Q241:Q242"/>
    <mergeCell ref="Q245:Q246"/>
    <mergeCell ref="N299:N300"/>
    <mergeCell ref="J273:J274"/>
    <mergeCell ref="I273:I274"/>
    <mergeCell ref="H273:H274"/>
    <mergeCell ref="I284:I285"/>
    <mergeCell ref="J284:J285"/>
    <mergeCell ref="G291:G300"/>
    <mergeCell ref="E336:E338"/>
    <mergeCell ref="I377:I381"/>
    <mergeCell ref="J377:J381"/>
    <mergeCell ref="A251:Q251"/>
    <mergeCell ref="G377:G381"/>
    <mergeCell ref="N243:N244"/>
    <mergeCell ref="O243:O244"/>
    <mergeCell ref="H245:H246"/>
    <mergeCell ref="A268:E268"/>
    <mergeCell ref="D336:D338"/>
    <mergeCell ref="I245:I246"/>
    <mergeCell ref="E371:E372"/>
    <mergeCell ref="G245:G246"/>
    <mergeCell ref="C296:C299"/>
    <mergeCell ref="L268:Q268"/>
    <mergeCell ref="O245:O246"/>
    <mergeCell ref="G247:G248"/>
    <mergeCell ref="P245:P246"/>
    <mergeCell ref="C243:C244"/>
    <mergeCell ref="N245:N246"/>
    <mergeCell ref="M245:M246"/>
    <mergeCell ref="J247:J248"/>
    <mergeCell ref="H247:H248"/>
    <mergeCell ref="J245:J246"/>
    <mergeCell ref="H243:H244"/>
    <mergeCell ref="I243:I244"/>
    <mergeCell ref="D241:D242"/>
    <mergeCell ref="B194:B195"/>
    <mergeCell ref="B231:B232"/>
    <mergeCell ref="E233:E234"/>
    <mergeCell ref="E235:E236"/>
    <mergeCell ref="J237:J238"/>
    <mergeCell ref="P194:P195"/>
    <mergeCell ref="Q194:Q195"/>
    <mergeCell ref="H233:H234"/>
    <mergeCell ref="D239:D240"/>
    <mergeCell ref="A194:A195"/>
    <mergeCell ref="D235:D236"/>
    <mergeCell ref="D194:D195"/>
    <mergeCell ref="I235:I236"/>
    <mergeCell ref="J235:J236"/>
    <mergeCell ref="I239:I240"/>
    <mergeCell ref="E239:E240"/>
    <mergeCell ref="C237:C238"/>
    <mergeCell ref="I247:I248"/>
    <mergeCell ref="C235:C236"/>
    <mergeCell ref="L243:L244"/>
    <mergeCell ref="C239:C240"/>
    <mergeCell ref="L239:L240"/>
    <mergeCell ref="M239:M240"/>
    <mergeCell ref="F245:F246"/>
    <mergeCell ref="K241:K242"/>
    <mergeCell ref="G239:G240"/>
    <mergeCell ref="D178:D180"/>
    <mergeCell ref="O73:O74"/>
    <mergeCell ref="F233:F234"/>
    <mergeCell ref="P73:P74"/>
    <mergeCell ref="D81:D91"/>
    <mergeCell ref="H92:H94"/>
    <mergeCell ref="A118:Q118"/>
    <mergeCell ref="J176:J177"/>
    <mergeCell ref="G60:G61"/>
    <mergeCell ref="H60:H61"/>
    <mergeCell ref="I60:I61"/>
    <mergeCell ref="E107:E108"/>
    <mergeCell ref="C73:C74"/>
    <mergeCell ref="D73:D74"/>
    <mergeCell ref="K233:K234"/>
    <mergeCell ref="G178:G180"/>
    <mergeCell ref="I194:I195"/>
    <mergeCell ref="B81:B91"/>
    <mergeCell ref="H176:H177"/>
    <mergeCell ref="L203:Q203"/>
    <mergeCell ref="F231:F232"/>
    <mergeCell ref="O194:O195"/>
    <mergeCell ref="F92:F94"/>
    <mergeCell ref="G92:G94"/>
    <mergeCell ref="E174:E175"/>
    <mergeCell ref="E176:E178"/>
    <mergeCell ref="H75:H80"/>
    <mergeCell ref="A185:Q185"/>
    <mergeCell ref="A184:E184"/>
    <mergeCell ref="H178:H180"/>
    <mergeCell ref="A178:A180"/>
    <mergeCell ref="F178:F180"/>
    <mergeCell ref="C176:C177"/>
    <mergeCell ref="D176:D177"/>
    <mergeCell ref="O146:O147"/>
    <mergeCell ref="M146:M147"/>
    <mergeCell ref="N146:N147"/>
    <mergeCell ref="A150:Q150"/>
    <mergeCell ref="Q92:Q94"/>
    <mergeCell ref="A75:A80"/>
    <mergeCell ref="C75:C80"/>
    <mergeCell ref="A142:Q142"/>
    <mergeCell ref="L146:L147"/>
    <mergeCell ref="L184:Q184"/>
    <mergeCell ref="M92:M94"/>
    <mergeCell ref="N92:N94"/>
    <mergeCell ref="O92:O94"/>
    <mergeCell ref="I176:I177"/>
    <mergeCell ref="L237:L238"/>
    <mergeCell ref="A141:E141"/>
    <mergeCell ref="H107:H108"/>
    <mergeCell ref="I107:I108"/>
    <mergeCell ref="J107:J108"/>
    <mergeCell ref="B92:B94"/>
    <mergeCell ref="B176:B177"/>
    <mergeCell ref="K214:K215"/>
    <mergeCell ref="G176:G177"/>
    <mergeCell ref="J178:J180"/>
    <mergeCell ref="K231:K232"/>
    <mergeCell ref="A224:E224"/>
    <mergeCell ref="A231:A232"/>
    <mergeCell ref="C231:C232"/>
    <mergeCell ref="C178:C180"/>
    <mergeCell ref="A235:A236"/>
    <mergeCell ref="J49:J50"/>
    <mergeCell ref="H51:H52"/>
    <mergeCell ref="I51:I52"/>
    <mergeCell ref="G30:G31"/>
    <mergeCell ref="K73:K74"/>
    <mergeCell ref="L73:L74"/>
    <mergeCell ref="M73:M74"/>
    <mergeCell ref="N73:N74"/>
    <mergeCell ref="K75:K80"/>
    <mergeCell ref="E75:E80"/>
    <mergeCell ref="I30:I31"/>
    <mergeCell ref="J73:J74"/>
    <mergeCell ref="E60:E61"/>
    <mergeCell ref="Q73:Q74"/>
    <mergeCell ref="F37:F38"/>
    <mergeCell ref="G37:G38"/>
    <mergeCell ref="F47:F48"/>
    <mergeCell ref="G47:G48"/>
    <mergeCell ref="E34:E36"/>
    <mergeCell ref="J37:J38"/>
    <mergeCell ref="H34:H36"/>
    <mergeCell ref="J51:J52"/>
    <mergeCell ref="E51:E52"/>
    <mergeCell ref="H49:H50"/>
    <mergeCell ref="F49:F50"/>
    <mergeCell ref="G49:G50"/>
    <mergeCell ref="I49:I50"/>
    <mergeCell ref="E49:E50"/>
    <mergeCell ref="E53:E54"/>
    <mergeCell ref="G51:G52"/>
    <mergeCell ref="J53:J54"/>
    <mergeCell ref="F60:F61"/>
    <mergeCell ref="A73:A74"/>
    <mergeCell ref="J92:J94"/>
    <mergeCell ref="K92:K94"/>
    <mergeCell ref="F53:F54"/>
    <mergeCell ref="H53:H54"/>
    <mergeCell ref="A58:Q58"/>
    <mergeCell ref="J60:J61"/>
    <mergeCell ref="K60:K61"/>
    <mergeCell ref="L102:Q102"/>
    <mergeCell ref="A103:Q103"/>
    <mergeCell ref="F81:F91"/>
    <mergeCell ref="G81:G91"/>
    <mergeCell ref="H81:H91"/>
    <mergeCell ref="I81:I91"/>
    <mergeCell ref="Q146:Q147"/>
    <mergeCell ref="A81:A91"/>
    <mergeCell ref="E92:E94"/>
    <mergeCell ref="L92:L94"/>
    <mergeCell ref="G53:G54"/>
    <mergeCell ref="D75:D80"/>
    <mergeCell ref="D60:D61"/>
    <mergeCell ref="C81:C91"/>
    <mergeCell ref="I53:I54"/>
    <mergeCell ref="F107:F108"/>
    <mergeCell ref="G107:G108"/>
    <mergeCell ref="E73:E74"/>
    <mergeCell ref="F73:F74"/>
    <mergeCell ref="G73:G74"/>
    <mergeCell ref="A60:A61"/>
    <mergeCell ref="C60:C61"/>
    <mergeCell ref="A171:E171"/>
    <mergeCell ref="A176:A177"/>
    <mergeCell ref="A172:Q172"/>
    <mergeCell ref="I231:I232"/>
    <mergeCell ref="J231:J232"/>
    <mergeCell ref="L235:L236"/>
    <mergeCell ref="F235:F236"/>
    <mergeCell ref="A237:A238"/>
    <mergeCell ref="A239:A240"/>
    <mergeCell ref="E241:E242"/>
    <mergeCell ref="C294:C295"/>
    <mergeCell ref="E294:E299"/>
    <mergeCell ref="G287:G288"/>
    <mergeCell ref="I287:I288"/>
    <mergeCell ref="J287:J288"/>
    <mergeCell ref="H291:H300"/>
    <mergeCell ref="A250:E250"/>
    <mergeCell ref="A233:A234"/>
    <mergeCell ref="L241:L242"/>
    <mergeCell ref="M241:M242"/>
    <mergeCell ref="K235:K236"/>
    <mergeCell ref="K299:K300"/>
    <mergeCell ref="L299:L300"/>
    <mergeCell ref="H231:H232"/>
    <mergeCell ref="A273:A274"/>
    <mergeCell ref="G273:G274"/>
    <mergeCell ref="F273:F274"/>
    <mergeCell ref="E273:E274"/>
    <mergeCell ref="D273:D274"/>
    <mergeCell ref="D247:D248"/>
    <mergeCell ref="K237:K238"/>
    <mergeCell ref="H241:H242"/>
    <mergeCell ref="G237:G238"/>
    <mergeCell ref="H237:H238"/>
    <mergeCell ref="I233:I234"/>
    <mergeCell ref="A243:A244"/>
    <mergeCell ref="B233:B234"/>
    <mergeCell ref="B239:B240"/>
    <mergeCell ref="A241:A242"/>
    <mergeCell ref="C241:C242"/>
    <mergeCell ref="B275:B278"/>
    <mergeCell ref="J239:J240"/>
    <mergeCell ref="I237:I238"/>
    <mergeCell ref="K212:K213"/>
    <mergeCell ref="F239:F240"/>
    <mergeCell ref="A225:Q225"/>
    <mergeCell ref="D243:D244"/>
    <mergeCell ref="L231:L232"/>
    <mergeCell ref="M231:M232"/>
    <mergeCell ref="L245:L246"/>
    <mergeCell ref="A247:A248"/>
    <mergeCell ref="J275:J278"/>
    <mergeCell ref="N241:N242"/>
    <mergeCell ref="I275:I278"/>
    <mergeCell ref="H275:H278"/>
    <mergeCell ref="C233:C234"/>
    <mergeCell ref="C247:C248"/>
    <mergeCell ref="G231:G232"/>
    <mergeCell ref="O241:O242"/>
    <mergeCell ref="P241:P242"/>
    <mergeCell ref="D233:D234"/>
    <mergeCell ref="F237:F238"/>
    <mergeCell ref="G243:G244"/>
    <mergeCell ref="F243:F244"/>
    <mergeCell ref="G241:G242"/>
    <mergeCell ref="H235:H236"/>
    <mergeCell ref="E237:E238"/>
    <mergeCell ref="A526:E526"/>
    <mergeCell ref="C528:C529"/>
    <mergeCell ref="A336:A338"/>
    <mergeCell ref="A307:Q307"/>
    <mergeCell ref="A269:Q269"/>
    <mergeCell ref="D275:D278"/>
    <mergeCell ref="C275:C278"/>
    <mergeCell ref="A275:A278"/>
    <mergeCell ref="G275:G278"/>
    <mergeCell ref="I291:I300"/>
    <mergeCell ref="C287:C288"/>
    <mergeCell ref="A306:E306"/>
    <mergeCell ref="L306:Q306"/>
    <mergeCell ref="G284:G285"/>
    <mergeCell ref="P299:P300"/>
    <mergeCell ref="H336:H338"/>
    <mergeCell ref="D287:D288"/>
    <mergeCell ref="Q299:Q300"/>
    <mergeCell ref="A287:A288"/>
    <mergeCell ref="F275:F278"/>
    <mergeCell ref="E275:E278"/>
    <mergeCell ref="H284:H285"/>
    <mergeCell ref="F291:F300"/>
    <mergeCell ref="Q528:Q529"/>
    <mergeCell ref="K528:K529"/>
    <mergeCell ref="L528:L529"/>
    <mergeCell ref="D294:D295"/>
    <mergeCell ref="M528:M529"/>
    <mergeCell ref="N528:N529"/>
    <mergeCell ref="C336:C338"/>
    <mergeCell ref="A294:A295"/>
    <mergeCell ref="H371:H373"/>
    <mergeCell ref="O666:O667"/>
    <mergeCell ref="K672:K673"/>
    <mergeCell ref="L672:L673"/>
    <mergeCell ref="E707:E710"/>
    <mergeCell ref="F688:F689"/>
    <mergeCell ref="K685:K686"/>
    <mergeCell ref="A681:A684"/>
    <mergeCell ref="I371:I373"/>
    <mergeCell ref="J371:J373"/>
    <mergeCell ref="D377:D378"/>
    <mergeCell ref="E377:E378"/>
    <mergeCell ref="Q599:Q600"/>
    <mergeCell ref="Q608:Q609"/>
    <mergeCell ref="O599:O600"/>
    <mergeCell ref="L655:Q655"/>
    <mergeCell ref="K638:K639"/>
    <mergeCell ref="L638:L639"/>
    <mergeCell ref="E700:E701"/>
    <mergeCell ref="P599:P600"/>
    <mergeCell ref="F597:F598"/>
    <mergeCell ref="N599:N600"/>
    <mergeCell ref="J599:J600"/>
    <mergeCell ref="D599:D600"/>
    <mergeCell ref="O582:O583"/>
    <mergeCell ref="F585:F586"/>
    <mergeCell ref="I589:I591"/>
    <mergeCell ref="D601:D604"/>
    <mergeCell ref="E601:E604"/>
    <mergeCell ref="A616:E616"/>
    <mergeCell ref="H726:H727"/>
    <mergeCell ref="I726:I727"/>
    <mergeCell ref="J726:J727"/>
    <mergeCell ref="J723:J724"/>
    <mergeCell ref="E633:E634"/>
    <mergeCell ref="D605:D607"/>
    <mergeCell ref="A638:A639"/>
    <mergeCell ref="A580:A581"/>
    <mergeCell ref="B628:F628"/>
    <mergeCell ref="C580:C581"/>
    <mergeCell ref="E605:E607"/>
    <mergeCell ref="M638:M639"/>
    <mergeCell ref="J573:J574"/>
    <mergeCell ref="C690:C691"/>
    <mergeCell ref="E690:E691"/>
    <mergeCell ref="F690:F691"/>
    <mergeCell ref="G633:G634"/>
    <mergeCell ref="H633:H634"/>
    <mergeCell ref="A595:A596"/>
    <mergeCell ref="E580:E581"/>
    <mergeCell ref="L704:L705"/>
    <mergeCell ref="M704:M705"/>
    <mergeCell ref="A695:A699"/>
    <mergeCell ref="E704:E705"/>
    <mergeCell ref="A702:A703"/>
    <mergeCell ref="I638:I639"/>
    <mergeCell ref="A655:E655"/>
    <mergeCell ref="M643:M644"/>
    <mergeCell ref="G704:G705"/>
    <mergeCell ref="H704:H705"/>
    <mergeCell ref="C589:C591"/>
    <mergeCell ref="E589:E591"/>
    <mergeCell ref="B595:B596"/>
    <mergeCell ref="F557:F558"/>
    <mergeCell ref="F580:F581"/>
    <mergeCell ref="B589:B591"/>
    <mergeCell ref="A601:A604"/>
    <mergeCell ref="C569:C572"/>
    <mergeCell ref="B569:B572"/>
    <mergeCell ref="D569:D572"/>
    <mergeCell ref="A617:P617"/>
    <mergeCell ref="A629:P629"/>
    <mergeCell ref="Q643:Q644"/>
    <mergeCell ref="G585:G586"/>
    <mergeCell ref="J638:J639"/>
    <mergeCell ref="H605:H607"/>
    <mergeCell ref="J559:J561"/>
    <mergeCell ref="I569:I572"/>
    <mergeCell ref="H569:H572"/>
    <mergeCell ref="O638:O639"/>
    <mergeCell ref="P638:P639"/>
    <mergeCell ref="P643:P644"/>
    <mergeCell ref="N608:N609"/>
    <mergeCell ref="Q557:Q558"/>
    <mergeCell ref="N557:N558"/>
    <mergeCell ref="J563:J568"/>
    <mergeCell ref="F608:F609"/>
    <mergeCell ref="I605:I607"/>
    <mergeCell ref="F599:F600"/>
    <mergeCell ref="I599:I600"/>
    <mergeCell ref="F601:F604"/>
    <mergeCell ref="J595:J596"/>
    <mergeCell ref="H601:H604"/>
    <mergeCell ref="I601:I604"/>
    <mergeCell ref="A685:A686"/>
    <mergeCell ref="C685:C686"/>
    <mergeCell ref="E685:E686"/>
    <mergeCell ref="F685:F686"/>
    <mergeCell ref="D685:D686"/>
    <mergeCell ref="B559:B561"/>
    <mergeCell ref="F543:F544"/>
    <mergeCell ref="C543:C544"/>
    <mergeCell ref="C681:C684"/>
    <mergeCell ref="C557:C558"/>
    <mergeCell ref="D557:D558"/>
    <mergeCell ref="A559:A561"/>
    <mergeCell ref="A547:A548"/>
    <mergeCell ref="A659:A664"/>
    <mergeCell ref="E597:E598"/>
    <mergeCell ref="A569:A572"/>
    <mergeCell ref="D580:D581"/>
    <mergeCell ref="B580:B581"/>
    <mergeCell ref="E585:E586"/>
    <mergeCell ref="B585:B586"/>
    <mergeCell ref="A585:A586"/>
    <mergeCell ref="B597:B598"/>
    <mergeCell ref="C608:C609"/>
    <mergeCell ref="F573:F574"/>
    <mergeCell ref="C638:C639"/>
    <mergeCell ref="A648:E648"/>
    <mergeCell ref="A643:A644"/>
    <mergeCell ref="A589:A591"/>
    <mergeCell ref="F547:F548"/>
    <mergeCell ref="A557:A558"/>
    <mergeCell ref="B557:B558"/>
    <mergeCell ref="B582:B583"/>
    <mergeCell ref="Q638:Q639"/>
    <mergeCell ref="B643:B644"/>
    <mergeCell ref="F589:F591"/>
    <mergeCell ref="F659:F664"/>
    <mergeCell ref="G601:G604"/>
    <mergeCell ref="G595:G596"/>
    <mergeCell ref="A340:E340"/>
    <mergeCell ref="A341:Q341"/>
    <mergeCell ref="L340:Q340"/>
    <mergeCell ref="G608:G609"/>
    <mergeCell ref="H608:H609"/>
    <mergeCell ref="I531:I532"/>
    <mergeCell ref="F528:F529"/>
    <mergeCell ref="I563:I568"/>
    <mergeCell ref="J589:J591"/>
    <mergeCell ref="G573:G574"/>
    <mergeCell ref="J531:J532"/>
    <mergeCell ref="A528:A529"/>
    <mergeCell ref="G528:G529"/>
    <mergeCell ref="G557:G558"/>
    <mergeCell ref="E543:E544"/>
    <mergeCell ref="J543:J544"/>
    <mergeCell ref="I533:I539"/>
    <mergeCell ref="H563:H568"/>
    <mergeCell ref="J533:J539"/>
    <mergeCell ref="A527:P527"/>
    <mergeCell ref="I528:I529"/>
    <mergeCell ref="J528:J529"/>
    <mergeCell ref="O528:O529"/>
    <mergeCell ref="D531:D532"/>
    <mergeCell ref="E531:E532"/>
    <mergeCell ref="A582:A583"/>
    <mergeCell ref="A768:A770"/>
    <mergeCell ref="B768:B770"/>
    <mergeCell ref="C768:C770"/>
    <mergeCell ref="D768:D770"/>
    <mergeCell ref="E768:E770"/>
    <mergeCell ref="F768:F770"/>
    <mergeCell ref="G768:G770"/>
    <mergeCell ref="H768:H770"/>
    <mergeCell ref="I768:I770"/>
    <mergeCell ref="J768:J770"/>
    <mergeCell ref="A771:A773"/>
    <mergeCell ref="B771:B773"/>
    <mergeCell ref="C771:C773"/>
    <mergeCell ref="D771:D773"/>
    <mergeCell ref="E771:E773"/>
    <mergeCell ref="F771:F773"/>
    <mergeCell ref="G771:G773"/>
    <mergeCell ref="H771:H773"/>
    <mergeCell ref="I771:I773"/>
    <mergeCell ref="J771:J773"/>
    <mergeCell ref="A776:A777"/>
    <mergeCell ref="B776:B777"/>
    <mergeCell ref="C776:C777"/>
    <mergeCell ref="D776:D777"/>
    <mergeCell ref="E776:E777"/>
    <mergeCell ref="F776:F777"/>
    <mergeCell ref="G776:G777"/>
    <mergeCell ref="H776:H777"/>
    <mergeCell ref="I776:I777"/>
    <mergeCell ref="J776:J777"/>
    <mergeCell ref="A780:A781"/>
    <mergeCell ref="B780:B781"/>
    <mergeCell ref="C780:C781"/>
    <mergeCell ref="D780:D781"/>
    <mergeCell ref="E780:E781"/>
    <mergeCell ref="F780:F781"/>
    <mergeCell ref="G780:G781"/>
    <mergeCell ref="H780:H781"/>
    <mergeCell ref="I780:I781"/>
    <mergeCell ref="J780:J781"/>
    <mergeCell ref="A785:A788"/>
    <mergeCell ref="C785:C788"/>
    <mergeCell ref="D785:D788"/>
    <mergeCell ref="E785:E788"/>
    <mergeCell ref="F785:F788"/>
    <mergeCell ref="G785:G788"/>
    <mergeCell ref="H785:H788"/>
    <mergeCell ref="I785:I788"/>
    <mergeCell ref="J785:J788"/>
    <mergeCell ref="A789:A790"/>
    <mergeCell ref="C789:C790"/>
    <mergeCell ref="D789:D790"/>
    <mergeCell ref="E789:E790"/>
    <mergeCell ref="F789:F790"/>
    <mergeCell ref="G789:G790"/>
    <mergeCell ref="H789:H790"/>
    <mergeCell ref="I789:I790"/>
    <mergeCell ref="J789:J790"/>
    <mergeCell ref="A793:A797"/>
    <mergeCell ref="B793:B797"/>
    <mergeCell ref="C793:C797"/>
    <mergeCell ref="D793:D797"/>
    <mergeCell ref="E793:E797"/>
    <mergeCell ref="F793:F797"/>
    <mergeCell ref="G793:G797"/>
    <mergeCell ref="H793:H797"/>
    <mergeCell ref="I793:I797"/>
    <mergeCell ref="J793:J797"/>
    <mergeCell ref="K796:K797"/>
    <mergeCell ref="A799:A801"/>
    <mergeCell ref="B799:B801"/>
    <mergeCell ref="C799:C801"/>
    <mergeCell ref="D799:D801"/>
    <mergeCell ref="E799:E801"/>
    <mergeCell ref="F799:F801"/>
    <mergeCell ref="G799:G801"/>
    <mergeCell ref="H799:H801"/>
    <mergeCell ref="I799:I801"/>
    <mergeCell ref="J799:J801"/>
    <mergeCell ref="A802:A804"/>
    <mergeCell ref="B802:B804"/>
    <mergeCell ref="C802:C804"/>
    <mergeCell ref="D802:D804"/>
    <mergeCell ref="E802:E804"/>
    <mergeCell ref="F802:F804"/>
    <mergeCell ref="G802:G804"/>
    <mergeCell ref="H802:H804"/>
    <mergeCell ref="I802:I804"/>
    <mergeCell ref="J802:J804"/>
    <mergeCell ref="A805:A807"/>
    <mergeCell ref="B805:B807"/>
    <mergeCell ref="C805:C807"/>
    <mergeCell ref="D805:D807"/>
    <mergeCell ref="E805:E807"/>
    <mergeCell ref="F805:F807"/>
    <mergeCell ref="G805:G807"/>
    <mergeCell ref="H805:H807"/>
    <mergeCell ref="I805:I807"/>
    <mergeCell ref="J805:J807"/>
    <mergeCell ref="F817:F819"/>
    <mergeCell ref="A821:A822"/>
    <mergeCell ref="B821:B822"/>
    <mergeCell ref="C821:C822"/>
    <mergeCell ref="D821:D822"/>
    <mergeCell ref="E821:E822"/>
    <mergeCell ref="F821:F822"/>
    <mergeCell ref="G821:G822"/>
    <mergeCell ref="H821:H822"/>
    <mergeCell ref="I821:I822"/>
    <mergeCell ref="J821:J822"/>
    <mergeCell ref="F826:F833"/>
    <mergeCell ref="G826:G833"/>
    <mergeCell ref="A827:A828"/>
    <mergeCell ref="B827:B828"/>
    <mergeCell ref="C827:C828"/>
    <mergeCell ref="D827:D828"/>
    <mergeCell ref="E827:E828"/>
    <mergeCell ref="H827:H828"/>
    <mergeCell ref="I827:I828"/>
    <mergeCell ref="J827:J828"/>
    <mergeCell ref="A834:E834"/>
    <mergeCell ref="A852:E852"/>
    <mergeCell ref="A853:Q853"/>
    <mergeCell ref="A855:A856"/>
    <mergeCell ref="B855:B856"/>
    <mergeCell ref="C855:C856"/>
    <mergeCell ref="D855:D856"/>
    <mergeCell ref="E855:E856"/>
    <mergeCell ref="F855:F856"/>
    <mergeCell ref="G855:G856"/>
    <mergeCell ref="H855:H856"/>
    <mergeCell ref="I855:I856"/>
    <mergeCell ref="J855:J856"/>
    <mergeCell ref="A857:E857"/>
    <mergeCell ref="A858:Q858"/>
    <mergeCell ref="A860:A866"/>
    <mergeCell ref="B860:B861"/>
    <mergeCell ref="C860:C866"/>
    <mergeCell ref="D860:D866"/>
    <mergeCell ref="E860:E866"/>
    <mergeCell ref="F860:F866"/>
    <mergeCell ref="G860:G866"/>
    <mergeCell ref="H860:H866"/>
    <mergeCell ref="I860:I866"/>
    <mergeCell ref="J860:J866"/>
    <mergeCell ref="K860:K866"/>
    <mergeCell ref="L860:L866"/>
    <mergeCell ref="M860:M866"/>
    <mergeCell ref="N860:N866"/>
    <mergeCell ref="O860:O866"/>
    <mergeCell ref="P860:P866"/>
    <mergeCell ref="Q860:Q866"/>
    <mergeCell ref="A876:A887"/>
    <mergeCell ref="B876:B887"/>
    <mergeCell ref="C876:C887"/>
    <mergeCell ref="D876:D887"/>
    <mergeCell ref="E876:E887"/>
    <mergeCell ref="F876:F887"/>
    <mergeCell ref="G876:G887"/>
    <mergeCell ref="H876:H887"/>
    <mergeCell ref="I876:I887"/>
    <mergeCell ref="J876:J887"/>
    <mergeCell ref="A888:A889"/>
    <mergeCell ref="B888:B889"/>
    <mergeCell ref="C888:C889"/>
    <mergeCell ref="D888:D889"/>
    <mergeCell ref="E888:E889"/>
    <mergeCell ref="F888:F889"/>
    <mergeCell ref="G888:G889"/>
    <mergeCell ref="H888:H889"/>
    <mergeCell ref="I888:I889"/>
    <mergeCell ref="J888:J889"/>
    <mergeCell ref="A890:A892"/>
    <mergeCell ref="B890:B892"/>
    <mergeCell ref="C890:C892"/>
    <mergeCell ref="D890:D892"/>
    <mergeCell ref="E890:E892"/>
    <mergeCell ref="F890:F892"/>
    <mergeCell ref="G890:G892"/>
    <mergeCell ref="H890:H892"/>
    <mergeCell ref="I890:I892"/>
    <mergeCell ref="J890:J892"/>
    <mergeCell ref="A894:A899"/>
    <mergeCell ref="B894:B899"/>
    <mergeCell ref="C894:C899"/>
    <mergeCell ref="D894:D899"/>
    <mergeCell ref="E894:E899"/>
    <mergeCell ref="F894:F899"/>
    <mergeCell ref="G894:G899"/>
    <mergeCell ref="H894:H899"/>
    <mergeCell ref="I894:I899"/>
    <mergeCell ref="J894:J899"/>
    <mergeCell ref="A901:A907"/>
    <mergeCell ref="B901:B907"/>
    <mergeCell ref="C901:C907"/>
    <mergeCell ref="D901:D907"/>
    <mergeCell ref="E901:E907"/>
    <mergeCell ref="F901:F907"/>
    <mergeCell ref="G901:G907"/>
    <mergeCell ref="H901:H907"/>
    <mergeCell ref="I901:I907"/>
    <mergeCell ref="J901:J907"/>
    <mergeCell ref="K901:K905"/>
    <mergeCell ref="L901:L905"/>
    <mergeCell ref="M901:M905"/>
    <mergeCell ref="N901:N905"/>
    <mergeCell ref="O901:O905"/>
    <mergeCell ref="P901:P905"/>
    <mergeCell ref="Q901:Q905"/>
    <mergeCell ref="A908:A910"/>
    <mergeCell ref="B908:B910"/>
    <mergeCell ref="C908:C910"/>
    <mergeCell ref="D908:D910"/>
    <mergeCell ref="E908:E910"/>
    <mergeCell ref="F908:F910"/>
    <mergeCell ref="G908:G910"/>
    <mergeCell ref="H908:H910"/>
    <mergeCell ref="I908:I910"/>
    <mergeCell ref="J908:J910"/>
    <mergeCell ref="A911:A915"/>
    <mergeCell ref="B911:B915"/>
    <mergeCell ref="C911:C915"/>
    <mergeCell ref="D911:D915"/>
    <mergeCell ref="E911:E915"/>
    <mergeCell ref="F911:F915"/>
    <mergeCell ref="G911:G915"/>
    <mergeCell ref="H911:H915"/>
    <mergeCell ref="I911:I915"/>
    <mergeCell ref="J911:J915"/>
    <mergeCell ref="A917:A918"/>
    <mergeCell ref="B917:B918"/>
    <mergeCell ref="C917:C918"/>
    <mergeCell ref="D917:D918"/>
    <mergeCell ref="E917:E918"/>
    <mergeCell ref="F917:F918"/>
    <mergeCell ref="G917:G918"/>
    <mergeCell ref="H917:H918"/>
    <mergeCell ref="I917:I918"/>
    <mergeCell ref="J917:J918"/>
    <mergeCell ref="K917:K918"/>
    <mergeCell ref="L917:L918"/>
    <mergeCell ref="M917:M918"/>
    <mergeCell ref="N917:N918"/>
    <mergeCell ref="O917:O918"/>
    <mergeCell ref="P917:P918"/>
    <mergeCell ref="Q917:Q918"/>
    <mergeCell ref="A919:A920"/>
    <mergeCell ref="C919:C920"/>
    <mergeCell ref="D919:D920"/>
    <mergeCell ref="B921:B924"/>
    <mergeCell ref="C921:C924"/>
    <mergeCell ref="D921:D924"/>
    <mergeCell ref="E921:E924"/>
    <mergeCell ref="F921:F924"/>
    <mergeCell ref="G921:G924"/>
    <mergeCell ref="H921:H924"/>
    <mergeCell ref="I921:I924"/>
    <mergeCell ref="J921:J924"/>
    <mergeCell ref="A922:A924"/>
    <mergeCell ref="A925:A929"/>
    <mergeCell ref="B925:B929"/>
    <mergeCell ref="C925:C929"/>
    <mergeCell ref="D925:D929"/>
    <mergeCell ref="E925:E929"/>
    <mergeCell ref="F925:F929"/>
    <mergeCell ref="G925:G929"/>
    <mergeCell ref="H925:H929"/>
    <mergeCell ref="I925:I929"/>
    <mergeCell ref="J925:J929"/>
    <mergeCell ref="A931:A936"/>
    <mergeCell ref="B931:B936"/>
    <mergeCell ref="C931:C936"/>
    <mergeCell ref="D931:D936"/>
    <mergeCell ref="E931:E936"/>
    <mergeCell ref="F931:F936"/>
    <mergeCell ref="G931:G936"/>
    <mergeCell ref="H931:H936"/>
    <mergeCell ref="I931:I936"/>
    <mergeCell ref="J931:J936"/>
    <mergeCell ref="A937:A938"/>
    <mergeCell ref="B937:B938"/>
    <mergeCell ref="C937:C938"/>
    <mergeCell ref="D937:D938"/>
    <mergeCell ref="E937:E938"/>
    <mergeCell ref="F937:F938"/>
    <mergeCell ref="G937:G938"/>
    <mergeCell ref="H937:H938"/>
    <mergeCell ref="I937:I938"/>
    <mergeCell ref="J937:J938"/>
    <mergeCell ref="A939:A942"/>
    <mergeCell ref="B939:B942"/>
    <mergeCell ref="C939:C942"/>
    <mergeCell ref="D939:D942"/>
    <mergeCell ref="E939:E942"/>
    <mergeCell ref="F939:F942"/>
    <mergeCell ref="G939:G942"/>
    <mergeCell ref="H939:H942"/>
    <mergeCell ref="I939:I942"/>
    <mergeCell ref="J939:J942"/>
    <mergeCell ref="A943:A944"/>
    <mergeCell ref="B943:B944"/>
    <mergeCell ref="C943:C944"/>
    <mergeCell ref="D943:D944"/>
    <mergeCell ref="E943:E944"/>
    <mergeCell ref="F943:F944"/>
    <mergeCell ref="G943:G944"/>
    <mergeCell ref="H943:H944"/>
    <mergeCell ref="I943:I944"/>
    <mergeCell ref="J943:J944"/>
    <mergeCell ref="A946:A948"/>
    <mergeCell ref="B946:B948"/>
    <mergeCell ref="C946:C948"/>
    <mergeCell ref="D946:D948"/>
    <mergeCell ref="E946:E948"/>
    <mergeCell ref="F946:F948"/>
    <mergeCell ref="G946:G948"/>
    <mergeCell ref="H946:H948"/>
    <mergeCell ref="I946:I948"/>
    <mergeCell ref="J946:J948"/>
    <mergeCell ref="A949:A951"/>
    <mergeCell ref="B949:B951"/>
    <mergeCell ref="C949:C951"/>
    <mergeCell ref="D949:D951"/>
    <mergeCell ref="E949:E951"/>
    <mergeCell ref="F949:F951"/>
    <mergeCell ref="G949:G951"/>
    <mergeCell ref="H949:H951"/>
    <mergeCell ref="I949:I951"/>
    <mergeCell ref="J949:J951"/>
    <mergeCell ref="A954:A956"/>
    <mergeCell ref="B954:B956"/>
    <mergeCell ref="C954:C956"/>
    <mergeCell ref="D954:D956"/>
    <mergeCell ref="E954:E956"/>
    <mergeCell ref="F954:F956"/>
    <mergeCell ref="G954:G956"/>
    <mergeCell ref="H954:H956"/>
    <mergeCell ref="I954:I956"/>
    <mergeCell ref="J954:J956"/>
    <mergeCell ref="A958:A962"/>
    <mergeCell ref="B958:B962"/>
    <mergeCell ref="C958:C962"/>
    <mergeCell ref="D958:D962"/>
    <mergeCell ref="E958:E962"/>
    <mergeCell ref="F958:F962"/>
    <mergeCell ref="G958:G962"/>
    <mergeCell ref="H958:H962"/>
    <mergeCell ref="I958:I962"/>
    <mergeCell ref="J958:J962"/>
    <mergeCell ref="A963:A966"/>
    <mergeCell ref="B963:B966"/>
    <mergeCell ref="C963:C966"/>
    <mergeCell ref="D963:D966"/>
    <mergeCell ref="E963:E966"/>
    <mergeCell ref="F963:F966"/>
    <mergeCell ref="G963:G966"/>
    <mergeCell ref="H963:H966"/>
    <mergeCell ref="I963:I966"/>
    <mergeCell ref="J963:J966"/>
    <mergeCell ref="A967:A968"/>
    <mergeCell ref="B967:B968"/>
    <mergeCell ref="C967:C968"/>
    <mergeCell ref="D967:D968"/>
    <mergeCell ref="E967:E968"/>
    <mergeCell ref="F967:F968"/>
    <mergeCell ref="G967:G968"/>
    <mergeCell ref="H967:H968"/>
    <mergeCell ref="I967:I968"/>
    <mergeCell ref="J967:J968"/>
    <mergeCell ref="A972:E972"/>
    <mergeCell ref="L972:Q972"/>
    <mergeCell ref="B973:Q973"/>
    <mergeCell ref="B981:F981"/>
    <mergeCell ref="B989:B990"/>
    <mergeCell ref="C989:C990"/>
    <mergeCell ref="D989:D990"/>
    <mergeCell ref="E989:E990"/>
    <mergeCell ref="F989:F990"/>
    <mergeCell ref="G989:G990"/>
    <mergeCell ref="H989:H990"/>
    <mergeCell ref="I989:I990"/>
    <mergeCell ref="J989:J990"/>
    <mergeCell ref="B991:B992"/>
    <mergeCell ref="C991:C992"/>
    <mergeCell ref="D991:D992"/>
    <mergeCell ref="E991:E992"/>
    <mergeCell ref="F991:F992"/>
    <mergeCell ref="G991:G992"/>
    <mergeCell ref="H991:H992"/>
    <mergeCell ref="I991:I992"/>
    <mergeCell ref="J991:J992"/>
    <mergeCell ref="A993:A994"/>
    <mergeCell ref="B993:B994"/>
    <mergeCell ref="C993:C994"/>
    <mergeCell ref="D993:D994"/>
    <mergeCell ref="E993:E994"/>
    <mergeCell ref="F993:F994"/>
    <mergeCell ref="G993:G994"/>
    <mergeCell ref="H993:H994"/>
    <mergeCell ref="I993:I994"/>
    <mergeCell ref="J993:J994"/>
    <mergeCell ref="K993:K994"/>
    <mergeCell ref="L993:L994"/>
    <mergeCell ref="M993:M994"/>
    <mergeCell ref="N993:N994"/>
    <mergeCell ref="O993:O994"/>
    <mergeCell ref="P993:P994"/>
    <mergeCell ref="Q993:Q994"/>
    <mergeCell ref="A995:A996"/>
    <mergeCell ref="C995:C997"/>
    <mergeCell ref="D995:D997"/>
    <mergeCell ref="E995:E997"/>
    <mergeCell ref="F995:F997"/>
    <mergeCell ref="G995:G997"/>
    <mergeCell ref="H995:H997"/>
    <mergeCell ref="I995:I997"/>
    <mergeCell ref="J995:J997"/>
    <mergeCell ref="B996:B997"/>
    <mergeCell ref="A998:A999"/>
    <mergeCell ref="B998:B1000"/>
    <mergeCell ref="C998:C1000"/>
    <mergeCell ref="D998:D1000"/>
    <mergeCell ref="E998:E1000"/>
    <mergeCell ref="F998:F1000"/>
    <mergeCell ref="G998:G1000"/>
    <mergeCell ref="H998:H1000"/>
    <mergeCell ref="I998:I1000"/>
    <mergeCell ref="J998:J1000"/>
    <mergeCell ref="A1002:A1003"/>
    <mergeCell ref="C1002:C1003"/>
    <mergeCell ref="D1002:D1003"/>
    <mergeCell ref="E1002:E1003"/>
    <mergeCell ref="F1002:F1003"/>
    <mergeCell ref="G1002:G1003"/>
    <mergeCell ref="H1002:H1003"/>
    <mergeCell ref="I1002:I1003"/>
    <mergeCell ref="J1002:J1003"/>
    <mergeCell ref="A1004:A1005"/>
    <mergeCell ref="B1004:B1005"/>
    <mergeCell ref="C1004:C1005"/>
    <mergeCell ref="D1004:D1005"/>
    <mergeCell ref="E1004:E1005"/>
    <mergeCell ref="F1004:F1005"/>
    <mergeCell ref="G1004:G1005"/>
    <mergeCell ref="H1004:H1005"/>
    <mergeCell ref="I1004:I1005"/>
    <mergeCell ref="J1004:J1005"/>
    <mergeCell ref="K1004:K1005"/>
    <mergeCell ref="L1004:L1005"/>
    <mergeCell ref="M1004:M1005"/>
    <mergeCell ref="N1004:N1005"/>
    <mergeCell ref="O1004:O1005"/>
    <mergeCell ref="P1004:P1005"/>
    <mergeCell ref="Q1004:Q1005"/>
    <mergeCell ref="A1006:A1007"/>
    <mergeCell ref="C1006:C1007"/>
    <mergeCell ref="D1006:D1007"/>
    <mergeCell ref="E1006:E1007"/>
    <mergeCell ref="F1006:F1007"/>
    <mergeCell ref="G1006:G1007"/>
    <mergeCell ref="H1006:H1007"/>
    <mergeCell ref="I1006:I1007"/>
    <mergeCell ref="J1006:J1007"/>
    <mergeCell ref="A1008:A1009"/>
    <mergeCell ref="C1008:C1009"/>
    <mergeCell ref="D1008:D1009"/>
    <mergeCell ref="E1008:E1009"/>
    <mergeCell ref="F1008:F1009"/>
    <mergeCell ref="G1008:G1009"/>
    <mergeCell ref="H1008:H1009"/>
    <mergeCell ref="I1008:I1009"/>
    <mergeCell ref="J1008:J1009"/>
    <mergeCell ref="A1010:A1011"/>
    <mergeCell ref="B1010:B1011"/>
    <mergeCell ref="C1010:C1011"/>
    <mergeCell ref="D1010:D1011"/>
    <mergeCell ref="E1010:E1011"/>
    <mergeCell ref="F1010:F1011"/>
    <mergeCell ref="G1010:G1011"/>
    <mergeCell ref="H1010:H1011"/>
    <mergeCell ref="I1010:I1011"/>
    <mergeCell ref="J1010:J1011"/>
    <mergeCell ref="K1010:K1011"/>
    <mergeCell ref="L1010:L1011"/>
    <mergeCell ref="M1010:M1011"/>
    <mergeCell ref="N1010:N1011"/>
    <mergeCell ref="O1010:O1011"/>
    <mergeCell ref="P1010:P1011"/>
    <mergeCell ref="Q1010:Q1011"/>
    <mergeCell ref="F1013:F1014"/>
    <mergeCell ref="G1013:G1014"/>
    <mergeCell ref="H1013:H1014"/>
    <mergeCell ref="I1013:I1014"/>
    <mergeCell ref="J1013:J1014"/>
    <mergeCell ref="B1018:B1019"/>
    <mergeCell ref="C1018:C1019"/>
    <mergeCell ref="D1018:D1019"/>
    <mergeCell ref="E1018:E1019"/>
    <mergeCell ref="F1018:F1019"/>
    <mergeCell ref="G1018:G1019"/>
    <mergeCell ref="H1018:H1019"/>
    <mergeCell ref="I1018:I1019"/>
    <mergeCell ref="J1018:J1019"/>
    <mergeCell ref="B1020:B1022"/>
    <mergeCell ref="C1020:C1022"/>
    <mergeCell ref="D1020:D1022"/>
    <mergeCell ref="E1020:E1022"/>
    <mergeCell ref="F1020:F1022"/>
    <mergeCell ref="G1020:G1022"/>
    <mergeCell ref="H1020:H1022"/>
    <mergeCell ref="I1020:I1022"/>
    <mergeCell ref="J1020:J1022"/>
    <mergeCell ref="C1025:C1026"/>
    <mergeCell ref="D1025:D1026"/>
    <mergeCell ref="E1025:E1026"/>
    <mergeCell ref="F1025:F1026"/>
    <mergeCell ref="G1025:G1026"/>
    <mergeCell ref="H1025:H1026"/>
    <mergeCell ref="I1025:I1026"/>
    <mergeCell ref="J1025:J1026"/>
    <mergeCell ref="B1028:B1029"/>
    <mergeCell ref="C1028:C1029"/>
    <mergeCell ref="D1028:D1029"/>
    <mergeCell ref="E1028:E1029"/>
    <mergeCell ref="F1028:F1029"/>
    <mergeCell ref="G1028:G1029"/>
    <mergeCell ref="H1028:H1029"/>
    <mergeCell ref="I1028:I1029"/>
    <mergeCell ref="J1028:J1029"/>
    <mergeCell ref="A1032:E1032"/>
    <mergeCell ref="A1034:Q1034"/>
    <mergeCell ref="A1038:E1038"/>
    <mergeCell ref="L1038:Q1038"/>
    <mergeCell ref="A1049:E1049"/>
    <mergeCell ref="L1049:Q1049"/>
    <mergeCell ref="A1050:Q1050"/>
    <mergeCell ref="A1052:A1055"/>
    <mergeCell ref="B1052:B1055"/>
    <mergeCell ref="C1052:C1055"/>
    <mergeCell ref="D1052:D1055"/>
    <mergeCell ref="E1052:E1055"/>
    <mergeCell ref="F1052:F1055"/>
    <mergeCell ref="G1052:G1055"/>
    <mergeCell ref="H1052:H1055"/>
    <mergeCell ref="I1052:I1055"/>
    <mergeCell ref="J1052:J1055"/>
    <mergeCell ref="A1056:E1056"/>
    <mergeCell ref="L1056:Q1056"/>
    <mergeCell ref="A1057:Q1057"/>
    <mergeCell ref="A1068:A1069"/>
    <mergeCell ref="B1068:B1069"/>
    <mergeCell ref="C1068:C1069"/>
    <mergeCell ref="D1068:D1069"/>
    <mergeCell ref="E1068:E1069"/>
    <mergeCell ref="K1068:K1069"/>
    <mergeCell ref="A1071:A1074"/>
    <mergeCell ref="B1071:B1074"/>
    <mergeCell ref="C1071:C1074"/>
    <mergeCell ref="D1071:D1074"/>
    <mergeCell ref="E1071:E1074"/>
    <mergeCell ref="F1071:F1074"/>
    <mergeCell ref="G1071:G1074"/>
    <mergeCell ref="H1071:H1074"/>
    <mergeCell ref="I1071:I1074"/>
    <mergeCell ref="J1071:J1074"/>
    <mergeCell ref="A1075:A1078"/>
    <mergeCell ref="B1075:B1078"/>
    <mergeCell ref="C1075:C1078"/>
    <mergeCell ref="D1075:D1078"/>
    <mergeCell ref="E1075:E1078"/>
    <mergeCell ref="F1075:F1078"/>
    <mergeCell ref="G1075:G1078"/>
    <mergeCell ref="H1075:H1078"/>
    <mergeCell ref="I1075:I1078"/>
    <mergeCell ref="J1075:J1078"/>
    <mergeCell ref="A1080:A1082"/>
    <mergeCell ref="B1080:B1082"/>
    <mergeCell ref="C1080:C1082"/>
    <mergeCell ref="D1080:D1082"/>
    <mergeCell ref="E1080:E1082"/>
    <mergeCell ref="F1080:F1082"/>
    <mergeCell ref="G1080:G1082"/>
    <mergeCell ref="H1080:H1082"/>
    <mergeCell ref="I1080:I1082"/>
    <mergeCell ref="J1080:J1082"/>
    <mergeCell ref="A1083:A1084"/>
    <mergeCell ref="B1083:B1084"/>
    <mergeCell ref="C1083:C1084"/>
    <mergeCell ref="D1083:D1084"/>
    <mergeCell ref="E1083:E1084"/>
    <mergeCell ref="K1083:K1084"/>
    <mergeCell ref="A1085:A1087"/>
    <mergeCell ref="C1085:C1087"/>
    <mergeCell ref="D1085:D1087"/>
    <mergeCell ref="E1085:E1087"/>
    <mergeCell ref="F1085:F1086"/>
    <mergeCell ref="G1085:G1086"/>
    <mergeCell ref="H1085:H1086"/>
    <mergeCell ref="I1085:I1086"/>
    <mergeCell ref="J1085:J1086"/>
    <mergeCell ref="A1089:A1090"/>
    <mergeCell ref="B1089:B1090"/>
    <mergeCell ref="C1089:C1090"/>
    <mergeCell ref="D1089:D1090"/>
    <mergeCell ref="E1089:E1090"/>
    <mergeCell ref="K1089:K1090"/>
    <mergeCell ref="A1091:A1092"/>
    <mergeCell ref="B1091:B1092"/>
    <mergeCell ref="C1091:C1092"/>
    <mergeCell ref="D1091:D1092"/>
    <mergeCell ref="E1091:E1092"/>
    <mergeCell ref="K1091:K1092"/>
    <mergeCell ref="A1093:E1093"/>
    <mergeCell ref="A1094:Q1094"/>
    <mergeCell ref="A1104:A1105"/>
    <mergeCell ref="B1104:B1105"/>
    <mergeCell ref="C1104:C1105"/>
    <mergeCell ref="D1104:D1105"/>
    <mergeCell ref="E1104:E1105"/>
    <mergeCell ref="F1104:F1105"/>
    <mergeCell ref="G1104:G1105"/>
    <mergeCell ref="H1104:H1105"/>
    <mergeCell ref="I1104:I1105"/>
    <mergeCell ref="J1104:J1105"/>
    <mergeCell ref="A1106:A1107"/>
    <mergeCell ref="B1106:B1107"/>
    <mergeCell ref="C1106:C1107"/>
    <mergeCell ref="D1106:D1107"/>
    <mergeCell ref="E1106:E1107"/>
    <mergeCell ref="F1106:F1107"/>
    <mergeCell ref="G1106:G1107"/>
    <mergeCell ref="H1106:H1107"/>
    <mergeCell ref="I1106:I1107"/>
    <mergeCell ref="J1106:J1107"/>
    <mergeCell ref="A1108:A1109"/>
    <mergeCell ref="B1108:B1109"/>
    <mergeCell ref="C1108:C1109"/>
    <mergeCell ref="D1108:D1109"/>
    <mergeCell ref="E1108:E1109"/>
    <mergeCell ref="F1108:F1109"/>
    <mergeCell ref="G1108:G1109"/>
    <mergeCell ref="H1108:H1109"/>
    <mergeCell ref="I1108:I1109"/>
    <mergeCell ref="J1108:J1109"/>
    <mergeCell ref="A1110:A1111"/>
    <mergeCell ref="B1110:B1111"/>
    <mergeCell ref="C1110:C1111"/>
    <mergeCell ref="D1110:D1111"/>
    <mergeCell ref="E1110:E1111"/>
    <mergeCell ref="F1110:F1111"/>
    <mergeCell ref="G1110:G1111"/>
    <mergeCell ref="H1110:H1111"/>
    <mergeCell ref="I1110:I1111"/>
    <mergeCell ref="J1110:J1111"/>
    <mergeCell ref="A1112:E1112"/>
    <mergeCell ref="A1113:Q1113"/>
    <mergeCell ref="A1125:E1125"/>
    <mergeCell ref="A1126:Q1126"/>
    <mergeCell ref="A1139:A1140"/>
    <mergeCell ref="B1139:B1140"/>
    <mergeCell ref="C1139:C1140"/>
    <mergeCell ref="D1139:D1140"/>
    <mergeCell ref="E1139:E1140"/>
    <mergeCell ref="F1139:F1140"/>
    <mergeCell ref="G1139:G1140"/>
    <mergeCell ref="H1139:H1140"/>
    <mergeCell ref="I1139:I1140"/>
    <mergeCell ref="J1139:J1140"/>
    <mergeCell ref="A1141:E1141"/>
    <mergeCell ref="A1142:Q1142"/>
    <mergeCell ref="A1143:A1144"/>
    <mergeCell ref="B1143:B1144"/>
    <mergeCell ref="C1143:C1144"/>
    <mergeCell ref="D1143:D1144"/>
    <mergeCell ref="E1143:E1144"/>
    <mergeCell ref="F1143:F1144"/>
    <mergeCell ref="G1143:G1144"/>
    <mergeCell ref="H1143:H1144"/>
    <mergeCell ref="I1143:I1144"/>
    <mergeCell ref="J1143:J1144"/>
    <mergeCell ref="A1145:A1146"/>
    <mergeCell ref="B1145:B1146"/>
    <mergeCell ref="C1145:C1146"/>
    <mergeCell ref="D1145:D1146"/>
    <mergeCell ref="E1145:E1146"/>
    <mergeCell ref="F1145:F1146"/>
    <mergeCell ref="G1145:G1146"/>
    <mergeCell ref="H1145:H1146"/>
    <mergeCell ref="I1145:I1146"/>
    <mergeCell ref="J1145:J1146"/>
    <mergeCell ref="B1147:B1149"/>
    <mergeCell ref="C1147:C1149"/>
    <mergeCell ref="D1147:D1149"/>
    <mergeCell ref="E1147:E1149"/>
    <mergeCell ref="F1147:F1149"/>
    <mergeCell ref="G1147:G1149"/>
    <mergeCell ref="H1147:H1149"/>
    <mergeCell ref="I1147:I1149"/>
    <mergeCell ref="J1147:J1149"/>
    <mergeCell ref="A1151:A1152"/>
    <mergeCell ref="B1151:B1152"/>
    <mergeCell ref="C1151:C1152"/>
    <mergeCell ref="D1151:D1152"/>
    <mergeCell ref="E1151:E1152"/>
    <mergeCell ref="F1151:F1152"/>
    <mergeCell ref="G1151:G1152"/>
    <mergeCell ref="H1151:H1152"/>
    <mergeCell ref="I1151:I1152"/>
    <mergeCell ref="J1151:J1152"/>
    <mergeCell ref="A1153:A1154"/>
    <mergeCell ref="B1153:B1154"/>
    <mergeCell ref="C1153:C1154"/>
    <mergeCell ref="D1153:D1154"/>
    <mergeCell ref="E1153:E1154"/>
    <mergeCell ref="F1153:F1154"/>
    <mergeCell ref="G1153:G1154"/>
    <mergeCell ref="H1153:H1154"/>
    <mergeCell ref="I1153:I1154"/>
    <mergeCell ref="J1153:J1154"/>
    <mergeCell ref="A1155:A1156"/>
    <mergeCell ref="B1155:B1156"/>
    <mergeCell ref="C1155:C1156"/>
    <mergeCell ref="D1155:D1156"/>
    <mergeCell ref="E1155:E1156"/>
    <mergeCell ref="F1155:F1156"/>
    <mergeCell ref="G1155:G1156"/>
    <mergeCell ref="H1155:H1156"/>
    <mergeCell ref="I1155:I1156"/>
    <mergeCell ref="J1155:J1156"/>
    <mergeCell ref="A1157:E1157"/>
    <mergeCell ref="A1158:Q1158"/>
    <mergeCell ref="A1164:A1165"/>
    <mergeCell ref="B1164:B1165"/>
    <mergeCell ref="C1164:C1165"/>
    <mergeCell ref="D1164:D1165"/>
    <mergeCell ref="E1164:E1165"/>
    <mergeCell ref="F1164:F1165"/>
    <mergeCell ref="G1164:G1165"/>
    <mergeCell ref="H1164:H1165"/>
    <mergeCell ref="I1164:I1165"/>
    <mergeCell ref="J1164:J1165"/>
    <mergeCell ref="A1166:A1167"/>
    <mergeCell ref="C1166:C1167"/>
    <mergeCell ref="D1166:D1167"/>
    <mergeCell ref="E1166:E1167"/>
    <mergeCell ref="F1166:F1167"/>
    <mergeCell ref="G1166:G1167"/>
    <mergeCell ref="H1166:H1167"/>
    <mergeCell ref="I1166:I1167"/>
    <mergeCell ref="J1166:J1167"/>
    <mergeCell ref="A1170:A1171"/>
    <mergeCell ref="C1170:C1171"/>
    <mergeCell ref="D1170:D1171"/>
    <mergeCell ref="E1170:E1171"/>
    <mergeCell ref="F1170:F1171"/>
    <mergeCell ref="G1170:G1171"/>
    <mergeCell ref="H1170:H1171"/>
    <mergeCell ref="I1170:I1171"/>
    <mergeCell ref="J1170:J1171"/>
    <mergeCell ref="A1176:A1177"/>
    <mergeCell ref="C1176:C1177"/>
    <mergeCell ref="D1176:D1177"/>
    <mergeCell ref="E1176:E1177"/>
    <mergeCell ref="F1176:F1177"/>
    <mergeCell ref="G1176:G1177"/>
    <mergeCell ref="H1176:H1177"/>
    <mergeCell ref="I1176:I1177"/>
    <mergeCell ref="J1176:J1177"/>
    <mergeCell ref="A1179:E1179"/>
    <mergeCell ref="A1180:Q1180"/>
    <mergeCell ref="M1184:M1185"/>
    <mergeCell ref="N1184:N1185"/>
    <mergeCell ref="O1184:O1185"/>
    <mergeCell ref="P1184:P1185"/>
    <mergeCell ref="Q1184:Q1185"/>
    <mergeCell ref="A1193:E1193"/>
    <mergeCell ref="A1194:Q1194"/>
    <mergeCell ref="A1204:A1205"/>
    <mergeCell ref="B1204:B1205"/>
    <mergeCell ref="C1204:C1205"/>
    <mergeCell ref="D1204:D1205"/>
    <mergeCell ref="E1204:E1205"/>
    <mergeCell ref="F1204:F1205"/>
    <mergeCell ref="G1204:G1205"/>
    <mergeCell ref="H1204:H1205"/>
    <mergeCell ref="I1204:I1205"/>
    <mergeCell ref="J1204:J1205"/>
    <mergeCell ref="A1206:A1212"/>
    <mergeCell ref="B1206:B1212"/>
    <mergeCell ref="C1206:C1212"/>
    <mergeCell ref="D1206:D1212"/>
    <mergeCell ref="E1206:E1212"/>
    <mergeCell ref="F1206:F1212"/>
    <mergeCell ref="G1206:G1212"/>
    <mergeCell ref="H1206:H1212"/>
    <mergeCell ref="I1206:I1212"/>
    <mergeCell ref="J1206:J1212"/>
    <mergeCell ref="A1213:A1217"/>
    <mergeCell ref="B1213:B1217"/>
    <mergeCell ref="C1213:C1217"/>
    <mergeCell ref="D1213:D1217"/>
    <mergeCell ref="E1213:E1217"/>
    <mergeCell ref="F1213:F1217"/>
    <mergeCell ref="G1213:G1217"/>
    <mergeCell ref="H1213:H1217"/>
    <mergeCell ref="I1213:I1217"/>
    <mergeCell ref="J1213:J1217"/>
    <mergeCell ref="A1218:A1220"/>
    <mergeCell ref="B1218:B1220"/>
    <mergeCell ref="C1218:C1220"/>
    <mergeCell ref="D1218:D1220"/>
    <mergeCell ref="E1218:E1220"/>
    <mergeCell ref="F1218:F1220"/>
    <mergeCell ref="G1218:G1220"/>
    <mergeCell ref="H1218:H1220"/>
    <mergeCell ref="I1218:I1220"/>
    <mergeCell ref="J1218:J1220"/>
    <mergeCell ref="A1221:A1224"/>
    <mergeCell ref="B1221:B1224"/>
    <mergeCell ref="C1221:C1224"/>
    <mergeCell ref="D1221:D1224"/>
    <mergeCell ref="E1221:E1224"/>
    <mergeCell ref="F1221:F1224"/>
    <mergeCell ref="G1221:G1224"/>
    <mergeCell ref="H1221:H1224"/>
    <mergeCell ref="I1221:I1224"/>
    <mergeCell ref="J1221:J1224"/>
    <mergeCell ref="A1227:A1228"/>
    <mergeCell ref="B1227:B1228"/>
    <mergeCell ref="C1227:C1228"/>
    <mergeCell ref="D1227:D1228"/>
    <mergeCell ref="E1227:E1228"/>
    <mergeCell ref="F1227:F1228"/>
    <mergeCell ref="G1227:G1228"/>
    <mergeCell ref="H1227:H1228"/>
    <mergeCell ref="I1227:I1228"/>
    <mergeCell ref="J1227:J1228"/>
    <mergeCell ref="A1230:A1232"/>
    <mergeCell ref="B1230:B1232"/>
    <mergeCell ref="C1230:C1232"/>
    <mergeCell ref="D1230:D1232"/>
    <mergeCell ref="E1230:E1232"/>
    <mergeCell ref="F1230:F1232"/>
    <mergeCell ref="G1230:G1232"/>
    <mergeCell ref="H1230:H1232"/>
    <mergeCell ref="I1230:I1232"/>
    <mergeCell ref="J1230:J1232"/>
    <mergeCell ref="A1234:A1235"/>
    <mergeCell ref="B1234:B1235"/>
    <mergeCell ref="C1234:C1235"/>
    <mergeCell ref="D1234:D1235"/>
    <mergeCell ref="E1234:E1235"/>
    <mergeCell ref="F1234:F1235"/>
    <mergeCell ref="G1234:G1235"/>
    <mergeCell ref="H1234:H1235"/>
    <mergeCell ref="I1234:I1235"/>
    <mergeCell ref="J1234:J1235"/>
    <mergeCell ref="A1242:A1245"/>
    <mergeCell ref="B1242:B1245"/>
    <mergeCell ref="C1242:C1245"/>
    <mergeCell ref="D1242:D1245"/>
    <mergeCell ref="E1242:E1245"/>
    <mergeCell ref="F1242:F1245"/>
    <mergeCell ref="G1242:G1245"/>
    <mergeCell ref="H1242:H1245"/>
    <mergeCell ref="I1242:I1245"/>
    <mergeCell ref="J1242:J1245"/>
    <mergeCell ref="A1246:A1249"/>
    <mergeCell ref="B1246:B1249"/>
    <mergeCell ref="C1246:C1249"/>
    <mergeCell ref="D1246:D1249"/>
    <mergeCell ref="E1246:E1249"/>
    <mergeCell ref="F1246:F1249"/>
    <mergeCell ref="G1246:G1249"/>
    <mergeCell ref="H1246:H1249"/>
    <mergeCell ref="I1246:I1249"/>
    <mergeCell ref="J1246:J1249"/>
    <mergeCell ref="A1250:A1253"/>
    <mergeCell ref="B1250:B1253"/>
    <mergeCell ref="C1250:C1253"/>
    <mergeCell ref="D1250:D1253"/>
    <mergeCell ref="E1250:E1253"/>
    <mergeCell ref="F1250:F1253"/>
    <mergeCell ref="G1250:G1253"/>
    <mergeCell ref="H1250:H1253"/>
    <mergeCell ref="I1250:I1253"/>
    <mergeCell ref="J1250:J1253"/>
    <mergeCell ref="A1255:A1257"/>
    <mergeCell ref="B1255:B1257"/>
    <mergeCell ref="C1255:C1257"/>
    <mergeCell ref="D1255:D1257"/>
    <mergeCell ref="E1255:E1257"/>
    <mergeCell ref="F1255:F1257"/>
    <mergeCell ref="G1255:G1257"/>
    <mergeCell ref="H1255:H1257"/>
    <mergeCell ref="I1255:I1257"/>
    <mergeCell ref="J1255:J1257"/>
    <mergeCell ref="A1258:A1264"/>
    <mergeCell ref="B1258:B1264"/>
    <mergeCell ref="C1258:C1264"/>
    <mergeCell ref="D1258:D1264"/>
    <mergeCell ref="E1258:E1264"/>
    <mergeCell ref="F1258:F1264"/>
    <mergeCell ref="G1258:G1264"/>
    <mergeCell ref="H1258:H1264"/>
    <mergeCell ref="I1258:I1264"/>
    <mergeCell ref="J1258:J1264"/>
    <mergeCell ref="A1265:A1269"/>
    <mergeCell ref="B1265:B1269"/>
    <mergeCell ref="C1265:C1269"/>
    <mergeCell ref="D1265:D1269"/>
    <mergeCell ref="E1265:E1269"/>
    <mergeCell ref="F1265:F1269"/>
    <mergeCell ref="G1265:G1269"/>
    <mergeCell ref="H1265:H1269"/>
    <mergeCell ref="I1265:I1269"/>
    <mergeCell ref="J1265:J1269"/>
    <mergeCell ref="A1271:A1274"/>
    <mergeCell ref="B1271:B1274"/>
    <mergeCell ref="C1271:C1274"/>
    <mergeCell ref="D1271:D1274"/>
    <mergeCell ref="E1271:E1274"/>
    <mergeCell ref="F1271:F1274"/>
    <mergeCell ref="G1271:G1274"/>
    <mergeCell ref="H1271:H1274"/>
    <mergeCell ref="I1271:I1274"/>
    <mergeCell ref="J1271:J1274"/>
    <mergeCell ref="A1275:A1278"/>
    <mergeCell ref="B1275:B1278"/>
    <mergeCell ref="C1275:C1278"/>
    <mergeCell ref="D1275:D1278"/>
    <mergeCell ref="E1275:E1278"/>
    <mergeCell ref="F1275:F1278"/>
    <mergeCell ref="G1275:G1278"/>
    <mergeCell ref="H1275:H1278"/>
    <mergeCell ref="I1275:I1278"/>
    <mergeCell ref="J1275:J1278"/>
    <mergeCell ref="A1279:A1285"/>
    <mergeCell ref="B1279:B1285"/>
    <mergeCell ref="C1279:C1285"/>
    <mergeCell ref="D1279:D1285"/>
    <mergeCell ref="E1279:E1285"/>
    <mergeCell ref="F1279:F1285"/>
    <mergeCell ref="G1279:G1285"/>
    <mergeCell ref="H1279:H1285"/>
    <mergeCell ref="I1279:I1285"/>
    <mergeCell ref="J1279:J1285"/>
    <mergeCell ref="A1289:E1289"/>
    <mergeCell ref="A1290:Q1290"/>
    <mergeCell ref="A1315:E1315"/>
    <mergeCell ref="A1316:Q1316"/>
    <mergeCell ref="A1320:A1321"/>
    <mergeCell ref="C1320:C1321"/>
    <mergeCell ref="D1320:D1321"/>
    <mergeCell ref="E1320:E1321"/>
    <mergeCell ref="F1320:F1321"/>
    <mergeCell ref="G1320:G1321"/>
    <mergeCell ref="H1320:H1321"/>
    <mergeCell ref="I1320:I1321"/>
    <mergeCell ref="J1320:J1321"/>
    <mergeCell ref="A1323:A1325"/>
    <mergeCell ref="C1323:C1325"/>
    <mergeCell ref="D1323:D1325"/>
    <mergeCell ref="E1323:E1325"/>
    <mergeCell ref="F1323:F1325"/>
    <mergeCell ref="G1323:G1325"/>
    <mergeCell ref="H1323:H1325"/>
    <mergeCell ref="I1323:I1325"/>
    <mergeCell ref="J1323:J1325"/>
    <mergeCell ref="A1330:A1334"/>
    <mergeCell ref="B1330:B1334"/>
    <mergeCell ref="C1330:C1334"/>
    <mergeCell ref="D1330:D1334"/>
    <mergeCell ref="E1330:E1334"/>
    <mergeCell ref="F1330:F1334"/>
    <mergeCell ref="G1330:G1334"/>
    <mergeCell ref="H1330:H1334"/>
    <mergeCell ref="I1330:I1334"/>
    <mergeCell ref="J1330:J1334"/>
    <mergeCell ref="A1335:A1338"/>
    <mergeCell ref="B1335:B1338"/>
    <mergeCell ref="C1335:C1338"/>
    <mergeCell ref="D1335:D1338"/>
    <mergeCell ref="E1335:E1338"/>
    <mergeCell ref="F1335:F1338"/>
    <mergeCell ref="G1335:G1338"/>
    <mergeCell ref="H1335:H1338"/>
    <mergeCell ref="I1335:I1338"/>
    <mergeCell ref="J1335:J1338"/>
    <mergeCell ref="A1339:A1342"/>
    <mergeCell ref="B1339:B1342"/>
    <mergeCell ref="C1339:C1342"/>
    <mergeCell ref="D1339:D1342"/>
    <mergeCell ref="E1339:E1342"/>
    <mergeCell ref="F1339:F1342"/>
    <mergeCell ref="G1339:G1342"/>
    <mergeCell ref="H1339:H1342"/>
    <mergeCell ref="I1339:I1342"/>
    <mergeCell ref="J1339:J1342"/>
    <mergeCell ref="A1343:A1345"/>
    <mergeCell ref="B1343:B1345"/>
    <mergeCell ref="C1343:C1345"/>
    <mergeCell ref="D1343:D1345"/>
    <mergeCell ref="E1343:E1345"/>
    <mergeCell ref="F1343:F1345"/>
    <mergeCell ref="G1343:G1345"/>
    <mergeCell ref="H1343:H1345"/>
    <mergeCell ref="I1343:I1345"/>
    <mergeCell ref="J1343:J1345"/>
    <mergeCell ref="A1346:A1347"/>
    <mergeCell ref="B1346:B1347"/>
    <mergeCell ref="C1346:C1347"/>
    <mergeCell ref="D1346:D1347"/>
    <mergeCell ref="E1346:E1347"/>
    <mergeCell ref="F1346:F1347"/>
    <mergeCell ref="G1346:G1347"/>
    <mergeCell ref="H1346:H1347"/>
    <mergeCell ref="I1346:I1347"/>
    <mergeCell ref="J1346:J1347"/>
    <mergeCell ref="B1348:B1350"/>
    <mergeCell ref="C1348:C1350"/>
    <mergeCell ref="D1348:D1350"/>
    <mergeCell ref="E1348:E1350"/>
    <mergeCell ref="F1348:F1350"/>
    <mergeCell ref="G1348:G1350"/>
    <mergeCell ref="H1348:H1350"/>
    <mergeCell ref="I1348:I1350"/>
    <mergeCell ref="J1348:J1350"/>
    <mergeCell ref="A1351:A1366"/>
    <mergeCell ref="B1351:B1366"/>
    <mergeCell ref="C1351:C1366"/>
    <mergeCell ref="D1351:D1366"/>
    <mergeCell ref="E1351:E1356"/>
    <mergeCell ref="F1351:F1366"/>
    <mergeCell ref="G1351:G1366"/>
    <mergeCell ref="H1351:H1366"/>
    <mergeCell ref="I1351:I1366"/>
    <mergeCell ref="J1351:J1366"/>
    <mergeCell ref="K1351:K1352"/>
    <mergeCell ref="L1351:L1352"/>
    <mergeCell ref="M1351:M1352"/>
    <mergeCell ref="N1351:N1352"/>
    <mergeCell ref="O1351:O1352"/>
    <mergeCell ref="P1351:P1352"/>
    <mergeCell ref="Q1351:Q1352"/>
    <mergeCell ref="E1357:E1361"/>
    <mergeCell ref="E1362:E1366"/>
    <mergeCell ref="A1367:A1370"/>
    <mergeCell ref="B1367:B1370"/>
    <mergeCell ref="C1367:C1370"/>
    <mergeCell ref="D1367:D1370"/>
    <mergeCell ref="E1367:E1370"/>
    <mergeCell ref="F1367:F1370"/>
    <mergeCell ref="G1367:G1370"/>
    <mergeCell ref="H1367:H1370"/>
    <mergeCell ref="I1367:I1370"/>
    <mergeCell ref="J1367:J1370"/>
    <mergeCell ref="A1371:A1375"/>
    <mergeCell ref="B1371:B1375"/>
    <mergeCell ref="C1371:C1375"/>
    <mergeCell ref="D1371:D1375"/>
    <mergeCell ref="E1371:E1375"/>
    <mergeCell ref="F1371:F1375"/>
    <mergeCell ref="G1371:G1375"/>
    <mergeCell ref="H1371:H1375"/>
    <mergeCell ref="I1371:I1375"/>
    <mergeCell ref="J1371:J1375"/>
    <mergeCell ref="A1376:A1379"/>
    <mergeCell ref="B1376:B1379"/>
    <mergeCell ref="C1376:C1379"/>
    <mergeCell ref="D1376:D1379"/>
    <mergeCell ref="E1376:E1379"/>
    <mergeCell ref="F1376:F1379"/>
    <mergeCell ref="G1376:G1379"/>
    <mergeCell ref="H1376:H1379"/>
    <mergeCell ref="I1376:I1379"/>
    <mergeCell ref="J1376:J1379"/>
    <mergeCell ref="B1380:B1382"/>
    <mergeCell ref="C1380:C1382"/>
    <mergeCell ref="D1380:D1382"/>
    <mergeCell ref="E1380:E1382"/>
    <mergeCell ref="F1380:F1382"/>
    <mergeCell ref="G1380:G1382"/>
    <mergeCell ref="H1380:H1382"/>
    <mergeCell ref="I1380:I1382"/>
    <mergeCell ref="J1380:J1382"/>
    <mergeCell ref="A1383:A1386"/>
    <mergeCell ref="B1383:B1386"/>
    <mergeCell ref="C1383:C1386"/>
    <mergeCell ref="D1383:D1386"/>
    <mergeCell ref="E1383:E1386"/>
    <mergeCell ref="F1383:F1386"/>
    <mergeCell ref="G1383:G1386"/>
    <mergeCell ref="H1383:H1386"/>
    <mergeCell ref="I1383:I1386"/>
    <mergeCell ref="J1383:J1386"/>
    <mergeCell ref="A1387:E1387"/>
    <mergeCell ref="A1388:Q1388"/>
    <mergeCell ref="A1396:A1397"/>
    <mergeCell ref="C1396:C1397"/>
    <mergeCell ref="D1396:D1397"/>
    <mergeCell ref="E1396:E1397"/>
    <mergeCell ref="F1396:F1397"/>
    <mergeCell ref="G1396:G1397"/>
    <mergeCell ref="H1396:H1397"/>
    <mergeCell ref="I1396:I1397"/>
    <mergeCell ref="J1396:J1397"/>
    <mergeCell ref="A1398:A1399"/>
    <mergeCell ref="B1398:B1399"/>
    <mergeCell ref="C1398:C1399"/>
    <mergeCell ref="D1398:D1399"/>
    <mergeCell ref="E1398:E1399"/>
    <mergeCell ref="F1398:F1399"/>
    <mergeCell ref="G1398:G1399"/>
    <mergeCell ref="H1398:H1399"/>
    <mergeCell ref="I1398:I1399"/>
    <mergeCell ref="J1398:J1399"/>
    <mergeCell ref="A1408:A1414"/>
    <mergeCell ref="C1408:C1414"/>
    <mergeCell ref="D1408:D1414"/>
    <mergeCell ref="E1408:E1414"/>
    <mergeCell ref="F1408:F1414"/>
    <mergeCell ref="G1408:G1414"/>
    <mergeCell ref="H1408:H1414"/>
    <mergeCell ref="I1408:I1414"/>
    <mergeCell ref="J1408:J1414"/>
    <mergeCell ref="K1409:K1410"/>
    <mergeCell ref="A1415:A1416"/>
    <mergeCell ref="B1415:B1416"/>
    <mergeCell ref="C1415:C1416"/>
    <mergeCell ref="D1415:D1416"/>
    <mergeCell ref="E1415:E1416"/>
    <mergeCell ref="F1415:F1416"/>
    <mergeCell ref="G1415:G1416"/>
    <mergeCell ref="H1415:H1416"/>
    <mergeCell ref="I1415:I1416"/>
    <mergeCell ref="J1415:J1416"/>
    <mergeCell ref="A1417:A1418"/>
    <mergeCell ref="B1417:B1418"/>
    <mergeCell ref="C1417:C1418"/>
    <mergeCell ref="D1417:D1418"/>
    <mergeCell ref="E1417:E1418"/>
    <mergeCell ref="F1417:F1418"/>
    <mergeCell ref="G1417:G1418"/>
    <mergeCell ref="H1417:H1418"/>
    <mergeCell ref="I1417:I1418"/>
    <mergeCell ref="J1417:J1418"/>
    <mergeCell ref="A1419:A1420"/>
    <mergeCell ref="C1419:C1420"/>
    <mergeCell ref="D1419:D1420"/>
    <mergeCell ref="E1419:E1420"/>
    <mergeCell ref="F1419:F1420"/>
    <mergeCell ref="G1419:G1420"/>
    <mergeCell ref="H1419:H1420"/>
    <mergeCell ref="I1419:I1420"/>
    <mergeCell ref="J1419:J1420"/>
    <mergeCell ref="A1421:A1422"/>
    <mergeCell ref="C1421:C1422"/>
    <mergeCell ref="D1421:D1422"/>
    <mergeCell ref="E1421:E1422"/>
    <mergeCell ref="F1421:F1422"/>
    <mergeCell ref="G1421:G1422"/>
    <mergeCell ref="H1421:H1422"/>
    <mergeCell ref="I1421:I1422"/>
    <mergeCell ref="J1421:J1422"/>
    <mergeCell ref="A1424:A1425"/>
    <mergeCell ref="B1424:B1425"/>
    <mergeCell ref="C1424:C1425"/>
    <mergeCell ref="D1424:D1425"/>
    <mergeCell ref="E1424:E1425"/>
    <mergeCell ref="F1424:F1425"/>
    <mergeCell ref="G1424:G1425"/>
    <mergeCell ref="H1424:H1425"/>
    <mergeCell ref="I1424:I1425"/>
    <mergeCell ref="J1424:J1425"/>
    <mergeCell ref="A1426:A1427"/>
    <mergeCell ref="B1426:B1427"/>
    <mergeCell ref="C1426:C1427"/>
    <mergeCell ref="D1426:D1427"/>
    <mergeCell ref="E1426:E1427"/>
    <mergeCell ref="F1426:F1427"/>
    <mergeCell ref="G1426:G1427"/>
    <mergeCell ref="H1426:H1427"/>
    <mergeCell ref="I1426:I1427"/>
    <mergeCell ref="J1426:J1427"/>
    <mergeCell ref="A1447:A1448"/>
    <mergeCell ref="C1447:C1448"/>
    <mergeCell ref="D1447:D1448"/>
    <mergeCell ref="E1447:E1448"/>
    <mergeCell ref="F1447:F1448"/>
    <mergeCell ref="H1447:H1448"/>
    <mergeCell ref="I1447:I1448"/>
    <mergeCell ref="J1447:J1448"/>
    <mergeCell ref="K1447:K1448"/>
    <mergeCell ref="O1447:Q1447"/>
    <mergeCell ref="O1448:Q1448"/>
    <mergeCell ref="A1449:A1450"/>
    <mergeCell ref="C1449:C1450"/>
    <mergeCell ref="D1449:D1450"/>
    <mergeCell ref="E1449:E1450"/>
    <mergeCell ref="F1449:F1450"/>
    <mergeCell ref="G1449:G1450"/>
    <mergeCell ref="H1449:H1450"/>
    <mergeCell ref="I1449:I1450"/>
    <mergeCell ref="J1449:J1450"/>
    <mergeCell ref="K1449:K1450"/>
    <mergeCell ref="O1449:Q1449"/>
    <mergeCell ref="O1450:Q1450"/>
    <mergeCell ref="O1451:Q1451"/>
    <mergeCell ref="O1452:Q1452"/>
    <mergeCell ref="A1455:A1458"/>
    <mergeCell ref="B1455:B1458"/>
    <mergeCell ref="C1455:C1458"/>
    <mergeCell ref="D1455:D1458"/>
    <mergeCell ref="E1455:E1458"/>
    <mergeCell ref="F1455:F1458"/>
    <mergeCell ref="G1455:G1458"/>
    <mergeCell ref="H1455:H1458"/>
    <mergeCell ref="I1455:I1458"/>
    <mergeCell ref="J1455:J1458"/>
    <mergeCell ref="A1460:E1460"/>
    <mergeCell ref="A1461:Q1461"/>
    <mergeCell ref="A1462:Q1462"/>
    <mergeCell ref="A1464:A1466"/>
    <mergeCell ref="B1464:B1466"/>
    <mergeCell ref="C1464:C1466"/>
    <mergeCell ref="D1464:D1466"/>
    <mergeCell ref="E1464:E1466"/>
    <mergeCell ref="F1464:F1466"/>
    <mergeCell ref="G1464:G1466"/>
    <mergeCell ref="H1464:H1466"/>
    <mergeCell ref="I1464:I1466"/>
    <mergeCell ref="J1464:J1466"/>
    <mergeCell ref="A1467:A1468"/>
    <mergeCell ref="B1467:B1468"/>
    <mergeCell ref="C1467:C1468"/>
    <mergeCell ref="D1467:D1468"/>
    <mergeCell ref="E1467:E1468"/>
    <mergeCell ref="F1467:F1468"/>
    <mergeCell ref="G1467:G1468"/>
    <mergeCell ref="H1467:H1468"/>
    <mergeCell ref="I1467:I1468"/>
    <mergeCell ref="J1467:J1468"/>
    <mergeCell ref="A1469:A1470"/>
    <mergeCell ref="B1469:B1470"/>
    <mergeCell ref="C1469:C1470"/>
    <mergeCell ref="D1469:D1470"/>
    <mergeCell ref="E1469:E1470"/>
    <mergeCell ref="F1469:F1470"/>
    <mergeCell ref="G1469:G1470"/>
    <mergeCell ref="H1469:H1470"/>
    <mergeCell ref="I1469:I1470"/>
    <mergeCell ref="J1469:J1470"/>
    <mergeCell ref="A1475:E1475"/>
    <mergeCell ref="A1476:Q1476"/>
    <mergeCell ref="A1487:A1488"/>
    <mergeCell ref="C1487:C1488"/>
    <mergeCell ref="D1487:D1488"/>
    <mergeCell ref="E1487:E1488"/>
    <mergeCell ref="F1487:F1488"/>
    <mergeCell ref="G1487:G1488"/>
    <mergeCell ref="H1487:H1488"/>
    <mergeCell ref="I1487:I1488"/>
    <mergeCell ref="J1487:J1488"/>
    <mergeCell ref="A1507:A1508"/>
    <mergeCell ref="C1507:C1508"/>
    <mergeCell ref="D1507:D1508"/>
    <mergeCell ref="E1507:E1508"/>
    <mergeCell ref="F1507:F1508"/>
    <mergeCell ref="G1507:G1508"/>
    <mergeCell ref="H1507:H1508"/>
    <mergeCell ref="I1507:I1508"/>
    <mergeCell ref="J1507:J1508"/>
    <mergeCell ref="A1510:E1510"/>
    <mergeCell ref="A1511:Q1511"/>
    <mergeCell ref="A1512:A1513"/>
    <mergeCell ref="B1512:B1513"/>
    <mergeCell ref="C1512:C1513"/>
    <mergeCell ref="D1512:D1513"/>
    <mergeCell ref="F1512:F1513"/>
    <mergeCell ref="G1512:G1513"/>
    <mergeCell ref="H1512:H1513"/>
    <mergeCell ref="I1512:I1513"/>
    <mergeCell ref="J1512:J1513"/>
    <mergeCell ref="K1512:K1513"/>
    <mergeCell ref="L1512:L1513"/>
    <mergeCell ref="M1512:M1513"/>
    <mergeCell ref="N1512:N1513"/>
    <mergeCell ref="O1512:O1513"/>
    <mergeCell ref="P1512:P1513"/>
    <mergeCell ref="Q1512:Q1513"/>
    <mergeCell ref="A1515:A1517"/>
    <mergeCell ref="A1518:A1519"/>
    <mergeCell ref="B1518:B1519"/>
    <mergeCell ref="C1518:C1519"/>
    <mergeCell ref="D1518:D1519"/>
    <mergeCell ref="F1518:F1519"/>
    <mergeCell ref="G1518:G1519"/>
    <mergeCell ref="H1518:H1519"/>
    <mergeCell ref="I1518:I1519"/>
    <mergeCell ref="J1518:J1519"/>
    <mergeCell ref="K1518:K1519"/>
    <mergeCell ref="L1518:L1519"/>
    <mergeCell ref="M1518:M1519"/>
    <mergeCell ref="N1518:N1519"/>
    <mergeCell ref="O1518:O1519"/>
    <mergeCell ref="P1518:P1519"/>
    <mergeCell ref="Q1518:Q1519"/>
    <mergeCell ref="A1521:A1522"/>
    <mergeCell ref="C1521:C1522"/>
    <mergeCell ref="D1521:D1522"/>
    <mergeCell ref="E1521:E1522"/>
    <mergeCell ref="F1521:F1522"/>
    <mergeCell ref="G1521:G1522"/>
    <mergeCell ref="H1521:H1522"/>
    <mergeCell ref="I1521:I1522"/>
    <mergeCell ref="J1521:J1522"/>
    <mergeCell ref="A1523:A1524"/>
    <mergeCell ref="C1523:C1524"/>
    <mergeCell ref="D1523:D1524"/>
    <mergeCell ref="E1523:E1524"/>
    <mergeCell ref="F1523:F1524"/>
    <mergeCell ref="G1523:G1524"/>
    <mergeCell ref="H1523:H1524"/>
    <mergeCell ref="I1523:I1524"/>
    <mergeCell ref="J1523:J1524"/>
    <mergeCell ref="K1523:K1524"/>
    <mergeCell ref="L1523:L1524"/>
    <mergeCell ref="M1523:M1524"/>
    <mergeCell ref="N1523:N1524"/>
    <mergeCell ref="O1523:O1524"/>
    <mergeCell ref="P1523:P1524"/>
    <mergeCell ref="Q1523:Q1524"/>
    <mergeCell ref="A1525:E1525"/>
    <mergeCell ref="A1526:Q1526"/>
    <mergeCell ref="B1533:B1534"/>
    <mergeCell ref="C1533:C1534"/>
    <mergeCell ref="D1533:D1534"/>
    <mergeCell ref="E1533:E1534"/>
    <mergeCell ref="F1533:F1534"/>
    <mergeCell ref="G1533:G1534"/>
    <mergeCell ref="H1533:H1534"/>
    <mergeCell ref="I1533:I1534"/>
    <mergeCell ref="J1533:J1534"/>
    <mergeCell ref="A1546:E1546"/>
    <mergeCell ref="A1547:Q1547"/>
    <mergeCell ref="A1555:A1556"/>
    <mergeCell ref="B1555:B1556"/>
    <mergeCell ref="C1555:C1556"/>
    <mergeCell ref="D1555:D1556"/>
    <mergeCell ref="E1555:E1556"/>
    <mergeCell ref="F1555:F1556"/>
    <mergeCell ref="G1555:G1556"/>
    <mergeCell ref="H1555:H1556"/>
    <mergeCell ref="I1555:I1556"/>
    <mergeCell ref="J1555:J1556"/>
    <mergeCell ref="A1558:A1561"/>
    <mergeCell ref="B1558:B1561"/>
    <mergeCell ref="C1558:C1561"/>
    <mergeCell ref="D1558:D1561"/>
    <mergeCell ref="F1558:F1561"/>
    <mergeCell ref="G1558:G1561"/>
    <mergeCell ref="H1558:H1561"/>
    <mergeCell ref="I1558:I1561"/>
    <mergeCell ref="J1558:J1561"/>
    <mergeCell ref="A1562:A1564"/>
    <mergeCell ref="B1562:B1564"/>
    <mergeCell ref="C1562:C1564"/>
    <mergeCell ref="D1562:D1564"/>
    <mergeCell ref="E1562:E1564"/>
    <mergeCell ref="F1562:F1564"/>
    <mergeCell ref="G1562:G1564"/>
    <mergeCell ref="H1562:H1564"/>
    <mergeCell ref="I1562:I1564"/>
    <mergeCell ref="J1562:J1564"/>
    <mergeCell ref="A1565:A1566"/>
    <mergeCell ref="B1565:B1566"/>
    <mergeCell ref="C1565:C1566"/>
    <mergeCell ref="D1565:D1566"/>
    <mergeCell ref="E1565:E1566"/>
    <mergeCell ref="F1565:F1566"/>
    <mergeCell ref="G1565:G1566"/>
    <mergeCell ref="H1565:H1566"/>
    <mergeCell ref="I1565:I1566"/>
    <mergeCell ref="J1565:J1566"/>
    <mergeCell ref="K1565:K1566"/>
    <mergeCell ref="L1565:L1566"/>
    <mergeCell ref="M1565:M1566"/>
    <mergeCell ref="N1565:N1566"/>
    <mergeCell ref="O1565:O1566"/>
    <mergeCell ref="P1565:P1566"/>
    <mergeCell ref="Q1565:Q1566"/>
    <mergeCell ref="A1567:A1571"/>
    <mergeCell ref="B1567:B1571"/>
    <mergeCell ref="C1567:C1571"/>
    <mergeCell ref="D1567:D1571"/>
    <mergeCell ref="E1567:E1571"/>
    <mergeCell ref="F1567:F1571"/>
    <mergeCell ref="G1567:G1571"/>
    <mergeCell ref="H1567:H1571"/>
    <mergeCell ref="I1567:I1571"/>
    <mergeCell ref="J1567:J1571"/>
    <mergeCell ref="K1567:K1569"/>
    <mergeCell ref="L1567:L1569"/>
    <mergeCell ref="M1567:M1569"/>
    <mergeCell ref="N1567:N1569"/>
    <mergeCell ref="O1567:O1569"/>
    <mergeCell ref="P1567:P1569"/>
    <mergeCell ref="Q1567:Q1569"/>
    <mergeCell ref="A1572:A1575"/>
    <mergeCell ref="B1572:B1575"/>
    <mergeCell ref="C1572:C1575"/>
    <mergeCell ref="D1572:D1575"/>
    <mergeCell ref="E1572:E1575"/>
    <mergeCell ref="F1572:F1575"/>
    <mergeCell ref="G1572:G1575"/>
    <mergeCell ref="H1572:H1575"/>
    <mergeCell ref="I1572:I1575"/>
    <mergeCell ref="J1572:J1575"/>
    <mergeCell ref="A1577:A1578"/>
    <mergeCell ref="B1577:B1578"/>
    <mergeCell ref="C1577:C1578"/>
    <mergeCell ref="D1577:D1578"/>
    <mergeCell ref="E1577:E1578"/>
    <mergeCell ref="F1577:F1578"/>
    <mergeCell ref="G1577:G1578"/>
    <mergeCell ref="H1577:H1578"/>
    <mergeCell ref="I1577:I1578"/>
    <mergeCell ref="J1577:J1578"/>
    <mergeCell ref="A1583:E1583"/>
    <mergeCell ref="A1584:Q1584"/>
    <mergeCell ref="B1591:B1592"/>
    <mergeCell ref="C1591:C1592"/>
    <mergeCell ref="D1591:D1592"/>
    <mergeCell ref="E1591:E1592"/>
    <mergeCell ref="F1591:F1592"/>
    <mergeCell ref="G1591:G1592"/>
    <mergeCell ref="H1591:H1592"/>
    <mergeCell ref="I1591:I1592"/>
    <mergeCell ref="J1591:J1592"/>
    <mergeCell ref="A1599:E1599"/>
    <mergeCell ref="A1600:Q1600"/>
    <mergeCell ref="A1610:A1611"/>
    <mergeCell ref="B1610:B1611"/>
    <mergeCell ref="C1610:C1611"/>
    <mergeCell ref="D1610:D1611"/>
    <mergeCell ref="E1610:E1611"/>
    <mergeCell ref="F1610:F1611"/>
    <mergeCell ref="G1610:G1611"/>
    <mergeCell ref="H1610:H1611"/>
    <mergeCell ref="I1610:I1611"/>
    <mergeCell ref="J1610:J1611"/>
    <mergeCell ref="A1612:A1613"/>
    <mergeCell ref="C1612:C1613"/>
    <mergeCell ref="D1612:D1613"/>
    <mergeCell ref="E1612:E1613"/>
    <mergeCell ref="F1612:F1613"/>
    <mergeCell ref="G1612:G1613"/>
    <mergeCell ref="H1612:H1613"/>
    <mergeCell ref="I1612:I1613"/>
    <mergeCell ref="J1612:J1613"/>
    <mergeCell ref="A1614:A1615"/>
    <mergeCell ref="B1614:B1615"/>
    <mergeCell ref="C1614:C1615"/>
    <mergeCell ref="D1614:D1615"/>
    <mergeCell ref="E1614:E1615"/>
    <mergeCell ref="F1614:F1615"/>
    <mergeCell ref="G1614:G1615"/>
    <mergeCell ref="H1614:H1615"/>
    <mergeCell ref="I1614:I1615"/>
    <mergeCell ref="J1614:J1615"/>
    <mergeCell ref="A1617:E1617"/>
    <mergeCell ref="A1618:Q1618"/>
    <mergeCell ref="A1627:A1628"/>
    <mergeCell ref="B1627:B1628"/>
    <mergeCell ref="C1627:C1628"/>
    <mergeCell ref="D1627:D1628"/>
    <mergeCell ref="E1627:E1628"/>
    <mergeCell ref="F1627:F1628"/>
    <mergeCell ref="G1627:G1628"/>
    <mergeCell ref="H1627:H1628"/>
    <mergeCell ref="I1627:I1628"/>
    <mergeCell ref="J1627:J1628"/>
    <mergeCell ref="A1629:A1630"/>
    <mergeCell ref="B1629:B1630"/>
    <mergeCell ref="C1629:C1630"/>
    <mergeCell ref="D1629:D1630"/>
    <mergeCell ref="E1629:E1630"/>
    <mergeCell ref="F1629:F1630"/>
    <mergeCell ref="G1629:G1630"/>
    <mergeCell ref="H1629:H1630"/>
    <mergeCell ref="I1629:I1630"/>
    <mergeCell ref="J1629:J1630"/>
    <mergeCell ref="A1632:A1633"/>
    <mergeCell ref="B1632:B1633"/>
    <mergeCell ref="C1632:C1633"/>
    <mergeCell ref="D1632:D1633"/>
    <mergeCell ref="E1632:E1633"/>
    <mergeCell ref="F1632:F1633"/>
    <mergeCell ref="G1632:G1633"/>
    <mergeCell ref="H1632:H1633"/>
    <mergeCell ref="I1632:I1633"/>
    <mergeCell ref="J1632:J1633"/>
    <mergeCell ref="A1635:A1636"/>
    <mergeCell ref="B1635:B1636"/>
    <mergeCell ref="C1635:C1636"/>
    <mergeCell ref="D1635:D1636"/>
    <mergeCell ref="E1635:E1636"/>
    <mergeCell ref="F1635:F1636"/>
    <mergeCell ref="G1635:G1636"/>
    <mergeCell ref="H1635:H1636"/>
    <mergeCell ref="I1635:I1636"/>
    <mergeCell ref="J1635:J1636"/>
    <mergeCell ref="A1637:E1637"/>
    <mergeCell ref="A1638:Q1638"/>
    <mergeCell ref="A1647:A1648"/>
    <mergeCell ref="B1647:B1648"/>
    <mergeCell ref="C1647:C1648"/>
    <mergeCell ref="D1647:D1648"/>
    <mergeCell ref="E1647:E1648"/>
    <mergeCell ref="F1647:F1648"/>
    <mergeCell ref="G1647:G1648"/>
    <mergeCell ref="H1647:H1648"/>
    <mergeCell ref="I1647:I1648"/>
    <mergeCell ref="J1647:J1648"/>
    <mergeCell ref="A1650:A1651"/>
    <mergeCell ref="B1650:B1651"/>
    <mergeCell ref="C1650:C1651"/>
    <mergeCell ref="D1650:D1651"/>
    <mergeCell ref="E1650:E1651"/>
    <mergeCell ref="F1650:F1651"/>
    <mergeCell ref="G1650:G1651"/>
    <mergeCell ref="H1650:H1651"/>
    <mergeCell ref="I1650:I1651"/>
    <mergeCell ref="J1650:J1651"/>
    <mergeCell ref="B1663:B1664"/>
    <mergeCell ref="C1663:C1664"/>
    <mergeCell ref="D1663:D1664"/>
    <mergeCell ref="E1663:E1664"/>
    <mergeCell ref="F1663:F1664"/>
    <mergeCell ref="G1663:G1664"/>
    <mergeCell ref="H1663:H1664"/>
    <mergeCell ref="I1663:I1664"/>
    <mergeCell ref="J1663:J1664"/>
    <mergeCell ref="A1665:A1666"/>
    <mergeCell ref="B1665:B1666"/>
    <mergeCell ref="C1665:C1666"/>
    <mergeCell ref="D1665:D1666"/>
    <mergeCell ref="E1665:E1666"/>
    <mergeCell ref="F1665:F1667"/>
    <mergeCell ref="G1665:G1666"/>
    <mergeCell ref="H1665:H1666"/>
    <mergeCell ref="I1665:I1666"/>
    <mergeCell ref="J1665:J1666"/>
    <mergeCell ref="K1665:K1666"/>
    <mergeCell ref="A1670:A1671"/>
    <mergeCell ref="B1670:B1671"/>
    <mergeCell ref="C1670:C1671"/>
    <mergeCell ref="D1670:D1671"/>
    <mergeCell ref="E1670:E1671"/>
    <mergeCell ref="F1670:F1671"/>
    <mergeCell ref="G1670:G1671"/>
    <mergeCell ref="H1670:H1671"/>
    <mergeCell ref="I1670:I1671"/>
    <mergeCell ref="J1670:J1671"/>
    <mergeCell ref="A1672:A1673"/>
    <mergeCell ref="B1672:B1673"/>
    <mergeCell ref="C1672:C1673"/>
    <mergeCell ref="D1672:D1673"/>
    <mergeCell ref="E1672:E1673"/>
    <mergeCell ref="F1672:F1673"/>
    <mergeCell ref="G1672:G1673"/>
    <mergeCell ref="H1672:H1673"/>
    <mergeCell ref="I1672:I1673"/>
    <mergeCell ref="J1672:J1673"/>
    <mergeCell ref="C1705:C1706"/>
    <mergeCell ref="D1705:D1706"/>
    <mergeCell ref="E1705:E1706"/>
    <mergeCell ref="F1705:F1706"/>
    <mergeCell ref="G1705:G1706"/>
    <mergeCell ref="H1705:H1706"/>
    <mergeCell ref="I1705:I1706"/>
    <mergeCell ref="J1705:J1706"/>
    <mergeCell ref="A1707:E1707"/>
    <mergeCell ref="A1708:Q1708"/>
    <mergeCell ref="A1712:E1712"/>
    <mergeCell ref="A1713:Q1713"/>
    <mergeCell ref="A1675:A1677"/>
    <mergeCell ref="B1675:B1677"/>
    <mergeCell ref="C1675:C1677"/>
    <mergeCell ref="D1675:D1677"/>
    <mergeCell ref="E1675:E1677"/>
    <mergeCell ref="F1675:F1677"/>
    <mergeCell ref="G1675:G1677"/>
    <mergeCell ref="H1675:H1677"/>
    <mergeCell ref="I1675:I1677"/>
    <mergeCell ref="J1675:J1677"/>
    <mergeCell ref="A1678:A1679"/>
    <mergeCell ref="B1678:B1679"/>
    <mergeCell ref="C1678:C1679"/>
    <mergeCell ref="D1678:D1679"/>
    <mergeCell ref="E1678:E1679"/>
    <mergeCell ref="F1678:F1679"/>
    <mergeCell ref="G1678:G1679"/>
    <mergeCell ref="H1678:H1679"/>
    <mergeCell ref="I1678:I1679"/>
    <mergeCell ref="J1678:J1679"/>
    <mergeCell ref="A1719:E1719"/>
    <mergeCell ref="A1720:Q1720"/>
    <mergeCell ref="A1733:E1733"/>
    <mergeCell ref="A1734:Q1734"/>
    <mergeCell ref="B1742:B1743"/>
    <mergeCell ref="C1742:C1743"/>
    <mergeCell ref="D1742:D1743"/>
    <mergeCell ref="E1742:E1743"/>
    <mergeCell ref="F1742:F1743"/>
    <mergeCell ref="G1742:G1743"/>
    <mergeCell ref="H1742:H1743"/>
    <mergeCell ref="I1742:I1743"/>
    <mergeCell ref="J1742:J1743"/>
    <mergeCell ref="A1749:A1750"/>
    <mergeCell ref="B1749:B1750"/>
    <mergeCell ref="C1749:C1750"/>
    <mergeCell ref="D1749:D1750"/>
    <mergeCell ref="E1749:E1750"/>
    <mergeCell ref="F1749:F1750"/>
    <mergeCell ref="G1749:G1750"/>
    <mergeCell ref="H1749:H1750"/>
    <mergeCell ref="I1749:I1750"/>
    <mergeCell ref="J1749:J1750"/>
    <mergeCell ref="A1751:A1754"/>
    <mergeCell ref="B1751:B1754"/>
    <mergeCell ref="C1751:C1754"/>
    <mergeCell ref="D1751:D1754"/>
    <mergeCell ref="E1751:E1754"/>
    <mergeCell ref="F1751:F1752"/>
    <mergeCell ref="G1751:G1754"/>
    <mergeCell ref="H1751:H1754"/>
    <mergeCell ref="I1751:I1754"/>
    <mergeCell ref="J1751:J1754"/>
    <mergeCell ref="F1753:F1754"/>
    <mergeCell ref="A1755:A1756"/>
    <mergeCell ref="C1755:C1756"/>
    <mergeCell ref="D1755:D1756"/>
    <mergeCell ref="E1755:E1756"/>
    <mergeCell ref="F1755:F1756"/>
    <mergeCell ref="G1755:G1756"/>
    <mergeCell ref="H1755:H1756"/>
    <mergeCell ref="I1755:I1756"/>
    <mergeCell ref="J1755:J1756"/>
    <mergeCell ref="A1757:A1760"/>
    <mergeCell ref="B1757:B1760"/>
    <mergeCell ref="C1757:C1760"/>
    <mergeCell ref="D1757:D1760"/>
    <mergeCell ref="E1757:E1760"/>
    <mergeCell ref="F1757:F1760"/>
    <mergeCell ref="G1757:G1760"/>
    <mergeCell ref="H1757:H1760"/>
    <mergeCell ref="I1757:I1760"/>
    <mergeCell ref="J1757:J1760"/>
    <mergeCell ref="O1760:Q1760"/>
    <mergeCell ref="A1764:E1764"/>
    <mergeCell ref="A1765:Q1765"/>
    <mergeCell ref="A1769:A1770"/>
    <mergeCell ref="C1769:C1770"/>
    <mergeCell ref="D1769:D1770"/>
    <mergeCell ref="E1769:E1770"/>
    <mergeCell ref="F1769:F1770"/>
    <mergeCell ref="G1769:G1770"/>
    <mergeCell ref="H1769:H1770"/>
    <mergeCell ref="I1769:I1770"/>
    <mergeCell ref="J1769:J1770"/>
    <mergeCell ref="A1780:A1781"/>
    <mergeCell ref="C1780:C1781"/>
    <mergeCell ref="D1780:D1781"/>
    <mergeCell ref="E1780:E1781"/>
    <mergeCell ref="F1780:F1781"/>
    <mergeCell ref="G1780:G1781"/>
    <mergeCell ref="H1780:H1781"/>
    <mergeCell ref="I1780:I1781"/>
    <mergeCell ref="J1780:J1781"/>
    <mergeCell ref="A1782:A1783"/>
    <mergeCell ref="C1782:C1783"/>
    <mergeCell ref="D1782:D1783"/>
    <mergeCell ref="E1782:E1783"/>
    <mergeCell ref="F1782:F1783"/>
    <mergeCell ref="G1782:G1783"/>
    <mergeCell ref="H1782:H1783"/>
    <mergeCell ref="I1782:I1783"/>
    <mergeCell ref="J1782:J1783"/>
    <mergeCell ref="A1784:A1785"/>
    <mergeCell ref="C1784:C1785"/>
    <mergeCell ref="D1784:D1785"/>
    <mergeCell ref="E1784:E1785"/>
    <mergeCell ref="A1786:E1786"/>
    <mergeCell ref="A1787:Q1787"/>
    <mergeCell ref="A1801:A1802"/>
    <mergeCell ref="C1801:C1802"/>
    <mergeCell ref="D1801:D1802"/>
    <mergeCell ref="F1801:F1802"/>
    <mergeCell ref="G1801:G1802"/>
    <mergeCell ref="H1801:H1802"/>
    <mergeCell ref="I1801:I1802"/>
    <mergeCell ref="J1801:J1802"/>
    <mergeCell ref="A1803:A1804"/>
    <mergeCell ref="C1803:C1804"/>
    <mergeCell ref="D1803:D1804"/>
    <mergeCell ref="F1803:F1804"/>
    <mergeCell ref="G1803:G1804"/>
    <mergeCell ref="H1803:H1804"/>
    <mergeCell ref="I1803:I1804"/>
    <mergeCell ref="J1803:J1804"/>
    <mergeCell ref="A1806:A1807"/>
    <mergeCell ref="C1806:C1807"/>
    <mergeCell ref="D1806:D1807"/>
    <mergeCell ref="E1806:E1807"/>
    <mergeCell ref="F1806:F1807"/>
    <mergeCell ref="G1806:G1807"/>
    <mergeCell ref="H1806:H1807"/>
    <mergeCell ref="I1806:I1807"/>
    <mergeCell ref="J1806:J1807"/>
    <mergeCell ref="A1810:A1812"/>
    <mergeCell ref="C1811:C1812"/>
    <mergeCell ref="D1811:D1812"/>
    <mergeCell ref="A1813:E1813"/>
    <mergeCell ref="A1814:Q1814"/>
    <mergeCell ref="A1827:A1828"/>
    <mergeCell ref="B1827:B1828"/>
    <mergeCell ref="C1827:C1828"/>
    <mergeCell ref="D1827:D1828"/>
    <mergeCell ref="E1827:E1828"/>
    <mergeCell ref="F1827:F1828"/>
    <mergeCell ref="G1827:G1828"/>
    <mergeCell ref="H1827:H1828"/>
    <mergeCell ref="I1827:I1828"/>
    <mergeCell ref="J1827:J1828"/>
    <mergeCell ref="F1811:F1812"/>
    <mergeCell ref="G1811:G1812"/>
    <mergeCell ref="H1811:H1812"/>
    <mergeCell ref="I1811:I1812"/>
    <mergeCell ref="J1811:J1812"/>
    <mergeCell ref="A1833:E1833"/>
    <mergeCell ref="A1834:Q1834"/>
    <mergeCell ref="A1847:E1847"/>
    <mergeCell ref="A1848:Q1848"/>
    <mergeCell ref="A1857:E1857"/>
    <mergeCell ref="A1858:Q1858"/>
    <mergeCell ref="A1861:E1861"/>
    <mergeCell ref="A1862:Q1862"/>
    <mergeCell ref="A1881:E1881"/>
    <mergeCell ref="A1882:Q1882"/>
    <mergeCell ref="A1885:E1885"/>
    <mergeCell ref="A1886:Q1886"/>
    <mergeCell ref="A1900:A1901"/>
    <mergeCell ref="B1900:B1901"/>
    <mergeCell ref="C1900:C1901"/>
    <mergeCell ref="D1900:D1901"/>
    <mergeCell ref="E1900:E1901"/>
    <mergeCell ref="F1900:F1901"/>
    <mergeCell ref="G1900:G1901"/>
    <mergeCell ref="H1900:H1901"/>
    <mergeCell ref="I1900:I1901"/>
    <mergeCell ref="J1900:J1901"/>
    <mergeCell ref="A1903:E1903"/>
    <mergeCell ref="A1904:Q1904"/>
    <mergeCell ref="A1907:A1908"/>
    <mergeCell ref="C1907:C1908"/>
    <mergeCell ref="D1907:D1908"/>
    <mergeCell ref="E1907:E1908"/>
    <mergeCell ref="F1907:F1908"/>
    <mergeCell ref="G1907:G1908"/>
    <mergeCell ref="H1907:H1908"/>
    <mergeCell ref="I1907:I1908"/>
    <mergeCell ref="J1907:J1908"/>
    <mergeCell ref="A1913:A1915"/>
    <mergeCell ref="C1913:C1915"/>
    <mergeCell ref="D1913:D1915"/>
    <mergeCell ref="E1913:E1915"/>
    <mergeCell ref="F1913:F1915"/>
    <mergeCell ref="G1913:G1915"/>
    <mergeCell ref="H1913:H1915"/>
    <mergeCell ref="I1913:I1915"/>
    <mergeCell ref="J1913:J1915"/>
    <mergeCell ref="A1917:A1919"/>
    <mergeCell ref="C1917:C1919"/>
    <mergeCell ref="D1917:D1919"/>
    <mergeCell ref="E1917:E1919"/>
    <mergeCell ref="F1917:F1919"/>
    <mergeCell ref="G1917:G1919"/>
    <mergeCell ref="H1917:H1919"/>
    <mergeCell ref="I1917:I1919"/>
    <mergeCell ref="J1917:J1919"/>
    <mergeCell ref="A1922:E1922"/>
    <mergeCell ref="A1923:Q1923"/>
    <mergeCell ref="A1926:E1926"/>
    <mergeCell ref="A1927:Q1927"/>
    <mergeCell ref="A1928:Q1928"/>
    <mergeCell ref="A1937:A1938"/>
    <mergeCell ref="C1937:C1938"/>
    <mergeCell ref="D1937:D1938"/>
    <mergeCell ref="E1937:E1938"/>
    <mergeCell ref="F1937:F1938"/>
    <mergeCell ref="G1937:G1938"/>
    <mergeCell ref="H1937:H1938"/>
    <mergeCell ref="I1937:I1938"/>
    <mergeCell ref="J1937:J1938"/>
    <mergeCell ref="A1939:A1940"/>
    <mergeCell ref="C1939:C1940"/>
    <mergeCell ref="D1939:D1940"/>
    <mergeCell ref="E1939:E1940"/>
    <mergeCell ref="F1939:F1940"/>
    <mergeCell ref="G1939:G1940"/>
    <mergeCell ref="H1939:H1940"/>
    <mergeCell ref="I1939:I1940"/>
    <mergeCell ref="J1939:J1940"/>
    <mergeCell ref="A1941:A1942"/>
    <mergeCell ref="C1941:C1942"/>
    <mergeCell ref="D1941:D1942"/>
    <mergeCell ref="E1941:E1942"/>
    <mergeCell ref="F1941:F1942"/>
    <mergeCell ref="G1941:G1942"/>
    <mergeCell ref="H1941:H1942"/>
    <mergeCell ref="I1941:I1942"/>
    <mergeCell ref="J1941:J1942"/>
    <mergeCell ref="J1956:J1957"/>
    <mergeCell ref="A1959:E1959"/>
    <mergeCell ref="A1947:A1948"/>
    <mergeCell ref="C1947:C1948"/>
    <mergeCell ref="D1947:D1948"/>
    <mergeCell ref="E1947:E1948"/>
    <mergeCell ref="F1947:F1948"/>
    <mergeCell ref="G1947:G1948"/>
    <mergeCell ref="H1947:H1948"/>
    <mergeCell ref="I1947:I1948"/>
    <mergeCell ref="J1947:J1948"/>
    <mergeCell ref="A1949:A1950"/>
    <mergeCell ref="C1949:C1950"/>
    <mergeCell ref="D1949:D1950"/>
    <mergeCell ref="E1949:E1950"/>
    <mergeCell ref="F1949:F1950"/>
    <mergeCell ref="G1949:G1950"/>
    <mergeCell ref="H1949:H1950"/>
    <mergeCell ref="I1949:I1950"/>
    <mergeCell ref="J1949:J1950"/>
    <mergeCell ref="H2004:H2005"/>
    <mergeCell ref="I2004:I2005"/>
    <mergeCell ref="A1954:A1955"/>
    <mergeCell ref="C1954:C1955"/>
    <mergeCell ref="D1954:D1955"/>
    <mergeCell ref="E1954:E1955"/>
    <mergeCell ref="F1954:F1955"/>
    <mergeCell ref="G1954:G1955"/>
    <mergeCell ref="A1956:A1957"/>
    <mergeCell ref="B1956:B1957"/>
    <mergeCell ref="C1956:C1957"/>
    <mergeCell ref="D1956:D1957"/>
    <mergeCell ref="E1956:E1957"/>
    <mergeCell ref="F1956:F1957"/>
    <mergeCell ref="G1956:G1957"/>
    <mergeCell ref="H1956:H1957"/>
    <mergeCell ref="I1956:I1957"/>
    <mergeCell ref="P2018:P2019"/>
    <mergeCell ref="Q2018:Q2019"/>
    <mergeCell ref="L2004:L2005"/>
    <mergeCell ref="M2004:M2005"/>
    <mergeCell ref="N2004:N2005"/>
    <mergeCell ref="O2004:O2005"/>
    <mergeCell ref="P2004:P2005"/>
    <mergeCell ref="Q2004:Q2005"/>
    <mergeCell ref="A1960:Q1960"/>
    <mergeCell ref="A1971:A1972"/>
    <mergeCell ref="B1971:B1972"/>
    <mergeCell ref="C1971:C1972"/>
    <mergeCell ref="D1971:D1972"/>
    <mergeCell ref="E1971:E1972"/>
    <mergeCell ref="F1971:F1972"/>
    <mergeCell ref="G1971:G1972"/>
    <mergeCell ref="H1971:H1972"/>
    <mergeCell ref="I1971:I1972"/>
    <mergeCell ref="J1971:J1972"/>
    <mergeCell ref="K1971:K1972"/>
    <mergeCell ref="A1973:E1973"/>
    <mergeCell ref="A1974:Q1974"/>
    <mergeCell ref="A1988:E1988"/>
    <mergeCell ref="A1989:Q1989"/>
    <mergeCell ref="A1998:E1998"/>
    <mergeCell ref="A1999:Q1999"/>
    <mergeCell ref="A2004:A2005"/>
    <mergeCell ref="B2004:B2005"/>
    <mergeCell ref="C2004:C2005"/>
    <mergeCell ref="D2004:D2005"/>
    <mergeCell ref="F2004:F2005"/>
    <mergeCell ref="G2004:G2005"/>
    <mergeCell ref="J2004:J2005"/>
    <mergeCell ref="K2004:K2005"/>
    <mergeCell ref="E422:E424"/>
    <mergeCell ref="E418:E419"/>
    <mergeCell ref="E427:E428"/>
    <mergeCell ref="E430:E432"/>
    <mergeCell ref="E434:E435"/>
    <mergeCell ref="E436:E439"/>
    <mergeCell ref="E440:E441"/>
    <mergeCell ref="E442:E445"/>
    <mergeCell ref="E457:E459"/>
    <mergeCell ref="E452:E456"/>
    <mergeCell ref="A502:E502"/>
    <mergeCell ref="A503:Q503"/>
    <mergeCell ref="A504:Q504"/>
    <mergeCell ref="A2021:E2021"/>
    <mergeCell ref="A2013:E2013"/>
    <mergeCell ref="A2014:Q2014"/>
    <mergeCell ref="A2018:A2019"/>
    <mergeCell ref="B2018:B2019"/>
    <mergeCell ref="C2018:C2019"/>
    <mergeCell ref="D2018:D2019"/>
    <mergeCell ref="F2018:F2019"/>
    <mergeCell ref="G2018:G2019"/>
    <mergeCell ref="H2018:H2019"/>
    <mergeCell ref="I2018:I2019"/>
    <mergeCell ref="J2018:J2019"/>
    <mergeCell ref="K2018:K2019"/>
    <mergeCell ref="L2018:L2019"/>
    <mergeCell ref="M2018:M2019"/>
    <mergeCell ref="N2018:N2019"/>
    <mergeCell ref="O2018:O2019"/>
    <mergeCell ref="C540:C542"/>
    <mergeCell ref="H540:H542"/>
    <mergeCell ref="J540:J542"/>
    <mergeCell ref="H543:H544"/>
    <mergeCell ref="C547:C548"/>
    <mergeCell ref="D547:D548"/>
    <mergeCell ref="G547:G548"/>
    <mergeCell ref="H547:H548"/>
    <mergeCell ref="I547:I548"/>
    <mergeCell ref="J547:J548"/>
    <mergeCell ref="K547:K548"/>
    <mergeCell ref="L547:L548"/>
    <mergeCell ref="N547:N548"/>
    <mergeCell ref="H533:H539"/>
    <mergeCell ref="H531:H532"/>
    <mergeCell ref="C531:C532"/>
    <mergeCell ref="G540:G542"/>
    <mergeCell ref="D543:D544"/>
    <mergeCell ref="C533:C539"/>
    <mergeCell ref="F540:F542"/>
    <mergeCell ref="I540:I542"/>
    <mergeCell ref="M547:M548"/>
    <mergeCell ref="G543:G544"/>
    <mergeCell ref="H528:H529"/>
    <mergeCell ref="E540:E542"/>
    <mergeCell ref="P528:P529"/>
    <mergeCell ref="M557:M558"/>
    <mergeCell ref="O557:O558"/>
    <mergeCell ref="P557:P558"/>
    <mergeCell ref="E559:E561"/>
    <mergeCell ref="G563:G568"/>
    <mergeCell ref="I573:I574"/>
    <mergeCell ref="I575:I576"/>
    <mergeCell ref="F582:F583"/>
    <mergeCell ref="N582:N583"/>
    <mergeCell ref="H595:H596"/>
    <mergeCell ref="H597:H598"/>
    <mergeCell ref="J597:J598"/>
    <mergeCell ref="K599:K600"/>
    <mergeCell ref="L599:L600"/>
    <mergeCell ref="M599:M600"/>
    <mergeCell ref="F531:F532"/>
    <mergeCell ref="G531:G532"/>
    <mergeCell ref="E533:E539"/>
    <mergeCell ref="G533:G539"/>
    <mergeCell ref="E595:E596"/>
    <mergeCell ref="H573:H574"/>
    <mergeCell ref="F569:F572"/>
    <mergeCell ref="P547:P548"/>
    <mergeCell ref="O547:O548"/>
    <mergeCell ref="F595:F596"/>
    <mergeCell ref="H585:H586"/>
    <mergeCell ref="I595:I596"/>
    <mergeCell ref="I597:I598"/>
    <mergeCell ref="H589:H591"/>
    <mergeCell ref="K608:K609"/>
    <mergeCell ref="L608:L609"/>
    <mergeCell ref="M608:M609"/>
    <mergeCell ref="O608:O609"/>
    <mergeCell ref="P608:P609"/>
    <mergeCell ref="G599:G600"/>
    <mergeCell ref="J569:J572"/>
    <mergeCell ref="G580:G581"/>
    <mergeCell ref="I559:I561"/>
    <mergeCell ref="J575:J576"/>
    <mergeCell ref="H557:H558"/>
    <mergeCell ref="I585:I586"/>
    <mergeCell ref="J557:J558"/>
    <mergeCell ref="J601:J604"/>
    <mergeCell ref="J585:J586"/>
    <mergeCell ref="H599:H600"/>
    <mergeCell ref="A761:P761"/>
    <mergeCell ref="N638:N639"/>
    <mergeCell ref="H723:H724"/>
    <mergeCell ref="C582:C583"/>
    <mergeCell ref="D582:D583"/>
    <mergeCell ref="C723:C724"/>
    <mergeCell ref="D589:D591"/>
    <mergeCell ref="C585:C586"/>
    <mergeCell ref="D585:D586"/>
    <mergeCell ref="C595:C596"/>
    <mergeCell ref="D595:D596"/>
    <mergeCell ref="A599:A600"/>
    <mergeCell ref="A700:A701"/>
    <mergeCell ref="C700:C701"/>
    <mergeCell ref="D608:D609"/>
    <mergeCell ref="A608:A609"/>
    <mergeCell ref="A835:P835"/>
    <mergeCell ref="A982:P982"/>
    <mergeCell ref="E1013:E1014"/>
    <mergeCell ref="B1033:Q1033"/>
    <mergeCell ref="A1039:P1039"/>
    <mergeCell ref="E1406:E1407"/>
    <mergeCell ref="E1557:E1559"/>
    <mergeCell ref="E1560:E1561"/>
    <mergeCell ref="K1576:K1577"/>
    <mergeCell ref="K1705:K1706"/>
    <mergeCell ref="G643:G644"/>
    <mergeCell ref="K643:K644"/>
    <mergeCell ref="N643:N644"/>
    <mergeCell ref="O643:O644"/>
    <mergeCell ref="L648:Q648"/>
    <mergeCell ref="A649:P649"/>
    <mergeCell ref="A650:P650"/>
    <mergeCell ref="A656:P656"/>
    <mergeCell ref="B690:B691"/>
    <mergeCell ref="D690:D691"/>
    <mergeCell ref="B695:B699"/>
    <mergeCell ref="D695:D699"/>
    <mergeCell ref="D700:D701"/>
    <mergeCell ref="B702:B703"/>
    <mergeCell ref="D702:D703"/>
    <mergeCell ref="B704:B705"/>
    <mergeCell ref="D704:D705"/>
    <mergeCell ref="A1684:E1684"/>
    <mergeCell ref="A1685:Q1685"/>
    <mergeCell ref="A1697:E1697"/>
    <mergeCell ref="A1698:Q1698"/>
    <mergeCell ref="A1705:A1706"/>
  </mergeCells>
  <printOptions horizontalCentered="1"/>
  <pageMargins left="0.59055118110236227" right="0.59055118110236227" top="0.98425196850393704" bottom="0.59055118110236227" header="0" footer="0.19685039370078741"/>
  <pageSetup paperSize="9" scale="45" fitToHeight="0" orientation="landscape" r:id="rId1"/>
  <headerFooter>
    <oddFooter>&amp;R&amp;P</oddFooter>
  </headerFooter>
  <rowBreaks count="1" manualBreakCount="1">
    <brk id="264" max="16" man="1"/>
  </row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38D555A62F6499DC99B39A17545CE" ma:contentTypeVersion="16" ma:contentTypeDescription="Create a new document." ma:contentTypeScope="" ma:versionID="93917500d53f980d713f0cd2520b2a00">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ff4844a0c6fb543a0b779ada3e9f7856"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722DC9D3-79E2-428E-9091-1ECCAEFFF971}"/>
</file>

<file path=customXml/itemProps2.xml><?xml version="1.0" encoding="utf-8"?>
<ds:datastoreItem xmlns:ds="http://schemas.openxmlformats.org/officeDocument/2006/customXml" ds:itemID="{02D1AC49-5BE7-4BC4-A6CA-E27603F20E23}"/>
</file>

<file path=customXml/itemProps3.xml><?xml version="1.0" encoding="utf-8"?>
<ds:datastoreItem xmlns:ds="http://schemas.openxmlformats.org/officeDocument/2006/customXml" ds:itemID="{B829B07A-1074-4358-8581-979A0357460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Приложение 11</vt:lpstr>
      <vt:lpstr>'Приложение 11'!Заголовки_для_печати</vt:lpstr>
      <vt:lpstr>'Приложение 11'!Область_печати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Зарлык Исмаилов</cp:lastModifiedBy>
  <cp:lastPrinted>2019-12-18T08:10:24Z</cp:lastPrinted>
  <dcterms:created xsi:type="dcterms:W3CDTF">2018-08-08T11:01:49Z</dcterms:created>
  <dcterms:modified xsi:type="dcterms:W3CDTF">2019-12-18T08:10:26Z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