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zhanghao/Desktop/zx/"/>
    </mc:Choice>
  </mc:AlternateContent>
  <xr:revisionPtr revIDLastSave="0" documentId="13_ncr:1_{A1A9B936-F448-1343-AF74-2E9F7F63A37D}" xr6:coauthVersionLast="46" xr6:coauthVersionMax="46" xr10:uidLastSave="{00000000-0000-0000-0000-000000000000}"/>
  <bookViews>
    <workbookView xWindow="0" yWindow="0" windowWidth="28800" windowHeight="18000" xr2:uid="{F96C3ACB-6BF3-7543-938C-F8A111EEAE27}"/>
  </bookViews>
  <sheets>
    <sheet name="硬装费用明细" sheetId="1" r:id="rId1"/>
    <sheet name="主材辅材工具费用明细" sheetId="6" r:id="rId2"/>
    <sheet name="电器家具明细" sheetId="4" r:id="rId3"/>
    <sheet name="商家详细信息" sheetId="3" r:id="rId4"/>
    <sheet name="饮食交通开支" sheetId="2" r:id="rId5"/>
    <sheet name="进度记录" sheetId="5" r:id="rId6"/>
    <sheet name="产权费用明细" sheetId="7"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3" i="1" l="1"/>
  <c r="F82" i="2"/>
  <c r="G7" i="1"/>
  <c r="B88" i="6"/>
  <c r="G13" i="1"/>
  <c r="B140" i="6"/>
  <c r="I153" i="6"/>
  <c r="I154" i="6"/>
  <c r="I155" i="6"/>
  <c r="I156" i="6"/>
  <c r="I149" i="6"/>
  <c r="I150" i="6"/>
  <c r="I151" i="6"/>
  <c r="I152" i="6"/>
  <c r="I148" i="6"/>
  <c r="I141" i="6"/>
  <c r="I142" i="6"/>
  <c r="I143" i="6"/>
  <c r="I144" i="6"/>
  <c r="I145" i="6"/>
  <c r="I146" i="6"/>
  <c r="I140" i="6"/>
  <c r="H155" i="6"/>
  <c r="H152" i="6"/>
  <c r="H143" i="6"/>
  <c r="H142" i="6"/>
  <c r="B137" i="6"/>
  <c r="H137" i="6"/>
  <c r="G18" i="1"/>
  <c r="H132" i="6"/>
  <c r="H133" i="6"/>
  <c r="B132" i="6"/>
  <c r="G12" i="1"/>
  <c r="I12" i="1" s="1"/>
  <c r="B2" i="6"/>
  <c r="E116" i="2"/>
  <c r="E125" i="2"/>
  <c r="E122" i="2"/>
  <c r="E120" i="2"/>
  <c r="E119" i="2"/>
  <c r="D119" i="2"/>
  <c r="D120" i="2"/>
  <c r="G119" i="2"/>
  <c r="F119" i="2"/>
  <c r="E121" i="2"/>
  <c r="D122" i="2"/>
  <c r="G122" i="2"/>
  <c r="E123" i="2"/>
  <c r="D123" i="2"/>
  <c r="E124" i="2"/>
  <c r="D124" i="2"/>
  <c r="F125" i="2"/>
  <c r="E126" i="2"/>
  <c r="F126" i="2"/>
  <c r="D126" i="2"/>
  <c r="B130" i="2"/>
  <c r="C130" i="2"/>
  <c r="D130" i="2"/>
  <c r="E130" i="2"/>
  <c r="F130" i="2"/>
  <c r="G124" i="2"/>
  <c r="G125" i="2"/>
  <c r="G126" i="2"/>
  <c r="G127" i="2"/>
  <c r="G128" i="2"/>
  <c r="G129" i="2"/>
  <c r="E128" i="2"/>
  <c r="I7" i="1"/>
  <c r="I20" i="1" s="1"/>
  <c r="D100" i="2"/>
  <c r="E100" i="2"/>
  <c r="E101" i="2"/>
  <c r="G101" i="2" s="1"/>
  <c r="E102" i="2"/>
  <c r="E103" i="2"/>
  <c r="E104" i="2"/>
  <c r="D104" i="2"/>
  <c r="E105" i="2"/>
  <c r="G105" i="2" s="1"/>
  <c r="E106" i="2"/>
  <c r="E107" i="2"/>
  <c r="G107" i="2" s="1"/>
  <c r="E108" i="2"/>
  <c r="D108" i="2"/>
  <c r="G108" i="2" s="1"/>
  <c r="E109" i="2"/>
  <c r="E110" i="2"/>
  <c r="E111" i="2"/>
  <c r="D111" i="2"/>
  <c r="G111" i="2" s="1"/>
  <c r="E112" i="2"/>
  <c r="D112" i="2"/>
  <c r="E113" i="2"/>
  <c r="D114" i="2"/>
  <c r="G114" i="2" s="1"/>
  <c r="E114" i="2"/>
  <c r="E115" i="2"/>
  <c r="F115" i="2"/>
  <c r="D115" i="2"/>
  <c r="G115" i="2" s="1"/>
  <c r="D116" i="2"/>
  <c r="D117" i="2"/>
  <c r="E117" i="2"/>
  <c r="G117" i="2" s="1"/>
  <c r="E118" i="2"/>
  <c r="D118" i="2"/>
  <c r="G100" i="2"/>
  <c r="G102" i="2"/>
  <c r="G103" i="2"/>
  <c r="G104" i="2"/>
  <c r="G106" i="2"/>
  <c r="G109" i="2"/>
  <c r="G110" i="2"/>
  <c r="G112" i="2"/>
  <c r="G113" i="2"/>
  <c r="G116" i="2"/>
  <c r="G120" i="2"/>
  <c r="G121" i="2"/>
  <c r="G123" i="2"/>
  <c r="D89" i="2"/>
  <c r="D80" i="2"/>
  <c r="G83" i="2"/>
  <c r="G84" i="2"/>
  <c r="G87" i="2"/>
  <c r="G94" i="2"/>
  <c r="E79" i="2"/>
  <c r="D79" i="2"/>
  <c r="E80" i="2"/>
  <c r="D81" i="2"/>
  <c r="E81" i="2"/>
  <c r="G6" i="1"/>
  <c r="E82" i="2"/>
  <c r="G82" i="2"/>
  <c r="E85" i="2"/>
  <c r="G85" i="2" s="1"/>
  <c r="E86" i="2"/>
  <c r="D86" i="2"/>
  <c r="E88" i="2"/>
  <c r="G88" i="2" s="1"/>
  <c r="E89" i="2"/>
  <c r="G89" i="2" s="1"/>
  <c r="E90" i="2"/>
  <c r="D90" i="2"/>
  <c r="E91" i="2"/>
  <c r="D91" i="2"/>
  <c r="E92" i="2"/>
  <c r="D92" i="2"/>
  <c r="E93" i="2"/>
  <c r="G93" i="2" s="1"/>
  <c r="E95" i="2"/>
  <c r="G95" i="2" s="1"/>
  <c r="E96" i="2"/>
  <c r="D96" i="2"/>
  <c r="E97" i="2"/>
  <c r="D97" i="2"/>
  <c r="F98" i="2"/>
  <c r="G98" i="2" s="1"/>
  <c r="E99" i="2"/>
  <c r="D99" i="2"/>
  <c r="M42" i="4"/>
  <c r="I97" i="6"/>
  <c r="I98" i="6"/>
  <c r="I96" i="6"/>
  <c r="H116" i="6"/>
  <c r="H115" i="6"/>
  <c r="I115" i="6" s="1"/>
  <c r="G115" i="6"/>
  <c r="E69" i="2"/>
  <c r="D69" i="2"/>
  <c r="E70" i="2"/>
  <c r="D70" i="2"/>
  <c r="E71" i="2"/>
  <c r="D71" i="2"/>
  <c r="D72" i="2"/>
  <c r="G72" i="2" s="1"/>
  <c r="E73" i="2"/>
  <c r="D73" i="2"/>
  <c r="G73" i="2" s="1"/>
  <c r="D74" i="2"/>
  <c r="G74" i="2" s="1"/>
  <c r="D75" i="2"/>
  <c r="E75" i="2"/>
  <c r="E77" i="2"/>
  <c r="D77" i="2"/>
  <c r="E78" i="2"/>
  <c r="F78" i="2"/>
  <c r="G76" i="2"/>
  <c r="D78" i="2"/>
  <c r="G78" i="2" s="1"/>
  <c r="F36" i="2"/>
  <c r="D55" i="2"/>
  <c r="E55" i="2"/>
  <c r="D56" i="2"/>
  <c r="E56" i="2"/>
  <c r="E58" i="2"/>
  <c r="D58" i="2"/>
  <c r="G58" i="2" s="1"/>
  <c r="D59" i="2"/>
  <c r="E59" i="2"/>
  <c r="E60" i="2"/>
  <c r="D60" i="2"/>
  <c r="E62" i="2"/>
  <c r="D62" i="2"/>
  <c r="D64" i="2"/>
  <c r="F64" i="2"/>
  <c r="E64" i="2"/>
  <c r="E67" i="2"/>
  <c r="D67" i="2"/>
  <c r="G57" i="2"/>
  <c r="G61" i="2"/>
  <c r="G63" i="2"/>
  <c r="G65" i="2"/>
  <c r="G66" i="2"/>
  <c r="E68" i="2"/>
  <c r="D68" i="2"/>
  <c r="H88" i="6"/>
  <c r="I88" i="6" s="1"/>
  <c r="D49" i="2"/>
  <c r="D48" i="2"/>
  <c r="D46" i="2"/>
  <c r="G36" i="6"/>
  <c r="H36" i="6" s="1"/>
  <c r="I36" i="6" s="1"/>
  <c r="G43" i="6"/>
  <c r="H43" i="6" s="1"/>
  <c r="I43" i="6" s="1"/>
  <c r="G44" i="6"/>
  <c r="H44" i="6" s="1"/>
  <c r="I44" i="6" s="1"/>
  <c r="G42" i="6"/>
  <c r="H42" i="6" s="1"/>
  <c r="I42" i="6" s="1"/>
  <c r="G33" i="6"/>
  <c r="H33" i="6" s="1"/>
  <c r="I33" i="6" s="1"/>
  <c r="G37" i="6"/>
  <c r="H37" i="6" s="1"/>
  <c r="I37" i="6" s="1"/>
  <c r="G73" i="6"/>
  <c r="H73" i="6" s="1"/>
  <c r="I73" i="6" s="1"/>
  <c r="G49" i="6"/>
  <c r="H49" i="6" s="1"/>
  <c r="I49" i="6" s="1"/>
  <c r="G62" i="6"/>
  <c r="H62" i="6" s="1"/>
  <c r="I62" i="6" s="1"/>
  <c r="G77" i="6"/>
  <c r="H77" i="6" s="1"/>
  <c r="I77" i="6" s="1"/>
  <c r="H53" i="6"/>
  <c r="I53" i="6" s="1"/>
  <c r="G53" i="6"/>
  <c r="G66" i="6"/>
  <c r="I66" i="6"/>
  <c r="G79" i="6"/>
  <c r="H79" i="6" s="1"/>
  <c r="I79" i="6" s="1"/>
  <c r="H41" i="6"/>
  <c r="I41" i="6" s="1"/>
  <c r="G41" i="6"/>
  <c r="H52" i="6"/>
  <c r="I52" i="6" s="1"/>
  <c r="G52" i="6"/>
  <c r="H55" i="6"/>
  <c r="I55" i="6" s="1"/>
  <c r="G55" i="6"/>
  <c r="G81" i="6"/>
  <c r="H81" i="6" s="1"/>
  <c r="I81" i="6" s="1"/>
  <c r="G39" i="6"/>
  <c r="G74" i="6"/>
  <c r="H74" i="6" s="1"/>
  <c r="I74" i="6" s="1"/>
  <c r="I39" i="6"/>
  <c r="H65" i="6"/>
  <c r="I65" i="6" s="1"/>
  <c r="H40" i="6"/>
  <c r="I40" i="6" s="1"/>
  <c r="H32" i="6"/>
  <c r="I32" i="6" s="1"/>
  <c r="I59" i="6"/>
  <c r="I67" i="6"/>
  <c r="I80" i="6"/>
  <c r="I83" i="6"/>
  <c r="H64" i="6"/>
  <c r="I64" i="6" s="1"/>
  <c r="H71" i="6"/>
  <c r="I71" i="6" s="1"/>
  <c r="H70" i="6"/>
  <c r="I70" i="6" s="1"/>
  <c r="H69" i="6"/>
  <c r="I69" i="6" s="1"/>
  <c r="B68" i="6" s="1"/>
  <c r="H84" i="6"/>
  <c r="I84" i="6" s="1"/>
  <c r="H87" i="6"/>
  <c r="I87" i="6" s="1"/>
  <c r="H60" i="6"/>
  <c r="I60" i="6" s="1"/>
  <c r="H61" i="6"/>
  <c r="I61" i="6" s="1"/>
  <c r="H63" i="6"/>
  <c r="I63" i="6" s="1"/>
  <c r="H72" i="6"/>
  <c r="I72" i="6" s="1"/>
  <c r="H75" i="6"/>
  <c r="I75" i="6" s="1"/>
  <c r="H76" i="6"/>
  <c r="I76" i="6" s="1"/>
  <c r="H78" i="6"/>
  <c r="I78" i="6" s="1"/>
  <c r="H85" i="6"/>
  <c r="I85" i="6" s="1"/>
  <c r="H86" i="6"/>
  <c r="I86" i="6" s="1"/>
  <c r="H58" i="6"/>
  <c r="I58" i="6" s="1"/>
  <c r="H57" i="6"/>
  <c r="I57" i="6" s="1"/>
  <c r="H54" i="6"/>
  <c r="I54" i="6" s="1"/>
  <c r="H51" i="6"/>
  <c r="I51" i="6" s="1"/>
  <c r="H45" i="6"/>
  <c r="I45" i="6" s="1"/>
  <c r="H46" i="6"/>
  <c r="I46" i="6" s="1"/>
  <c r="H47" i="6"/>
  <c r="I47" i="6" s="1"/>
  <c r="H48" i="6"/>
  <c r="I48" i="6" s="1"/>
  <c r="H50" i="6"/>
  <c r="I50" i="6" s="1"/>
  <c r="H35" i="6"/>
  <c r="I35" i="6" s="1"/>
  <c r="H38" i="6"/>
  <c r="I38" i="6" s="1"/>
  <c r="H34" i="6"/>
  <c r="I34" i="6" s="1"/>
  <c r="E45" i="2"/>
  <c r="E46" i="2"/>
  <c r="G46" i="2" s="1"/>
  <c r="E48" i="2"/>
  <c r="E49" i="2"/>
  <c r="F50" i="2"/>
  <c r="D50" i="2"/>
  <c r="E51" i="2"/>
  <c r="G51" i="2" s="1"/>
  <c r="D52" i="2"/>
  <c r="G52" i="2" s="1"/>
  <c r="G5" i="1"/>
  <c r="B24" i="6"/>
  <c r="D53" i="2"/>
  <c r="E53" i="2"/>
  <c r="G47" i="2"/>
  <c r="G43" i="2"/>
  <c r="E54" i="2"/>
  <c r="G54" i="2" s="1"/>
  <c r="F44" i="2"/>
  <c r="D45" i="2"/>
  <c r="G45" i="2" s="1"/>
  <c r="E41" i="2"/>
  <c r="D41" i="2"/>
  <c r="E40" i="2"/>
  <c r="D39" i="2"/>
  <c r="E39" i="2"/>
  <c r="D40" i="2"/>
  <c r="E38" i="2"/>
  <c r="G38" i="2" s="1"/>
  <c r="G37" i="2"/>
  <c r="G42" i="2"/>
  <c r="E44" i="2"/>
  <c r="G44" i="2" s="1"/>
  <c r="M3" i="4"/>
  <c r="C7" i="7"/>
  <c r="C33" i="2"/>
  <c r="C36" i="2"/>
  <c r="D34" i="2"/>
  <c r="D33" i="2"/>
  <c r="E33" i="2"/>
  <c r="E34" i="2"/>
  <c r="E35" i="2"/>
  <c r="D35" i="2"/>
  <c r="E36" i="2"/>
  <c r="G60" i="2" l="1"/>
  <c r="G55" i="2"/>
  <c r="G69" i="2"/>
  <c r="G91" i="2"/>
  <c r="G99" i="2"/>
  <c r="G96" i="2"/>
  <c r="G90" i="2"/>
  <c r="G86" i="2"/>
  <c r="G41" i="2"/>
  <c r="G56" i="2"/>
  <c r="G77" i="2"/>
  <c r="G97" i="2"/>
  <c r="G81" i="2"/>
  <c r="G35" i="2"/>
  <c r="G92" i="2"/>
  <c r="G80" i="2"/>
  <c r="G53" i="2"/>
  <c r="G79" i="2"/>
  <c r="G118" i="2"/>
  <c r="G130" i="2" s="1"/>
  <c r="G62" i="2"/>
  <c r="G68" i="2"/>
  <c r="G59" i="2"/>
  <c r="G36" i="2"/>
  <c r="G49" i="2"/>
  <c r="G67" i="2"/>
  <c r="G71" i="2"/>
  <c r="G64" i="2"/>
  <c r="G48" i="2"/>
  <c r="G75" i="2"/>
  <c r="G70" i="2"/>
  <c r="G40" i="2"/>
  <c r="G50" i="2"/>
  <c r="G34" i="2"/>
  <c r="B32" i="6"/>
  <c r="B58" i="6"/>
  <c r="G33" i="2"/>
  <c r="G39" i="2"/>
  <c r="G32" i="2"/>
  <c r="D30" i="2"/>
  <c r="E30" i="2"/>
  <c r="E29" i="2"/>
  <c r="D31" i="2"/>
  <c r="E31" i="2"/>
  <c r="G31" i="2" l="1"/>
  <c r="G30" i="2"/>
  <c r="G28" i="2"/>
  <c r="D29" i="2"/>
  <c r="G29" i="2" s="1"/>
  <c r="D26" i="2" l="1"/>
  <c r="G26" i="2" l="1"/>
  <c r="D27" i="2"/>
  <c r="G27" i="2" s="1"/>
  <c r="G24" i="2"/>
  <c r="G25" i="2"/>
  <c r="G23" i="2"/>
  <c r="G22" i="2"/>
  <c r="H15" i="6"/>
  <c r="H14" i="6"/>
  <c r="H13" i="6"/>
  <c r="H12" i="6"/>
  <c r="H11" i="6"/>
  <c r="J11" i="4"/>
  <c r="H10" i="6" l="1"/>
  <c r="G21" i="2" l="1"/>
  <c r="G20" i="2"/>
  <c r="H9" i="6"/>
  <c r="H8" i="6"/>
  <c r="H7" i="6"/>
  <c r="H6" i="6"/>
  <c r="H5" i="6"/>
  <c r="H4" i="6"/>
  <c r="G19" i="2" l="1"/>
  <c r="G18" i="2" l="1"/>
  <c r="G17" i="2" l="1"/>
  <c r="G16" i="2"/>
  <c r="G15" i="2" l="1"/>
  <c r="G14" i="2"/>
  <c r="H3" i="6"/>
  <c r="H2" i="6"/>
  <c r="G13" i="2"/>
  <c r="J7" i="4" l="1"/>
  <c r="J13" i="4"/>
  <c r="J18" i="4"/>
  <c r="J19" i="4"/>
  <c r="J20" i="4"/>
  <c r="J21" i="4"/>
  <c r="J22" i="4"/>
  <c r="J23" i="4"/>
  <c r="J24" i="4"/>
  <c r="J25" i="4"/>
  <c r="J26" i="4"/>
  <c r="J27" i="4"/>
  <c r="J4" i="4"/>
  <c r="J28" i="4"/>
  <c r="J5" i="4"/>
  <c r="J29" i="4"/>
  <c r="J30" i="4"/>
  <c r="J9" i="4"/>
  <c r="J31" i="4"/>
  <c r="J10" i="4"/>
  <c r="J12" i="4"/>
  <c r="J32" i="4"/>
  <c r="J33" i="4"/>
  <c r="J34" i="4"/>
  <c r="J14" i="4"/>
  <c r="J35" i="4"/>
  <c r="J36" i="4"/>
  <c r="J37" i="4"/>
  <c r="J38" i="4"/>
  <c r="J39" i="4"/>
  <c r="J15" i="4"/>
  <c r="J17" i="4"/>
  <c r="J16" i="4"/>
  <c r="J2" i="4"/>
  <c r="J42" i="4" l="1"/>
  <c r="G3" i="2"/>
  <c r="G4" i="2"/>
  <c r="G5" i="2"/>
  <c r="G6" i="2"/>
  <c r="G7" i="2"/>
  <c r="G8" i="2"/>
  <c r="G9" i="2"/>
  <c r="G10" i="2"/>
  <c r="G11" i="2"/>
  <c r="G12" i="2"/>
  <c r="G2" i="2"/>
</calcChain>
</file>

<file path=xl/sharedStrings.xml><?xml version="1.0" encoding="utf-8"?>
<sst xmlns="http://schemas.openxmlformats.org/spreadsheetml/2006/main" count="976" uniqueCount="687">
  <si>
    <t>项目名称</t>
    <phoneticPr fontId="1" type="noConversion"/>
  </si>
  <si>
    <t>单价</t>
    <phoneticPr fontId="1" type="noConversion"/>
  </si>
  <si>
    <t>数量</t>
    <phoneticPr fontId="1" type="noConversion"/>
  </si>
  <si>
    <t>封窗</t>
    <phoneticPr fontId="1" type="noConversion"/>
  </si>
  <si>
    <t>项目描述</t>
    <phoneticPr fontId="1" type="noConversion"/>
  </si>
  <si>
    <t>餐厅北阳台封窗，南次卧阳台封窗</t>
    <phoneticPr fontId="1" type="noConversion"/>
  </si>
  <si>
    <t>南北阳台共7.52㎡</t>
    <phoneticPr fontId="1" type="noConversion"/>
  </si>
  <si>
    <t>收费说明</t>
    <phoneticPr fontId="1" type="noConversion"/>
  </si>
  <si>
    <t>商家</t>
    <phoneticPr fontId="1" type="noConversion"/>
  </si>
  <si>
    <t>唯众</t>
    <phoneticPr fontId="1" type="noConversion"/>
  </si>
  <si>
    <t>总价计算</t>
    <phoneticPr fontId="1" type="noConversion"/>
  </si>
  <si>
    <t>窗380/㎡，钢化+50/㎡，窗扇+300/扇，钢板+100/块</t>
    <phoneticPr fontId="1" type="noConversion"/>
  </si>
  <si>
    <t>收费方式</t>
    <phoneticPr fontId="1" type="noConversion"/>
  </si>
  <si>
    <t>砸墙</t>
    <phoneticPr fontId="1" type="noConversion"/>
  </si>
  <si>
    <t>——</t>
    <phoneticPr fontId="1" type="noConversion"/>
  </si>
  <si>
    <t>日期</t>
    <phoneticPr fontId="1" type="noConversion"/>
  </si>
  <si>
    <t>饮食</t>
    <phoneticPr fontId="1" type="noConversion"/>
  </si>
  <si>
    <t>合计</t>
    <phoneticPr fontId="1" type="noConversion"/>
  </si>
  <si>
    <t>打车</t>
    <phoneticPr fontId="1" type="noConversion"/>
  </si>
  <si>
    <t>备注</t>
    <phoneticPr fontId="1" type="noConversion"/>
  </si>
  <si>
    <t>没有出门</t>
    <phoneticPr fontId="1" type="noConversion"/>
  </si>
  <si>
    <t>地铁</t>
    <phoneticPr fontId="1" type="noConversion"/>
  </si>
  <si>
    <t>公交卡充值</t>
    <phoneticPr fontId="1" type="noConversion"/>
  </si>
  <si>
    <t>其它</t>
    <phoneticPr fontId="1" type="noConversion"/>
  </si>
  <si>
    <t>其它项为B站充值，以为自己能给迷瞪看报价买的礼物</t>
    <phoneticPr fontId="1" type="noConversion"/>
  </si>
  <si>
    <t>380*7.52+3.6*50+300*2+100*2 = 3837.6</t>
    <phoneticPr fontId="1" type="noConversion"/>
  </si>
  <si>
    <t>实付</t>
    <phoneticPr fontId="1" type="noConversion"/>
  </si>
  <si>
    <r>
      <t>品诺装饰</t>
    </r>
    <r>
      <rPr>
        <sz val="16"/>
        <color rgb="FFFF0000"/>
        <rFont val="等线"/>
        <family val="3"/>
        <charset val="134"/>
      </rPr>
      <t>[1]</t>
    </r>
    <phoneticPr fontId="1" type="noConversion"/>
  </si>
  <si>
    <t>商家名称</t>
    <phoneticPr fontId="1" type="noConversion"/>
  </si>
  <si>
    <t>详细信息</t>
    <phoneticPr fontId="1" type="noConversion"/>
  </si>
  <si>
    <t>全称</t>
    <phoneticPr fontId="1" type="noConversion"/>
  </si>
  <si>
    <t>大连品诺装饰装修工程有限公司</t>
    <phoneticPr fontId="1" type="noConversion"/>
  </si>
  <si>
    <t>https://gongshang.mingluji.com/liaoning/name/%E5%A4%A7%E8%BF%9E%E5%93%81%E8%AF%BA%E8%A3%85%E9%A5%B0%E8%A3%85%E4%BF%AE%E5%B7%A5%E7%A8%8B%E6%9C%89%E9%99%90%E5%85%AC%E5%8F%B8</t>
    <phoneticPr fontId="1" type="noConversion"/>
  </si>
  <si>
    <t>https://aiqicha.baidu.com/company_detail_91131019584325?rq=ef&amp;pd=ee&amp;from=ps</t>
  </si>
  <si>
    <t>商品</t>
    <phoneticPr fontId="1" type="noConversion"/>
  </si>
  <si>
    <t>空间位置</t>
    <phoneticPr fontId="1" type="noConversion"/>
  </si>
  <si>
    <t>品牌型号</t>
    <phoneticPr fontId="1" type="noConversion"/>
  </si>
  <si>
    <t>淋浴花洒</t>
    <phoneticPr fontId="1" type="noConversion"/>
  </si>
  <si>
    <t>长卫生间</t>
    <phoneticPr fontId="1" type="noConversion"/>
  </si>
  <si>
    <t>方卫生间</t>
    <phoneticPr fontId="1" type="noConversion"/>
  </si>
  <si>
    <t>选购说明</t>
    <phoneticPr fontId="1" type="noConversion"/>
  </si>
  <si>
    <t>马桶扶手</t>
    <phoneticPr fontId="1" type="noConversion"/>
  </si>
  <si>
    <t>马桶</t>
    <phoneticPr fontId="1" type="noConversion"/>
  </si>
  <si>
    <t>垃圾桶</t>
    <phoneticPr fontId="1" type="noConversion"/>
  </si>
  <si>
    <t>电热水器</t>
    <phoneticPr fontId="1" type="noConversion"/>
  </si>
  <si>
    <t>洗衣机洗漱台台面</t>
    <phoneticPr fontId="1" type="noConversion"/>
  </si>
  <si>
    <t>洗衣机</t>
    <phoneticPr fontId="1" type="noConversion"/>
  </si>
  <si>
    <t>洗漱台盆</t>
    <phoneticPr fontId="1" type="noConversion"/>
  </si>
  <si>
    <t>镜柜</t>
    <phoneticPr fontId="1" type="noConversion"/>
  </si>
  <si>
    <t>多层置物架（镜柜左侧）</t>
    <phoneticPr fontId="1" type="noConversion"/>
  </si>
  <si>
    <t>洗漱台一体（台盆，柜体，柜镜）</t>
    <phoneticPr fontId="1" type="noConversion"/>
  </si>
  <si>
    <t>冰箱</t>
    <phoneticPr fontId="1" type="noConversion"/>
  </si>
  <si>
    <t>餐厅</t>
    <phoneticPr fontId="1" type="noConversion"/>
  </si>
  <si>
    <t>折叠桌</t>
    <phoneticPr fontId="1" type="noConversion"/>
  </si>
  <si>
    <t>餐椅</t>
    <phoneticPr fontId="1" type="noConversion"/>
  </si>
  <si>
    <t>蒸烤一体机</t>
    <phoneticPr fontId="1" type="noConversion"/>
  </si>
  <si>
    <t>水槽</t>
    <phoneticPr fontId="1" type="noConversion"/>
  </si>
  <si>
    <t>洗碗机</t>
    <phoneticPr fontId="1" type="noConversion"/>
  </si>
  <si>
    <t>厨房</t>
    <phoneticPr fontId="1" type="noConversion"/>
  </si>
  <si>
    <t>电视</t>
    <phoneticPr fontId="1" type="noConversion"/>
  </si>
  <si>
    <t>多人沙发</t>
    <phoneticPr fontId="1" type="noConversion"/>
  </si>
  <si>
    <t>单人沙发</t>
    <phoneticPr fontId="1" type="noConversion"/>
  </si>
  <si>
    <t>茶几</t>
    <phoneticPr fontId="1" type="noConversion"/>
  </si>
  <si>
    <t>立式空调</t>
    <phoneticPr fontId="1" type="noConversion"/>
  </si>
  <si>
    <t>电动晾衣架</t>
    <phoneticPr fontId="1" type="noConversion"/>
  </si>
  <si>
    <t>边几1</t>
    <phoneticPr fontId="1" type="noConversion"/>
  </si>
  <si>
    <t>边几2</t>
    <phoneticPr fontId="1" type="noConversion"/>
  </si>
  <si>
    <t>落地灯</t>
    <phoneticPr fontId="1" type="noConversion"/>
  </si>
  <si>
    <t>壁挂灯</t>
    <phoneticPr fontId="1" type="noConversion"/>
  </si>
  <si>
    <t>客厅</t>
    <phoneticPr fontId="1" type="noConversion"/>
  </si>
  <si>
    <t>渠道</t>
    <phoneticPr fontId="1" type="noConversion"/>
  </si>
  <si>
    <t>报价</t>
    <phoneticPr fontId="1" type="noConversion"/>
  </si>
  <si>
    <t>链接</t>
    <phoneticPr fontId="1" type="noConversion"/>
  </si>
  <si>
    <t>京东，松下冰箱京东自营旗舰店</t>
    <phoneticPr fontId="1" type="noConversion"/>
  </si>
  <si>
    <t>尺寸（宽，深，高），mm</t>
    <phoneticPr fontId="1" type="noConversion"/>
  </si>
  <si>
    <t>松下（Panasonic）303升三门冰箱 一级能效 小京鱼智能 银离子抗菌 自动制冰宽幅变温NR-JS30AX1-W 白色</t>
    <phoneticPr fontId="1" type="noConversion"/>
  </si>
  <si>
    <t>https://item.jd.com/100007742413.html#none</t>
    <phoneticPr fontId="1" type="noConversion"/>
  </si>
  <si>
    <t>600，650，1900</t>
    <phoneticPr fontId="1" type="noConversion"/>
  </si>
  <si>
    <t>小米电视4A 60英寸 L60M5-4A 4K超高清 HDR 内置小爱 2GB+8GB 教育电视 人工智能语音网络液晶平板电视</t>
    <phoneticPr fontId="1" type="noConversion"/>
  </si>
  <si>
    <t>https://item.jd.com/100012354238.html</t>
    <phoneticPr fontId="1" type="noConversion"/>
  </si>
  <si>
    <t>缩略图</t>
    <phoneticPr fontId="1" type="noConversion"/>
  </si>
  <si>
    <t>京东，美的京东自营官方旗舰店</t>
    <phoneticPr fontId="1" type="noConversion"/>
  </si>
  <si>
    <t>美的（Midea）新一级 智行 智能变频冷暖 3匹客厅圆柱空调立式柜机 KFR-72LW/BP3DN8Y-YH200(1) 【新一级爆款】第四代智清洁</t>
    <phoneticPr fontId="1" type="noConversion"/>
  </si>
  <si>
    <t>https://item.jd.com/100007626997.html#none</t>
    <phoneticPr fontId="1" type="noConversion"/>
  </si>
  <si>
    <t>【室内机】405，405，1775【室外机】940，342，673</t>
    <phoneticPr fontId="1" type="noConversion"/>
  </si>
  <si>
    <t>壁挂空调1</t>
    <phoneticPr fontId="1" type="noConversion"/>
  </si>
  <si>
    <t>主卧室</t>
    <phoneticPr fontId="1" type="noConversion"/>
  </si>
  <si>
    <t>https://item.jd.com/100013853386.html#crumb-wrap</t>
    <phoneticPr fontId="1" type="noConversion"/>
  </si>
  <si>
    <t>美的（Midea）新一级 i青春II 智能控制 变频冷暖 大 1匹壁挂式空调挂机KFR-26GW/N8XHB1【新一级爆款】第四代智清洁</t>
    <phoneticPr fontId="1" type="noConversion"/>
  </si>
  <si>
    <t>【室内机】880，195，295 【室外机】857，328，555</t>
    <phoneticPr fontId="1" type="noConversion"/>
  </si>
  <si>
    <t>https://item.jd.com/100012295086.html#crumb-wrap</t>
    <phoneticPr fontId="1" type="noConversion"/>
  </si>
  <si>
    <t>海尔（Haier）滚筒洗衣机全自动 高温除菌 微蒸汽除螨防皱10KG洗烘一体变频EG100HB129S【微蒸汽空气洗蒸衣塑型】</t>
    <phoneticPr fontId="1" type="noConversion"/>
  </si>
  <si>
    <t>595，650，850</t>
    <phoneticPr fontId="1" type="noConversion"/>
  </si>
  <si>
    <t>京东，海尔京东自营旗舰店</t>
    <phoneticPr fontId="1" type="noConversion"/>
  </si>
  <si>
    <t>https://item.jd.com/100013700218.html#crumb-wrap</t>
    <phoneticPr fontId="1" type="noConversion"/>
  </si>
  <si>
    <t>美的（Midea）J58+Q70-T 油烟机 侧吸抽油烟机 烟灶套装 WiFi智控 家用吸油烟机 燃气灶 （天然气）【20㎡挥手烟机5.0KW六爪灶-天】</t>
    <phoneticPr fontId="1" type="noConversion"/>
  </si>
  <si>
    <t>https://item.jd.com/100003859066.html</t>
    <phoneticPr fontId="1" type="noConversion"/>
  </si>
  <si>
    <t>海尔（Haier）60升电热水器3000W变频速热6倍增容一级能效智能手机APP控制遥控预约EC6003-JT1(U1)京品家电【3000W变频】智能抑菌 6倍增容</t>
    <phoneticPr fontId="1" type="noConversion"/>
  </si>
  <si>
    <t>卫生间</t>
    <phoneticPr fontId="1" type="noConversion"/>
  </si>
  <si>
    <t>810，440，490</t>
    <phoneticPr fontId="1" type="noConversion"/>
  </si>
  <si>
    <t>电热毛巾架</t>
    <phoneticPr fontId="1" type="noConversion"/>
  </si>
  <si>
    <t>总价</t>
    <phoneticPr fontId="1" type="noConversion"/>
  </si>
  <si>
    <t>小米电视Redmi A55 55英寸4KHDR超高清人工智能网络液晶教育平板电视红米 L55R6-A</t>
    <phoneticPr fontId="1" type="noConversion"/>
  </si>
  <si>
    <t>京东，小米京东自营旗舰店</t>
    <phoneticPr fontId="1" type="noConversion"/>
  </si>
  <si>
    <t>【含边框，不含底座】1237.8，63.9，715.3</t>
    <phoneticPr fontId="1" type="noConversion"/>
  </si>
  <si>
    <t>美的（Midea）8套 嵌入式 家用洗碗机 WIFI智控 银离子抑菌 20min超快洗 台式刷碗机D18【8套台嵌两用】20min超快洗</t>
    <phoneticPr fontId="1" type="noConversion"/>
  </si>
  <si>
    <t>https://item.jd.com/100012006210.html#crumb-wrap</t>
    <phoneticPr fontId="1" type="noConversion"/>
  </si>
  <si>
    <t>550，500，590</t>
    <phoneticPr fontId="1" type="noConversion"/>
  </si>
  <si>
    <t>类型</t>
    <phoneticPr fontId="1" type="noConversion"/>
  </si>
  <si>
    <t>电器</t>
    <phoneticPr fontId="1" type="noConversion"/>
  </si>
  <si>
    <t>【外形尺寸】595，525，454【开孔尺寸】560，550，450</t>
    <phoneticPr fontId="1" type="noConversion"/>
  </si>
  <si>
    <t>https://item.jd.com/4315566.html#crumb-wrap</t>
    <phoneticPr fontId="1" type="noConversion"/>
  </si>
  <si>
    <t>美的（Midea）伯爵 蒸汽烤箱 嵌入式电蒸箱电烤箱 家用大容量蒸烤一体机TQN34FBJ-SA</t>
    <phoneticPr fontId="1" type="noConversion"/>
  </si>
  <si>
    <t>抽油烟机+灶台</t>
    <phoneticPr fontId="1" type="noConversion"/>
  </si>
  <si>
    <t>【抽油烟机】-【机体尺寸】898，404，636（429+207）【安装尺寸】宽915             【灶台】-【面板尺寸】760，445，145 【开孔尺寸】645，340，R20</t>
    <phoneticPr fontId="1" type="noConversion"/>
  </si>
  <si>
    <t>炒方便面</t>
    <phoneticPr fontId="1" type="noConversion"/>
  </si>
  <si>
    <r>
      <t>入户北次卧隔断墙+客厅回字形隔断墙+餐厅北阳台窗正下方墙垛+南次卧窗正下方墙垛+主卧飘窗</t>
    </r>
    <r>
      <rPr>
        <sz val="16"/>
        <color theme="0" tint="-0.34998626667073579"/>
        <rFont val="等线"/>
        <family val="3"/>
        <charset val="134"/>
      </rPr>
      <t>+门洞抬高10厘米全屋拉平（门洞包括两个卫生间+厨房门+四个卧室门）</t>
    </r>
    <phoneticPr fontId="1" type="noConversion"/>
  </si>
  <si>
    <t>砸墙+清渣（不涉及瓦工，因此不包含抹灰）</t>
    <phoneticPr fontId="1" type="noConversion"/>
  </si>
  <si>
    <t>开始时间</t>
    <phoneticPr fontId="1" type="noConversion"/>
  </si>
  <si>
    <t>注意事项</t>
    <phoneticPr fontId="1" type="noConversion"/>
  </si>
  <si>
    <t>后续跟进</t>
    <phoneticPr fontId="1" type="noConversion"/>
  </si>
  <si>
    <t>子项目</t>
    <phoneticPr fontId="1" type="noConversion"/>
  </si>
  <si>
    <t>量尺</t>
    <phoneticPr fontId="1" type="noConversion"/>
  </si>
  <si>
    <t>1~2</t>
    <phoneticPr fontId="1" type="noConversion"/>
  </si>
  <si>
    <t>工期, h</t>
    <phoneticPr fontId="1" type="noConversion"/>
  </si>
  <si>
    <t>卸旧门窗，砸墙</t>
    <phoneticPr fontId="1" type="noConversion"/>
  </si>
  <si>
    <t>卸旧门窗</t>
    <phoneticPr fontId="1" type="noConversion"/>
  </si>
  <si>
    <t>实施说明</t>
    <phoneticPr fontId="1" type="noConversion"/>
  </si>
  <si>
    <t>2020/12/7，14：00</t>
    <phoneticPr fontId="1" type="noConversion"/>
  </si>
  <si>
    <t>安装</t>
    <phoneticPr fontId="1" type="noConversion"/>
  </si>
  <si>
    <t>① 冬季使用废旧塑料布短时间临时封补窗口保护地暖</t>
    <phoneticPr fontId="1" type="noConversion"/>
  </si>
  <si>
    <t xml:space="preserve"> </t>
    <phoneticPr fontId="1" type="noConversion"/>
  </si>
  <si>
    <t>价格</t>
    <phoneticPr fontId="1" type="noConversion"/>
  </si>
  <si>
    <t>耳罩</t>
    <phoneticPr fontId="1" type="noConversion"/>
  </si>
  <si>
    <t>3MX5A</t>
    <phoneticPr fontId="1" type="noConversion"/>
  </si>
  <si>
    <t>京东</t>
    <phoneticPr fontId="1" type="noConversion"/>
  </si>
  <si>
    <t>口罩</t>
    <phoneticPr fontId="1" type="noConversion"/>
  </si>
  <si>
    <t>3M1201</t>
    <phoneticPr fontId="1" type="noConversion"/>
  </si>
  <si>
    <t>胶带</t>
    <phoneticPr fontId="1" type="noConversion"/>
  </si>
  <si>
    <t>楼下文具店</t>
    <phoneticPr fontId="1" type="noConversion"/>
  </si>
  <si>
    <t>收废品负责卸载和回收，收入+180元</t>
    <phoneticPr fontId="1" type="noConversion"/>
  </si>
  <si>
    <t>预付款400【已支付】+尾款600【已支付】</t>
    <phoneticPr fontId="1" type="noConversion"/>
  </si>
  <si>
    <t>① 门洞上扩会破坏本身的门梁，全部上扩后还需要根据要求重新建梁，所以取消该项目</t>
    <phoneticPr fontId="1" type="noConversion"/>
  </si>
  <si>
    <t>问题</t>
    <phoneticPr fontId="1" type="noConversion"/>
  </si>
  <si>
    <t>事项</t>
    <phoneticPr fontId="1" type="noConversion"/>
  </si>
  <si>
    <t>费用</t>
    <phoneticPr fontId="1" type="noConversion"/>
  </si>
  <si>
    <t>流程</t>
    <phoneticPr fontId="1" type="noConversion"/>
  </si>
  <si>
    <t>不产权申请表</t>
    <phoneticPr fontId="1" type="noConversion"/>
  </si>
  <si>
    <t>售楼处二楼财务处领取</t>
    <phoneticPr fontId="1" type="noConversion"/>
  </si>
  <si>
    <t>无需填写，找贷款银行代办时再处理</t>
    <phoneticPr fontId="1" type="noConversion"/>
  </si>
  <si>
    <t>产权测绘图纸</t>
    <phoneticPr fontId="1" type="noConversion"/>
  </si>
  <si>
    <t>五一路317号万水千山测绘公司</t>
    <phoneticPr fontId="1" type="noConversion"/>
  </si>
  <si>
    <t>存在乱收费问题，留存收据待查证</t>
    <phoneticPr fontId="1" type="noConversion"/>
  </si>
  <si>
    <t>① 不要破坏公共走廊地砖、入户门、地暖、管道、承重墙；② 冬季使用废旧塑料布短时间临时封补窗口保护地暖；③拆卸下来的钢筋可以卖，2块钱/公斤；④外墙变内墙后应该要求同时铲掉原外墙保温层</t>
    <phoneticPr fontId="1" type="noConversion"/>
  </si>
  <si>
    <t>2020/12/8，14：00-17：00；2020/12/9，08:00-10：30</t>
    <phoneticPr fontId="1" type="noConversion"/>
  </si>
  <si>
    <t>预付款650【已支付】+尾款3180【已支付】</t>
    <phoneticPr fontId="1" type="noConversion"/>
  </si>
  <si>
    <t>2020/12/9，10：30-11：30；2020/12/9，14：30-16：00</t>
    <phoneticPr fontId="1" type="noConversion"/>
  </si>
  <si>
    <t>上午先装窗框和挡水板，发泡剂填充，打胶固定；下午等发泡和胶干了之后装玻璃，胶封</t>
    <phoneticPr fontId="1" type="noConversion"/>
  </si>
  <si>
    <t>24小时之后可以看看开关窗看是否牢固，有无安装问题</t>
    <phoneticPr fontId="1" type="noConversion"/>
  </si>
  <si>
    <t xml:space="preserve">工人作业速度非常快，没有时间仔细确认①断桥铝材质的厚度是否满足1.4mm ②实际测量发现窗扇厚度73mm，窗框厚度64mm，经过邻居和商家反复确认，觉得可能存在欺诈，已录音备用 </t>
    <phoneticPr fontId="1" type="noConversion"/>
  </si>
  <si>
    <t>①装好后不要立即清扫，以免扬灰影响胶封；②装好后应等待24小时再去检查已免蹭到未干的胶</t>
    <phoneticPr fontId="1" type="noConversion"/>
  </si>
  <si>
    <r>
      <t>包含砸墙、清渣</t>
    </r>
    <r>
      <rPr>
        <sz val="16"/>
        <color theme="0" tint="-0.34998626667073579"/>
        <rFont val="等线"/>
        <family val="3"/>
        <charset val="134"/>
      </rPr>
      <t>和抹灰(单独砸墙无瓦工)</t>
    </r>
    <r>
      <rPr>
        <sz val="16"/>
        <color theme="1"/>
        <rFont val="等线"/>
        <family val="4"/>
        <charset val="134"/>
        <scheme val="minor"/>
      </rPr>
      <t>；出售拆卸下来的钢筋，收入+30元</t>
    </r>
    <phoneticPr fontId="1" type="noConversion"/>
  </si>
  <si>
    <t>断桥铝，73型材(营口永顺断桥铝)，双层玻璃，单层玻璃厚5mm，四分格形态，内嵌海绵棒，北阳台全钢化，南阳台非钢化，明合页带定位器，无内导，外阳台台面内倾斜渗水各加一块钢板防渗漏，五金304不锈钢</t>
    <phoneticPr fontId="1" type="noConversion"/>
  </si>
  <si>
    <t>https://item.jd.com/100008697687.html#crumb-wrap</t>
    <phoneticPr fontId="1" type="noConversion"/>
  </si>
  <si>
    <t>【双十二】-100</t>
    <phoneticPr fontId="1" type="noConversion"/>
  </si>
  <si>
    <t>【双十二】-0</t>
    <phoneticPr fontId="1" type="noConversion"/>
  </si>
  <si>
    <t>【双十二】-200</t>
    <phoneticPr fontId="1" type="noConversion"/>
  </si>
  <si>
    <t>【双十二】-500</t>
    <phoneticPr fontId="1" type="noConversion"/>
  </si>
  <si>
    <t>需要有通风孔和底座通风孔；                                   【双十二】-500</t>
    <phoneticPr fontId="1" type="noConversion"/>
  </si>
  <si>
    <t>【双十二】-100*2</t>
    <phoneticPr fontId="1" type="noConversion"/>
  </si>
  <si>
    <t>卫浴</t>
    <phoneticPr fontId="1" type="noConversion"/>
  </si>
  <si>
    <t>风暖浴霸</t>
    <phoneticPr fontId="1" type="noConversion"/>
  </si>
  <si>
    <t>前置过滤器</t>
    <phoneticPr fontId="1" type="noConversion"/>
  </si>
  <si>
    <t>厨房用品</t>
    <phoneticPr fontId="1" type="noConversion"/>
  </si>
  <si>
    <t>铲保温墙</t>
    <phoneticPr fontId="1" type="noConversion"/>
  </si>
  <si>
    <t>北阳台封窗后变为内阳台，需要铲掉保温层扩大一点空间</t>
    <phoneticPr fontId="1" type="noConversion"/>
  </si>
  <si>
    <t>① 这一步应该包含在砸墙中，当时忘记了。为了节约成本，就自己铲</t>
    <phoneticPr fontId="1" type="noConversion"/>
  </si>
  <si>
    <t>工业吸尘器</t>
    <phoneticPr fontId="1" type="noConversion"/>
  </si>
  <si>
    <t>杰诺JS-308S</t>
    <phoneticPr fontId="1" type="noConversion"/>
  </si>
  <si>
    <t>灭火器</t>
    <phoneticPr fontId="1" type="noConversion"/>
  </si>
  <si>
    <t>浙星干粉灭火器4公斤 手提式</t>
    <phoneticPr fontId="1" type="noConversion"/>
  </si>
  <si>
    <t>装修保护膜</t>
    <phoneticPr fontId="1" type="noConversion"/>
  </si>
  <si>
    <t>彩弘2.4m*15m 两卷</t>
    <phoneticPr fontId="1" type="noConversion"/>
  </si>
  <si>
    <t>冲击钻电锤电镐两用</t>
    <phoneticPr fontId="1" type="noConversion"/>
  </si>
  <si>
    <t>德国沃克莱夫混凝土工业级电钻套装</t>
    <phoneticPr fontId="1" type="noConversion"/>
  </si>
  <si>
    <t>插排</t>
    <phoneticPr fontId="1" type="noConversion"/>
  </si>
  <si>
    <t>公牛，3m</t>
    <phoneticPr fontId="1" type="noConversion"/>
  </si>
  <si>
    <t>小区便利店</t>
    <phoneticPr fontId="1" type="noConversion"/>
  </si>
  <si>
    <t>铲保温层</t>
    <phoneticPr fontId="1" type="noConversion"/>
  </si>
  <si>
    <t>①应该包含在砸墙环节②最好用角磨机、撬棍等工具效率更高③做好防护，包括降噪耳罩、防尘口罩、眼罩、面罩等，保温岩棉的碎屑容易进入呼吸道、沾皮肤后发痒</t>
    <phoneticPr fontId="1" type="noConversion"/>
  </si>
  <si>
    <t>售后</t>
    <phoneticPr fontId="1" type="noConversion"/>
  </si>
  <si>
    <t>送三年延保</t>
    <phoneticPr fontId="1" type="noConversion"/>
  </si>
  <si>
    <t>梯子</t>
    <phoneticPr fontId="1" type="noConversion"/>
  </si>
  <si>
    <t>格美居GEMJU家用折叠人字梯铝合金加厚</t>
    <phoneticPr fontId="1" type="noConversion"/>
  </si>
  <si>
    <t>美的RX10Pro</t>
    <phoneticPr fontId="1" type="noConversion"/>
  </si>
  <si>
    <t>600，581，775</t>
    <phoneticPr fontId="1" type="noConversion"/>
  </si>
  <si>
    <t>淘宝，美的合易美专卖店</t>
    <phoneticPr fontId="1" type="noConversion"/>
  </si>
  <si>
    <t>【双十二】</t>
    <phoneticPr fontId="1" type="noConversion"/>
  </si>
  <si>
    <t>整机保修一年，主要零部件（控制面板、电机、电控板、水泵）保修三年</t>
    <phoneticPr fontId="1" type="noConversion"/>
  </si>
  <si>
    <t>安装费用</t>
    <phoneticPr fontId="1" type="noConversion"/>
  </si>
  <si>
    <t>【双十二】-600，3790可以拿下；赠品回血：-</t>
    <phoneticPr fontId="1" type="noConversion"/>
  </si>
  <si>
    <t>临时马桶</t>
    <phoneticPr fontId="1" type="noConversion"/>
  </si>
  <si>
    <t>住宅电器设计规范</t>
    <phoneticPr fontId="1" type="noConversion"/>
  </si>
  <si>
    <t>墨斗+墨汁*2</t>
    <phoneticPr fontId="1" type="noConversion"/>
  </si>
  <si>
    <t>田岛</t>
    <phoneticPr fontId="1" type="noConversion"/>
  </si>
  <si>
    <t>3M</t>
    <phoneticPr fontId="1" type="noConversion"/>
  </si>
  <si>
    <t>口罩防尘罩10片</t>
    <phoneticPr fontId="1" type="noConversion"/>
  </si>
  <si>
    <t>激光水平仪</t>
    <phoneticPr fontId="1" type="noConversion"/>
  </si>
  <si>
    <t>石井</t>
    <phoneticPr fontId="1" type="noConversion"/>
  </si>
  <si>
    <t>方太JQD6T+HT8BE.S(天然气)油烟机燃气灶20大风量一键启动巨焰大火力新灶</t>
    <phoneticPr fontId="1" type="noConversion"/>
  </si>
  <si>
    <t>保修5年</t>
    <phoneticPr fontId="1" type="noConversion"/>
  </si>
  <si>
    <t>免费，辅材按实际情况收费</t>
    <phoneticPr fontId="1" type="noConversion"/>
  </si>
  <si>
    <t>请田孟吃饭</t>
    <phoneticPr fontId="1" type="noConversion"/>
  </si>
  <si>
    <t>去宜家</t>
    <phoneticPr fontId="1" type="noConversion"/>
  </si>
  <si>
    <t>2020/12/11，10：30-12：30；2020/12/11，14：30-17：30；2020/12/15，10：30-12：30；2020/12/15，14：30-17：00</t>
    <phoneticPr fontId="1" type="noConversion"/>
  </si>
  <si>
    <t>保温层包括保温岩棉、挂网、水泥砂浆，使用锤子、剪刀、电锤、电镐进行铲除、以及清渣</t>
    <phoneticPr fontId="1" type="noConversion"/>
  </si>
  <si>
    <r>
      <t>抹灰</t>
    </r>
    <r>
      <rPr>
        <sz val="16"/>
        <color theme="1"/>
        <rFont val="等线"/>
        <family val="4"/>
        <charset val="134"/>
      </rPr>
      <t>，铲遗留下来的外墙保温棉</t>
    </r>
    <phoneticPr fontId="1" type="noConversion"/>
  </si>
  <si>
    <t>水电</t>
    <phoneticPr fontId="1" type="noConversion"/>
  </si>
  <si>
    <t>买了两瓶眼药水舒缓</t>
    <phoneticPr fontId="1" type="noConversion"/>
  </si>
  <si>
    <t>拆开发商提供的电线盒看具体走线和是否能重用</t>
    <phoneticPr fontId="1" type="noConversion"/>
  </si>
  <si>
    <t>拆掉插座、开关、报警器、强弱电箱、网口、TV口、白炽灯线盒，查看每个节点的进出火、零、地线的情况并录像，配合物业提供的室内走电参考图，还原目前电路路线</t>
    <phoneticPr fontId="1" type="noConversion"/>
  </si>
  <si>
    <t>①注意用电安全，一定要断开强电箱总开关再进行操作</t>
    <phoneticPr fontId="1" type="noConversion"/>
  </si>
  <si>
    <t>保护</t>
    <phoneticPr fontId="1" type="noConversion"/>
  </si>
  <si>
    <t>2020/12/16，14：30-17：00</t>
    <phoneticPr fontId="1" type="noConversion"/>
  </si>
  <si>
    <t>使用保护膜保护目前室内所有北面的窗户，留南向窗通风</t>
    <phoneticPr fontId="1" type="noConversion"/>
  </si>
  <si>
    <t>①购买的静电吸附防护膜单层覆盖防护飞溅的水泥强度不够，需多层覆盖或者最好换无纺布防护</t>
    <phoneticPr fontId="1" type="noConversion"/>
  </si>
  <si>
    <t>南向窗必要时实施保护；如果两层防护不够，考虑更换无纺布</t>
    <phoneticPr fontId="1" type="noConversion"/>
  </si>
  <si>
    <t>买调料做鱿鱼</t>
    <phoneticPr fontId="1" type="noConversion"/>
  </si>
  <si>
    <t>2020/12/17，10：30-12：00；2020/12/17，14：30-17：30；2020/12/19，10：30-11：30；</t>
    <phoneticPr fontId="1" type="noConversion"/>
  </si>
  <si>
    <r>
      <t>窗户附近铲除后需再次挂网抹水泥砂浆以及后续操作；铲除后发现新封的窗钉大部分穿保温层固定，咨询卖窗商家答复没有安全隐患，但是会沿保温层渗水，</t>
    </r>
    <r>
      <rPr>
        <sz val="16"/>
        <color rgb="FFC00000"/>
        <rFont val="等线"/>
        <family val="3"/>
        <charset val="134"/>
      </rPr>
      <t>后续考虑使用防水专用水泥砂浆对全屋类似情况的窗户都进行封堵和加固，再辅以防水层提高防水性能</t>
    </r>
    <phoneticPr fontId="1" type="noConversion"/>
  </si>
  <si>
    <t>抹灰</t>
    <phoneticPr fontId="1" type="noConversion"/>
  </si>
  <si>
    <t>砌墙抹灰</t>
    <phoneticPr fontId="1" type="noConversion"/>
  </si>
  <si>
    <t>砌主卧门洞+飘窗、南次卧阳台、餐厅阳台抹灰</t>
    <phoneticPr fontId="1" type="noConversion"/>
  </si>
  <si>
    <t>红砖</t>
    <phoneticPr fontId="1" type="noConversion"/>
  </si>
  <si>
    <t>9期便民建材批发商店</t>
    <phoneticPr fontId="1" type="noConversion"/>
  </si>
  <si>
    <t>标准尺寸</t>
    <phoneticPr fontId="1" type="noConversion"/>
  </si>
  <si>
    <t>0.6 = (0.5/块+0.1/块上料)</t>
    <phoneticPr fontId="1" type="noConversion"/>
  </si>
  <si>
    <t>水泥</t>
    <phoneticPr fontId="1" type="noConversion"/>
  </si>
  <si>
    <t>26 = (25/袋+1/袋上料)</t>
    <phoneticPr fontId="1" type="noConversion"/>
  </si>
  <si>
    <t>沙子</t>
    <phoneticPr fontId="1" type="noConversion"/>
  </si>
  <si>
    <t>河沙，40kg/袋</t>
    <phoneticPr fontId="1" type="noConversion"/>
  </si>
  <si>
    <t>保温板</t>
    <phoneticPr fontId="1" type="noConversion"/>
  </si>
  <si>
    <t>胶钉</t>
    <phoneticPr fontId="1" type="noConversion"/>
  </si>
  <si>
    <t>胶泥</t>
    <phoneticPr fontId="1" type="noConversion"/>
  </si>
  <si>
    <t>网</t>
    <phoneticPr fontId="1" type="noConversion"/>
  </si>
  <si>
    <t>门梁</t>
    <phoneticPr fontId="1" type="noConversion"/>
  </si>
  <si>
    <t>5 = (4/袋+1/袋上料)</t>
    <phoneticPr fontId="1" type="noConversion"/>
  </si>
  <si>
    <t>120cmx60cm/块</t>
    <phoneticPr fontId="1" type="noConversion"/>
  </si>
  <si>
    <t>长1.25m, 横截面4cm*6cm</t>
    <phoneticPr fontId="1" type="noConversion"/>
  </si>
  <si>
    <t>25/m</t>
    <phoneticPr fontId="1" type="noConversion"/>
  </si>
  <si>
    <t>散工+业主</t>
    <phoneticPr fontId="1" type="noConversion"/>
  </si>
  <si>
    <t>业主</t>
    <phoneticPr fontId="1" type="noConversion"/>
  </si>
  <si>
    <t>① 师傅干一天我们跟着学，让师傅尽量把难做的部分做完，余下简单的活我们自己干完，可以省一天人工费用</t>
    <phoneticPr fontId="1" type="noConversion"/>
  </si>
  <si>
    <t>契税</t>
    <phoneticPr fontId="1" type="noConversion"/>
  </si>
  <si>
    <t>塑料盆</t>
    <phoneticPr fontId="1" type="noConversion"/>
  </si>
  <si>
    <t>8期楼下便利店</t>
    <phoneticPr fontId="1" type="noConversion"/>
  </si>
  <si>
    <t>粉笔</t>
    <phoneticPr fontId="1" type="noConversion"/>
  </si>
  <si>
    <t>白色一盒，彩色一盒</t>
    <phoneticPr fontId="1" type="noConversion"/>
  </si>
  <si>
    <t>抹灰泥板</t>
    <phoneticPr fontId="1" type="noConversion"/>
  </si>
  <si>
    <t xml:space="preserve"> 主卧门洞为红砖墙，左右宽15cm，厚12cm，高220cm，门洞上方加钢梁，两根长1.25m横截面4cm*6cm的钢梁拼接，新旧墙体衔接处每隔40cm左右掏一个洞，长砖嵌入，砌好后直接水泥砂浆抹平；抹灰部分，南次卧阳台左墙窗户缝隙处填水泥砂浆，然后铺2cm厚保温板，以胶钉固定，再加胶泥挂网和水泥砂浆抹平，顶部有掉落倾向的原挂网打一两个胶钉固定；厨房餐厅顶部有掉落倾向的原挂网打一个胶钉固定，胶泥抹平，定工人单人单日工期，剩余部分自己学着做完</t>
    <phoneticPr fontId="1" type="noConversion"/>
  </si>
  <si>
    <t>个人户口页</t>
    <phoneticPr fontId="1" type="noConversion"/>
  </si>
  <si>
    <t>Fesco借出</t>
    <phoneticPr fontId="1" type="noConversion"/>
  </si>
  <si>
    <t>燃气热水器</t>
    <phoneticPr fontId="1" type="noConversion"/>
  </si>
  <si>
    <t>390，160，600</t>
    <phoneticPr fontId="1" type="noConversion"/>
  </si>
  <si>
    <t>京东，海尔热水器隆阳专卖店</t>
    <phoneticPr fontId="1" type="noConversion"/>
  </si>
  <si>
    <t>厨房室内</t>
    <phoneticPr fontId="1" type="noConversion"/>
  </si>
  <si>
    <t>海尔燃气热水器JSQ31-16R5BW</t>
    <phoneticPr fontId="1" type="noConversion"/>
  </si>
  <si>
    <t>翻墙续费</t>
    <phoneticPr fontId="1" type="noConversion"/>
  </si>
  <si>
    <t>①飘窗窗台正下方加2cm厚保温板，以胶钉固定，再加胶泥挂网抹平    ②南次卧阳台右侧顶待胶泥干透后补两个胶钉  ③南次卧阳台剩下墙面师傅建议在刮大白的时候直接用石膏挂网抹平，建议咨询大白师傅 ④餐厅阳台剩下有保温棉的墙面挂网胶泥抹平，之后和其它墙面一起其它部分以水泥砂浆抹平    ⑤未用防水专用水泥，后续靠窗部分均需要做防水涂层⑥师傅门洞没有砌平砌垂直，需要再来修补</t>
    <phoneticPr fontId="1" type="noConversion"/>
  </si>
  <si>
    <t xml:space="preserve">2020/12/19，16：30-17：30（找师傅）                 2020/12/20，10：30-11：30（上料）                                       2020/12/21，8：30-11：30         2020/12/21，13：30-17：30      2020/12/24，12：00-13：00       2020/12/24，17：30-18：10       </t>
    <phoneticPr fontId="1" type="noConversion"/>
  </si>
  <si>
    <t>2020/12/25，10：00-13：30         2020/12/25，15：30-18：00</t>
    <phoneticPr fontId="1" type="noConversion"/>
  </si>
  <si>
    <t>①，②没有补，但是在餐厅阳台顶面补了一个，修补师傅遗留下来的明显裂缝，补砸墙遗留下来的缺角</t>
    <phoneticPr fontId="1" type="noConversion"/>
  </si>
  <si>
    <t>③④⑤⑥（有所改善，但是门洞内外墙面有倾斜角，如果要做窄边框一定需要再找平）</t>
    <phoneticPr fontId="1" type="noConversion"/>
  </si>
  <si>
    <t>纳米大厦房管局</t>
    <phoneticPr fontId="1" type="noConversion"/>
  </si>
  <si>
    <t>首套1.5%</t>
    <phoneticPr fontId="1" type="noConversion"/>
  </si>
  <si>
    <t>房本工本费</t>
    <phoneticPr fontId="1" type="noConversion"/>
  </si>
  <si>
    <t>TODO: 收货好评返200， 晒单赠品三选一(海尔熨烫机，红三角电饭锅，美菱电炒锅)，师傅上门安装时退还设计费30</t>
    <phoneticPr fontId="1" type="noConversion"/>
  </si>
  <si>
    <t>京东，海尔家电智选旗舰店</t>
    <phoneticPr fontId="1" type="noConversion"/>
  </si>
  <si>
    <t>TODO: 收货晒图送赠品（茶吧机）</t>
    <phoneticPr fontId="1" type="noConversion"/>
  </si>
  <si>
    <t>延迟送货（需要时提前联系商家），保价360天，整机一年，主件三年，送十年电机延保卡</t>
    <phoneticPr fontId="1" type="noConversion"/>
  </si>
  <si>
    <t>延迟送货（3月15号），保价30天，整机八年保修，免费上门，免费换零件，服务电话4006-999-999</t>
    <phoneticPr fontId="1" type="noConversion"/>
  </si>
  <si>
    <t>700，675，1775</t>
    <phoneticPr fontId="1" type="noConversion"/>
  </si>
  <si>
    <t>海尔冰箱十字对开门风冷无霜四门冰箱双变频大容量冰箱405升新国标一级能效阻氧干湿分储母婴专属空间</t>
    <phoneticPr fontId="1" type="noConversion"/>
  </si>
  <si>
    <t>浴缸</t>
    <phoneticPr fontId="1" type="noConversion"/>
  </si>
  <si>
    <t>抹灰抹子（光面）</t>
    <phoneticPr fontId="1" type="noConversion"/>
  </si>
  <si>
    <t>腾讯会员</t>
    <phoneticPr fontId="1" type="noConversion"/>
  </si>
  <si>
    <t>验孕棒15</t>
    <phoneticPr fontId="1" type="noConversion"/>
  </si>
  <si>
    <t>① 要根据自己定好的点位图纸和实际画线仔细对应，我们标识的已经很仔细了，但是实际画线中发现的问题：a) 主卧室进门的照明开关给画在了新砌的门边上，这样开槽势必会截断部分钢梁, 已调整为原墙面开槽 b) 燃气热水器的冷热水管没有按照实际管距开槽，选款冷热管距20.9cm, 实际开槽15cm, 还好问了海尔售后说不影响安装，燃气热水器的电热防冻插座要距离机器10cm左右，这里也让师傅调整了一下距离 ② 施工不规范：a) 给线盒打发泡(跟师傅说改水泥砂浆、胶泥或者石膏，但是他为了省工人费用不同意，看看能不能自己搞一下)，b) 冷热水管紧贴着走</t>
    <phoneticPr fontId="1" type="noConversion"/>
  </si>
  <si>
    <t>日工结束支付全款</t>
    <phoneticPr fontId="1" type="noConversion"/>
  </si>
  <si>
    <t>岳岳手机充值50，验孕棒15，喜家德118</t>
    <phoneticPr fontId="1" type="noConversion"/>
  </si>
  <si>
    <t>岳岳生日蛋糕</t>
    <phoneticPr fontId="1" type="noConversion"/>
  </si>
  <si>
    <t>施工</t>
    <phoneticPr fontId="1" type="noConversion"/>
  </si>
  <si>
    <t>现场沟通水电点位给报价，定师傅，下料和订购，联系水钻工人</t>
    <phoneticPr fontId="1" type="noConversion"/>
  </si>
  <si>
    <t>2020/12/31，10：00-18：00 2021/01/01，10：30-12：00  2021/01/03，11：30-17：30</t>
    <phoneticPr fontId="1" type="noConversion"/>
  </si>
  <si>
    <t>从不同渠道联系到5个水电工，单独约实地沟通水电计划让师傅出报价（走水and/or走电，包工or包工包料），选择权重 价格&gt;是否容易沟通&gt;渠道信赖度选师傅，让师傅下料，去购买施工材料，联系水钻工人</t>
    <phoneticPr fontId="1" type="noConversion"/>
  </si>
  <si>
    <t>师傅（孟师傅-电话13942626713）砌墙敷衍！</t>
    <phoneticPr fontId="1" type="noConversion"/>
  </si>
  <si>
    <r>
      <t>①21号第一天砌墙的时候比较相信师傅，门洞不平不垂直没有及时发现，22号发现，23号疫情做核酸检测，24号师傅中午和晚上才有空过来做修补，严重拖慢了工期；</t>
    </r>
    <r>
      <rPr>
        <sz val="16"/>
        <color rgb="FFC00000"/>
        <rFont val="等线"/>
        <family val="3"/>
        <charset val="134"/>
      </rPr>
      <t>一定不要轻易相信散工的人品，你以为的默认的标准只要不明说不强调，散工就会随便糊弄</t>
    </r>
    <phoneticPr fontId="1" type="noConversion"/>
  </si>
  <si>
    <r>
      <t>开发商的线路可靠性存疑(主卧卫生间灯跳闸一次)，</t>
    </r>
    <r>
      <rPr>
        <sz val="16"/>
        <color rgb="FFC00000"/>
        <rFont val="等线"/>
        <family val="3"/>
        <charset val="134"/>
      </rPr>
      <t>要么全屋换线要么电改完之后仔细验收</t>
    </r>
    <phoneticPr fontId="1" type="noConversion"/>
  </si>
  <si>
    <t>孟</t>
    <phoneticPr fontId="1" type="noConversion"/>
  </si>
  <si>
    <t>品诺装饰（砸墙）</t>
    <phoneticPr fontId="1" type="noConversion"/>
  </si>
  <si>
    <t>王</t>
    <phoneticPr fontId="1" type="noConversion"/>
  </si>
  <si>
    <t>水钻打眼</t>
    <phoneticPr fontId="1" type="noConversion"/>
  </si>
  <si>
    <t>赵</t>
    <phoneticPr fontId="1" type="noConversion"/>
  </si>
  <si>
    <t>其它商家</t>
    <phoneticPr fontId="1" type="noConversion"/>
  </si>
  <si>
    <t>岳威，15241464419</t>
    <phoneticPr fontId="1" type="noConversion"/>
  </si>
  <si>
    <t>水：从厕所走进水到两个卫生间，主冷水管6分，进两个卫生间6变4，卫生间和厨房内部都是4分管，燃气热水器回水和热水都是4分，只做主管回水；电：分8个回路（①全屋（不含厨房和卫生间）照明，②主次卫生间，③厨房，④全屋（不含厨房和卫生间）插座，⑤冰箱，⑥客厅柜机空调，⑦北卧室挂机空调，⑧南卧室挂机空调），换强电空开，不做全屋换线；水钻眼：共13个穿梁眼（10个40走水，3个走电），1个燃气热水器排气管</t>
    <phoneticPr fontId="1" type="noConversion"/>
  </si>
  <si>
    <t>幸福家居建材市场</t>
    <phoneticPr fontId="1" type="noConversion"/>
  </si>
  <si>
    <t>下水管隔音棉</t>
    <phoneticPr fontId="1" type="noConversion"/>
  </si>
  <si>
    <t>项目</t>
    <phoneticPr fontId="1" type="noConversion"/>
  </si>
  <si>
    <t>砌墙</t>
    <phoneticPr fontId="1" type="noConversion"/>
  </si>
  <si>
    <t>单项合计</t>
    <phoneticPr fontId="1" type="noConversion"/>
  </si>
  <si>
    <t>料量按散工要求购买，共479, 人工费450/天,师傅喝水2块</t>
    <phoneticPr fontId="1" type="noConversion"/>
  </si>
  <si>
    <t>50kg/袋，小野田425</t>
    <phoneticPr fontId="1" type="noConversion"/>
  </si>
  <si>
    <t>26.5=(25/袋+1.5/袋上料)</t>
    <phoneticPr fontId="1" type="noConversion"/>
  </si>
  <si>
    <t>5.5=(4/袋+1.5/袋上料)</t>
    <phoneticPr fontId="1" type="noConversion"/>
  </si>
  <si>
    <t>0.5/块，共20上料费</t>
    <phoneticPr fontId="1" type="noConversion"/>
  </si>
  <si>
    <t>1.5cm厚，7.5米长，1米宽</t>
    <phoneticPr fontId="1" type="noConversion"/>
  </si>
  <si>
    <t>买菜、炒板栗、fresh</t>
    <phoneticPr fontId="1" type="noConversion"/>
  </si>
  <si>
    <t>防水丙纶布</t>
    <phoneticPr fontId="1" type="noConversion"/>
  </si>
  <si>
    <t>小比利</t>
    <phoneticPr fontId="1" type="noConversion"/>
  </si>
  <si>
    <t>5/米</t>
    <phoneticPr fontId="1" type="noConversion"/>
  </si>
  <si>
    <t>胶粉</t>
    <phoneticPr fontId="1" type="noConversion"/>
  </si>
  <si>
    <t>14/袋</t>
    <phoneticPr fontId="1" type="noConversion"/>
  </si>
  <si>
    <t>伟星</t>
    <phoneticPr fontId="1" type="noConversion"/>
  </si>
  <si>
    <t>6分ppr 45°弯头</t>
    <phoneticPr fontId="1" type="noConversion"/>
  </si>
  <si>
    <t>6分ppr弯头</t>
    <phoneticPr fontId="1" type="noConversion"/>
  </si>
  <si>
    <t>6分ppr管</t>
    <phoneticPr fontId="1" type="noConversion"/>
  </si>
  <si>
    <t>6分ppr 直接</t>
    <phoneticPr fontId="1" type="noConversion"/>
  </si>
  <si>
    <t>6变4ppr三通</t>
    <phoneticPr fontId="1" type="noConversion"/>
  </si>
  <si>
    <t>6变4ppr直接</t>
    <phoneticPr fontId="1" type="noConversion"/>
  </si>
  <si>
    <t>6变4ppr弯头</t>
    <phoneticPr fontId="1" type="noConversion"/>
  </si>
  <si>
    <t>6分保温棉</t>
    <phoneticPr fontId="1" type="noConversion"/>
  </si>
  <si>
    <t>6分球阀</t>
    <phoneticPr fontId="1" type="noConversion"/>
  </si>
  <si>
    <t>4分ppr管</t>
    <phoneticPr fontId="1" type="noConversion"/>
  </si>
  <si>
    <t>4分ppr弯头</t>
    <phoneticPr fontId="1" type="noConversion"/>
  </si>
  <si>
    <t>4分ppr三通</t>
    <phoneticPr fontId="1" type="noConversion"/>
  </si>
  <si>
    <t>4分ppr 45°弯头</t>
    <phoneticPr fontId="1" type="noConversion"/>
  </si>
  <si>
    <t>4分内丝弯头</t>
    <phoneticPr fontId="1" type="noConversion"/>
  </si>
  <si>
    <t>4分ppr内丝三通</t>
    <phoneticPr fontId="1" type="noConversion"/>
  </si>
  <si>
    <t>4分连体弯头</t>
    <phoneticPr fontId="1" type="noConversion"/>
  </si>
  <si>
    <t>塑料丝堵</t>
    <phoneticPr fontId="1" type="noConversion"/>
  </si>
  <si>
    <t>打压用角阀</t>
    <phoneticPr fontId="1" type="noConversion"/>
  </si>
  <si>
    <t>4分管古（内螺纹直接）</t>
    <phoneticPr fontId="1" type="noConversion"/>
  </si>
  <si>
    <t>打压用长软管</t>
    <phoneticPr fontId="1" type="noConversion"/>
  </si>
  <si>
    <t>4分红色保温棉</t>
    <phoneticPr fontId="1" type="noConversion"/>
  </si>
  <si>
    <t>4分蓝色保温棉</t>
    <phoneticPr fontId="1" type="noConversion"/>
  </si>
  <si>
    <t>4分管夹子</t>
    <phoneticPr fontId="1" type="noConversion"/>
  </si>
  <si>
    <t>1寸管夹子</t>
    <phoneticPr fontId="1" type="noConversion"/>
  </si>
  <si>
    <t>生料带</t>
    <phoneticPr fontId="1" type="noConversion"/>
  </si>
  <si>
    <t>100扁管</t>
    <phoneticPr fontId="1" type="noConversion"/>
  </si>
  <si>
    <t>50直接</t>
    <phoneticPr fontId="1" type="noConversion"/>
  </si>
  <si>
    <t>50单口弯头</t>
    <phoneticPr fontId="1" type="noConversion"/>
  </si>
  <si>
    <t>50弯头</t>
    <phoneticPr fontId="1" type="noConversion"/>
  </si>
  <si>
    <t>50下水管</t>
    <phoneticPr fontId="1" type="noConversion"/>
  </si>
  <si>
    <t>下水胶</t>
    <phoneticPr fontId="1" type="noConversion"/>
  </si>
  <si>
    <t>水电改造-下水</t>
    <phoneticPr fontId="1" type="noConversion"/>
  </si>
  <si>
    <t>水电改造-生活用水</t>
    <phoneticPr fontId="1" type="noConversion"/>
  </si>
  <si>
    <t>4平方线红、蓝、花（黄绿双色）</t>
    <phoneticPr fontId="1" type="noConversion"/>
  </si>
  <si>
    <t>2.5平方线红、蓝、白、绿</t>
    <phoneticPr fontId="1" type="noConversion"/>
  </si>
  <si>
    <t>3分线管</t>
    <phoneticPr fontId="1" type="noConversion"/>
  </si>
  <si>
    <t>3分线管接头</t>
    <phoneticPr fontId="1" type="noConversion"/>
  </si>
  <si>
    <t>3分线盒活结</t>
    <phoneticPr fontId="1" type="noConversion"/>
  </si>
  <si>
    <t>线盒</t>
    <phoneticPr fontId="1" type="noConversion"/>
  </si>
  <si>
    <t>连体线盒</t>
    <phoneticPr fontId="1" type="noConversion"/>
  </si>
  <si>
    <t>盒盖</t>
    <phoneticPr fontId="1" type="noConversion"/>
  </si>
  <si>
    <t>发泡胶</t>
    <phoneticPr fontId="1" type="noConversion"/>
  </si>
  <si>
    <t>开槽锯片</t>
    <phoneticPr fontId="1" type="noConversion"/>
  </si>
  <si>
    <t>割铁锯片</t>
    <phoneticPr fontId="1" type="noConversion"/>
  </si>
  <si>
    <t>腊管</t>
    <phoneticPr fontId="1" type="noConversion"/>
  </si>
  <si>
    <t>电布</t>
    <phoneticPr fontId="1" type="noConversion"/>
  </si>
  <si>
    <t>网线</t>
    <phoneticPr fontId="1" type="noConversion"/>
  </si>
  <si>
    <t>钢丝</t>
    <phoneticPr fontId="1" type="noConversion"/>
  </si>
  <si>
    <t>蛇皮螺纹管</t>
    <phoneticPr fontId="1" type="noConversion"/>
  </si>
  <si>
    <t>3分线夹子</t>
    <phoneticPr fontId="1" type="noConversion"/>
  </si>
  <si>
    <t>水电改造-电</t>
    <phoneticPr fontId="1" type="noConversion"/>
  </si>
  <si>
    <t>9期便民建材批发商店</t>
  </si>
  <si>
    <t>35/根，每根4米</t>
    <phoneticPr fontId="1" type="noConversion"/>
  </si>
  <si>
    <t>4/根，每根4米</t>
    <phoneticPr fontId="1" type="noConversion"/>
  </si>
  <si>
    <t>10/根</t>
    <phoneticPr fontId="1" type="noConversion"/>
  </si>
  <si>
    <t>3/根</t>
    <phoneticPr fontId="1" type="noConversion"/>
  </si>
  <si>
    <t>6/袋</t>
    <phoneticPr fontId="1" type="noConversion"/>
  </si>
  <si>
    <t>5/袋</t>
    <phoneticPr fontId="1" type="noConversion"/>
  </si>
  <si>
    <t>100扁移位器一套</t>
    <phoneticPr fontId="1" type="noConversion"/>
  </si>
  <si>
    <t>15/米</t>
    <phoneticPr fontId="1" type="noConversion"/>
  </si>
  <si>
    <t>50三通</t>
    <phoneticPr fontId="1" type="noConversion"/>
  </si>
  <si>
    <t>6/米</t>
    <phoneticPr fontId="1" type="noConversion"/>
  </si>
  <si>
    <t>25/桶</t>
    <phoneticPr fontId="1" type="noConversion"/>
  </si>
  <si>
    <t>222/捆</t>
    <phoneticPr fontId="1" type="noConversion"/>
  </si>
  <si>
    <t>145/捆</t>
    <phoneticPr fontId="1" type="noConversion"/>
  </si>
  <si>
    <t>1/根</t>
    <phoneticPr fontId="1" type="noConversion"/>
  </si>
  <si>
    <t>4/米</t>
    <phoneticPr fontId="1" type="noConversion"/>
  </si>
  <si>
    <t>六类线</t>
    <phoneticPr fontId="1" type="noConversion"/>
  </si>
  <si>
    <t>1/米</t>
    <phoneticPr fontId="1" type="noConversion"/>
  </si>
  <si>
    <t>灯头+200瓦灯泡</t>
    <phoneticPr fontId="1" type="noConversion"/>
  </si>
  <si>
    <t>50管45°弯头</t>
    <phoneticPr fontId="1" type="noConversion"/>
  </si>
  <si>
    <t>60/根，每根4米</t>
    <phoneticPr fontId="1" type="noConversion"/>
  </si>
  <si>
    <t>1寸吊夹</t>
    <phoneticPr fontId="1" type="noConversion"/>
  </si>
  <si>
    <t>20/袋</t>
    <phoneticPr fontId="1" type="noConversion"/>
  </si>
  <si>
    <t>堵漏王</t>
    <phoneticPr fontId="1" type="noConversion"/>
  </si>
  <si>
    <t>8/袋</t>
    <phoneticPr fontId="1" type="noConversion"/>
  </si>
  <si>
    <t>可能是退款的时候识别错误</t>
  </si>
  <si>
    <t>可能是退款的时候识别错误</t>
    <phoneticPr fontId="1" type="noConversion"/>
  </si>
  <si>
    <t>①涉及到燃气管路附近的用电要慎重，跟洗碗机商家确认洗碗机为前置散热，跟燃气公司确认可以沿墙角走燃气管路 ②其它工地上看到的不规范工艺一定要提前跟工人说，不说他们就会默认怎么方便怎么来（比如这次的线盒用发泡固定）③上料一定要仔细核对，不论大小件全部数好，少了让卖家及时补齐 ④抽出来的废弃电线自己收好，可以卖钱，不然就被工人带走了⑤打眼的活能干的都让师傅一起干了，可以省一些钱</t>
    <phoneticPr fontId="1" type="noConversion"/>
  </si>
  <si>
    <t>瓷砖样品</t>
    <phoneticPr fontId="1" type="noConversion"/>
  </si>
  <si>
    <t>1688+淘宝</t>
    <phoneticPr fontId="1" type="noConversion"/>
  </si>
  <si>
    <t>地板样品</t>
    <phoneticPr fontId="1" type="noConversion"/>
  </si>
  <si>
    <t>常州市木佳伊木业16+大自然8</t>
    <phoneticPr fontId="1" type="noConversion"/>
  </si>
  <si>
    <t>瓷砖</t>
    <phoneticPr fontId="1" type="noConversion"/>
  </si>
  <si>
    <t>佛山市陶域建材有限公司，H6101M通体中灰哑光600*600，6701Z通体深灰哑光600*600</t>
    <phoneticPr fontId="1" type="noConversion"/>
  </si>
  <si>
    <t>厨房墙地：H6101M，80块卫生间墙地：6701Z，156块</t>
    <phoneticPr fontId="1" type="noConversion"/>
  </si>
  <si>
    <t>色初23+意大利米兰27+恒志13+玛喆20+方拓12+德胜居18+乐鑫20</t>
    <phoneticPr fontId="1" type="noConversion"/>
  </si>
  <si>
    <t>H6101M 20/块，6701Z 23/块</t>
    <phoneticPr fontId="1" type="noConversion"/>
  </si>
  <si>
    <t>7594 =（7444（=瓷砖5188+加工费756+运费1500）+ 上楼搬运费 150）</t>
    <phoneticPr fontId="1" type="noConversion"/>
  </si>
  <si>
    <t>6650=（6500=（瓷砖4500+加工费500+运费1500）+上楼搬运费 150）</t>
    <phoneticPr fontId="1" type="noConversion"/>
  </si>
  <si>
    <t>附件</t>
    <phoneticPr fontId="1" type="noConversion"/>
  </si>
  <si>
    <t>瓷砖缝十字架</t>
    <phoneticPr fontId="1" type="noConversion"/>
  </si>
  <si>
    <t>①瓷砖是附送瓷砖缝十字架的，但是店家没有1.5mm的，所以一起另买了 ②购买总面积为5平，实际铺设面积为77平，余量为10%，如果考虑到橱柜遮挡部分用杂砖，总体费用能更便宜</t>
    <phoneticPr fontId="1" type="noConversion"/>
  </si>
  <si>
    <t>河北浩哥塑料制品有限公司</t>
    <phoneticPr fontId="1" type="noConversion"/>
  </si>
  <si>
    <t>1.5mm 5包，2.0mm 5包，2.5mm 10包，每包100个</t>
    <phoneticPr fontId="1" type="noConversion"/>
  </si>
  <si>
    <t>瓷砖背胶</t>
    <phoneticPr fontId="1" type="noConversion"/>
  </si>
  <si>
    <t>德高，低吸水率玻化砖专用背胶，强效瓷砖背胶耐水型</t>
    <phoneticPr fontId="1" type="noConversion"/>
  </si>
  <si>
    <t>官方渠道验证真伪</t>
    <phoneticPr fontId="1" type="noConversion"/>
  </si>
  <si>
    <t>背胶滚筒</t>
    <phoneticPr fontId="1" type="noConversion"/>
  </si>
  <si>
    <t>200/桶，规格5KG, 理论施工45平米</t>
    <phoneticPr fontId="1" type="noConversion"/>
  </si>
  <si>
    <t>兴旺望建材商行</t>
    <phoneticPr fontId="1" type="noConversion"/>
  </si>
  <si>
    <t>26=(25/袋+1/袋上料)</t>
    <phoneticPr fontId="1" type="noConversion"/>
  </si>
  <si>
    <t>5=(4/袋+1/袋上料)</t>
    <phoneticPr fontId="1" type="noConversion"/>
  </si>
  <si>
    <t>0.6=(0.5/块，0.1/上料)</t>
    <phoneticPr fontId="1" type="noConversion"/>
  </si>
  <si>
    <t>砂浆防水剂</t>
    <phoneticPr fontId="1" type="noConversion"/>
  </si>
  <si>
    <t>劳亚尔1:50浓缩型</t>
    <phoneticPr fontId="1" type="noConversion"/>
  </si>
  <si>
    <t>35/桶，规格500ml</t>
    <phoneticPr fontId="1" type="noConversion"/>
  </si>
  <si>
    <t>5A锯片</t>
    <phoneticPr fontId="1" type="noConversion"/>
  </si>
  <si>
    <t>瓦工</t>
    <phoneticPr fontId="1" type="noConversion"/>
  </si>
  <si>
    <t>闭水试验</t>
    <phoneticPr fontId="1" type="noConversion"/>
  </si>
  <si>
    <t>2021/01/21，08：30-10：00（蓄水）                                  2021/01/23，11：00-13：30（放水）</t>
    <phoneticPr fontId="1" type="noConversion"/>
  </si>
  <si>
    <t>瓷砖到货，买酒精消毒湿巾</t>
    <phoneticPr fontId="1" type="noConversion"/>
  </si>
  <si>
    <t>沙子水泥上料</t>
    <phoneticPr fontId="1" type="noConversion"/>
  </si>
  <si>
    <t>空开</t>
    <phoneticPr fontId="1" type="noConversion"/>
  </si>
  <si>
    <t>潜水艇</t>
    <phoneticPr fontId="1" type="noConversion"/>
  </si>
  <si>
    <t>施耐德</t>
    <phoneticPr fontId="1" type="noConversion"/>
  </si>
  <si>
    <t>前置上门费</t>
    <phoneticPr fontId="1" type="noConversion"/>
  </si>
  <si>
    <t>还户口，去金三角看木地板</t>
    <phoneticPr fontId="1" type="noConversion"/>
  </si>
  <si>
    <t>瓷砖美缝剂</t>
    <phoneticPr fontId="1" type="noConversion"/>
  </si>
  <si>
    <t>押金500（已退还）</t>
    <phoneticPr fontId="1" type="noConversion"/>
  </si>
  <si>
    <t>12月25号农行春柳支行提交材料和工本费；2月4号农行周水子支行提交取房本申请；2月9号农行周水子支行取房本</t>
    <phoneticPr fontId="1" type="noConversion"/>
  </si>
  <si>
    <t>便携免洗洗手液</t>
    <phoneticPr fontId="1" type="noConversion"/>
  </si>
  <si>
    <t>买一瓶洗洁精</t>
    <phoneticPr fontId="1" type="noConversion"/>
  </si>
  <si>
    <t>瓦工结束后打扫卫生，买襄阳牛杂面</t>
    <phoneticPr fontId="1" type="noConversion"/>
  </si>
  <si>
    <t>买两袋牛奶</t>
    <phoneticPr fontId="1" type="noConversion"/>
  </si>
  <si>
    <t>﹣130=(沙子退货﹣200元+搬运费70)</t>
    <phoneticPr fontId="1" type="noConversion"/>
  </si>
  <si>
    <t>线盒盖</t>
    <phoneticPr fontId="1" type="noConversion"/>
  </si>
  <si>
    <t>0.5/个</t>
    <phoneticPr fontId="1" type="noConversion"/>
  </si>
  <si>
    <t>取挡水条</t>
    <phoneticPr fontId="1" type="noConversion"/>
  </si>
  <si>
    <t>买化妆棉</t>
    <phoneticPr fontId="1" type="noConversion"/>
  </si>
  <si>
    <t>香山0.1克高精准电子秤厨房秤EK813</t>
    <phoneticPr fontId="1" type="noConversion"/>
  </si>
  <si>
    <t>瓷砖美缝工具-电子秤</t>
    <phoneticPr fontId="1" type="noConversion"/>
  </si>
  <si>
    <t>瓷砖美缝工具-海绵</t>
    <phoneticPr fontId="1" type="noConversion"/>
  </si>
  <si>
    <t>洗车擦车海绵块</t>
    <phoneticPr fontId="1" type="noConversion"/>
  </si>
  <si>
    <t>取环氧彩砂</t>
    <phoneticPr fontId="1" type="noConversion"/>
  </si>
  <si>
    <t>马贝环氧彩砂，5kg装，131：120调色</t>
    <phoneticPr fontId="1" type="noConversion"/>
  </si>
  <si>
    <t>800/桶</t>
    <phoneticPr fontId="1" type="noConversion"/>
  </si>
  <si>
    <t>挡水条</t>
    <phoneticPr fontId="1" type="noConversion"/>
  </si>
  <si>
    <t>纯黑色人造石U型非实心1.68m</t>
    <phoneticPr fontId="1" type="noConversion"/>
  </si>
  <si>
    <t>卫生间防水：第一层墙面直接涂稀释好的劳亚尔防水剂，第二层胶粉兑水泥砂浆贴防水布，第三层水泥砂浆保护层</t>
    <phoneticPr fontId="1" type="noConversion"/>
  </si>
  <si>
    <t>散工</t>
    <phoneticPr fontId="1" type="noConversion"/>
  </si>
  <si>
    <t>地漏</t>
    <phoneticPr fontId="1" type="noConversion"/>
  </si>
  <si>
    <t>3（一个湿区，两个干区）</t>
    <phoneticPr fontId="1" type="noConversion"/>
  </si>
  <si>
    <t>卫生间下水包管：隔音棉和透明胶带包管，然后用红砖水泥包平</t>
    <phoneticPr fontId="1" type="noConversion"/>
  </si>
  <si>
    <t>0.5/块</t>
    <phoneticPr fontId="1" type="noConversion"/>
  </si>
  <si>
    <t>透明胶带</t>
    <phoneticPr fontId="1" type="noConversion"/>
  </si>
  <si>
    <t>7/卷</t>
    <phoneticPr fontId="1" type="noConversion"/>
  </si>
  <si>
    <t>80/卷</t>
    <phoneticPr fontId="1" type="noConversion"/>
  </si>
  <si>
    <t>厨房卫生间贴瓷砖：厨房不用墙地对缝，卫生间三面墙地对缝，厨卫窗户不做倒角和阳角条直接拼接</t>
    <phoneticPr fontId="1" type="noConversion"/>
  </si>
  <si>
    <t>客餐厅卧室走廊地面找平：地面使用胶粉兑水浇湿，水泥砂浆找高度约2~3厘米（预留1.6cm的地板厚度），表面撒水泥抹光</t>
    <phoneticPr fontId="1" type="noConversion"/>
  </si>
  <si>
    <t>散工+业主（涂瓷砖背胶）</t>
    <phoneticPr fontId="1" type="noConversion"/>
  </si>
  <si>
    <t>散工+业主（隔音棉包管）</t>
    <phoneticPr fontId="1" type="noConversion"/>
  </si>
  <si>
    <t>瓷砖美缝工具-刮刀</t>
    <phoneticPr fontId="1" type="noConversion"/>
  </si>
  <si>
    <t>瓷砖美缝工具-刮板</t>
    <phoneticPr fontId="1" type="noConversion"/>
  </si>
  <si>
    <t>瓷砖美缝工具-勾缝刀</t>
    <phoneticPr fontId="1" type="noConversion"/>
  </si>
  <si>
    <t>孙*学</t>
    <phoneticPr fontId="1" type="noConversion"/>
  </si>
  <si>
    <t>13604281790，辽B D23B2</t>
    <phoneticPr fontId="1" type="noConversion"/>
  </si>
  <si>
    <t>完活日当天结束支付</t>
    <phoneticPr fontId="1" type="noConversion"/>
  </si>
  <si>
    <t>2021/01/17，08：00-17：00      2021/01/18，08：00-17：00</t>
    <phoneticPr fontId="1" type="noConversion"/>
  </si>
  <si>
    <t>贴厨卫瓷砖</t>
    <phoneticPr fontId="1" type="noConversion"/>
  </si>
  <si>
    <t>2021/01/26，10：20-11：00（上料）                                     2021/01/27-2021/02/01，07：30-17：00</t>
    <phoneticPr fontId="1" type="noConversion"/>
  </si>
  <si>
    <t>地面找平</t>
    <phoneticPr fontId="1" type="noConversion"/>
  </si>
  <si>
    <t>2021/02/03-2021/02/04，07：30-17：00</t>
    <phoneticPr fontId="1" type="noConversion"/>
  </si>
  <si>
    <t>水泥砂浆红砖包管和防水</t>
    <phoneticPr fontId="1" type="noConversion"/>
  </si>
  <si>
    <t>根据我们出的图纸画线（工人用的是水平尺+记号笔，没有用弹线），开槽，打水钻眼，布线，换空开</t>
    <phoneticPr fontId="1" type="noConversion"/>
  </si>
  <si>
    <t>楼下建材店</t>
    <phoneticPr fontId="1" type="noConversion"/>
  </si>
  <si>
    <t>春节休息，年三十</t>
    <phoneticPr fontId="1" type="noConversion"/>
  </si>
  <si>
    <t>春节休息，年初一</t>
    <phoneticPr fontId="1" type="noConversion"/>
  </si>
  <si>
    <t>春节休息，年初二，去东港玩儿吃港式茶餐厅</t>
    <phoneticPr fontId="1" type="noConversion"/>
  </si>
  <si>
    <t>春节休息，买菜准备过年，吃荆楚人家</t>
    <phoneticPr fontId="1" type="noConversion"/>
  </si>
  <si>
    <t>&gt;&gt;开始贴砖</t>
    <phoneticPr fontId="1" type="noConversion"/>
  </si>
  <si>
    <t>&gt;&gt;闭水试验（蓄水），买绝味鸭脖</t>
    <phoneticPr fontId="1" type="noConversion"/>
  </si>
  <si>
    <t>&lt;&lt;闭水试验（放水），晚上打车去医大二院</t>
    <phoneticPr fontId="1" type="noConversion"/>
  </si>
  <si>
    <t>&lt;&lt;结束贴砖，水泥沙子上料</t>
    <phoneticPr fontId="1" type="noConversion"/>
  </si>
  <si>
    <t>&gt;&gt;开始找平</t>
    <phoneticPr fontId="1" type="noConversion"/>
  </si>
  <si>
    <t>&lt;&lt;瓦工结束</t>
    <phoneticPr fontId="1" type="noConversion"/>
  </si>
  <si>
    <t>&gt;&gt;开始瓦工，做包管防水，给瓦工孙女买了一杯奶茶</t>
    <phoneticPr fontId="1" type="noConversion"/>
  </si>
  <si>
    <t>&gt;&gt;开始换空开</t>
    <phoneticPr fontId="1" type="noConversion"/>
  </si>
  <si>
    <t>&lt;&lt;换空开结束</t>
    <phoneticPr fontId="1" type="noConversion"/>
  </si>
  <si>
    <t>&lt;&lt;结束清砖</t>
    <phoneticPr fontId="1" type="noConversion"/>
  </si>
  <si>
    <t>&gt;&gt;开始清砖（面+缝）买验孕棒</t>
    <phoneticPr fontId="1" type="noConversion"/>
  </si>
  <si>
    <t>&gt;&gt;开始填缝</t>
    <phoneticPr fontId="1" type="noConversion"/>
  </si>
  <si>
    <t>元宵节休息，买饺子皮</t>
    <phoneticPr fontId="1" type="noConversion"/>
  </si>
  <si>
    <t>休息</t>
    <phoneticPr fontId="1" type="noConversion"/>
  </si>
  <si>
    <t>完成次卫墙地填缝</t>
    <phoneticPr fontId="1" type="noConversion"/>
  </si>
  <si>
    <t>木工</t>
    <phoneticPr fontId="1" type="noConversion"/>
  </si>
  <si>
    <t xml:space="preserve">2021/01/04，7：30-17：00          2021/01/05，7：00-18：00         </t>
    <phoneticPr fontId="1" type="noConversion"/>
  </si>
  <si>
    <t>换空开</t>
    <phoneticPr fontId="1" type="noConversion"/>
  </si>
  <si>
    <t>美缝</t>
    <phoneticPr fontId="1" type="noConversion"/>
  </si>
  <si>
    <t>清缝</t>
    <phoneticPr fontId="1" type="noConversion"/>
  </si>
  <si>
    <t>填缝</t>
    <phoneticPr fontId="1" type="noConversion"/>
  </si>
  <si>
    <t>查漏补缺</t>
    <phoneticPr fontId="1" type="noConversion"/>
  </si>
  <si>
    <t xml:space="preserve">2021/02/08，10：30-17：00          2021/02/09，10：30-17：00         </t>
    <phoneticPr fontId="1" type="noConversion"/>
  </si>
  <si>
    <t>按照设计更换强电箱中的空气开关，初步验证所有回路按照设计方案连接正确</t>
    <phoneticPr fontId="1" type="noConversion"/>
  </si>
  <si>
    <t>水泥沙子干铺压实，水泥素灰抹平，线盒线槽水泥砂浆填充</t>
    <phoneticPr fontId="1" type="noConversion"/>
  </si>
  <si>
    <r>
      <rPr>
        <sz val="16"/>
        <color theme="1"/>
        <rFont val="等线"/>
        <family val="4"/>
        <charset val="134"/>
      </rPr>
      <t>④⑤完成，</t>
    </r>
    <r>
      <rPr>
        <sz val="16"/>
        <color rgb="FFC00000"/>
        <rFont val="等线"/>
        <family val="4"/>
        <charset val="134"/>
      </rPr>
      <t>⑧初步验证没有问题，后续安装插座后再仔细验证</t>
    </r>
    <phoneticPr fontId="1" type="noConversion"/>
  </si>
  <si>
    <r>
      <rPr>
        <sz val="16"/>
        <color theme="1"/>
        <rFont val="等线"/>
        <family val="4"/>
        <charset val="134"/>
      </rPr>
      <t>①安全起见，厨房燃气管左侧的插座不保留</t>
    </r>
    <r>
      <rPr>
        <sz val="16"/>
        <color rgb="FFC00000"/>
        <rFont val="等线"/>
        <family val="3"/>
        <charset val="134"/>
      </rPr>
      <t xml:space="preserve"> </t>
    </r>
    <r>
      <rPr>
        <sz val="16"/>
        <color theme="1"/>
        <rFont val="等线"/>
        <family val="4"/>
        <charset val="134"/>
      </rPr>
      <t>②已走的冷热水管需要拉开一点距离，没有走的冷热水管不可以再紧贴，尽量留有一点距离 ③ 卫生间马桶下水使用扁管移位没有带来地面高度的提升 ④ 空气开关由下进上出改为通用做法上进下出，更换空开 ⑤ 线盒发泡抠出来改为水泥砂浆</t>
    </r>
    <r>
      <rPr>
        <sz val="16"/>
        <color rgb="FFC00000"/>
        <rFont val="等线"/>
        <family val="3"/>
        <charset val="134"/>
      </rPr>
      <t xml:space="preserve"> </t>
    </r>
    <r>
      <rPr>
        <sz val="16"/>
        <color theme="1"/>
        <rFont val="等线"/>
        <family val="4"/>
        <charset val="134"/>
      </rPr>
      <t>⑥不需要的点位能抽空就抽空</t>
    </r>
    <r>
      <rPr>
        <sz val="16"/>
        <color rgb="FFC00000"/>
        <rFont val="等线"/>
        <family val="3"/>
        <charset val="134"/>
      </rPr>
      <t xml:space="preserve"> ⑦ 全屋水电走完拍照留底，保留详细尺寸，标注未走活线的路径(入户卧室，客厅灯、厨房阳台灯、南次卧阳台灯) ⑧ 验收（</t>
    </r>
    <r>
      <rPr>
        <sz val="16"/>
        <color theme="1"/>
        <rFont val="等线"/>
        <family val="4"/>
        <charset val="134"/>
      </rPr>
      <t>约伟星打压</t>
    </r>
    <r>
      <rPr>
        <sz val="16"/>
        <color rgb="FFC00000"/>
        <rFont val="等线"/>
        <family val="3"/>
        <charset val="134"/>
      </rPr>
      <t>，验证电路各项回路和安装）</t>
    </r>
    <r>
      <rPr>
        <sz val="16"/>
        <color theme="1"/>
        <rFont val="等线"/>
        <family val="4"/>
        <charset val="134"/>
      </rPr>
      <t>⑨未使用完的完整耗材可以退</t>
    </r>
    <r>
      <rPr>
        <sz val="16"/>
        <color rgb="FFC00000"/>
        <rFont val="等线"/>
        <family val="3"/>
        <charset val="134"/>
      </rPr>
      <t xml:space="preserve">，其它多余耗材卖二手 </t>
    </r>
    <phoneticPr fontId="1" type="noConversion"/>
  </si>
  <si>
    <t>①美缝结束后放水测试卫生间坡度</t>
    <phoneticPr fontId="1" type="noConversion"/>
  </si>
  <si>
    <t>①厨卫瓷砖颜色相近，边角处有少量贴错，好在不影响大面 ②哑光毛边瓷砖蹭上水泥和瓷砖背胶后不及时清理很难擦除干净，可以使用水泥克星按照水：水泥克星= 2200ml：280ml 左右的比例稀释后擦除 ③阴角缝隙留的不一致，贴砖平整度不高，影响后期美缝</t>
    <phoneticPr fontId="1" type="noConversion"/>
  </si>
  <si>
    <r>
      <t>①找平施工完毕后一致保持地暖全部关闭和门窗紧闭两周直至2月18日开地暖并依然保持门窗紧闭，这期间地面出现了很多小裂纹，找平衔接处裂纹较大约1-2mm，</t>
    </r>
    <r>
      <rPr>
        <sz val="16"/>
        <color rgb="FFC00000"/>
        <rFont val="等线"/>
        <family val="3"/>
        <charset val="134"/>
      </rPr>
      <t>待地板方评估是否需要修复</t>
    </r>
    <phoneticPr fontId="1" type="noConversion"/>
  </si>
  <si>
    <t>凑凑</t>
    <phoneticPr fontId="1" type="noConversion"/>
  </si>
  <si>
    <t>买绝味鸭脖</t>
    <phoneticPr fontId="1" type="noConversion"/>
  </si>
  <si>
    <t>&gt;&gt;买吊顶建材</t>
    <phoneticPr fontId="1" type="noConversion"/>
  </si>
  <si>
    <t>&gt;&gt;定全屋定制，交订金(10,000)                                                        &gt;&gt;定卧室卫生间门，交订金(1,000)</t>
    <phoneticPr fontId="1" type="noConversion"/>
  </si>
  <si>
    <t>&gt;&gt;定厨房拉门，交订金(500)</t>
    <phoneticPr fontId="1" type="noConversion"/>
  </si>
  <si>
    <t>走廊吊顶：轻钢龙骨吊平顶遮住水电管线</t>
    <phoneticPr fontId="1" type="noConversion"/>
  </si>
  <si>
    <t>散工+业主(自己搬运上楼)</t>
    <phoneticPr fontId="1" type="noConversion"/>
  </si>
  <si>
    <t>12m</t>
    <phoneticPr fontId="1" type="noConversion"/>
  </si>
  <si>
    <t>77.7㎡</t>
    <phoneticPr fontId="1" type="noConversion"/>
  </si>
  <si>
    <t>76.7㎡</t>
    <phoneticPr fontId="1" type="noConversion"/>
  </si>
  <si>
    <t>油工</t>
    <phoneticPr fontId="1" type="noConversion"/>
  </si>
  <si>
    <t>买多两个没法退</t>
    <phoneticPr fontId="1" type="noConversion"/>
  </si>
  <si>
    <t>周</t>
    <phoneticPr fontId="1" type="noConversion"/>
  </si>
  <si>
    <t>主辅材明细（已含在硬装费用中，无需重复计入总价）</t>
    <phoneticPr fontId="1" type="noConversion"/>
  </si>
  <si>
    <t>木地板</t>
    <phoneticPr fontId="1" type="noConversion"/>
  </si>
  <si>
    <t>卧室门</t>
    <phoneticPr fontId="1" type="noConversion"/>
  </si>
  <si>
    <t>卫生间门</t>
    <phoneticPr fontId="1" type="noConversion"/>
  </si>
  <si>
    <t>宜居木门</t>
    <phoneticPr fontId="1" type="noConversion"/>
  </si>
  <si>
    <t>过门石</t>
    <phoneticPr fontId="1" type="noConversion"/>
  </si>
  <si>
    <t>窗台板</t>
    <phoneticPr fontId="1" type="noConversion"/>
  </si>
  <si>
    <t>全屋定制</t>
    <phoneticPr fontId="1" type="noConversion"/>
  </si>
  <si>
    <t>金牌橱柜</t>
    <phoneticPr fontId="1" type="noConversion"/>
  </si>
  <si>
    <t>厨房拉门</t>
    <phoneticPr fontId="1" type="noConversion"/>
  </si>
  <si>
    <t>瓦工-包管找坡防水贴砖找平美缝</t>
    <phoneticPr fontId="1" type="noConversion"/>
  </si>
  <si>
    <t>辅助工具（应计入总价）</t>
    <phoneticPr fontId="1" type="noConversion"/>
  </si>
  <si>
    <t>室内门</t>
    <phoneticPr fontId="1" type="noConversion"/>
  </si>
  <si>
    <t>木工-走廊平顶</t>
    <phoneticPr fontId="1" type="noConversion"/>
  </si>
  <si>
    <t>幸福家居建材市场-建鑫建材</t>
  </si>
  <si>
    <t>幸福家居建材市场-建鑫建材</t>
    <phoneticPr fontId="1" type="noConversion"/>
  </si>
  <si>
    <t>轻钢龙骨主骨</t>
    <phoneticPr fontId="1" type="noConversion"/>
  </si>
  <si>
    <t>轻钢龙骨副骨</t>
    <phoneticPr fontId="1" type="noConversion"/>
  </si>
  <si>
    <t>轻钢边条</t>
    <phoneticPr fontId="1" type="noConversion"/>
  </si>
  <si>
    <t>吊筋</t>
    <phoneticPr fontId="1" type="noConversion"/>
  </si>
  <si>
    <t>吊筋三件套</t>
    <phoneticPr fontId="1" type="noConversion"/>
  </si>
  <si>
    <t>木方</t>
    <phoneticPr fontId="1" type="noConversion"/>
  </si>
  <si>
    <t>石膏板</t>
    <phoneticPr fontId="1" type="noConversion"/>
  </si>
  <si>
    <t>可耐福</t>
    <phoneticPr fontId="1" type="noConversion"/>
  </si>
  <si>
    <t>泰山</t>
    <phoneticPr fontId="1" type="noConversion"/>
  </si>
  <si>
    <t>16/张，规格1.5m</t>
    <phoneticPr fontId="1" type="noConversion"/>
  </si>
  <si>
    <t>1.8钢排钉</t>
    <phoneticPr fontId="1" type="noConversion"/>
  </si>
  <si>
    <t>2.5自攻钉</t>
    <phoneticPr fontId="1" type="noConversion"/>
  </si>
  <si>
    <t>12/盒</t>
    <phoneticPr fontId="1" type="noConversion"/>
  </si>
  <si>
    <t>15/盒</t>
    <phoneticPr fontId="1" type="noConversion"/>
  </si>
  <si>
    <t>螺帽</t>
    <phoneticPr fontId="1" type="noConversion"/>
  </si>
  <si>
    <t>18.5/根</t>
    <phoneticPr fontId="1" type="noConversion"/>
  </si>
  <si>
    <t>12/根</t>
    <phoneticPr fontId="1" type="noConversion"/>
  </si>
  <si>
    <t>9/根</t>
    <phoneticPr fontId="1" type="noConversion"/>
  </si>
  <si>
    <t>4/根</t>
    <phoneticPr fontId="1" type="noConversion"/>
  </si>
  <si>
    <t>0.3/套</t>
    <phoneticPr fontId="1" type="noConversion"/>
  </si>
  <si>
    <t>15/捆，规格2.5cm×4cm</t>
    <phoneticPr fontId="1" type="noConversion"/>
  </si>
  <si>
    <t>量尺，定做颜色，地面自流平后铺装</t>
    <phoneticPr fontId="1" type="noConversion"/>
  </si>
  <si>
    <t>董家工艺（同时提供自流平服务）</t>
    <phoneticPr fontId="1" type="noConversion"/>
  </si>
  <si>
    <t>自流平包工包料+地板</t>
    <phoneticPr fontId="1" type="noConversion"/>
  </si>
  <si>
    <t>量尺，设计，安装</t>
    <phoneticPr fontId="1" type="noConversion"/>
  </si>
  <si>
    <t>自流平</t>
    <phoneticPr fontId="1" type="noConversion"/>
  </si>
  <si>
    <t>董家工艺，颜色定制浅暖灰F05，规格910×146×18</t>
    <phoneticPr fontId="1" type="noConversion"/>
  </si>
  <si>
    <t>金三角居然之家</t>
    <phoneticPr fontId="1" type="noConversion"/>
  </si>
  <si>
    <t>300/㎡</t>
    <phoneticPr fontId="1" type="noConversion"/>
  </si>
  <si>
    <t>（包量尺安装）</t>
    <phoneticPr fontId="1" type="noConversion"/>
  </si>
  <si>
    <t>橱柜+其它柜体（包量尺设计安装）</t>
    <phoneticPr fontId="1" type="noConversion"/>
  </si>
  <si>
    <t>卫生间和卧室门量尺，安装</t>
    <phoneticPr fontId="1" type="noConversion"/>
  </si>
  <si>
    <t>厨房门量尺，安装</t>
    <phoneticPr fontId="1" type="noConversion"/>
  </si>
  <si>
    <t>解放广场家饰城-意莱特滑动门</t>
    <phoneticPr fontId="1" type="noConversion"/>
  </si>
  <si>
    <t>实木番龙眼木地板</t>
    <phoneticPr fontId="1" type="noConversion"/>
  </si>
  <si>
    <t>踢脚线</t>
    <phoneticPr fontId="1" type="noConversion"/>
  </si>
  <si>
    <t>收边条</t>
    <phoneticPr fontId="1" type="noConversion"/>
  </si>
  <si>
    <t>华南红星美凯龙</t>
    <phoneticPr fontId="1" type="noConversion"/>
  </si>
  <si>
    <t>解放广场家饰城</t>
    <phoneticPr fontId="1" type="noConversion"/>
  </si>
  <si>
    <t>宜居木门, 白色平板含标准五金(三合页、分体门把手)</t>
    <phoneticPr fontId="1" type="noConversion"/>
  </si>
  <si>
    <t>宜居木门，白色平板带竖条钻石玻璃含标准五金(三合页、分体门把手)</t>
    <phoneticPr fontId="1" type="noConversion"/>
  </si>
  <si>
    <t>意莱特滑动门，黑色，三扇手拉手，上下滑轨，2mm镁铝合金，8mm钢化玻璃，不含门套</t>
    <phoneticPr fontId="1" type="noConversion"/>
  </si>
  <si>
    <t>2250/扇</t>
    <phoneticPr fontId="1" type="noConversion"/>
  </si>
  <si>
    <t>橱柜</t>
    <phoneticPr fontId="1" type="noConversion"/>
  </si>
  <si>
    <t>其它柜体</t>
    <phoneticPr fontId="1" type="noConversion"/>
  </si>
  <si>
    <t>浴帘</t>
    <phoneticPr fontId="1" type="noConversion"/>
  </si>
  <si>
    <t>窗帘</t>
    <phoneticPr fontId="1" type="noConversion"/>
  </si>
  <si>
    <t>卧室</t>
    <phoneticPr fontId="1" type="noConversion"/>
  </si>
  <si>
    <t>&lt;&lt;填缝结束</t>
    <phoneticPr fontId="1" type="noConversion"/>
  </si>
  <si>
    <t>2021/03/19，8：00-</t>
    <phoneticPr fontId="1" type="noConversion"/>
  </si>
  <si>
    <t>自流平施工师傅上门看当前地面情况</t>
    <phoneticPr fontId="1" type="noConversion"/>
  </si>
  <si>
    <t>卧室和卫生间门量尺</t>
    <phoneticPr fontId="1" type="noConversion"/>
  </si>
  <si>
    <t>2021/03/11，下午</t>
    <phoneticPr fontId="1" type="noConversion"/>
  </si>
  <si>
    <t>2021/03/16，下午</t>
    <phoneticPr fontId="1" type="noConversion"/>
  </si>
  <si>
    <t>2021/03/15，下午</t>
    <phoneticPr fontId="1" type="noConversion"/>
  </si>
  <si>
    <t>2021/03/17，9：30</t>
    <phoneticPr fontId="1" type="noConversion"/>
  </si>
  <si>
    <t>设计师上门量尺</t>
    <phoneticPr fontId="1" type="noConversion"/>
  </si>
  <si>
    <t>逛家博会，淘小馆</t>
    <phoneticPr fontId="1" type="noConversion"/>
  </si>
  <si>
    <t>绝味鸭脖</t>
    <phoneticPr fontId="1" type="noConversion"/>
  </si>
  <si>
    <t>&gt;&gt;买堵漏王</t>
    <phoneticPr fontId="1" type="noConversion"/>
  </si>
  <si>
    <t>Fresh面霜*2</t>
    <phoneticPr fontId="1" type="noConversion"/>
  </si>
  <si>
    <t>&gt;&gt;定过门石，交订金(200)</t>
    <phoneticPr fontId="1" type="noConversion"/>
  </si>
  <si>
    <t>&gt;&gt;买大白建材( 不含乳胶漆)              &lt;&lt;安装过门石并付尾款，买牙线</t>
    <phoneticPr fontId="1" type="noConversion"/>
  </si>
  <si>
    <t>&gt;&gt;全屋定制第一次核对设计方案          &gt;&gt;卧室卫生间门交尾款                     &lt;&lt;吊顶结束</t>
    <phoneticPr fontId="1" type="noConversion"/>
  </si>
  <si>
    <t>&gt;&gt;开始吊顶，给师傅买可乐</t>
    <phoneticPr fontId="1" type="noConversion"/>
  </si>
  <si>
    <t>靠尺</t>
    <phoneticPr fontId="1" type="noConversion"/>
  </si>
  <si>
    <t>防尘膜</t>
    <phoneticPr fontId="1" type="noConversion"/>
  </si>
  <si>
    <t>水电管标签贴纸</t>
    <phoneticPr fontId="1" type="noConversion"/>
  </si>
  <si>
    <t>共4卷</t>
    <phoneticPr fontId="1" type="noConversion"/>
  </si>
  <si>
    <t>1套</t>
    <phoneticPr fontId="1" type="noConversion"/>
  </si>
  <si>
    <t>料量按散工要求购买4175(=4015-15(抹零)+45+60+50+15+5)，余料退货退款497，实际用料总费用 3678(=4175-497) , 空开856.87，水电人工费3500, 水钻眼440(460=13x30+70，实付440)，清渣费20(13袋垃圾)</t>
    <phoneticPr fontId="1" type="noConversion"/>
  </si>
  <si>
    <t>材料费723（=770-余料退货退款87+退货运费40）+上料运费80+人工费700</t>
    <phoneticPr fontId="1" type="noConversion"/>
  </si>
  <si>
    <t>1099/扇，每扇门高度220cm以内超尺费100/扇，门宽度超20cm超尺费用20/cm</t>
    <phoneticPr fontId="1" type="noConversion"/>
  </si>
  <si>
    <t>1529/扇，每扇门高度220cm以内超尺费100/扇，门宽度超20cm超尺费用20/cm</t>
    <phoneticPr fontId="1" type="noConversion"/>
  </si>
  <si>
    <t>①销售承诺315活动全年价格最低且在订货单上备注全年报价，但是家博会卧室门报价999，卫生间门报价1390，存在678的差价；店方在用手机录制销售报价的石锤情况下依然以销售口误为由退回部分差价: 四扇卧室门差价400元 ②同样的品牌在不同卖场的代理商报价有所不同，记得货比三家</t>
    <phoneticPr fontId="1" type="noConversion"/>
  </si>
  <si>
    <t>卫生间过门石</t>
    <phoneticPr fontId="1" type="noConversion"/>
  </si>
  <si>
    <t>石英石，奥博尔-1614</t>
    <phoneticPr fontId="1" type="noConversion"/>
  </si>
  <si>
    <t>幸福家居建材市场，欧宝家橱柜理石，摊位1-8</t>
    <phoneticPr fontId="1" type="noConversion"/>
  </si>
  <si>
    <t>120/米（30cm宽度以内），测量安装费200</t>
    <phoneticPr fontId="1" type="noConversion"/>
  </si>
  <si>
    <t>1.2m*2</t>
    <phoneticPr fontId="1" type="noConversion"/>
  </si>
  <si>
    <t>雨虹，2kg装</t>
    <phoneticPr fontId="1" type="noConversion"/>
  </si>
  <si>
    <t xml:space="preserve">①理石需要背米数:单条长度不足1.2m按1.2m计算价格              ②安装时一定要在场：工人安装非常敷衍，切割比较随意；填的水泥一定要足够，不然容易崩断 </t>
    <phoneticPr fontId="1" type="noConversion"/>
  </si>
  <si>
    <t>量尺，安装</t>
    <phoneticPr fontId="1" type="noConversion"/>
  </si>
  <si>
    <t>理石费288+测量安装费200+堵漏王20</t>
    <phoneticPr fontId="1" type="noConversion"/>
  </si>
  <si>
    <t>幸福家居建材市场，欧宝家橱柜理石，摊位1-8+业主(堵漏王)</t>
    <phoneticPr fontId="1" type="noConversion"/>
  </si>
  <si>
    <t>2个卫生间</t>
    <phoneticPr fontId="1" type="noConversion"/>
  </si>
  <si>
    <t>①理石量尺需要根据门的要求来做，需要考虑的因素：卫生间内/外开门，是否带耳朵，高于内部地面的高度等 ②自己提前用堵漏王在门口处再做一层防水，安装工人是不会做的</t>
    <phoneticPr fontId="1" type="noConversion"/>
  </si>
  <si>
    <t>7764(=8164-退差价400)（包量尺安装）</t>
    <phoneticPr fontId="1" type="noConversion"/>
  </si>
  <si>
    <t>卧室门4扇，卫生间门2扇</t>
    <phoneticPr fontId="1" type="noConversion"/>
  </si>
  <si>
    <t>订金1000【已支付】+尾款6764【已支付】</t>
    <phoneticPr fontId="1" type="noConversion"/>
  </si>
  <si>
    <t>向</t>
    <phoneticPr fontId="1" type="noConversion"/>
  </si>
  <si>
    <t>高强粉刷石膏</t>
    <phoneticPr fontId="1" type="noConversion"/>
  </si>
  <si>
    <t>薄层粉刷石膏</t>
    <phoneticPr fontId="1" type="noConversion"/>
  </si>
  <si>
    <t>高强石膏</t>
    <phoneticPr fontId="1" type="noConversion"/>
  </si>
  <si>
    <t>腻子</t>
    <phoneticPr fontId="1" type="noConversion"/>
  </si>
  <si>
    <t>阳角条</t>
    <phoneticPr fontId="1" type="noConversion"/>
  </si>
  <si>
    <t>阴角条</t>
    <phoneticPr fontId="1" type="noConversion"/>
  </si>
  <si>
    <t>墙固</t>
    <phoneticPr fontId="1" type="noConversion"/>
  </si>
  <si>
    <t>小桶</t>
    <phoneticPr fontId="1" type="noConversion"/>
  </si>
  <si>
    <t>三寸刷子</t>
    <phoneticPr fontId="1" type="noConversion"/>
  </si>
  <si>
    <t>网格布</t>
    <phoneticPr fontId="1" type="noConversion"/>
  </si>
  <si>
    <t>十公分网绷带</t>
    <phoneticPr fontId="1" type="noConversion"/>
  </si>
  <si>
    <t>纸绷带</t>
    <phoneticPr fontId="1" type="noConversion"/>
  </si>
  <si>
    <t>白胶</t>
    <phoneticPr fontId="1" type="noConversion"/>
  </si>
  <si>
    <t>大滚刷</t>
    <phoneticPr fontId="1" type="noConversion"/>
  </si>
  <si>
    <t>小滚刷</t>
    <phoneticPr fontId="1" type="noConversion"/>
  </si>
  <si>
    <t>分色纸</t>
    <phoneticPr fontId="1" type="noConversion"/>
  </si>
  <si>
    <t>180号砂纸</t>
    <phoneticPr fontId="1" type="noConversion"/>
  </si>
  <si>
    <t>美巢QN600GQ</t>
    <phoneticPr fontId="1" type="noConversion"/>
  </si>
  <si>
    <t>美巢QN600BC</t>
    <phoneticPr fontId="1" type="noConversion"/>
  </si>
  <si>
    <t>晶晶</t>
    <phoneticPr fontId="1" type="noConversion"/>
  </si>
  <si>
    <t>美巢800GQ</t>
    <phoneticPr fontId="1" type="noConversion"/>
  </si>
  <si>
    <t>美巢</t>
    <phoneticPr fontId="1" type="noConversion"/>
  </si>
  <si>
    <t>海礁王新生态白胶无甲醛无苯低挥发性有机化合物</t>
    <phoneticPr fontId="1" type="noConversion"/>
  </si>
  <si>
    <t>金三角建材市场</t>
    <phoneticPr fontId="1" type="noConversion"/>
  </si>
  <si>
    <t>40/袋，20kg</t>
    <phoneticPr fontId="1" type="noConversion"/>
  </si>
  <si>
    <t>28/袋，标称50kg，实称40kg</t>
    <phoneticPr fontId="1" type="noConversion"/>
  </si>
  <si>
    <t>55/袋，18kg</t>
    <phoneticPr fontId="1" type="noConversion"/>
  </si>
  <si>
    <t>130/桶</t>
    <phoneticPr fontId="1" type="noConversion"/>
  </si>
  <si>
    <t>75/卷</t>
    <phoneticPr fontId="1" type="noConversion"/>
  </si>
  <si>
    <t>2/张</t>
    <phoneticPr fontId="1" type="noConversion"/>
  </si>
  <si>
    <t>1.2/卷</t>
    <phoneticPr fontId="1" type="noConversion"/>
  </si>
  <si>
    <t>85/桶</t>
    <phoneticPr fontId="1" type="noConversion"/>
  </si>
  <si>
    <t>8/卷</t>
    <phoneticPr fontId="1" type="noConversion"/>
  </si>
  <si>
    <t>清理墙体，一遍墙固，阴阳角石膏找直，凹凸不平的面粉刷石膏找平，开裂风险大的墙部分挂网，墙体交界处和开槽处2层绷带，2遍腻子，打磨，乳胶漆一遍底漆两遍面漆</t>
    <phoneticPr fontId="1" type="noConversion"/>
  </si>
  <si>
    <t>材料费2500(包运费)+上楼费80+人工费7000+乳胶漆</t>
    <phoneticPr fontId="1" type="noConversion"/>
  </si>
  <si>
    <t>乳胶漆</t>
    <phoneticPr fontId="1" type="noConversion"/>
  </si>
  <si>
    <t>&gt;&gt;开始大白</t>
    <phoneticPr fontId="1" type="noConversion"/>
  </si>
  <si>
    <t>订金1000【已支付】+尾款</t>
    <phoneticPr fontId="1" type="noConversion"/>
  </si>
  <si>
    <t>订金10000【已支付】+尾款</t>
    <phoneticPr fontId="1" type="noConversion"/>
  </si>
  <si>
    <t>材料费12201.77+人工费7342.5（包一个管200人工费*2+一个卫生间防水600人工费*2+贴瓷砖50一平*76.7平+地面找平25一平*77.7平-抹零35）</t>
    <phoneticPr fontId="1" type="noConversion"/>
  </si>
  <si>
    <t>订金500【已支付】+ 尾款1600</t>
    <phoneticPr fontId="1" type="noConversion"/>
  </si>
  <si>
    <t>订金200【已支付】+ 尾款288【已支付】</t>
    <phoneticPr fontId="1" type="noConversion"/>
  </si>
  <si>
    <t>金牌橱柜-桔家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</si>
</sst>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Red]0.00"/>
  </numFmts>
  <fonts count="21">
    <font>
      <sz val="12"/>
      <color theme="1"/>
      <name val="等线"/>
      <family val="2"/>
      <charset val="134"/>
      <scheme val="minor"/>
    </font>
    <font>
      <sz val="9"/>
      <name val="等线"/>
      <family val="2"/>
      <charset val="134"/>
      <scheme val="minor"/>
    </font>
    <font>
      <sz val="16"/>
      <color theme="1"/>
      <name val="等线"/>
      <family val="2"/>
      <charset val="134"/>
      <scheme val="minor"/>
    </font>
    <font>
      <b/>
      <sz val="16"/>
      <color theme="1"/>
      <name val="等线"/>
      <family val="4"/>
      <charset val="134"/>
      <scheme val="minor"/>
    </font>
    <font>
      <sz val="16"/>
      <color rgb="FFFF0000"/>
      <name val="等线"/>
      <family val="3"/>
      <charset val="134"/>
    </font>
    <font>
      <u/>
      <sz val="12"/>
      <color theme="10"/>
      <name val="等线"/>
      <family val="2"/>
      <charset val="134"/>
      <scheme val="minor"/>
    </font>
    <font>
      <sz val="16"/>
      <color theme="1"/>
      <name val="等线"/>
      <family val="4"/>
      <charset val="134"/>
      <scheme val="minor"/>
    </font>
    <font>
      <u/>
      <sz val="16"/>
      <color theme="10"/>
      <name val="等线"/>
      <family val="4"/>
      <charset val="134"/>
      <scheme val="minor"/>
    </font>
    <font>
      <sz val="16"/>
      <color theme="0" tint="-0.34998626667073579"/>
      <name val="等线"/>
      <family val="3"/>
      <charset val="134"/>
    </font>
    <font>
      <sz val="16"/>
      <color rgb="FFC00000"/>
      <name val="等线"/>
      <family val="3"/>
      <charset val="134"/>
    </font>
    <font>
      <sz val="16"/>
      <color theme="0" tint="-0.249977111117893"/>
      <name val="等线"/>
      <family val="4"/>
      <charset val="134"/>
      <scheme val="minor"/>
    </font>
    <font>
      <u/>
      <sz val="12"/>
      <color theme="0" tint="-0.249977111117893"/>
      <name val="等线"/>
      <family val="4"/>
      <charset val="134"/>
      <scheme val="minor"/>
    </font>
    <font>
      <u/>
      <sz val="12"/>
      <color theme="1"/>
      <name val="等线"/>
      <family val="4"/>
      <charset val="134"/>
      <scheme val="minor"/>
    </font>
    <font>
      <sz val="16"/>
      <color theme="0" tint="-0.249977111117893"/>
      <name val="等线"/>
      <family val="2"/>
      <charset val="134"/>
      <scheme val="minor"/>
    </font>
    <font>
      <sz val="16"/>
      <color theme="1"/>
      <name val="等线 (正文)"/>
      <family val="3"/>
      <charset val="134"/>
    </font>
    <font>
      <sz val="16"/>
      <color theme="1"/>
      <name val="等线"/>
      <family val="3"/>
      <charset val="134"/>
    </font>
    <font>
      <u/>
      <sz val="12"/>
      <color theme="1"/>
      <name val="等线 (正文)"/>
      <family val="3"/>
      <charset val="134"/>
    </font>
    <font>
      <sz val="16"/>
      <color theme="1"/>
      <name val="等线"/>
      <family val="4"/>
      <charset val="134"/>
    </font>
    <font>
      <sz val="16"/>
      <color rgb="FF000000"/>
      <name val="等线"/>
      <family val="4"/>
      <charset val="134"/>
      <scheme val="minor"/>
    </font>
    <font>
      <sz val="16"/>
      <color rgb="FFC00000"/>
      <name val="等线"/>
      <family val="4"/>
      <charset val="134"/>
    </font>
    <font>
      <sz val="16"/>
      <color rgb="FFFF0000"/>
      <name val="等线"/>
      <family val="2"/>
      <charset val="134"/>
      <scheme val="minor"/>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94">
    <xf numFmtId="0" fontId="0" fillId="0" borderId="0" xfId="0">
      <alignment vertical="center"/>
    </xf>
    <xf numFmtId="0" fontId="3" fillId="0" borderId="0" xfId="0" applyFont="1" applyAlignment="1">
      <alignment horizontal="left" vertical="center" wrapText="1"/>
    </xf>
    <xf numFmtId="176" fontId="3" fillId="0" borderId="0" xfId="0" applyNumberFormat="1" applyFont="1" applyAlignment="1">
      <alignment horizontal="left" vertical="center" wrapText="1"/>
    </xf>
    <xf numFmtId="14" fontId="2" fillId="0" borderId="0" xfId="0" applyNumberFormat="1" applyFont="1" applyAlignment="1">
      <alignment horizontal="left" vertical="center" wrapText="1"/>
    </xf>
    <xf numFmtId="176" fontId="2" fillId="0" borderId="0" xfId="0" applyNumberFormat="1" applyFont="1" applyAlignment="1">
      <alignment horizontal="left" vertical="center" wrapText="1"/>
    </xf>
    <xf numFmtId="0" fontId="2" fillId="0" borderId="0" xfId="0" applyFont="1" applyAlignment="1">
      <alignment horizontal="left" vertical="center" wrapText="1"/>
    </xf>
    <xf numFmtId="14" fontId="3" fillId="0" borderId="1" xfId="0" applyNumberFormat="1" applyFont="1" applyBorder="1" applyAlignment="1">
      <alignment horizontal="left" vertical="center" wrapText="1"/>
    </xf>
    <xf numFmtId="176"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2" fillId="0" borderId="0" xfId="0" applyFont="1" applyAlignment="1">
      <alignment horizontal="left" vertical="center"/>
    </xf>
    <xf numFmtId="0" fontId="7" fillId="0" borderId="0" xfId="1" applyFont="1" applyAlignment="1">
      <alignment horizontal="left" vertical="center"/>
    </xf>
    <xf numFmtId="0" fontId="6" fillId="0" borderId="0" xfId="0" applyFont="1" applyAlignment="1">
      <alignment horizontal="left" vertical="center" wrapText="1"/>
    </xf>
    <xf numFmtId="0" fontId="3"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2"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0" fontId="5" fillId="0" borderId="0" xfId="1" applyAlignment="1">
      <alignment horizontal="left" vertical="center" wrapText="1"/>
    </xf>
    <xf numFmtId="0" fontId="2" fillId="0" borderId="1" xfId="0" applyFont="1" applyBorder="1" applyAlignment="1">
      <alignment horizontal="left" vertical="center" wrapText="1"/>
    </xf>
    <xf numFmtId="0" fontId="2" fillId="0" borderId="1"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0" fontId="2" fillId="0" borderId="0" xfId="0" applyFont="1" applyFill="1" applyAlignment="1">
      <alignment horizontal="left" vertical="center" wrapText="1"/>
    </xf>
    <xf numFmtId="0" fontId="2" fillId="0" borderId="0" xfId="0" applyNumberFormat="1" applyFont="1" applyFill="1" applyAlignment="1">
      <alignment horizontal="left" vertical="center" wrapText="1"/>
    </xf>
    <xf numFmtId="49" fontId="2" fillId="0" borderId="0" xfId="0" applyNumberFormat="1" applyFont="1" applyFill="1" applyAlignment="1">
      <alignment horizontal="left" vertical="center" wrapText="1"/>
    </xf>
    <xf numFmtId="0" fontId="5" fillId="0" borderId="0" xfId="1" applyFill="1" applyAlignment="1">
      <alignment horizontal="left" vertical="center" wrapText="1"/>
    </xf>
    <xf numFmtId="14" fontId="6" fillId="0" borderId="0" xfId="0" applyNumberFormat="1" applyFont="1" applyAlignment="1">
      <alignment horizontal="left" vertical="center" wrapText="1"/>
    </xf>
    <xf numFmtId="0" fontId="6" fillId="0" borderId="0" xfId="0" applyNumberFormat="1" applyFont="1" applyAlignment="1">
      <alignment horizontal="left" vertical="center" wrapText="1"/>
    </xf>
    <xf numFmtId="176" fontId="6" fillId="0" borderId="0" xfId="0" applyNumberFormat="1" applyFont="1" applyAlignment="1">
      <alignment horizontal="left" vertical="center" wrapText="1"/>
    </xf>
    <xf numFmtId="0" fontId="6" fillId="0" borderId="0" xfId="0" applyFont="1" applyAlignment="1">
      <alignment vertical="center" wrapText="1"/>
    </xf>
    <xf numFmtId="0" fontId="3" fillId="0" borderId="1" xfId="0" applyFont="1" applyBorder="1" applyAlignment="1">
      <alignment vertical="center" wrapText="1"/>
    </xf>
    <xf numFmtId="0" fontId="9" fillId="0" borderId="0" xfId="0" applyFont="1" applyAlignment="1">
      <alignment horizontal="left" vertical="center" wrapText="1"/>
    </xf>
    <xf numFmtId="0" fontId="2" fillId="0" borderId="0" xfId="0" applyFont="1" applyAlignment="1">
      <alignment vertical="center" wrapText="1"/>
    </xf>
    <xf numFmtId="0" fontId="6" fillId="0" borderId="0" xfId="0" applyFont="1" applyAlignment="1">
      <alignment horizontal="left" vertical="center" wrapText="1"/>
    </xf>
    <xf numFmtId="0" fontId="2" fillId="0" borderId="1" xfId="0" applyFont="1" applyFill="1" applyBorder="1" applyAlignment="1">
      <alignment horizontal="left" vertical="center" wrapText="1"/>
    </xf>
    <xf numFmtId="0" fontId="10" fillId="0" borderId="0" xfId="0" applyFont="1" applyAlignment="1">
      <alignment horizontal="left" vertical="center" wrapText="1"/>
    </xf>
    <xf numFmtId="0" fontId="10" fillId="0" borderId="0" xfId="0" applyFont="1" applyFill="1" applyAlignment="1">
      <alignment horizontal="left" vertical="center" wrapText="1"/>
    </xf>
    <xf numFmtId="0" fontId="10" fillId="0" borderId="0" xfId="0" applyNumberFormat="1" applyFont="1" applyAlignment="1">
      <alignment horizontal="left" vertical="center" wrapText="1"/>
    </xf>
    <xf numFmtId="49" fontId="10" fillId="0" borderId="0" xfId="0" applyNumberFormat="1" applyFont="1" applyAlignment="1">
      <alignment horizontal="left" vertical="center" wrapText="1"/>
    </xf>
    <xf numFmtId="0" fontId="11" fillId="0" borderId="0" xfId="1" applyFont="1" applyAlignment="1">
      <alignment horizontal="left" vertical="center" wrapText="1"/>
    </xf>
    <xf numFmtId="0" fontId="13" fillId="0" borderId="0" xfId="0" applyFont="1" applyAlignment="1">
      <alignment horizontal="left" vertical="center" wrapText="1"/>
    </xf>
    <xf numFmtId="0" fontId="6" fillId="2" borderId="0" xfId="0" applyFont="1" applyFill="1" applyAlignment="1">
      <alignment horizontal="left" vertical="center" wrapText="1"/>
    </xf>
    <xf numFmtId="0" fontId="6" fillId="2" borderId="0" xfId="0" applyNumberFormat="1" applyFont="1" applyFill="1" applyAlignment="1">
      <alignment horizontal="left" vertical="center" wrapText="1"/>
    </xf>
    <xf numFmtId="49" fontId="6" fillId="2" borderId="0" xfId="0" applyNumberFormat="1" applyFont="1" applyFill="1" applyAlignment="1">
      <alignment horizontal="left" vertical="center" wrapText="1"/>
    </xf>
    <xf numFmtId="0" fontId="12" fillId="2" borderId="0" xfId="1" applyFont="1" applyFill="1" applyAlignment="1">
      <alignment horizontal="left" vertical="center" wrapText="1"/>
    </xf>
    <xf numFmtId="0" fontId="14" fillId="2" borderId="0" xfId="0" applyFont="1" applyFill="1" applyAlignment="1">
      <alignment horizontal="left" vertical="center" wrapText="1"/>
    </xf>
    <xf numFmtId="0" fontId="15" fillId="2" borderId="0" xfId="0" applyFont="1" applyFill="1" applyAlignment="1">
      <alignment horizontal="left" vertical="center" wrapText="1"/>
    </xf>
    <xf numFmtId="0" fontId="14" fillId="2" borderId="0" xfId="0" applyNumberFormat="1" applyFont="1" applyFill="1" applyAlignment="1">
      <alignment horizontal="left" vertical="center" wrapText="1"/>
    </xf>
    <xf numFmtId="49" fontId="14" fillId="2" borderId="0" xfId="0" applyNumberFormat="1" applyFont="1" applyFill="1" applyAlignment="1">
      <alignment horizontal="left" vertical="center" wrapText="1"/>
    </xf>
    <xf numFmtId="0" fontId="16" fillId="2" borderId="0" xfId="1" applyFont="1" applyFill="1" applyAlignment="1">
      <alignment horizontal="left" vertical="center" wrapText="1"/>
    </xf>
    <xf numFmtId="0" fontId="2" fillId="0" borderId="2" xfId="0" applyFont="1" applyBorder="1" applyAlignment="1">
      <alignment vertical="center" wrapText="1"/>
    </xf>
    <xf numFmtId="0" fontId="3" fillId="0" borderId="0" xfId="0" applyFont="1" applyAlignment="1">
      <alignment vertical="center" wrapText="1"/>
    </xf>
    <xf numFmtId="0" fontId="2" fillId="0" borderId="0"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wrapText="1"/>
    </xf>
    <xf numFmtId="0" fontId="10" fillId="0" borderId="0" xfId="0" applyNumberFormat="1" applyFont="1" applyFill="1" applyAlignment="1">
      <alignment horizontal="left" vertical="center" wrapText="1"/>
    </xf>
    <xf numFmtId="49" fontId="10" fillId="0" borderId="0" xfId="0" applyNumberFormat="1" applyFont="1" applyFill="1" applyAlignment="1">
      <alignment horizontal="left" vertical="center" wrapText="1"/>
    </xf>
    <xf numFmtId="0" fontId="11" fillId="0" borderId="0" xfId="1" applyFont="1" applyFill="1" applyAlignment="1">
      <alignment horizontal="left" vertical="center" wrapText="1"/>
    </xf>
    <xf numFmtId="10" fontId="6" fillId="0" borderId="0" xfId="0" applyNumberFormat="1" applyFont="1" applyAlignment="1">
      <alignment vertical="center" wrapText="1"/>
    </xf>
    <xf numFmtId="0" fontId="2" fillId="0" borderId="0" xfId="0" applyFont="1" applyBorder="1" applyAlignment="1">
      <alignment vertical="center" wrapText="1"/>
    </xf>
    <xf numFmtId="0" fontId="2" fillId="2" borderId="0" xfId="0" applyFont="1" applyFill="1" applyAlignment="1">
      <alignment horizontal="left" vertical="center" wrapText="1"/>
    </xf>
    <xf numFmtId="49" fontId="15" fillId="2" borderId="0" xfId="0" applyNumberFormat="1" applyFont="1" applyFill="1" applyAlignment="1">
      <alignment horizontal="left" vertical="center" wrapText="1"/>
    </xf>
    <xf numFmtId="0" fontId="2" fillId="0" borderId="0" xfId="0" applyFont="1" applyBorder="1" applyAlignment="1">
      <alignment vertical="center" wrapText="1"/>
    </xf>
    <xf numFmtId="0" fontId="6" fillId="0" borderId="0" xfId="0" applyFont="1" applyAlignment="1">
      <alignment horizontal="left" vertical="center" wrapText="1"/>
    </xf>
    <xf numFmtId="177" fontId="3" fillId="0" borderId="0" xfId="0" applyNumberFormat="1" applyFont="1" applyAlignment="1">
      <alignment horizontal="left" vertical="center" wrapText="1"/>
    </xf>
    <xf numFmtId="177" fontId="2" fillId="0" borderId="0" xfId="0" applyNumberFormat="1" applyFont="1" applyAlignment="1">
      <alignment horizontal="left" vertical="center" wrapText="1"/>
    </xf>
    <xf numFmtId="177" fontId="3" fillId="0" borderId="1" xfId="0" applyNumberFormat="1" applyFont="1" applyBorder="1" applyAlignment="1">
      <alignment horizontal="left" vertical="center" wrapText="1"/>
    </xf>
    <xf numFmtId="0" fontId="18" fillId="0" borderId="0" xfId="0" applyFont="1" applyAlignment="1">
      <alignment vertical="center" wrapText="1"/>
    </xf>
    <xf numFmtId="0" fontId="19" fillId="0" borderId="0" xfId="0" applyFont="1" applyAlignment="1">
      <alignment horizontal="left" vertical="center" wrapText="1"/>
    </xf>
    <xf numFmtId="0" fontId="2" fillId="0" borderId="0" xfId="0" applyFont="1" applyBorder="1" applyAlignment="1">
      <alignment vertical="center" wrapText="1"/>
    </xf>
    <xf numFmtId="0" fontId="6" fillId="0" borderId="0" xfId="0" applyFont="1" applyAlignment="1">
      <alignment horizontal="left" vertical="center" wrapText="1"/>
    </xf>
    <xf numFmtId="0" fontId="2" fillId="0" borderId="0"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Border="1" applyAlignment="1">
      <alignment vertical="center" wrapText="1"/>
    </xf>
    <xf numFmtId="0" fontId="6"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Border="1" applyAlignment="1">
      <alignment vertical="center" wrapText="1"/>
    </xf>
    <xf numFmtId="0" fontId="2" fillId="0" borderId="0" xfId="0" applyFont="1" applyBorder="1" applyAlignment="1">
      <alignment horizontal="left" vertical="center" wrapText="1"/>
    </xf>
    <xf numFmtId="0" fontId="3" fillId="0" borderId="0" xfId="0" applyFont="1" applyAlignment="1">
      <alignment horizontal="center" vertical="center" wrapText="1"/>
    </xf>
    <xf numFmtId="0" fontId="2" fillId="0" borderId="0"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2" xfId="0" applyFont="1" applyBorder="1" applyAlignment="1">
      <alignment horizontal="center" vertical="center" wrapText="1"/>
    </xf>
    <xf numFmtId="0" fontId="3" fillId="2" borderId="3" xfId="0" applyFont="1" applyFill="1" applyBorder="1" applyAlignment="1">
      <alignment horizontal="center" vertical="center" wrapText="1"/>
    </xf>
    <xf numFmtId="0" fontId="2" fillId="0" borderId="0" xfId="0" applyFont="1" applyAlignment="1">
      <alignment horizontal="left" vertical="center"/>
    </xf>
    <xf numFmtId="0" fontId="6" fillId="0" borderId="0" xfId="0" applyFont="1" applyAlignment="1">
      <alignment horizontal="left" vertical="center" wrapText="1"/>
    </xf>
    <xf numFmtId="0" fontId="2" fillId="0" borderId="0" xfId="0" applyFont="1" applyBorder="1" applyAlignment="1">
      <alignment horizontal="right" vertical="center" wrapText="1"/>
    </xf>
    <xf numFmtId="0" fontId="20" fillId="0" borderId="0" xfId="0" applyFont="1" applyBorder="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13</xdr:row>
      <xdr:rowOff>0</xdr:rowOff>
    </xdr:from>
    <xdr:to>
      <xdr:col>4</xdr:col>
      <xdr:colOff>430670</xdr:colOff>
      <xdr:row>13</xdr:row>
      <xdr:rowOff>1645920</xdr:rowOff>
    </xdr:to>
    <xdr:pic>
      <xdr:nvPicPr>
        <xdr:cNvPr id="5" name="图片 4">
          <a:extLst>
            <a:ext uri="{FF2B5EF4-FFF2-40B4-BE49-F238E27FC236}">
              <a16:creationId xmlns:a16="http://schemas.microsoft.com/office/drawing/2014/main" id="{1801C084-F690-AD44-A86C-F58AFAB86C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53401" y="11493500"/>
          <a:ext cx="430669" cy="1645920"/>
        </a:xfrm>
        <a:prstGeom prst="rect">
          <a:avLst/>
        </a:prstGeom>
      </xdr:spPr>
    </xdr:pic>
    <xdr:clientData/>
  </xdr:twoCellAnchor>
  <xdr:twoCellAnchor editAs="oneCell">
    <xdr:from>
      <xdr:col>4</xdr:col>
      <xdr:colOff>3</xdr:colOff>
      <xdr:row>14</xdr:row>
      <xdr:rowOff>0</xdr:rowOff>
    </xdr:from>
    <xdr:to>
      <xdr:col>4</xdr:col>
      <xdr:colOff>1955498</xdr:colOff>
      <xdr:row>14</xdr:row>
      <xdr:rowOff>914400</xdr:rowOff>
    </xdr:to>
    <xdr:pic>
      <xdr:nvPicPr>
        <xdr:cNvPr id="7" name="图片 6">
          <a:extLst>
            <a:ext uri="{FF2B5EF4-FFF2-40B4-BE49-F238E27FC236}">
              <a16:creationId xmlns:a16="http://schemas.microsoft.com/office/drawing/2014/main" id="{D647A629-173E-0F4B-ADC5-9102BD2E1E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53403" y="13169900"/>
          <a:ext cx="1955495" cy="914400"/>
        </a:xfrm>
        <a:prstGeom prst="rect">
          <a:avLst/>
        </a:prstGeom>
      </xdr:spPr>
    </xdr:pic>
    <xdr:clientData/>
  </xdr:twoCellAnchor>
  <xdr:twoCellAnchor editAs="oneCell">
    <xdr:from>
      <xdr:col>4</xdr:col>
      <xdr:colOff>21802</xdr:colOff>
      <xdr:row>3</xdr:row>
      <xdr:rowOff>25400</xdr:rowOff>
    </xdr:from>
    <xdr:to>
      <xdr:col>4</xdr:col>
      <xdr:colOff>957902</xdr:colOff>
      <xdr:row>3</xdr:row>
      <xdr:rowOff>1305560</xdr:rowOff>
    </xdr:to>
    <xdr:pic>
      <xdr:nvPicPr>
        <xdr:cNvPr id="9" name="图片 8">
          <a:extLst>
            <a:ext uri="{FF2B5EF4-FFF2-40B4-BE49-F238E27FC236}">
              <a16:creationId xmlns:a16="http://schemas.microsoft.com/office/drawing/2014/main" id="{34B8FCFC-0BA9-BC49-8BF4-C34EC05A6A9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75202" y="1981200"/>
          <a:ext cx="936100" cy="1280160"/>
        </a:xfrm>
        <a:prstGeom prst="rect">
          <a:avLst/>
        </a:prstGeom>
      </xdr:spPr>
    </xdr:pic>
    <xdr:clientData/>
  </xdr:twoCellAnchor>
  <xdr:twoCellAnchor editAs="oneCell">
    <xdr:from>
      <xdr:col>4</xdr:col>
      <xdr:colOff>1</xdr:colOff>
      <xdr:row>4</xdr:row>
      <xdr:rowOff>0</xdr:rowOff>
    </xdr:from>
    <xdr:to>
      <xdr:col>4</xdr:col>
      <xdr:colOff>468307</xdr:colOff>
      <xdr:row>4</xdr:row>
      <xdr:rowOff>1097280</xdr:rowOff>
    </xdr:to>
    <xdr:pic>
      <xdr:nvPicPr>
        <xdr:cNvPr id="11" name="图片 10">
          <a:extLst>
            <a:ext uri="{FF2B5EF4-FFF2-40B4-BE49-F238E27FC236}">
              <a16:creationId xmlns:a16="http://schemas.microsoft.com/office/drawing/2014/main" id="{C522A44B-FF9E-F14A-8AE0-2BB3E316794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53401" y="3352800"/>
          <a:ext cx="468306" cy="1097280"/>
        </a:xfrm>
        <a:prstGeom prst="rect">
          <a:avLst/>
        </a:prstGeom>
      </xdr:spPr>
    </xdr:pic>
    <xdr:clientData/>
  </xdr:twoCellAnchor>
  <xdr:twoCellAnchor editAs="oneCell">
    <xdr:from>
      <xdr:col>4</xdr:col>
      <xdr:colOff>2</xdr:colOff>
      <xdr:row>6</xdr:row>
      <xdr:rowOff>0</xdr:rowOff>
    </xdr:from>
    <xdr:to>
      <xdr:col>4</xdr:col>
      <xdr:colOff>2499433</xdr:colOff>
      <xdr:row>6</xdr:row>
      <xdr:rowOff>1920240</xdr:rowOff>
    </xdr:to>
    <xdr:pic>
      <xdr:nvPicPr>
        <xdr:cNvPr id="13" name="图片 12">
          <a:extLst>
            <a:ext uri="{FF2B5EF4-FFF2-40B4-BE49-F238E27FC236}">
              <a16:creationId xmlns:a16="http://schemas.microsoft.com/office/drawing/2014/main" id="{88401EE0-C0A7-634B-8337-FF071794C20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153402" y="4470400"/>
          <a:ext cx="2499431" cy="1920240"/>
        </a:xfrm>
        <a:prstGeom prst="rect">
          <a:avLst/>
        </a:prstGeom>
      </xdr:spPr>
    </xdr:pic>
    <xdr:clientData/>
  </xdr:twoCellAnchor>
  <xdr:twoCellAnchor editAs="oneCell">
    <xdr:from>
      <xdr:col>4</xdr:col>
      <xdr:colOff>4</xdr:colOff>
      <xdr:row>1</xdr:row>
      <xdr:rowOff>0</xdr:rowOff>
    </xdr:from>
    <xdr:to>
      <xdr:col>4</xdr:col>
      <xdr:colOff>2675829</xdr:colOff>
      <xdr:row>1</xdr:row>
      <xdr:rowOff>1554480</xdr:rowOff>
    </xdr:to>
    <xdr:pic>
      <xdr:nvPicPr>
        <xdr:cNvPr id="17" name="图片 16">
          <a:extLst>
            <a:ext uri="{FF2B5EF4-FFF2-40B4-BE49-F238E27FC236}">
              <a16:creationId xmlns:a16="http://schemas.microsoft.com/office/drawing/2014/main" id="{AF55BCD4-13F3-1146-9A57-B827B1D39DB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53404" y="279400"/>
          <a:ext cx="2675825" cy="1554480"/>
        </a:xfrm>
        <a:prstGeom prst="rect">
          <a:avLst/>
        </a:prstGeom>
      </xdr:spPr>
    </xdr:pic>
    <xdr:clientData/>
  </xdr:twoCellAnchor>
  <xdr:twoCellAnchor editAs="oneCell">
    <xdr:from>
      <xdr:col>4</xdr:col>
      <xdr:colOff>3</xdr:colOff>
      <xdr:row>9</xdr:row>
      <xdr:rowOff>0</xdr:rowOff>
    </xdr:from>
    <xdr:to>
      <xdr:col>4</xdr:col>
      <xdr:colOff>1236251</xdr:colOff>
      <xdr:row>9</xdr:row>
      <xdr:rowOff>1371600</xdr:rowOff>
    </xdr:to>
    <xdr:pic>
      <xdr:nvPicPr>
        <xdr:cNvPr id="19" name="图片 18">
          <a:extLst>
            <a:ext uri="{FF2B5EF4-FFF2-40B4-BE49-F238E27FC236}">
              <a16:creationId xmlns:a16="http://schemas.microsoft.com/office/drawing/2014/main" id="{0AF386CE-89B2-5446-8E1B-855ED60A876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153403" y="7861300"/>
          <a:ext cx="1236248" cy="1371600"/>
        </a:xfrm>
        <a:prstGeom prst="rect">
          <a:avLst/>
        </a:prstGeom>
      </xdr:spPr>
    </xdr:pic>
    <xdr:clientData/>
  </xdr:twoCellAnchor>
  <xdr:twoCellAnchor editAs="oneCell">
    <xdr:from>
      <xdr:col>4</xdr:col>
      <xdr:colOff>2</xdr:colOff>
      <xdr:row>8</xdr:row>
      <xdr:rowOff>0</xdr:rowOff>
    </xdr:from>
    <xdr:to>
      <xdr:col>4</xdr:col>
      <xdr:colOff>1321292</xdr:colOff>
      <xdr:row>8</xdr:row>
      <xdr:rowOff>1097280</xdr:rowOff>
    </xdr:to>
    <xdr:pic>
      <xdr:nvPicPr>
        <xdr:cNvPr id="21" name="图片 20">
          <a:extLst>
            <a:ext uri="{FF2B5EF4-FFF2-40B4-BE49-F238E27FC236}">
              <a16:creationId xmlns:a16="http://schemas.microsoft.com/office/drawing/2014/main" id="{8E6979FE-BA18-7D4B-9A88-32D048F91A8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153402" y="6743700"/>
          <a:ext cx="1321290" cy="1097280"/>
        </a:xfrm>
        <a:prstGeom prst="rect">
          <a:avLst/>
        </a:prstGeom>
      </xdr:spPr>
    </xdr:pic>
    <xdr:clientData/>
  </xdr:twoCellAnchor>
  <xdr:twoCellAnchor editAs="oneCell">
    <xdr:from>
      <xdr:col>4</xdr:col>
      <xdr:colOff>0</xdr:colOff>
      <xdr:row>6</xdr:row>
      <xdr:rowOff>0</xdr:rowOff>
    </xdr:from>
    <xdr:to>
      <xdr:col>4</xdr:col>
      <xdr:colOff>1845876</xdr:colOff>
      <xdr:row>6</xdr:row>
      <xdr:rowOff>640080</xdr:rowOff>
    </xdr:to>
    <xdr:pic>
      <xdr:nvPicPr>
        <xdr:cNvPr id="22" name="图片 21">
          <a:extLst>
            <a:ext uri="{FF2B5EF4-FFF2-40B4-BE49-F238E27FC236}">
              <a16:creationId xmlns:a16="http://schemas.microsoft.com/office/drawing/2014/main" id="{93E9AC59-E6B4-6B42-93FF-D3D70EB391A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153400" y="4470400"/>
          <a:ext cx="1845876" cy="64008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item.jd.com/4315566.html" TargetMode="External"/><Relationship Id="rId3" Type="http://schemas.openxmlformats.org/officeDocument/2006/relationships/hyperlink" Target="https://item.jd.com/100007626997.html" TargetMode="External"/><Relationship Id="rId7" Type="http://schemas.openxmlformats.org/officeDocument/2006/relationships/hyperlink" Target="https://item.jd.com/100012006210.html" TargetMode="External"/><Relationship Id="rId2" Type="http://schemas.openxmlformats.org/officeDocument/2006/relationships/hyperlink" Target="https://item.jd.com/100012354238.html" TargetMode="External"/><Relationship Id="rId1" Type="http://schemas.openxmlformats.org/officeDocument/2006/relationships/hyperlink" Target="https://item.jd.com/100007742413.html" TargetMode="External"/><Relationship Id="rId6" Type="http://schemas.openxmlformats.org/officeDocument/2006/relationships/hyperlink" Target="https://item.jd.com/100003859066.html" TargetMode="External"/><Relationship Id="rId11" Type="http://schemas.openxmlformats.org/officeDocument/2006/relationships/drawing" Target="../drawings/drawing1.xml"/><Relationship Id="rId5" Type="http://schemas.openxmlformats.org/officeDocument/2006/relationships/hyperlink" Target="https://item.jd.com/100012295086.html" TargetMode="External"/><Relationship Id="rId10" Type="http://schemas.openxmlformats.org/officeDocument/2006/relationships/hyperlink" Target="https://item.jd.com/100008697687.html" TargetMode="External"/><Relationship Id="rId4" Type="http://schemas.openxmlformats.org/officeDocument/2006/relationships/hyperlink" Target="https://item.jd.com/100013853386.html" TargetMode="External"/><Relationship Id="rId9" Type="http://schemas.openxmlformats.org/officeDocument/2006/relationships/hyperlink" Target="https://item.jd.com/100013700218.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ongshang.mingluji.com/liaoning/name/%E5%A4%A7%E8%BF%9E%E5%93%81%E8%AF%BA%E8%A3%85%E9%A5%B0%E8%A3%85%E4%BF%AE%E5%B7%A5%E7%A8%8B%E6%9C%89%E9%99%90%E5%85%AC%E5%8F%B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C161-75F4-7C4B-8CB2-C8EB52272EAD}">
  <dimension ref="A1:J20"/>
  <sheetViews>
    <sheetView tabSelected="1" zoomScale="109" workbookViewId="0">
      <pane ySplit="1" topLeftCell="A18" activePane="bottomLeft" state="frozen"/>
      <selection activeCell="D31" sqref="D31"/>
      <selection pane="bottomLeft" activeCell="C8" sqref="C8"/>
    </sheetView>
  </sheetViews>
  <sheetFormatPr baseColWidth="10" defaultColWidth="27.6640625" defaultRowHeight="21"/>
  <cols>
    <col min="1" max="1" width="14.1640625" style="5" customWidth="1"/>
    <col min="2" max="2" width="40.1640625" style="5" customWidth="1"/>
    <col min="3" max="3" width="15.33203125" style="5" customWidth="1"/>
    <col min="4" max="9" width="27.6640625" style="5"/>
    <col min="10" max="10" width="53" style="5" customWidth="1"/>
    <col min="11" max="16384" width="27.6640625" style="5"/>
  </cols>
  <sheetData>
    <row r="1" spans="1:10" s="1" customFormat="1" ht="22">
      <c r="A1" s="1" t="s">
        <v>0</v>
      </c>
      <c r="B1" s="1" t="s">
        <v>4</v>
      </c>
      <c r="C1" s="1" t="s">
        <v>8</v>
      </c>
      <c r="D1" s="1" t="s">
        <v>7</v>
      </c>
      <c r="E1" s="1" t="s">
        <v>1</v>
      </c>
      <c r="F1" s="1" t="s">
        <v>2</v>
      </c>
      <c r="G1" s="1" t="s">
        <v>10</v>
      </c>
      <c r="H1" s="1" t="s">
        <v>12</v>
      </c>
      <c r="I1" s="1" t="s">
        <v>26</v>
      </c>
      <c r="J1" s="1" t="s">
        <v>143</v>
      </c>
    </row>
    <row r="2" spans="1:10" ht="220">
      <c r="A2" s="5" t="s">
        <v>3</v>
      </c>
      <c r="B2" s="5" t="s">
        <v>5</v>
      </c>
      <c r="C2" s="5" t="s">
        <v>9</v>
      </c>
      <c r="D2" s="5" t="s">
        <v>162</v>
      </c>
      <c r="E2" s="5" t="s">
        <v>11</v>
      </c>
      <c r="F2" s="5" t="s">
        <v>6</v>
      </c>
      <c r="G2" s="5" t="s">
        <v>25</v>
      </c>
      <c r="H2" s="5" t="s">
        <v>155</v>
      </c>
      <c r="I2" s="5">
        <v>3830</v>
      </c>
      <c r="J2" s="5" t="s">
        <v>159</v>
      </c>
    </row>
    <row r="3" spans="1:10" ht="132">
      <c r="A3" s="5" t="s">
        <v>13</v>
      </c>
      <c r="B3" s="5" t="s">
        <v>116</v>
      </c>
      <c r="C3" s="5" t="s">
        <v>27</v>
      </c>
      <c r="D3" s="5" t="s">
        <v>117</v>
      </c>
      <c r="E3" s="5">
        <v>1000</v>
      </c>
      <c r="F3" s="5" t="s">
        <v>14</v>
      </c>
      <c r="G3" s="5">
        <v>1000</v>
      </c>
      <c r="H3" s="5" t="s">
        <v>141</v>
      </c>
      <c r="I3" s="5">
        <v>1000</v>
      </c>
      <c r="J3" s="5" t="s">
        <v>142</v>
      </c>
    </row>
    <row r="4" spans="1:10" ht="44">
      <c r="A4" s="5" t="s">
        <v>174</v>
      </c>
      <c r="B4" s="5" t="s">
        <v>175</v>
      </c>
      <c r="C4" s="5" t="s">
        <v>251</v>
      </c>
      <c r="D4" s="5">
        <v>0</v>
      </c>
      <c r="E4" s="5">
        <v>0</v>
      </c>
      <c r="F4" s="5">
        <v>1</v>
      </c>
      <c r="G4" s="5">
        <v>0</v>
      </c>
      <c r="H4" s="5">
        <v>0</v>
      </c>
      <c r="I4" s="5">
        <v>0</v>
      </c>
      <c r="J4" s="5" t="s">
        <v>176</v>
      </c>
    </row>
    <row r="5" spans="1:10" ht="66">
      <c r="A5" s="5" t="s">
        <v>230</v>
      </c>
      <c r="B5" s="5" t="s">
        <v>232</v>
      </c>
      <c r="C5" s="5" t="s">
        <v>250</v>
      </c>
      <c r="D5" s="5" t="s">
        <v>311</v>
      </c>
      <c r="E5" s="5" t="s">
        <v>14</v>
      </c>
      <c r="F5" s="5" t="s">
        <v>14</v>
      </c>
      <c r="G5" s="5">
        <f>479+450+2</f>
        <v>931</v>
      </c>
      <c r="H5" s="5" t="s">
        <v>288</v>
      </c>
      <c r="I5" s="5">
        <v>931</v>
      </c>
      <c r="J5" s="5" t="s">
        <v>252</v>
      </c>
    </row>
    <row r="6" spans="1:10" ht="308">
      <c r="A6" s="5" t="s">
        <v>217</v>
      </c>
      <c r="B6" s="5" t="s">
        <v>305</v>
      </c>
      <c r="C6" s="5" t="s">
        <v>250</v>
      </c>
      <c r="D6" s="5" t="s">
        <v>623</v>
      </c>
      <c r="E6" s="5" t="s">
        <v>14</v>
      </c>
      <c r="F6" s="5" t="s">
        <v>14</v>
      </c>
      <c r="G6" s="5">
        <f>3678+856.87+3500+440+20</f>
        <v>8494.869999999999</v>
      </c>
      <c r="H6" s="5" t="s">
        <v>481</v>
      </c>
      <c r="I6" s="5">
        <v>8489.8700000000008</v>
      </c>
      <c r="J6" s="5" t="s">
        <v>287</v>
      </c>
    </row>
    <row r="7" spans="1:10" ht="154" customHeight="1">
      <c r="A7" s="84" t="s">
        <v>432</v>
      </c>
      <c r="B7" s="5" t="s">
        <v>467</v>
      </c>
      <c r="C7" s="5" t="s">
        <v>475</v>
      </c>
      <c r="D7" s="86" t="s">
        <v>683</v>
      </c>
      <c r="E7" s="70" t="s">
        <v>14</v>
      </c>
      <c r="F7" s="5">
        <v>2</v>
      </c>
      <c r="G7" s="86">
        <f>12201.77+7342.5</f>
        <v>19544.27</v>
      </c>
      <c r="H7" s="86" t="s">
        <v>481</v>
      </c>
      <c r="I7" s="86">
        <f>G7</f>
        <v>19544.27</v>
      </c>
      <c r="J7" s="83"/>
    </row>
    <row r="8" spans="1:10" ht="88">
      <c r="A8" s="84"/>
      <c r="B8" s="5" t="s">
        <v>463</v>
      </c>
      <c r="C8" s="5" t="s">
        <v>464</v>
      </c>
      <c r="D8" s="86"/>
      <c r="E8" s="70" t="s">
        <v>14</v>
      </c>
      <c r="F8" s="5">
        <v>2</v>
      </c>
      <c r="G8" s="86"/>
      <c r="H8" s="86"/>
      <c r="I8" s="86"/>
      <c r="J8" s="83"/>
    </row>
    <row r="9" spans="1:10" ht="88">
      <c r="A9" s="84"/>
      <c r="B9" s="5" t="s">
        <v>472</v>
      </c>
      <c r="C9" s="70" t="s">
        <v>474</v>
      </c>
      <c r="D9" s="86"/>
      <c r="E9" s="70" t="s">
        <v>14</v>
      </c>
      <c r="F9" s="5" t="s">
        <v>533</v>
      </c>
      <c r="G9" s="86"/>
      <c r="H9" s="86"/>
      <c r="I9" s="86"/>
      <c r="J9" s="83"/>
    </row>
    <row r="10" spans="1:10" s="69" customFormat="1" ht="88">
      <c r="A10" s="84"/>
      <c r="B10" s="69" t="s">
        <v>473</v>
      </c>
      <c r="C10" s="69" t="s">
        <v>464</v>
      </c>
      <c r="D10" s="86"/>
      <c r="E10" s="69" t="s">
        <v>14</v>
      </c>
      <c r="F10" s="69" t="s">
        <v>532</v>
      </c>
      <c r="G10" s="86"/>
      <c r="H10" s="86"/>
      <c r="I10" s="86"/>
      <c r="J10" s="83"/>
    </row>
    <row r="11" spans="1:10" s="81" customFormat="1" ht="22">
      <c r="A11" s="84"/>
      <c r="B11" s="81" t="s">
        <v>512</v>
      </c>
      <c r="C11" s="81" t="s">
        <v>251</v>
      </c>
      <c r="D11" s="86"/>
      <c r="E11" s="81" t="s">
        <v>14</v>
      </c>
      <c r="G11" s="86"/>
      <c r="H11" s="86"/>
      <c r="I11" s="86"/>
    </row>
    <row r="12" spans="1:10" s="69" customFormat="1" ht="88">
      <c r="A12" s="69" t="s">
        <v>509</v>
      </c>
      <c r="B12" s="69" t="s">
        <v>529</v>
      </c>
      <c r="C12" s="69" t="s">
        <v>530</v>
      </c>
      <c r="D12" s="69" t="s">
        <v>624</v>
      </c>
      <c r="E12" s="69" t="s">
        <v>14</v>
      </c>
      <c r="F12" s="69" t="s">
        <v>531</v>
      </c>
      <c r="G12" s="69">
        <f>723+80+700</f>
        <v>1503</v>
      </c>
      <c r="H12" s="69" t="s">
        <v>481</v>
      </c>
      <c r="I12" s="69">
        <f>G12</f>
        <v>1503</v>
      </c>
    </row>
    <row r="13" spans="1:10" s="69" customFormat="1" ht="132">
      <c r="A13" s="69" t="s">
        <v>534</v>
      </c>
      <c r="B13" s="69" t="s">
        <v>677</v>
      </c>
      <c r="C13" s="69" t="s">
        <v>464</v>
      </c>
      <c r="D13" s="69" t="s">
        <v>678</v>
      </c>
      <c r="E13" s="81" t="s">
        <v>14</v>
      </c>
      <c r="G13" s="69">
        <f>2500+80+7000</f>
        <v>9580</v>
      </c>
      <c r="I13" s="93">
        <f>9580+3500</f>
        <v>13080</v>
      </c>
    </row>
    <row r="14" spans="1:10" s="69" customFormat="1" ht="88">
      <c r="A14" s="69" t="s">
        <v>538</v>
      </c>
      <c r="B14" s="69" t="s">
        <v>574</v>
      </c>
      <c r="C14" s="69" t="s">
        <v>575</v>
      </c>
      <c r="D14" s="69" t="s">
        <v>576</v>
      </c>
      <c r="H14" s="69" t="s">
        <v>681</v>
      </c>
      <c r="I14" s="93">
        <v>35000</v>
      </c>
    </row>
    <row r="15" spans="1:10" s="69" customFormat="1" ht="44">
      <c r="A15" s="83" t="s">
        <v>549</v>
      </c>
      <c r="B15" s="69" t="s">
        <v>584</v>
      </c>
      <c r="C15" s="69" t="s">
        <v>541</v>
      </c>
      <c r="D15" s="69" t="s">
        <v>640</v>
      </c>
      <c r="E15" s="81" t="s">
        <v>14</v>
      </c>
      <c r="F15" s="69" t="s">
        <v>641</v>
      </c>
      <c r="G15" s="69">
        <v>7764</v>
      </c>
      <c r="H15" s="69" t="s">
        <v>642</v>
      </c>
      <c r="I15" s="69">
        <v>7764</v>
      </c>
    </row>
    <row r="16" spans="1:10" s="69" customFormat="1" ht="66">
      <c r="A16" s="83"/>
      <c r="B16" s="69" t="s">
        <v>585</v>
      </c>
      <c r="C16" s="69" t="s">
        <v>586</v>
      </c>
      <c r="D16" s="69" t="s">
        <v>582</v>
      </c>
      <c r="G16" s="69">
        <v>2100</v>
      </c>
      <c r="H16" s="69" t="s">
        <v>684</v>
      </c>
      <c r="I16" s="69">
        <v>2100</v>
      </c>
    </row>
    <row r="17" spans="1:10" s="69" customFormat="1" ht="44">
      <c r="A17" s="69" t="s">
        <v>544</v>
      </c>
      <c r="B17" s="69" t="s">
        <v>577</v>
      </c>
      <c r="C17" s="69" t="s">
        <v>545</v>
      </c>
      <c r="D17" s="69" t="s">
        <v>583</v>
      </c>
      <c r="H17" s="69" t="s">
        <v>682</v>
      </c>
      <c r="I17" s="93">
        <v>55000</v>
      </c>
    </row>
    <row r="18" spans="1:10" s="69" customFormat="1" ht="132">
      <c r="A18" s="69" t="s">
        <v>542</v>
      </c>
      <c r="B18" s="69" t="s">
        <v>635</v>
      </c>
      <c r="C18" s="69" t="s">
        <v>637</v>
      </c>
      <c r="D18" s="69" t="s">
        <v>636</v>
      </c>
      <c r="E18" s="81" t="s">
        <v>14</v>
      </c>
      <c r="F18" s="69" t="s">
        <v>638</v>
      </c>
      <c r="G18" s="69">
        <f>288+200+20</f>
        <v>508</v>
      </c>
      <c r="H18" s="69" t="s">
        <v>685</v>
      </c>
      <c r="I18" s="69">
        <v>508</v>
      </c>
      <c r="J18" s="69" t="s">
        <v>639</v>
      </c>
    </row>
    <row r="19" spans="1:10" s="69" customFormat="1" ht="22">
      <c r="A19" s="69" t="s">
        <v>543</v>
      </c>
      <c r="I19" s="93">
        <v>700</v>
      </c>
    </row>
    <row r="20" spans="1:10" s="17" customFormat="1" ht="22">
      <c r="A20" s="17" t="s">
        <v>17</v>
      </c>
      <c r="I20" s="17">
        <f>SUM(I2:I19)</f>
        <v>149450.14000000001</v>
      </c>
    </row>
  </sheetData>
  <mergeCells count="7">
    <mergeCell ref="A15:A16"/>
    <mergeCell ref="J7:J10"/>
    <mergeCell ref="A7:A11"/>
    <mergeCell ref="D7:D11"/>
    <mergeCell ref="G7:G11"/>
    <mergeCell ref="H7:H11"/>
    <mergeCell ref="I7:I1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1F9F4-DFD8-BD4E-8A63-048432AB3CEF}">
  <dimension ref="A1:K157"/>
  <sheetViews>
    <sheetView workbookViewId="0">
      <pane ySplit="1" topLeftCell="A150" activePane="bottomLeft" state="frozen"/>
      <selection pane="bottomLeft" activeCell="D148" sqref="D148"/>
    </sheetView>
  </sheetViews>
  <sheetFormatPr baseColWidth="10" defaultColWidth="18" defaultRowHeight="21"/>
  <cols>
    <col min="1" max="1" width="18" style="30"/>
    <col min="2" max="2" width="18" style="77"/>
    <col min="3" max="3" width="24.1640625" style="30" customWidth="1"/>
    <col min="4" max="4" width="18" style="30"/>
    <col min="5" max="5" width="19.83203125" style="30" customWidth="1"/>
    <col min="6" max="9" width="18" style="30"/>
    <col min="10" max="10" width="36" style="30" customWidth="1"/>
    <col min="11" max="16384" width="18" style="30"/>
  </cols>
  <sheetData>
    <row r="1" spans="1:11" s="49" customFormat="1" ht="22">
      <c r="A1" s="49" t="s">
        <v>308</v>
      </c>
      <c r="B1" s="82" t="s">
        <v>310</v>
      </c>
      <c r="C1" s="49" t="s">
        <v>34</v>
      </c>
      <c r="D1" s="49" t="s">
        <v>36</v>
      </c>
      <c r="E1" s="49" t="s">
        <v>70</v>
      </c>
      <c r="F1" s="49" t="s">
        <v>132</v>
      </c>
      <c r="G1" s="49" t="s">
        <v>2</v>
      </c>
      <c r="H1" s="49" t="s">
        <v>101</v>
      </c>
      <c r="I1" s="49" t="s">
        <v>26</v>
      </c>
      <c r="J1" s="49" t="s">
        <v>143</v>
      </c>
      <c r="K1" s="49" t="s">
        <v>414</v>
      </c>
    </row>
    <row r="2" spans="1:11" ht="22" customHeight="1">
      <c r="A2" s="86" t="s">
        <v>548</v>
      </c>
      <c r="B2" s="86">
        <f>SUM(I2:I22)</f>
        <v>1958.04</v>
      </c>
      <c r="C2" s="30" t="s">
        <v>133</v>
      </c>
      <c r="D2" s="30" t="s">
        <v>134</v>
      </c>
      <c r="E2" s="30" t="s">
        <v>135</v>
      </c>
      <c r="F2" s="30">
        <v>278</v>
      </c>
      <c r="G2" s="30">
        <v>2</v>
      </c>
      <c r="H2" s="30">
        <f t="shared" ref="H2:H15" si="0">F2*G2</f>
        <v>556</v>
      </c>
      <c r="I2" s="30">
        <v>423</v>
      </c>
    </row>
    <row r="3" spans="1:11" ht="22">
      <c r="A3" s="86"/>
      <c r="B3" s="86"/>
      <c r="C3" s="30" t="s">
        <v>136</v>
      </c>
      <c r="D3" s="30" t="s">
        <v>137</v>
      </c>
      <c r="E3" s="30" t="s">
        <v>135</v>
      </c>
      <c r="F3" s="30">
        <v>64</v>
      </c>
      <c r="G3" s="30">
        <v>2</v>
      </c>
      <c r="H3" s="30">
        <f t="shared" si="0"/>
        <v>128</v>
      </c>
      <c r="I3" s="30">
        <v>101</v>
      </c>
    </row>
    <row r="4" spans="1:11" ht="22">
      <c r="A4" s="86"/>
      <c r="B4" s="86"/>
      <c r="C4" s="30" t="s">
        <v>138</v>
      </c>
      <c r="E4" s="30" t="s">
        <v>139</v>
      </c>
      <c r="F4" s="30">
        <v>5</v>
      </c>
      <c r="G4" s="30">
        <v>2</v>
      </c>
      <c r="H4" s="30">
        <f t="shared" si="0"/>
        <v>10</v>
      </c>
      <c r="I4" s="30">
        <v>10</v>
      </c>
    </row>
    <row r="5" spans="1:11" ht="22">
      <c r="A5" s="86"/>
      <c r="B5" s="86"/>
      <c r="C5" s="30" t="s">
        <v>177</v>
      </c>
      <c r="D5" s="30" t="s">
        <v>178</v>
      </c>
      <c r="E5" s="30" t="s">
        <v>135</v>
      </c>
      <c r="F5" s="30">
        <v>318</v>
      </c>
      <c r="G5" s="30">
        <v>1</v>
      </c>
      <c r="H5" s="30">
        <f t="shared" si="0"/>
        <v>318</v>
      </c>
      <c r="I5" s="87">
        <v>412</v>
      </c>
    </row>
    <row r="6" spans="1:11" ht="66">
      <c r="A6" s="86"/>
      <c r="B6" s="86"/>
      <c r="C6" s="30" t="s">
        <v>179</v>
      </c>
      <c r="D6" s="30" t="s">
        <v>180</v>
      </c>
      <c r="E6" s="30" t="s">
        <v>135</v>
      </c>
      <c r="F6" s="30">
        <v>53.9</v>
      </c>
      <c r="G6" s="30">
        <v>1</v>
      </c>
      <c r="H6" s="30">
        <f t="shared" si="0"/>
        <v>53.9</v>
      </c>
      <c r="I6" s="87"/>
    </row>
    <row r="7" spans="1:11" ht="44">
      <c r="A7" s="86"/>
      <c r="B7" s="86"/>
      <c r="C7" s="30" t="s">
        <v>181</v>
      </c>
      <c r="D7" s="30" t="s">
        <v>182</v>
      </c>
      <c r="E7" s="30" t="s">
        <v>135</v>
      </c>
      <c r="F7" s="30">
        <v>39.9</v>
      </c>
      <c r="G7" s="30">
        <v>1</v>
      </c>
      <c r="H7" s="30">
        <f t="shared" si="0"/>
        <v>39.9</v>
      </c>
      <c r="I7" s="87"/>
    </row>
    <row r="8" spans="1:11" ht="66">
      <c r="A8" s="86"/>
      <c r="B8" s="86"/>
      <c r="C8" s="30" t="s">
        <v>183</v>
      </c>
      <c r="D8" s="30" t="s">
        <v>184</v>
      </c>
      <c r="E8" s="30" t="s">
        <v>135</v>
      </c>
      <c r="F8" s="30">
        <v>188</v>
      </c>
      <c r="G8" s="30">
        <v>1</v>
      </c>
      <c r="H8" s="30">
        <f t="shared" si="0"/>
        <v>188</v>
      </c>
      <c r="I8" s="50">
        <v>188</v>
      </c>
    </row>
    <row r="9" spans="1:11" ht="22">
      <c r="A9" s="86"/>
      <c r="B9" s="86"/>
      <c r="C9" s="30" t="s">
        <v>185</v>
      </c>
      <c r="D9" s="30" t="s">
        <v>186</v>
      </c>
      <c r="E9" s="30" t="s">
        <v>187</v>
      </c>
      <c r="F9" s="30">
        <v>35</v>
      </c>
      <c r="G9" s="30">
        <v>1</v>
      </c>
      <c r="H9" s="30">
        <f t="shared" si="0"/>
        <v>35</v>
      </c>
      <c r="I9" s="50">
        <v>35</v>
      </c>
    </row>
    <row r="10" spans="1:11" ht="66">
      <c r="A10" s="86"/>
      <c r="B10" s="86"/>
      <c r="C10" s="30" t="s">
        <v>192</v>
      </c>
      <c r="D10" s="30" t="s">
        <v>193</v>
      </c>
      <c r="E10" s="30" t="s">
        <v>135</v>
      </c>
      <c r="F10" s="30">
        <v>258</v>
      </c>
      <c r="G10" s="30">
        <v>1</v>
      </c>
      <c r="H10" s="30">
        <f t="shared" si="0"/>
        <v>258</v>
      </c>
      <c r="I10" s="50">
        <v>129</v>
      </c>
    </row>
    <row r="11" spans="1:11" ht="22">
      <c r="A11" s="86"/>
      <c r="B11" s="86"/>
      <c r="C11" s="30" t="s">
        <v>201</v>
      </c>
      <c r="E11" s="30" t="s">
        <v>135</v>
      </c>
      <c r="F11" s="30">
        <v>22</v>
      </c>
      <c r="G11" s="30">
        <v>1</v>
      </c>
      <c r="H11" s="30">
        <f t="shared" si="0"/>
        <v>22</v>
      </c>
      <c r="I11" s="50">
        <v>22</v>
      </c>
    </row>
    <row r="12" spans="1:11" ht="22">
      <c r="A12" s="86"/>
      <c r="B12" s="86"/>
      <c r="C12" s="30" t="s">
        <v>202</v>
      </c>
      <c r="E12" s="30" t="s">
        <v>135</v>
      </c>
      <c r="F12" s="30">
        <v>11.2</v>
      </c>
      <c r="G12" s="30">
        <v>1</v>
      </c>
      <c r="H12" s="30">
        <f t="shared" si="0"/>
        <v>11.2</v>
      </c>
      <c r="I12" s="50">
        <v>11.2</v>
      </c>
    </row>
    <row r="13" spans="1:11" ht="22">
      <c r="A13" s="86"/>
      <c r="B13" s="86"/>
      <c r="C13" s="30" t="s">
        <v>203</v>
      </c>
      <c r="D13" s="30" t="s">
        <v>204</v>
      </c>
      <c r="E13" s="30" t="s">
        <v>135</v>
      </c>
      <c r="F13" s="30">
        <v>89</v>
      </c>
      <c r="G13" s="30">
        <v>1</v>
      </c>
      <c r="H13" s="30">
        <f t="shared" si="0"/>
        <v>89</v>
      </c>
      <c r="I13" s="50">
        <v>89</v>
      </c>
    </row>
    <row r="14" spans="1:11" ht="22">
      <c r="A14" s="86"/>
      <c r="B14" s="86"/>
      <c r="C14" s="30" t="s">
        <v>206</v>
      </c>
      <c r="D14" s="30" t="s">
        <v>205</v>
      </c>
      <c r="E14" s="30" t="s">
        <v>135</v>
      </c>
      <c r="F14" s="30">
        <v>30</v>
      </c>
      <c r="G14" s="30">
        <v>1</v>
      </c>
      <c r="H14" s="30">
        <f t="shared" si="0"/>
        <v>30</v>
      </c>
      <c r="I14" s="50">
        <v>30</v>
      </c>
    </row>
    <row r="15" spans="1:11" s="57" customFormat="1" ht="22">
      <c r="A15" s="86"/>
      <c r="B15" s="86"/>
      <c r="C15" s="57" t="s">
        <v>207</v>
      </c>
      <c r="D15" s="57" t="s">
        <v>208</v>
      </c>
      <c r="E15" s="57" t="s">
        <v>135</v>
      </c>
      <c r="F15" s="57">
        <v>287.5</v>
      </c>
      <c r="G15" s="57">
        <v>1</v>
      </c>
      <c r="H15" s="57">
        <f t="shared" si="0"/>
        <v>287.5</v>
      </c>
      <c r="I15" s="57">
        <v>287.5</v>
      </c>
    </row>
    <row r="16" spans="1:11" ht="44">
      <c r="A16" s="86"/>
      <c r="B16" s="86"/>
      <c r="C16" s="30" t="s">
        <v>254</v>
      </c>
      <c r="E16" s="30" t="s">
        <v>255</v>
      </c>
      <c r="F16" s="30">
        <v>15</v>
      </c>
      <c r="G16" s="30">
        <v>1</v>
      </c>
      <c r="H16" s="30">
        <v>15</v>
      </c>
      <c r="I16" s="50">
        <v>15</v>
      </c>
    </row>
    <row r="17" spans="1:9" ht="44">
      <c r="A17" s="86"/>
      <c r="B17" s="86"/>
      <c r="C17" s="30" t="s">
        <v>256</v>
      </c>
      <c r="D17" s="30" t="s">
        <v>257</v>
      </c>
      <c r="E17" s="30" t="s">
        <v>139</v>
      </c>
      <c r="F17" s="30">
        <v>3</v>
      </c>
      <c r="G17" s="30">
        <v>2</v>
      </c>
      <c r="H17" s="30">
        <v>6</v>
      </c>
      <c r="I17" s="50">
        <v>6</v>
      </c>
    </row>
    <row r="18" spans="1:9" ht="44">
      <c r="A18" s="86"/>
      <c r="B18" s="86"/>
      <c r="C18" s="30" t="s">
        <v>258</v>
      </c>
      <c r="E18" s="30" t="s">
        <v>234</v>
      </c>
      <c r="F18" s="30">
        <v>10</v>
      </c>
      <c r="G18" s="30">
        <v>1</v>
      </c>
      <c r="H18" s="30">
        <v>10</v>
      </c>
      <c r="I18" s="50">
        <v>10</v>
      </c>
    </row>
    <row r="19" spans="1:9" s="75" customFormat="1" ht="44">
      <c r="A19" s="86"/>
      <c r="B19" s="86"/>
      <c r="C19" s="75" t="s">
        <v>284</v>
      </c>
      <c r="E19" s="75" t="s">
        <v>234</v>
      </c>
      <c r="F19" s="75">
        <v>10</v>
      </c>
      <c r="G19" s="75">
        <v>1</v>
      </c>
      <c r="H19" s="75">
        <v>10</v>
      </c>
      <c r="I19" s="75">
        <v>10</v>
      </c>
    </row>
    <row r="20" spans="1:9" s="80" customFormat="1" ht="22">
      <c r="A20" s="86"/>
      <c r="B20" s="86"/>
      <c r="C20" s="80" t="s">
        <v>618</v>
      </c>
      <c r="E20" s="80">
        <v>1688</v>
      </c>
      <c r="F20" s="80">
        <v>120</v>
      </c>
      <c r="G20" s="92">
        <v>1</v>
      </c>
      <c r="H20" s="80">
        <v>120</v>
      </c>
      <c r="I20" s="80">
        <v>120</v>
      </c>
    </row>
    <row r="21" spans="1:9" s="80" customFormat="1" ht="22">
      <c r="A21" s="86"/>
      <c r="B21" s="86"/>
      <c r="C21" s="80" t="s">
        <v>619</v>
      </c>
      <c r="E21" s="80">
        <v>1688</v>
      </c>
      <c r="F21" s="80">
        <v>24.3</v>
      </c>
      <c r="G21" s="92" t="s">
        <v>621</v>
      </c>
      <c r="H21" s="80">
        <v>24.3</v>
      </c>
      <c r="I21" s="80">
        <v>24.3</v>
      </c>
    </row>
    <row r="22" spans="1:9" s="80" customFormat="1" ht="22">
      <c r="A22" s="88"/>
      <c r="B22" s="88"/>
      <c r="C22" s="80" t="s">
        <v>620</v>
      </c>
      <c r="E22" s="80">
        <v>1688</v>
      </c>
      <c r="F22" s="80">
        <v>35.04</v>
      </c>
      <c r="G22" s="92" t="s">
        <v>622</v>
      </c>
      <c r="H22" s="80">
        <v>35.04</v>
      </c>
      <c r="I22" s="80">
        <v>35.04</v>
      </c>
    </row>
    <row r="23" spans="1:9" s="75" customFormat="1">
      <c r="A23" s="89" t="s">
        <v>537</v>
      </c>
      <c r="B23" s="89"/>
      <c r="C23" s="89"/>
      <c r="D23" s="89"/>
      <c r="E23" s="89"/>
      <c r="F23" s="89"/>
      <c r="G23" s="89"/>
      <c r="H23" s="89"/>
      <c r="I23" s="89"/>
    </row>
    <row r="24" spans="1:9" ht="44">
      <c r="A24" s="86" t="s">
        <v>309</v>
      </c>
      <c r="B24" s="86">
        <f>SUM(I24:I31)</f>
        <v>479</v>
      </c>
      <c r="C24" s="30" t="s">
        <v>233</v>
      </c>
      <c r="D24" s="30" t="s">
        <v>235</v>
      </c>
      <c r="E24" s="30" t="s">
        <v>234</v>
      </c>
      <c r="F24" s="30" t="s">
        <v>236</v>
      </c>
      <c r="G24" s="30">
        <v>80</v>
      </c>
      <c r="H24" s="30">
        <v>48</v>
      </c>
      <c r="I24" s="50">
        <v>48</v>
      </c>
    </row>
    <row r="25" spans="1:9" ht="44">
      <c r="A25" s="86"/>
      <c r="B25" s="86"/>
      <c r="C25" s="30" t="s">
        <v>237</v>
      </c>
      <c r="D25" s="30" t="s">
        <v>312</v>
      </c>
      <c r="E25" s="30" t="s">
        <v>234</v>
      </c>
      <c r="F25" s="30" t="s">
        <v>238</v>
      </c>
      <c r="G25" s="30">
        <v>3</v>
      </c>
      <c r="H25" s="30">
        <v>78</v>
      </c>
      <c r="I25" s="50">
        <v>78</v>
      </c>
    </row>
    <row r="26" spans="1:9" ht="44">
      <c r="A26" s="86"/>
      <c r="B26" s="86"/>
      <c r="C26" s="30" t="s">
        <v>239</v>
      </c>
      <c r="D26" s="30" t="s">
        <v>240</v>
      </c>
      <c r="E26" s="30" t="s">
        <v>234</v>
      </c>
      <c r="F26" s="30" t="s">
        <v>246</v>
      </c>
      <c r="G26" s="30">
        <v>20</v>
      </c>
      <c r="H26" s="30">
        <v>100</v>
      </c>
      <c r="I26" s="50">
        <v>100</v>
      </c>
    </row>
    <row r="27" spans="1:9" ht="44">
      <c r="A27" s="86"/>
      <c r="B27" s="86"/>
      <c r="C27" s="30" t="s">
        <v>241</v>
      </c>
      <c r="D27" s="30" t="s">
        <v>247</v>
      </c>
      <c r="E27" s="30" t="s">
        <v>234</v>
      </c>
      <c r="F27" s="30">
        <v>4</v>
      </c>
      <c r="G27" s="30">
        <v>7</v>
      </c>
      <c r="H27" s="30">
        <v>28</v>
      </c>
      <c r="I27" s="50">
        <v>28</v>
      </c>
    </row>
    <row r="28" spans="1:9" ht="44">
      <c r="A28" s="86"/>
      <c r="B28" s="86"/>
      <c r="C28" s="30" t="s">
        <v>242</v>
      </c>
      <c r="E28" s="30" t="s">
        <v>234</v>
      </c>
      <c r="F28" s="30">
        <v>1</v>
      </c>
      <c r="G28" s="30">
        <v>50</v>
      </c>
      <c r="H28" s="30">
        <v>50</v>
      </c>
      <c r="I28" s="50">
        <v>50</v>
      </c>
    </row>
    <row r="29" spans="1:9" ht="44">
      <c r="A29" s="86"/>
      <c r="B29" s="86"/>
      <c r="C29" s="30" t="s">
        <v>243</v>
      </c>
      <c r="E29" s="30" t="s">
        <v>234</v>
      </c>
      <c r="F29" s="30" t="s">
        <v>238</v>
      </c>
      <c r="G29" s="30">
        <v>3</v>
      </c>
      <c r="H29" s="30">
        <v>78</v>
      </c>
      <c r="I29" s="50">
        <v>77</v>
      </c>
    </row>
    <row r="30" spans="1:9" ht="44">
      <c r="A30" s="86"/>
      <c r="B30" s="86"/>
      <c r="C30" s="30" t="s">
        <v>244</v>
      </c>
      <c r="E30" s="30" t="s">
        <v>234</v>
      </c>
      <c r="F30" s="30">
        <v>2</v>
      </c>
      <c r="G30" s="30">
        <v>20</v>
      </c>
      <c r="H30" s="30">
        <v>40</v>
      </c>
      <c r="I30" s="50">
        <v>36</v>
      </c>
    </row>
    <row r="31" spans="1:9" s="48" customFormat="1" ht="44">
      <c r="A31" s="88"/>
      <c r="B31" s="88"/>
      <c r="C31" s="48" t="s">
        <v>245</v>
      </c>
      <c r="D31" s="48" t="s">
        <v>248</v>
      </c>
      <c r="E31" s="48" t="s">
        <v>234</v>
      </c>
      <c r="F31" s="48" t="s">
        <v>249</v>
      </c>
      <c r="G31" s="48">
        <v>2.5</v>
      </c>
      <c r="H31" s="48">
        <v>62</v>
      </c>
      <c r="I31" s="48">
        <v>62</v>
      </c>
    </row>
    <row r="32" spans="1:9" ht="44">
      <c r="A32" s="85" t="s">
        <v>356</v>
      </c>
      <c r="B32" s="86">
        <f>SUM(I32:I57)</f>
        <v>2021</v>
      </c>
      <c r="C32" s="30" t="s">
        <v>326</v>
      </c>
      <c r="D32" s="30" t="s">
        <v>323</v>
      </c>
      <c r="E32" s="30" t="s">
        <v>234</v>
      </c>
      <c r="F32" s="30" t="s">
        <v>395</v>
      </c>
      <c r="G32" s="30">
        <v>5</v>
      </c>
      <c r="H32" s="30">
        <f>60*5</f>
        <v>300</v>
      </c>
      <c r="I32" s="57">
        <f>H32</f>
        <v>300</v>
      </c>
    </row>
    <row r="33" spans="1:10" ht="44">
      <c r="A33" s="85"/>
      <c r="B33" s="86"/>
      <c r="C33" s="30" t="s">
        <v>325</v>
      </c>
      <c r="D33" s="30" t="s">
        <v>323</v>
      </c>
      <c r="E33" s="30" t="s">
        <v>234</v>
      </c>
      <c r="F33" s="30">
        <v>7</v>
      </c>
      <c r="G33" s="30">
        <f>30-19</f>
        <v>11</v>
      </c>
      <c r="H33" s="30">
        <f>F33*G33</f>
        <v>77</v>
      </c>
      <c r="I33" s="57">
        <f t="shared" ref="I33:I87" si="1">H33</f>
        <v>77</v>
      </c>
    </row>
    <row r="34" spans="1:10" ht="44">
      <c r="A34" s="85"/>
      <c r="B34" s="86"/>
      <c r="C34" s="30" t="s">
        <v>324</v>
      </c>
      <c r="D34" s="30" t="s">
        <v>323</v>
      </c>
      <c r="E34" s="30" t="s">
        <v>375</v>
      </c>
      <c r="F34" s="30">
        <v>7</v>
      </c>
      <c r="G34" s="30">
        <v>10</v>
      </c>
      <c r="H34" s="30">
        <f>F34*G34</f>
        <v>70</v>
      </c>
      <c r="I34" s="57">
        <f t="shared" si="1"/>
        <v>70</v>
      </c>
    </row>
    <row r="35" spans="1:10" ht="44">
      <c r="A35" s="85"/>
      <c r="B35" s="86"/>
      <c r="C35" s="30" t="s">
        <v>327</v>
      </c>
      <c r="D35" s="30" t="s">
        <v>323</v>
      </c>
      <c r="E35" s="30" t="s">
        <v>375</v>
      </c>
      <c r="F35" s="30">
        <v>6</v>
      </c>
      <c r="G35" s="30">
        <v>4</v>
      </c>
      <c r="H35" s="30">
        <f t="shared" ref="H35:H38" si="2">F35*G35</f>
        <v>24</v>
      </c>
      <c r="I35" s="57">
        <f t="shared" si="1"/>
        <v>24</v>
      </c>
    </row>
    <row r="36" spans="1:10" ht="44">
      <c r="A36" s="85"/>
      <c r="B36" s="86"/>
      <c r="C36" s="30" t="s">
        <v>328</v>
      </c>
      <c r="D36" s="30" t="s">
        <v>323</v>
      </c>
      <c r="E36" s="30" t="s">
        <v>375</v>
      </c>
      <c r="F36" s="30">
        <v>5</v>
      </c>
      <c r="G36" s="30">
        <f>6-7</f>
        <v>-1</v>
      </c>
      <c r="H36" s="30">
        <f t="shared" si="2"/>
        <v>-5</v>
      </c>
      <c r="I36" s="57">
        <f t="shared" si="1"/>
        <v>-5</v>
      </c>
      <c r="J36" s="65" t="s">
        <v>400</v>
      </c>
    </row>
    <row r="37" spans="1:10" ht="44">
      <c r="A37" s="85"/>
      <c r="B37" s="86"/>
      <c r="C37" s="30" t="s">
        <v>329</v>
      </c>
      <c r="D37" s="30" t="s">
        <v>323</v>
      </c>
      <c r="E37" s="30" t="s">
        <v>375</v>
      </c>
      <c r="F37" s="30">
        <v>4.5</v>
      </c>
      <c r="G37" s="30">
        <f>4-2</f>
        <v>2</v>
      </c>
      <c r="H37" s="30">
        <f t="shared" si="2"/>
        <v>9</v>
      </c>
      <c r="I37" s="57">
        <f t="shared" si="1"/>
        <v>9</v>
      </c>
    </row>
    <row r="38" spans="1:10" ht="44">
      <c r="A38" s="85"/>
      <c r="B38" s="86"/>
      <c r="C38" s="30" t="s">
        <v>330</v>
      </c>
      <c r="D38" s="30" t="s">
        <v>323</v>
      </c>
      <c r="E38" s="30" t="s">
        <v>375</v>
      </c>
      <c r="F38" s="30">
        <v>4.5</v>
      </c>
      <c r="G38" s="30">
        <v>2</v>
      </c>
      <c r="H38" s="30">
        <f t="shared" si="2"/>
        <v>9</v>
      </c>
      <c r="I38" s="57">
        <f t="shared" si="1"/>
        <v>9</v>
      </c>
    </row>
    <row r="39" spans="1:10" ht="44">
      <c r="A39" s="85"/>
      <c r="B39" s="86"/>
      <c r="C39" s="30" t="s">
        <v>331</v>
      </c>
      <c r="E39" s="30" t="s">
        <v>375</v>
      </c>
      <c r="F39" s="30" t="s">
        <v>377</v>
      </c>
      <c r="G39" s="30">
        <f>5+6</f>
        <v>11</v>
      </c>
      <c r="H39" s="30">
        <v>44</v>
      </c>
      <c r="I39" s="57">
        <f t="shared" si="1"/>
        <v>44</v>
      </c>
    </row>
    <row r="40" spans="1:10" ht="44">
      <c r="A40" s="85"/>
      <c r="B40" s="86"/>
      <c r="C40" s="30" t="s">
        <v>332</v>
      </c>
      <c r="D40" s="30" t="s">
        <v>323</v>
      </c>
      <c r="E40" s="30" t="s">
        <v>375</v>
      </c>
      <c r="F40" s="30">
        <v>115</v>
      </c>
      <c r="G40" s="30">
        <v>1</v>
      </c>
      <c r="H40" s="30">
        <f>115</f>
        <v>115</v>
      </c>
      <c r="I40" s="57">
        <f t="shared" si="1"/>
        <v>115</v>
      </c>
    </row>
    <row r="41" spans="1:10" ht="44">
      <c r="A41" s="85"/>
      <c r="B41" s="86"/>
      <c r="C41" s="30" t="s">
        <v>333</v>
      </c>
      <c r="D41" s="30" t="s">
        <v>323</v>
      </c>
      <c r="E41" s="30" t="s">
        <v>375</v>
      </c>
      <c r="F41" s="30" t="s">
        <v>376</v>
      </c>
      <c r="G41" s="30">
        <f>18+1</f>
        <v>19</v>
      </c>
      <c r="H41" s="30">
        <f>35*19</f>
        <v>665</v>
      </c>
      <c r="I41" s="57">
        <f t="shared" si="1"/>
        <v>665</v>
      </c>
    </row>
    <row r="42" spans="1:10" ht="44">
      <c r="A42" s="85"/>
      <c r="B42" s="86"/>
      <c r="C42" s="30" t="s">
        <v>334</v>
      </c>
      <c r="D42" s="30" t="s">
        <v>323</v>
      </c>
      <c r="E42" s="30" t="s">
        <v>375</v>
      </c>
      <c r="F42" s="30">
        <v>4</v>
      </c>
      <c r="G42" s="30">
        <f>60-30</f>
        <v>30</v>
      </c>
      <c r="H42" s="30">
        <f>F42*G42</f>
        <v>120</v>
      </c>
      <c r="I42" s="57">
        <f t="shared" si="1"/>
        <v>120</v>
      </c>
    </row>
    <row r="43" spans="1:10" ht="44">
      <c r="A43" s="85"/>
      <c r="B43" s="86"/>
      <c r="C43" s="30" t="s">
        <v>335</v>
      </c>
      <c r="D43" s="30" t="s">
        <v>323</v>
      </c>
      <c r="E43" s="30" t="s">
        <v>375</v>
      </c>
      <c r="F43" s="30">
        <v>3</v>
      </c>
      <c r="G43" s="30">
        <f>15-10</f>
        <v>5</v>
      </c>
      <c r="H43" s="30">
        <f t="shared" ref="H43:H50" si="3">F43*G43</f>
        <v>15</v>
      </c>
      <c r="I43" s="57">
        <f t="shared" si="1"/>
        <v>15</v>
      </c>
      <c r="J43" s="30" t="s">
        <v>401</v>
      </c>
    </row>
    <row r="44" spans="1:10" ht="44">
      <c r="A44" s="85"/>
      <c r="B44" s="86"/>
      <c r="C44" s="30" t="s">
        <v>336</v>
      </c>
      <c r="D44" s="30" t="s">
        <v>323</v>
      </c>
      <c r="E44" s="30" t="s">
        <v>375</v>
      </c>
      <c r="F44" s="30">
        <v>4</v>
      </c>
      <c r="G44" s="30">
        <f>15-8</f>
        <v>7</v>
      </c>
      <c r="H44" s="30">
        <f t="shared" si="3"/>
        <v>28</v>
      </c>
      <c r="I44" s="57">
        <f t="shared" si="1"/>
        <v>28</v>
      </c>
    </row>
    <row r="45" spans="1:10" ht="44">
      <c r="A45" s="85"/>
      <c r="B45" s="86"/>
      <c r="C45" s="30" t="s">
        <v>342</v>
      </c>
      <c r="D45" s="30" t="s">
        <v>323</v>
      </c>
      <c r="E45" s="30" t="s">
        <v>375</v>
      </c>
      <c r="F45" s="30">
        <v>3</v>
      </c>
      <c r="G45" s="30">
        <v>6</v>
      </c>
      <c r="H45" s="30">
        <f t="shared" si="3"/>
        <v>18</v>
      </c>
      <c r="I45" s="57">
        <f t="shared" si="1"/>
        <v>18</v>
      </c>
    </row>
    <row r="46" spans="1:10" ht="44">
      <c r="A46" s="85"/>
      <c r="B46" s="86"/>
      <c r="C46" s="30" t="s">
        <v>337</v>
      </c>
      <c r="D46" s="30" t="s">
        <v>323</v>
      </c>
      <c r="E46" s="30" t="s">
        <v>375</v>
      </c>
      <c r="F46" s="30">
        <v>18</v>
      </c>
      <c r="G46" s="30">
        <v>12</v>
      </c>
      <c r="H46" s="30">
        <f t="shared" si="3"/>
        <v>216</v>
      </c>
      <c r="I46" s="57">
        <f t="shared" si="1"/>
        <v>216</v>
      </c>
    </row>
    <row r="47" spans="1:10" ht="44">
      <c r="A47" s="85"/>
      <c r="B47" s="86"/>
      <c r="C47" s="30" t="s">
        <v>338</v>
      </c>
      <c r="D47" s="30" t="s">
        <v>323</v>
      </c>
      <c r="E47" s="30" t="s">
        <v>375</v>
      </c>
      <c r="F47" s="30">
        <v>18</v>
      </c>
      <c r="G47" s="30">
        <v>3</v>
      </c>
      <c r="H47" s="30">
        <f t="shared" si="3"/>
        <v>54</v>
      </c>
      <c r="I47" s="57">
        <f t="shared" si="1"/>
        <v>54</v>
      </c>
    </row>
    <row r="48" spans="1:10" ht="44">
      <c r="A48" s="85"/>
      <c r="B48" s="86"/>
      <c r="C48" s="30" t="s">
        <v>339</v>
      </c>
      <c r="D48" s="30" t="s">
        <v>323</v>
      </c>
      <c r="E48" s="30" t="s">
        <v>375</v>
      </c>
      <c r="F48" s="30">
        <v>40</v>
      </c>
      <c r="G48" s="30">
        <v>2</v>
      </c>
      <c r="H48" s="30">
        <f t="shared" si="3"/>
        <v>80</v>
      </c>
      <c r="I48" s="57">
        <f t="shared" si="1"/>
        <v>80</v>
      </c>
    </row>
    <row r="49" spans="1:9" ht="44">
      <c r="A49" s="85"/>
      <c r="B49" s="86"/>
      <c r="C49" s="30" t="s">
        <v>340</v>
      </c>
      <c r="E49" s="30" t="s">
        <v>375</v>
      </c>
      <c r="F49" s="30">
        <v>1</v>
      </c>
      <c r="G49" s="30">
        <f>12-5</f>
        <v>7</v>
      </c>
      <c r="H49" s="30">
        <f t="shared" si="3"/>
        <v>7</v>
      </c>
      <c r="I49" s="57">
        <f t="shared" si="1"/>
        <v>7</v>
      </c>
    </row>
    <row r="50" spans="1:9" ht="44">
      <c r="A50" s="85"/>
      <c r="B50" s="86"/>
      <c r="C50" s="30" t="s">
        <v>341</v>
      </c>
      <c r="E50" s="30" t="s">
        <v>375</v>
      </c>
      <c r="F50" s="30">
        <v>12</v>
      </c>
      <c r="G50" s="30">
        <v>3</v>
      </c>
      <c r="H50" s="30">
        <f t="shared" si="3"/>
        <v>36</v>
      </c>
      <c r="I50" s="57">
        <f t="shared" si="1"/>
        <v>36</v>
      </c>
    </row>
    <row r="51" spans="1:9" ht="44">
      <c r="A51" s="85"/>
      <c r="B51" s="86"/>
      <c r="C51" s="30" t="s">
        <v>343</v>
      </c>
      <c r="E51" s="30" t="s">
        <v>375</v>
      </c>
      <c r="F51" s="30" t="s">
        <v>378</v>
      </c>
      <c r="G51" s="30">
        <v>2</v>
      </c>
      <c r="H51" s="30">
        <f>10*2</f>
        <v>20</v>
      </c>
      <c r="I51" s="57">
        <f t="shared" si="1"/>
        <v>20</v>
      </c>
    </row>
    <row r="52" spans="1:9" ht="44">
      <c r="A52" s="85"/>
      <c r="B52" s="86"/>
      <c r="C52" s="30" t="s">
        <v>344</v>
      </c>
      <c r="E52" s="30" t="s">
        <v>375</v>
      </c>
      <c r="F52" s="30" t="s">
        <v>379</v>
      </c>
      <c r="G52" s="30">
        <f>13+8+3</f>
        <v>24</v>
      </c>
      <c r="H52" s="30">
        <f>3*24</f>
        <v>72</v>
      </c>
      <c r="I52" s="57">
        <f t="shared" si="1"/>
        <v>72</v>
      </c>
    </row>
    <row r="53" spans="1:9" ht="44">
      <c r="A53" s="85"/>
      <c r="B53" s="86"/>
      <c r="C53" s="30" t="s">
        <v>345</v>
      </c>
      <c r="E53" s="30" t="s">
        <v>375</v>
      </c>
      <c r="F53" s="30" t="s">
        <v>379</v>
      </c>
      <c r="G53" s="30">
        <f>13-4</f>
        <v>9</v>
      </c>
      <c r="H53" s="30">
        <f>3*9</f>
        <v>27</v>
      </c>
      <c r="I53" s="57">
        <f t="shared" si="1"/>
        <v>27</v>
      </c>
    </row>
    <row r="54" spans="1:9" ht="44">
      <c r="A54" s="85"/>
      <c r="B54" s="86"/>
      <c r="C54" s="30" t="s">
        <v>346</v>
      </c>
      <c r="E54" s="30" t="s">
        <v>375</v>
      </c>
      <c r="F54" s="30" t="s">
        <v>381</v>
      </c>
      <c r="G54" s="30">
        <v>1</v>
      </c>
      <c r="H54" s="30">
        <f>5*1</f>
        <v>5</v>
      </c>
      <c r="I54" s="57">
        <f t="shared" si="1"/>
        <v>5</v>
      </c>
    </row>
    <row r="55" spans="1:9" ht="44">
      <c r="A55" s="85"/>
      <c r="B55" s="86"/>
      <c r="C55" s="30" t="s">
        <v>347</v>
      </c>
      <c r="E55" s="30" t="s">
        <v>375</v>
      </c>
      <c r="F55" s="30" t="s">
        <v>380</v>
      </c>
      <c r="G55" s="30">
        <f>1+1</f>
        <v>2</v>
      </c>
      <c r="H55" s="30">
        <f>6*2</f>
        <v>12</v>
      </c>
      <c r="I55" s="57">
        <f t="shared" si="1"/>
        <v>12</v>
      </c>
    </row>
    <row r="56" spans="1:9" ht="44">
      <c r="A56" s="85"/>
      <c r="B56" s="86"/>
      <c r="C56" s="30" t="s">
        <v>396</v>
      </c>
      <c r="E56" s="30" t="s">
        <v>375</v>
      </c>
      <c r="F56" s="30" t="s">
        <v>397</v>
      </c>
      <c r="G56" s="30">
        <v>0</v>
      </c>
      <c r="H56" s="30">
        <v>0</v>
      </c>
      <c r="I56" s="57">
        <v>0</v>
      </c>
    </row>
    <row r="57" spans="1:9" ht="44">
      <c r="A57" s="85"/>
      <c r="B57" s="86"/>
      <c r="C57" s="30" t="s">
        <v>348</v>
      </c>
      <c r="E57" s="30" t="s">
        <v>375</v>
      </c>
      <c r="F57" s="30">
        <v>3</v>
      </c>
      <c r="G57" s="30">
        <v>1</v>
      </c>
      <c r="H57" s="30">
        <f>F57*G57</f>
        <v>3</v>
      </c>
      <c r="I57" s="57">
        <f t="shared" si="1"/>
        <v>3</v>
      </c>
    </row>
    <row r="58" spans="1:9" ht="44">
      <c r="A58" s="85" t="s">
        <v>355</v>
      </c>
      <c r="B58" s="86">
        <f>SUM(I58:I67)</f>
        <v>78</v>
      </c>
      <c r="C58" s="30" t="s">
        <v>382</v>
      </c>
      <c r="E58" s="30" t="s">
        <v>375</v>
      </c>
      <c r="F58" s="30">
        <v>15</v>
      </c>
      <c r="G58" s="30">
        <v>1</v>
      </c>
      <c r="H58" s="30">
        <f>F58*G58</f>
        <v>15</v>
      </c>
      <c r="I58" s="57">
        <f t="shared" si="1"/>
        <v>15</v>
      </c>
    </row>
    <row r="59" spans="1:9" ht="44">
      <c r="A59" s="85"/>
      <c r="B59" s="86"/>
      <c r="C59" s="30" t="s">
        <v>349</v>
      </c>
      <c r="E59" s="30" t="s">
        <v>375</v>
      </c>
      <c r="F59" s="30" t="s">
        <v>383</v>
      </c>
      <c r="G59" s="30">
        <v>0.2</v>
      </c>
      <c r="H59" s="30">
        <v>3</v>
      </c>
      <c r="I59" s="57">
        <f t="shared" si="1"/>
        <v>3</v>
      </c>
    </row>
    <row r="60" spans="1:9" ht="44">
      <c r="A60" s="85"/>
      <c r="B60" s="86"/>
      <c r="C60" s="30" t="s">
        <v>350</v>
      </c>
      <c r="E60" s="30" t="s">
        <v>375</v>
      </c>
      <c r="F60" s="30">
        <v>2</v>
      </c>
      <c r="G60" s="30">
        <v>1</v>
      </c>
      <c r="H60" s="30">
        <f t="shared" ref="H60:H86" si="4">F60*G60</f>
        <v>2</v>
      </c>
      <c r="I60" s="57">
        <f t="shared" si="1"/>
        <v>2</v>
      </c>
    </row>
    <row r="61" spans="1:9" ht="44">
      <c r="A61" s="85"/>
      <c r="B61" s="86"/>
      <c r="C61" s="30" t="s">
        <v>351</v>
      </c>
      <c r="E61" s="30" t="s">
        <v>375</v>
      </c>
      <c r="F61" s="30">
        <v>2</v>
      </c>
      <c r="G61" s="30">
        <v>1</v>
      </c>
      <c r="H61" s="30">
        <f t="shared" si="4"/>
        <v>2</v>
      </c>
      <c r="I61" s="57">
        <f t="shared" si="1"/>
        <v>2</v>
      </c>
    </row>
    <row r="62" spans="1:9" ht="44">
      <c r="A62" s="85"/>
      <c r="B62" s="86"/>
      <c r="C62" s="30" t="s">
        <v>352</v>
      </c>
      <c r="E62" s="30" t="s">
        <v>375</v>
      </c>
      <c r="F62" s="30">
        <v>2</v>
      </c>
      <c r="G62" s="30">
        <f>5-1</f>
        <v>4</v>
      </c>
      <c r="H62" s="30">
        <f t="shared" si="4"/>
        <v>8</v>
      </c>
      <c r="I62" s="57">
        <f t="shared" si="1"/>
        <v>8</v>
      </c>
    </row>
    <row r="63" spans="1:9" ht="44">
      <c r="A63" s="85"/>
      <c r="B63" s="86"/>
      <c r="C63" s="30" t="s">
        <v>384</v>
      </c>
      <c r="E63" s="30" t="s">
        <v>234</v>
      </c>
      <c r="F63" s="30">
        <v>3</v>
      </c>
      <c r="G63" s="30">
        <v>1</v>
      </c>
      <c r="H63" s="30">
        <f t="shared" si="4"/>
        <v>3</v>
      </c>
      <c r="I63" s="57">
        <f t="shared" si="1"/>
        <v>3</v>
      </c>
    </row>
    <row r="64" spans="1:9" ht="44">
      <c r="A64" s="85"/>
      <c r="B64" s="86"/>
      <c r="C64" s="30" t="s">
        <v>353</v>
      </c>
      <c r="E64" s="30" t="s">
        <v>375</v>
      </c>
      <c r="F64" s="30" t="s">
        <v>385</v>
      </c>
      <c r="G64" s="30">
        <v>3</v>
      </c>
      <c r="H64" s="30">
        <f>6*3</f>
        <v>18</v>
      </c>
      <c r="I64" s="57">
        <f t="shared" si="1"/>
        <v>18</v>
      </c>
    </row>
    <row r="65" spans="1:9" ht="44">
      <c r="A65" s="85"/>
      <c r="B65" s="86"/>
      <c r="C65" s="30" t="s">
        <v>394</v>
      </c>
      <c r="E65" s="30" t="s">
        <v>375</v>
      </c>
      <c r="F65" s="30">
        <v>2</v>
      </c>
      <c r="G65" s="30">
        <v>1</v>
      </c>
      <c r="H65" s="30">
        <f>F65*G65</f>
        <v>2</v>
      </c>
      <c r="I65" s="57">
        <f>H65</f>
        <v>2</v>
      </c>
    </row>
    <row r="66" spans="1:9" ht="44">
      <c r="A66" s="85"/>
      <c r="B66" s="86"/>
      <c r="C66" s="30" t="s">
        <v>398</v>
      </c>
      <c r="E66" s="30" t="s">
        <v>375</v>
      </c>
      <c r="F66" s="30" t="s">
        <v>399</v>
      </c>
      <c r="G66" s="30">
        <f>1-1</f>
        <v>0</v>
      </c>
      <c r="H66" s="30">
        <v>0</v>
      </c>
      <c r="I66" s="57">
        <f>H66</f>
        <v>0</v>
      </c>
    </row>
    <row r="67" spans="1:9" ht="44">
      <c r="A67" s="85"/>
      <c r="B67" s="86"/>
      <c r="C67" s="30" t="s">
        <v>354</v>
      </c>
      <c r="E67" s="30" t="s">
        <v>375</v>
      </c>
      <c r="F67" s="30" t="s">
        <v>386</v>
      </c>
      <c r="G67" s="30">
        <v>1</v>
      </c>
      <c r="H67" s="30">
        <v>25</v>
      </c>
      <c r="I67" s="57">
        <f t="shared" si="1"/>
        <v>25</v>
      </c>
    </row>
    <row r="68" spans="1:9" ht="22">
      <c r="A68" s="86" t="s">
        <v>374</v>
      </c>
      <c r="B68" s="86">
        <f>SUM(I68:I87)</f>
        <v>2473.87</v>
      </c>
      <c r="C68" s="30" t="s">
        <v>437</v>
      </c>
      <c r="D68" s="30" t="s">
        <v>439</v>
      </c>
      <c r="E68" s="30" t="s">
        <v>135</v>
      </c>
      <c r="H68" s="57">
        <v>856.87</v>
      </c>
      <c r="I68" s="60">
        <v>856.87</v>
      </c>
    </row>
    <row r="69" spans="1:9" ht="44">
      <c r="A69" s="86"/>
      <c r="B69" s="86"/>
      <c r="C69" s="30" t="s">
        <v>357</v>
      </c>
      <c r="E69" s="30" t="s">
        <v>375</v>
      </c>
      <c r="F69" s="30" t="s">
        <v>387</v>
      </c>
      <c r="G69" s="30">
        <v>3</v>
      </c>
      <c r="H69" s="30">
        <f>222*3</f>
        <v>666</v>
      </c>
      <c r="I69" s="57">
        <f t="shared" si="1"/>
        <v>666</v>
      </c>
    </row>
    <row r="70" spans="1:9" ht="44">
      <c r="A70" s="86"/>
      <c r="B70" s="86"/>
      <c r="C70" s="30" t="s">
        <v>358</v>
      </c>
      <c r="E70" s="30" t="s">
        <v>375</v>
      </c>
      <c r="F70" s="30" t="s">
        <v>388</v>
      </c>
      <c r="G70" s="30">
        <v>4</v>
      </c>
      <c r="H70" s="30">
        <f>145*4</f>
        <v>580</v>
      </c>
      <c r="I70" s="57">
        <f t="shared" si="1"/>
        <v>580</v>
      </c>
    </row>
    <row r="71" spans="1:9" ht="44">
      <c r="A71" s="86"/>
      <c r="B71" s="86"/>
      <c r="C71" s="30" t="s">
        <v>359</v>
      </c>
      <c r="E71" s="30" t="s">
        <v>375</v>
      </c>
      <c r="F71" s="30" t="s">
        <v>379</v>
      </c>
      <c r="G71" s="30">
        <v>25</v>
      </c>
      <c r="H71" s="30">
        <f>75</f>
        <v>75</v>
      </c>
      <c r="I71" s="57">
        <f t="shared" si="1"/>
        <v>75</v>
      </c>
    </row>
    <row r="72" spans="1:9" ht="44">
      <c r="A72" s="86"/>
      <c r="B72" s="86"/>
      <c r="C72" s="30" t="s">
        <v>360</v>
      </c>
      <c r="E72" s="30" t="s">
        <v>375</v>
      </c>
      <c r="F72" s="30">
        <v>0.4</v>
      </c>
      <c r="G72" s="30">
        <v>40</v>
      </c>
      <c r="H72" s="30">
        <f t="shared" si="4"/>
        <v>16</v>
      </c>
      <c r="I72" s="57">
        <f t="shared" si="1"/>
        <v>16</v>
      </c>
    </row>
    <row r="73" spans="1:9" ht="44">
      <c r="A73" s="86"/>
      <c r="B73" s="86"/>
      <c r="C73" s="30" t="s">
        <v>361</v>
      </c>
      <c r="E73" s="30" t="s">
        <v>375</v>
      </c>
      <c r="F73" s="30">
        <v>0.4</v>
      </c>
      <c r="G73" s="30">
        <f>150-90</f>
        <v>60</v>
      </c>
      <c r="H73" s="30">
        <f t="shared" si="4"/>
        <v>24</v>
      </c>
      <c r="I73" s="57">
        <f t="shared" si="1"/>
        <v>24</v>
      </c>
    </row>
    <row r="74" spans="1:9" ht="44">
      <c r="A74" s="86"/>
      <c r="B74" s="86"/>
      <c r="C74" s="30" t="s">
        <v>362</v>
      </c>
      <c r="E74" s="30" t="s">
        <v>375</v>
      </c>
      <c r="F74" s="30">
        <v>1</v>
      </c>
      <c r="G74" s="30">
        <f>30+10</f>
        <v>40</v>
      </c>
      <c r="H74" s="30">
        <f t="shared" si="4"/>
        <v>40</v>
      </c>
      <c r="I74" s="57">
        <f t="shared" si="1"/>
        <v>40</v>
      </c>
    </row>
    <row r="75" spans="1:9" ht="44">
      <c r="A75" s="86"/>
      <c r="B75" s="86"/>
      <c r="C75" s="30" t="s">
        <v>363</v>
      </c>
      <c r="E75" s="30" t="s">
        <v>375</v>
      </c>
      <c r="F75" s="30">
        <v>1</v>
      </c>
      <c r="G75" s="30">
        <v>50</v>
      </c>
      <c r="H75" s="30">
        <f t="shared" si="4"/>
        <v>50</v>
      </c>
      <c r="I75" s="57">
        <f t="shared" si="1"/>
        <v>50</v>
      </c>
    </row>
    <row r="76" spans="1:9" ht="44">
      <c r="A76" s="86"/>
      <c r="B76" s="86"/>
      <c r="C76" s="30" t="s">
        <v>364</v>
      </c>
      <c r="E76" s="30" t="s">
        <v>375</v>
      </c>
      <c r="F76" s="30">
        <v>0.5</v>
      </c>
      <c r="G76" s="30">
        <v>10</v>
      </c>
      <c r="H76" s="30">
        <f t="shared" si="4"/>
        <v>5</v>
      </c>
      <c r="I76" s="57">
        <f t="shared" si="1"/>
        <v>5</v>
      </c>
    </row>
    <row r="77" spans="1:9" ht="44">
      <c r="A77" s="86"/>
      <c r="B77" s="86"/>
      <c r="C77" s="30" t="s">
        <v>365</v>
      </c>
      <c r="E77" s="30" t="s">
        <v>375</v>
      </c>
      <c r="F77" s="30">
        <v>15</v>
      </c>
      <c r="G77" s="30">
        <f>3-2</f>
        <v>1</v>
      </c>
      <c r="H77" s="30">
        <f t="shared" si="4"/>
        <v>15</v>
      </c>
      <c r="I77" s="57">
        <f t="shared" si="1"/>
        <v>15</v>
      </c>
    </row>
    <row r="78" spans="1:9" ht="44">
      <c r="A78" s="86"/>
      <c r="B78" s="86"/>
      <c r="C78" s="30" t="s">
        <v>366</v>
      </c>
      <c r="E78" s="30" t="s">
        <v>375</v>
      </c>
      <c r="F78" s="30">
        <v>15</v>
      </c>
      <c r="G78" s="30">
        <v>2</v>
      </c>
      <c r="H78" s="30">
        <f t="shared" si="4"/>
        <v>30</v>
      </c>
      <c r="I78" s="57">
        <f t="shared" si="1"/>
        <v>30</v>
      </c>
    </row>
    <row r="79" spans="1:9" ht="44">
      <c r="A79" s="86"/>
      <c r="B79" s="86"/>
      <c r="C79" s="30" t="s">
        <v>367</v>
      </c>
      <c r="E79" s="30" t="s">
        <v>375</v>
      </c>
      <c r="F79" s="30">
        <v>2</v>
      </c>
      <c r="G79" s="30">
        <f>2-1</f>
        <v>1</v>
      </c>
      <c r="H79" s="30">
        <f t="shared" si="4"/>
        <v>2</v>
      </c>
      <c r="I79" s="57">
        <f t="shared" si="1"/>
        <v>2</v>
      </c>
    </row>
    <row r="80" spans="1:9" ht="44">
      <c r="A80" s="86"/>
      <c r="B80" s="86"/>
      <c r="C80" s="30" t="s">
        <v>368</v>
      </c>
      <c r="E80" s="30" t="s">
        <v>375</v>
      </c>
      <c r="F80" s="30" t="s">
        <v>389</v>
      </c>
      <c r="G80" s="30">
        <v>11</v>
      </c>
      <c r="H80" s="30">
        <v>10</v>
      </c>
      <c r="I80" s="57">
        <f t="shared" si="1"/>
        <v>10</v>
      </c>
    </row>
    <row r="81" spans="1:10" ht="44">
      <c r="A81" s="86"/>
      <c r="B81" s="86"/>
      <c r="C81" s="84" t="s">
        <v>369</v>
      </c>
      <c r="D81" s="85"/>
      <c r="E81" s="30" t="s">
        <v>375</v>
      </c>
      <c r="F81" s="30">
        <v>5</v>
      </c>
      <c r="G81" s="30">
        <f>5+3</f>
        <v>8</v>
      </c>
      <c r="H81" s="30">
        <f t="shared" si="4"/>
        <v>40</v>
      </c>
      <c r="I81" s="57">
        <f t="shared" si="1"/>
        <v>40</v>
      </c>
    </row>
    <row r="82" spans="1:10" ht="22">
      <c r="A82" s="86"/>
      <c r="B82" s="86"/>
      <c r="C82" s="84"/>
      <c r="D82" s="85"/>
      <c r="E82" s="30" t="s">
        <v>489</v>
      </c>
      <c r="F82" s="30">
        <v>5</v>
      </c>
      <c r="G82" s="30">
        <v>1</v>
      </c>
      <c r="H82" s="30">
        <v>5</v>
      </c>
      <c r="I82" s="72">
        <v>5</v>
      </c>
    </row>
    <row r="83" spans="1:10" ht="44">
      <c r="A83" s="86"/>
      <c r="B83" s="86"/>
      <c r="C83" s="30" t="s">
        <v>370</v>
      </c>
      <c r="D83" s="30" t="s">
        <v>391</v>
      </c>
      <c r="E83" s="30" t="s">
        <v>375</v>
      </c>
      <c r="F83" s="30" t="s">
        <v>390</v>
      </c>
      <c r="G83" s="30">
        <v>35</v>
      </c>
      <c r="H83" s="30">
        <v>9</v>
      </c>
      <c r="I83" s="57">
        <f t="shared" si="1"/>
        <v>9</v>
      </c>
    </row>
    <row r="84" spans="1:10" ht="44">
      <c r="A84" s="86"/>
      <c r="B84" s="86"/>
      <c r="C84" s="30" t="s">
        <v>371</v>
      </c>
      <c r="E84" s="30" t="s">
        <v>375</v>
      </c>
      <c r="F84" s="30" t="s">
        <v>392</v>
      </c>
      <c r="G84" s="30">
        <v>10</v>
      </c>
      <c r="H84" s="30">
        <f>1*10</f>
        <v>10</v>
      </c>
      <c r="I84" s="57">
        <f t="shared" si="1"/>
        <v>10</v>
      </c>
    </row>
    <row r="85" spans="1:10" ht="44">
      <c r="A85" s="86"/>
      <c r="B85" s="86"/>
      <c r="C85" s="30" t="s">
        <v>393</v>
      </c>
      <c r="E85" s="30" t="s">
        <v>375</v>
      </c>
      <c r="F85" s="30">
        <v>5</v>
      </c>
      <c r="G85" s="30">
        <v>4</v>
      </c>
      <c r="H85" s="30">
        <f t="shared" si="4"/>
        <v>20</v>
      </c>
      <c r="I85" s="57">
        <f t="shared" si="1"/>
        <v>20</v>
      </c>
    </row>
    <row r="86" spans="1:10" ht="44">
      <c r="A86" s="86"/>
      <c r="B86" s="86"/>
      <c r="C86" s="30" t="s">
        <v>372</v>
      </c>
      <c r="E86" s="30" t="s">
        <v>375</v>
      </c>
      <c r="F86" s="30">
        <v>0</v>
      </c>
      <c r="G86" s="30">
        <v>1</v>
      </c>
      <c r="H86" s="30">
        <f t="shared" si="4"/>
        <v>0</v>
      </c>
      <c r="I86" s="57">
        <f t="shared" si="1"/>
        <v>0</v>
      </c>
    </row>
    <row r="87" spans="1:10" s="48" customFormat="1" ht="44">
      <c r="A87" s="86"/>
      <c r="B87" s="86"/>
      <c r="C87" s="48" t="s">
        <v>373</v>
      </c>
      <c r="E87" s="48" t="s">
        <v>375</v>
      </c>
      <c r="F87" s="48" t="s">
        <v>381</v>
      </c>
      <c r="G87" s="48">
        <v>4</v>
      </c>
      <c r="H87" s="48">
        <f>5*4</f>
        <v>20</v>
      </c>
      <c r="I87" s="48">
        <f t="shared" si="1"/>
        <v>20</v>
      </c>
    </row>
    <row r="88" spans="1:10" s="57" customFormat="1" ht="110">
      <c r="A88" s="86" t="s">
        <v>547</v>
      </c>
      <c r="B88" s="86">
        <f>SUM(I90:I118)+SUM(I88)+6650</f>
        <v>12201.77</v>
      </c>
      <c r="C88" s="57" t="s">
        <v>403</v>
      </c>
      <c r="E88" s="57" t="s">
        <v>404</v>
      </c>
      <c r="F88" s="57" t="s">
        <v>410</v>
      </c>
      <c r="H88" s="57">
        <f>23+27+13+20+12+18+20</f>
        <v>133</v>
      </c>
      <c r="I88" s="57">
        <f>H88</f>
        <v>133</v>
      </c>
    </row>
    <row r="89" spans="1:10" s="60" customFormat="1" ht="308">
      <c r="A89" s="86"/>
      <c r="B89" s="86"/>
      <c r="C89" s="60" t="s">
        <v>407</v>
      </c>
      <c r="D89" s="60" t="s">
        <v>408</v>
      </c>
      <c r="E89" s="69">
        <v>1688</v>
      </c>
      <c r="F89" s="60" t="s">
        <v>411</v>
      </c>
      <c r="G89" s="60" t="s">
        <v>409</v>
      </c>
      <c r="H89" s="60" t="s">
        <v>412</v>
      </c>
      <c r="I89" s="60" t="s">
        <v>413</v>
      </c>
      <c r="J89" s="60" t="s">
        <v>416</v>
      </c>
    </row>
    <row r="90" spans="1:10" s="60" customFormat="1" ht="88">
      <c r="A90" s="86"/>
      <c r="B90" s="86"/>
      <c r="C90" s="60" t="s">
        <v>415</v>
      </c>
      <c r="D90" s="60" t="s">
        <v>417</v>
      </c>
      <c r="E90" s="69">
        <v>1688</v>
      </c>
      <c r="G90" s="60" t="s">
        <v>418</v>
      </c>
      <c r="H90" s="60">
        <v>3.6</v>
      </c>
      <c r="I90" s="60">
        <v>3.6</v>
      </c>
    </row>
    <row r="91" spans="1:10" s="60" customFormat="1" ht="88">
      <c r="A91" s="86"/>
      <c r="B91" s="86"/>
      <c r="C91" s="60" t="s">
        <v>419</v>
      </c>
      <c r="D91" s="60" t="s">
        <v>420</v>
      </c>
      <c r="E91" s="69" t="s">
        <v>234</v>
      </c>
      <c r="F91" s="60" t="s">
        <v>423</v>
      </c>
      <c r="G91" s="60">
        <v>1</v>
      </c>
      <c r="H91" s="60">
        <v>200</v>
      </c>
      <c r="I91" s="60">
        <v>200</v>
      </c>
      <c r="J91" s="60" t="s">
        <v>421</v>
      </c>
    </row>
    <row r="92" spans="1:10" s="60" customFormat="1" ht="44">
      <c r="A92" s="86"/>
      <c r="B92" s="86"/>
      <c r="C92" s="60" t="s">
        <v>422</v>
      </c>
      <c r="E92" s="69" t="s">
        <v>234</v>
      </c>
      <c r="F92" s="60">
        <v>5</v>
      </c>
      <c r="G92" s="60">
        <v>1</v>
      </c>
      <c r="H92" s="60">
        <v>5</v>
      </c>
      <c r="I92" s="60">
        <v>0</v>
      </c>
    </row>
    <row r="93" spans="1:10" s="60" customFormat="1" ht="66">
      <c r="A93" s="86"/>
      <c r="B93" s="86"/>
      <c r="C93" s="60" t="s">
        <v>442</v>
      </c>
      <c r="D93" s="60" t="s">
        <v>459</v>
      </c>
      <c r="E93" s="69" t="s">
        <v>306</v>
      </c>
      <c r="F93" s="60" t="s">
        <v>460</v>
      </c>
      <c r="G93" s="60">
        <v>2</v>
      </c>
      <c r="H93" s="60">
        <v>1600</v>
      </c>
      <c r="I93" s="60">
        <v>1600</v>
      </c>
    </row>
    <row r="94" spans="1:10" s="60" customFormat="1" ht="66">
      <c r="A94" s="86"/>
      <c r="B94" s="86"/>
      <c r="C94" s="60" t="s">
        <v>455</v>
      </c>
      <c r="D94" s="60" t="s">
        <v>454</v>
      </c>
      <c r="E94" s="69" t="s">
        <v>135</v>
      </c>
      <c r="F94" s="60">
        <v>59</v>
      </c>
      <c r="G94" s="60">
        <v>1</v>
      </c>
      <c r="H94" s="60">
        <v>59</v>
      </c>
      <c r="I94" s="60">
        <v>59</v>
      </c>
    </row>
    <row r="95" spans="1:10" s="67" customFormat="1" ht="44">
      <c r="A95" s="86"/>
      <c r="B95" s="86"/>
      <c r="C95" s="67" t="s">
        <v>456</v>
      </c>
      <c r="D95" s="67" t="s">
        <v>457</v>
      </c>
      <c r="E95" s="69" t="s">
        <v>135</v>
      </c>
      <c r="F95" s="67">
        <v>20</v>
      </c>
      <c r="G95" s="67">
        <v>1</v>
      </c>
      <c r="H95" s="67">
        <v>20</v>
      </c>
      <c r="I95" s="67">
        <v>20</v>
      </c>
    </row>
    <row r="96" spans="1:10" s="67" customFormat="1" ht="22">
      <c r="A96" s="86"/>
      <c r="B96" s="86"/>
      <c r="C96" s="67" t="s">
        <v>476</v>
      </c>
      <c r="E96" s="69">
        <v>1688</v>
      </c>
      <c r="F96" s="67">
        <v>8.86</v>
      </c>
      <c r="G96" s="67">
        <v>1</v>
      </c>
      <c r="H96" s="67">
        <v>8.86</v>
      </c>
      <c r="I96" s="67">
        <f>H96</f>
        <v>8.86</v>
      </c>
    </row>
    <row r="97" spans="1:10" s="67" customFormat="1" ht="22">
      <c r="A97" s="86"/>
      <c r="B97" s="86"/>
      <c r="C97" s="67" t="s">
        <v>477</v>
      </c>
      <c r="E97" s="69">
        <v>1688</v>
      </c>
      <c r="F97" s="67">
        <v>13</v>
      </c>
      <c r="G97" s="67">
        <v>1</v>
      </c>
      <c r="H97" s="67">
        <v>13</v>
      </c>
      <c r="I97" s="67">
        <f t="shared" ref="I97:I98" si="5">H97</f>
        <v>13</v>
      </c>
    </row>
    <row r="98" spans="1:10" s="67" customFormat="1" ht="44">
      <c r="A98" s="86"/>
      <c r="B98" s="86"/>
      <c r="C98" s="67" t="s">
        <v>478</v>
      </c>
      <c r="E98" s="69">
        <v>1688</v>
      </c>
      <c r="F98" s="67">
        <v>9.31</v>
      </c>
      <c r="G98" s="67">
        <v>1</v>
      </c>
      <c r="H98" s="67">
        <v>9.31</v>
      </c>
      <c r="I98" s="67">
        <f t="shared" si="5"/>
        <v>9.31</v>
      </c>
    </row>
    <row r="99" spans="1:10" s="60" customFormat="1" ht="44">
      <c r="A99" s="86"/>
      <c r="B99" s="86"/>
      <c r="C99" s="60" t="s">
        <v>431</v>
      </c>
      <c r="E99" s="69" t="s">
        <v>234</v>
      </c>
      <c r="F99" s="60">
        <v>25</v>
      </c>
      <c r="G99" s="60">
        <v>3</v>
      </c>
      <c r="H99" s="60">
        <v>75</v>
      </c>
      <c r="I99" s="60">
        <v>75</v>
      </c>
      <c r="J99" s="60" t="s">
        <v>535</v>
      </c>
    </row>
    <row r="100" spans="1:10" s="60" customFormat="1" ht="66">
      <c r="A100" s="86"/>
      <c r="B100" s="86"/>
      <c r="C100" s="60" t="s">
        <v>405</v>
      </c>
      <c r="E100" s="60" t="s">
        <v>404</v>
      </c>
      <c r="F100" s="60" t="s">
        <v>406</v>
      </c>
      <c r="G100" s="60">
        <v>2</v>
      </c>
      <c r="H100" s="60">
        <v>24</v>
      </c>
      <c r="I100" s="60">
        <v>24</v>
      </c>
    </row>
    <row r="101" spans="1:10" ht="44">
      <c r="A101" s="86"/>
      <c r="B101" s="86"/>
      <c r="C101" s="30" t="s">
        <v>307</v>
      </c>
      <c r="D101" s="30" t="s">
        <v>316</v>
      </c>
      <c r="E101" s="30" t="s">
        <v>306</v>
      </c>
      <c r="F101" s="30" t="s">
        <v>471</v>
      </c>
      <c r="G101" s="30">
        <v>1</v>
      </c>
      <c r="H101" s="30">
        <v>80</v>
      </c>
      <c r="I101" s="57">
        <v>80</v>
      </c>
    </row>
    <row r="102" spans="1:10" ht="44">
      <c r="A102" s="86"/>
      <c r="B102" s="86"/>
      <c r="C102" s="30" t="s">
        <v>469</v>
      </c>
      <c r="E102" s="30" t="s">
        <v>306</v>
      </c>
      <c r="F102" s="30" t="s">
        <v>470</v>
      </c>
      <c r="G102" s="30">
        <v>1</v>
      </c>
      <c r="H102" s="30">
        <v>7</v>
      </c>
      <c r="I102" s="67">
        <v>5</v>
      </c>
    </row>
    <row r="103" spans="1:10" ht="44">
      <c r="A103" s="86"/>
      <c r="B103" s="86"/>
      <c r="C103" s="84" t="s">
        <v>237</v>
      </c>
      <c r="D103" s="84" t="s">
        <v>312</v>
      </c>
      <c r="E103" s="30" t="s">
        <v>234</v>
      </c>
      <c r="F103" s="30" t="s">
        <v>313</v>
      </c>
      <c r="G103" s="30">
        <v>10</v>
      </c>
      <c r="H103" s="30">
        <v>265</v>
      </c>
      <c r="I103" s="57">
        <v>265</v>
      </c>
    </row>
    <row r="104" spans="1:10" ht="44">
      <c r="A104" s="86"/>
      <c r="B104" s="86"/>
      <c r="C104" s="84"/>
      <c r="D104" s="84"/>
      <c r="E104" s="30" t="s">
        <v>424</v>
      </c>
      <c r="F104" s="30" t="s">
        <v>425</v>
      </c>
      <c r="G104" s="30">
        <v>20</v>
      </c>
      <c r="H104" s="30">
        <v>520</v>
      </c>
      <c r="I104" s="60">
        <v>520</v>
      </c>
    </row>
    <row r="105" spans="1:10" ht="44">
      <c r="A105" s="86"/>
      <c r="B105" s="86"/>
      <c r="C105" s="84"/>
      <c r="D105" s="84"/>
      <c r="E105" s="30" t="s">
        <v>424</v>
      </c>
      <c r="F105" s="30" t="s">
        <v>425</v>
      </c>
      <c r="G105" s="30">
        <v>15</v>
      </c>
      <c r="H105" s="30">
        <v>390</v>
      </c>
      <c r="I105" s="67">
        <v>390</v>
      </c>
    </row>
    <row r="106" spans="1:10" ht="44">
      <c r="A106" s="86"/>
      <c r="B106" s="86"/>
      <c r="C106" s="84" t="s">
        <v>239</v>
      </c>
      <c r="D106" s="84" t="s">
        <v>240</v>
      </c>
      <c r="E106" s="30" t="s">
        <v>234</v>
      </c>
      <c r="F106" s="30" t="s">
        <v>314</v>
      </c>
      <c r="G106" s="30">
        <v>20</v>
      </c>
      <c r="H106" s="30">
        <v>110</v>
      </c>
      <c r="I106" s="57">
        <v>110</v>
      </c>
    </row>
    <row r="107" spans="1:10" ht="44">
      <c r="A107" s="86"/>
      <c r="B107" s="86"/>
      <c r="C107" s="84"/>
      <c r="D107" s="84"/>
      <c r="E107" s="30" t="s">
        <v>424</v>
      </c>
      <c r="F107" s="30" t="s">
        <v>426</v>
      </c>
      <c r="G107" s="30">
        <v>120</v>
      </c>
      <c r="H107" s="30">
        <v>600</v>
      </c>
      <c r="I107" s="60">
        <v>600</v>
      </c>
    </row>
    <row r="108" spans="1:10" ht="44">
      <c r="A108" s="86"/>
      <c r="B108" s="86"/>
      <c r="C108" s="84"/>
      <c r="D108" s="84"/>
      <c r="E108" s="30" t="s">
        <v>424</v>
      </c>
      <c r="F108" s="30" t="s">
        <v>426</v>
      </c>
      <c r="G108" s="30">
        <v>100</v>
      </c>
      <c r="H108" s="30">
        <v>500</v>
      </c>
      <c r="I108" s="67">
        <v>500</v>
      </c>
    </row>
    <row r="109" spans="1:10" ht="66">
      <c r="A109" s="86"/>
      <c r="B109" s="86"/>
      <c r="C109" s="84"/>
      <c r="D109" s="84"/>
      <c r="E109" s="30" t="s">
        <v>424</v>
      </c>
      <c r="F109" s="30" t="s">
        <v>449</v>
      </c>
      <c r="G109" s="30">
        <v>63</v>
      </c>
      <c r="H109" s="30">
        <v>-130</v>
      </c>
      <c r="I109" s="67">
        <v>-130</v>
      </c>
    </row>
    <row r="110" spans="1:10" ht="44">
      <c r="A110" s="86"/>
      <c r="B110" s="86"/>
      <c r="C110" s="84" t="s">
        <v>233</v>
      </c>
      <c r="D110" s="84" t="s">
        <v>235</v>
      </c>
      <c r="E110" s="30" t="s">
        <v>234</v>
      </c>
      <c r="F110" s="30" t="s">
        <v>315</v>
      </c>
      <c r="G110" s="30">
        <v>50</v>
      </c>
      <c r="H110" s="30">
        <v>50</v>
      </c>
      <c r="I110" s="57">
        <v>50</v>
      </c>
    </row>
    <row r="111" spans="1:10" ht="44">
      <c r="A111" s="86"/>
      <c r="B111" s="86"/>
      <c r="C111" s="84"/>
      <c r="D111" s="84"/>
      <c r="E111" s="30" t="s">
        <v>424</v>
      </c>
      <c r="F111" s="30" t="s">
        <v>427</v>
      </c>
      <c r="G111" s="30">
        <v>20</v>
      </c>
      <c r="H111" s="30">
        <v>12</v>
      </c>
      <c r="I111" s="60">
        <v>10</v>
      </c>
    </row>
    <row r="112" spans="1:10" ht="44">
      <c r="A112" s="86"/>
      <c r="B112" s="86"/>
      <c r="C112" s="84"/>
      <c r="D112" s="84"/>
      <c r="E112" s="30" t="s">
        <v>234</v>
      </c>
      <c r="F112" s="30" t="s">
        <v>468</v>
      </c>
      <c r="G112" s="30">
        <v>4</v>
      </c>
      <c r="H112" s="30">
        <v>2</v>
      </c>
      <c r="I112" s="67">
        <v>2</v>
      </c>
    </row>
    <row r="113" spans="1:9" ht="44">
      <c r="A113" s="86"/>
      <c r="B113" s="86"/>
      <c r="C113" s="30" t="s">
        <v>318</v>
      </c>
      <c r="D113" s="30" t="s">
        <v>319</v>
      </c>
      <c r="E113" s="30" t="s">
        <v>234</v>
      </c>
      <c r="F113" s="30" t="s">
        <v>320</v>
      </c>
      <c r="G113" s="30">
        <v>60</v>
      </c>
      <c r="H113" s="30">
        <v>300</v>
      </c>
      <c r="I113" s="57">
        <v>300</v>
      </c>
    </row>
    <row r="114" spans="1:9" ht="44">
      <c r="A114" s="86"/>
      <c r="B114" s="86"/>
      <c r="C114" s="30" t="s">
        <v>428</v>
      </c>
      <c r="D114" s="30" t="s">
        <v>429</v>
      </c>
      <c r="E114" s="30" t="s">
        <v>234</v>
      </c>
      <c r="F114" s="30" t="s">
        <v>430</v>
      </c>
      <c r="G114" s="30">
        <v>4</v>
      </c>
      <c r="H114" s="30">
        <v>140</v>
      </c>
      <c r="I114" s="57">
        <v>140</v>
      </c>
    </row>
    <row r="115" spans="1:9" s="60" customFormat="1" ht="44">
      <c r="A115" s="86"/>
      <c r="B115" s="86"/>
      <c r="C115" s="60" t="s">
        <v>321</v>
      </c>
      <c r="D115" s="60" t="s">
        <v>319</v>
      </c>
      <c r="E115" s="60" t="s">
        <v>234</v>
      </c>
      <c r="F115" s="60" t="s">
        <v>322</v>
      </c>
      <c r="G115" s="60">
        <f>5+3</f>
        <v>8</v>
      </c>
      <c r="H115" s="60">
        <f>70+42</f>
        <v>112</v>
      </c>
      <c r="I115" s="60">
        <f>H115</f>
        <v>112</v>
      </c>
    </row>
    <row r="116" spans="1:9" s="60" customFormat="1" ht="66">
      <c r="A116" s="86"/>
      <c r="B116" s="86"/>
      <c r="C116" s="60" t="s">
        <v>465</v>
      </c>
      <c r="D116" s="60" t="s">
        <v>438</v>
      </c>
      <c r="E116" s="60" t="s">
        <v>135</v>
      </c>
      <c r="G116" s="60" t="s">
        <v>466</v>
      </c>
      <c r="H116" s="60">
        <f>356+38-82</f>
        <v>312</v>
      </c>
      <c r="I116" s="60">
        <v>312</v>
      </c>
    </row>
    <row r="117" spans="1:9" s="57" customFormat="1" ht="44">
      <c r="A117" s="86"/>
      <c r="B117" s="86"/>
      <c r="C117" s="57" t="s">
        <v>450</v>
      </c>
      <c r="E117" s="57" t="s">
        <v>306</v>
      </c>
      <c r="F117" s="57" t="s">
        <v>451</v>
      </c>
      <c r="G117" s="57">
        <v>20</v>
      </c>
      <c r="H117" s="57">
        <v>10</v>
      </c>
      <c r="I117" s="57">
        <v>10</v>
      </c>
    </row>
    <row r="118" spans="1:9" ht="66">
      <c r="A118" s="86"/>
      <c r="B118" s="86"/>
      <c r="C118" s="30" t="s">
        <v>461</v>
      </c>
      <c r="D118" s="30" t="s">
        <v>462</v>
      </c>
      <c r="E118" s="30" t="s">
        <v>306</v>
      </c>
      <c r="F118" s="30">
        <v>130</v>
      </c>
      <c r="G118" s="30">
        <v>1</v>
      </c>
      <c r="H118" s="30">
        <v>130</v>
      </c>
      <c r="I118" s="30">
        <v>130</v>
      </c>
    </row>
    <row r="119" spans="1:9" ht="66">
      <c r="A119" s="85" t="s">
        <v>550</v>
      </c>
      <c r="B119" s="85">
        <v>683</v>
      </c>
      <c r="C119" s="30" t="s">
        <v>553</v>
      </c>
      <c r="D119" s="30" t="s">
        <v>560</v>
      </c>
      <c r="E119" s="30" t="s">
        <v>552</v>
      </c>
      <c r="F119" s="30" t="s">
        <v>568</v>
      </c>
      <c r="G119" s="30">
        <v>8</v>
      </c>
      <c r="H119" s="30">
        <v>148</v>
      </c>
      <c r="I119" s="85">
        <v>683</v>
      </c>
    </row>
    <row r="120" spans="1:9" ht="66">
      <c r="A120" s="85"/>
      <c r="B120" s="85"/>
      <c r="C120" s="30" t="s">
        <v>554</v>
      </c>
      <c r="D120" s="30" t="s">
        <v>560</v>
      </c>
      <c r="E120" s="30" t="s">
        <v>552</v>
      </c>
      <c r="F120" s="30" t="s">
        <v>569</v>
      </c>
      <c r="G120" s="30">
        <v>15</v>
      </c>
      <c r="H120" s="30">
        <v>180</v>
      </c>
      <c r="I120" s="85"/>
    </row>
    <row r="121" spans="1:9" ht="66">
      <c r="A121" s="85"/>
      <c r="B121" s="85"/>
      <c r="C121" s="30" t="s">
        <v>555</v>
      </c>
      <c r="D121" s="30" t="s">
        <v>560</v>
      </c>
      <c r="E121" s="30" t="s">
        <v>552</v>
      </c>
      <c r="F121" s="30" t="s">
        <v>570</v>
      </c>
      <c r="G121" s="30">
        <v>10</v>
      </c>
      <c r="H121" s="30">
        <v>90</v>
      </c>
      <c r="I121" s="85"/>
    </row>
    <row r="122" spans="1:9" ht="66">
      <c r="A122" s="85"/>
      <c r="B122" s="85"/>
      <c r="C122" s="30" t="s">
        <v>556</v>
      </c>
      <c r="D122" s="30" t="s">
        <v>560</v>
      </c>
      <c r="E122" s="30" t="s">
        <v>552</v>
      </c>
      <c r="F122" s="30" t="s">
        <v>571</v>
      </c>
      <c r="G122" s="30">
        <v>3</v>
      </c>
      <c r="H122" s="30">
        <v>12</v>
      </c>
      <c r="I122" s="85"/>
    </row>
    <row r="123" spans="1:9" ht="66">
      <c r="A123" s="85"/>
      <c r="B123" s="85"/>
      <c r="C123" s="30" t="s">
        <v>557</v>
      </c>
      <c r="D123" s="69"/>
      <c r="E123" s="30" t="s">
        <v>552</v>
      </c>
      <c r="F123" s="30" t="s">
        <v>572</v>
      </c>
      <c r="G123" s="30">
        <v>50</v>
      </c>
      <c r="H123" s="30">
        <v>15</v>
      </c>
      <c r="I123" s="85"/>
    </row>
    <row r="124" spans="1:9" ht="66">
      <c r="A124" s="85"/>
      <c r="B124" s="85"/>
      <c r="C124" s="30" t="s">
        <v>558</v>
      </c>
      <c r="E124" s="65" t="s">
        <v>551</v>
      </c>
      <c r="F124" s="30" t="s">
        <v>573</v>
      </c>
      <c r="G124" s="30">
        <v>2</v>
      </c>
      <c r="H124" s="30">
        <v>30</v>
      </c>
      <c r="I124" s="85"/>
    </row>
    <row r="125" spans="1:9" ht="66">
      <c r="A125" s="85"/>
      <c r="B125" s="85"/>
      <c r="C125" s="30" t="s">
        <v>564</v>
      </c>
      <c r="E125" s="65" t="s">
        <v>551</v>
      </c>
      <c r="F125" s="30" t="s">
        <v>566</v>
      </c>
      <c r="G125" s="30">
        <v>1</v>
      </c>
      <c r="H125" s="30">
        <v>15</v>
      </c>
      <c r="I125" s="85"/>
    </row>
    <row r="126" spans="1:9" ht="66">
      <c r="A126" s="85"/>
      <c r="B126" s="85"/>
      <c r="C126" s="30" t="s">
        <v>563</v>
      </c>
      <c r="E126" s="65" t="s">
        <v>551</v>
      </c>
      <c r="F126" s="30" t="s">
        <v>565</v>
      </c>
      <c r="G126" s="30">
        <v>1</v>
      </c>
      <c r="H126" s="30">
        <v>12</v>
      </c>
      <c r="I126" s="85"/>
    </row>
    <row r="127" spans="1:9" ht="66">
      <c r="A127" s="85"/>
      <c r="B127" s="85"/>
      <c r="C127" s="30" t="s">
        <v>567</v>
      </c>
      <c r="E127" s="65" t="s">
        <v>551</v>
      </c>
      <c r="F127" s="30">
        <v>0.1</v>
      </c>
      <c r="G127" s="30">
        <v>60</v>
      </c>
      <c r="H127" s="30">
        <v>6</v>
      </c>
      <c r="I127" s="85"/>
    </row>
    <row r="128" spans="1:9" ht="66">
      <c r="A128" s="85"/>
      <c r="B128" s="85"/>
      <c r="C128" s="30" t="s">
        <v>559</v>
      </c>
      <c r="D128" s="30" t="s">
        <v>561</v>
      </c>
      <c r="E128" s="65" t="s">
        <v>551</v>
      </c>
      <c r="F128" s="30" t="s">
        <v>562</v>
      </c>
      <c r="G128" s="30">
        <v>12</v>
      </c>
      <c r="H128" s="30">
        <v>192</v>
      </c>
      <c r="I128" s="85"/>
    </row>
    <row r="129" spans="1:10" ht="88">
      <c r="A129" s="85" t="s">
        <v>538</v>
      </c>
      <c r="B129" s="85"/>
      <c r="C129" s="30" t="s">
        <v>587</v>
      </c>
      <c r="D129" s="30" t="s">
        <v>579</v>
      </c>
      <c r="E129" s="30" t="s">
        <v>580</v>
      </c>
      <c r="F129" s="30" t="s">
        <v>581</v>
      </c>
    </row>
    <row r="130" spans="1:10" ht="22">
      <c r="A130" s="85"/>
      <c r="B130" s="85"/>
      <c r="C130" s="30" t="s">
        <v>588</v>
      </c>
    </row>
    <row r="131" spans="1:10" ht="22">
      <c r="A131" s="85"/>
      <c r="B131" s="85"/>
      <c r="C131" s="30" t="s">
        <v>589</v>
      </c>
    </row>
    <row r="132" spans="1:10" ht="132">
      <c r="A132" s="85" t="s">
        <v>549</v>
      </c>
      <c r="B132" s="85">
        <f>SUM(I132:I134)</f>
        <v>9864</v>
      </c>
      <c r="C132" s="30" t="s">
        <v>539</v>
      </c>
      <c r="D132" s="30" t="s">
        <v>592</v>
      </c>
      <c r="E132" s="30" t="s">
        <v>590</v>
      </c>
      <c r="F132" s="30" t="s">
        <v>625</v>
      </c>
      <c r="G132" s="30">
        <v>4</v>
      </c>
      <c r="H132" s="30">
        <f>1099*4+100*4+20*5.5</f>
        <v>4906</v>
      </c>
      <c r="I132" s="30">
        <v>4506</v>
      </c>
      <c r="J132" s="84" t="s">
        <v>627</v>
      </c>
    </row>
    <row r="133" spans="1:10" ht="132">
      <c r="A133" s="85"/>
      <c r="B133" s="85"/>
      <c r="C133" s="30" t="s">
        <v>540</v>
      </c>
      <c r="D133" s="30" t="s">
        <v>593</v>
      </c>
      <c r="E133" s="30" t="s">
        <v>590</v>
      </c>
      <c r="F133" s="30" t="s">
        <v>626</v>
      </c>
      <c r="G133" s="30">
        <v>2</v>
      </c>
      <c r="H133" s="30">
        <f>1529*2+100*2</f>
        <v>3258</v>
      </c>
      <c r="I133" s="30">
        <v>3258</v>
      </c>
      <c r="J133" s="84"/>
    </row>
    <row r="134" spans="1:10" ht="154">
      <c r="A134" s="85"/>
      <c r="B134" s="85"/>
      <c r="C134" s="30" t="s">
        <v>546</v>
      </c>
      <c r="D134" s="30" t="s">
        <v>594</v>
      </c>
      <c r="E134" s="30" t="s">
        <v>591</v>
      </c>
      <c r="F134" s="30" t="s">
        <v>595</v>
      </c>
      <c r="G134" s="30">
        <v>1</v>
      </c>
      <c r="H134" s="30">
        <v>2250</v>
      </c>
      <c r="I134" s="30">
        <v>2100</v>
      </c>
    </row>
    <row r="135" spans="1:10" ht="44" customHeight="1">
      <c r="A135" s="86" t="s">
        <v>544</v>
      </c>
      <c r="B135" s="85"/>
      <c r="C135" s="30" t="s">
        <v>596</v>
      </c>
      <c r="D135" s="30" t="s">
        <v>545</v>
      </c>
      <c r="E135" s="30" t="s">
        <v>590</v>
      </c>
    </row>
    <row r="136" spans="1:10" ht="44" customHeight="1">
      <c r="A136" s="86"/>
      <c r="B136" s="85"/>
      <c r="C136" s="30" t="s">
        <v>597</v>
      </c>
      <c r="D136" s="30" t="s">
        <v>686</v>
      </c>
      <c r="E136" s="30" t="s">
        <v>590</v>
      </c>
    </row>
    <row r="137" spans="1:10" ht="132">
      <c r="A137" s="86" t="s">
        <v>542</v>
      </c>
      <c r="B137" s="85">
        <f>SUM(I137:I138)</f>
        <v>308</v>
      </c>
      <c r="C137" s="30" t="s">
        <v>628</v>
      </c>
      <c r="D137" s="30" t="s">
        <v>629</v>
      </c>
      <c r="E137" s="30" t="s">
        <v>630</v>
      </c>
      <c r="F137" s="30" t="s">
        <v>631</v>
      </c>
      <c r="G137" s="30" t="s">
        <v>632</v>
      </c>
      <c r="H137" s="30">
        <f>2.4*120</f>
        <v>288</v>
      </c>
      <c r="I137" s="30">
        <v>288</v>
      </c>
      <c r="J137" s="30" t="s">
        <v>634</v>
      </c>
    </row>
    <row r="138" spans="1:10" ht="44">
      <c r="A138" s="86"/>
      <c r="B138" s="85"/>
      <c r="C138" s="30" t="s">
        <v>398</v>
      </c>
      <c r="D138" s="30" t="s">
        <v>633</v>
      </c>
      <c r="E138" s="30" t="s">
        <v>306</v>
      </c>
      <c r="F138" s="30">
        <v>20</v>
      </c>
      <c r="G138" s="30">
        <v>1</v>
      </c>
      <c r="H138" s="30">
        <v>20</v>
      </c>
      <c r="I138" s="30">
        <v>20</v>
      </c>
    </row>
    <row r="139" spans="1:10" ht="22">
      <c r="A139" s="76" t="s">
        <v>543</v>
      </c>
    </row>
    <row r="140" spans="1:10" ht="44" customHeight="1">
      <c r="A140" s="85" t="s">
        <v>534</v>
      </c>
      <c r="B140" s="85">
        <f>SUM(I140:I156)</f>
        <v>2500</v>
      </c>
      <c r="C140" s="30" t="s">
        <v>644</v>
      </c>
      <c r="D140" s="30" t="s">
        <v>661</v>
      </c>
      <c r="E140" s="30" t="s">
        <v>667</v>
      </c>
      <c r="F140" s="30" t="s">
        <v>668</v>
      </c>
      <c r="G140" s="30">
        <v>4</v>
      </c>
      <c r="H140" s="30">
        <v>160</v>
      </c>
      <c r="I140" s="30">
        <f>H140</f>
        <v>160</v>
      </c>
    </row>
    <row r="141" spans="1:10" ht="44" customHeight="1">
      <c r="A141" s="85"/>
      <c r="B141" s="85"/>
      <c r="C141" s="30" t="s">
        <v>645</v>
      </c>
      <c r="D141" s="30" t="s">
        <v>662</v>
      </c>
      <c r="E141" s="30" t="s">
        <v>667</v>
      </c>
      <c r="F141" s="30" t="s">
        <v>668</v>
      </c>
      <c r="G141" s="30">
        <v>4</v>
      </c>
      <c r="H141" s="30">
        <v>160</v>
      </c>
      <c r="I141" s="30">
        <f t="shared" ref="I141:I146" si="6">H141</f>
        <v>160</v>
      </c>
    </row>
    <row r="142" spans="1:10" ht="74" customHeight="1">
      <c r="A142" s="85"/>
      <c r="B142" s="85"/>
      <c r="C142" s="30" t="s">
        <v>646</v>
      </c>
      <c r="D142" s="30" t="s">
        <v>663</v>
      </c>
      <c r="E142" s="30" t="s">
        <v>667</v>
      </c>
      <c r="F142" s="30" t="s">
        <v>669</v>
      </c>
      <c r="G142" s="30">
        <v>6</v>
      </c>
      <c r="H142" s="30">
        <f>6*28</f>
        <v>168</v>
      </c>
      <c r="I142" s="30">
        <f t="shared" si="6"/>
        <v>168</v>
      </c>
    </row>
    <row r="143" spans="1:10" ht="44" customHeight="1">
      <c r="A143" s="85"/>
      <c r="B143" s="85"/>
      <c r="C143" s="30" t="s">
        <v>647</v>
      </c>
      <c r="D143" s="30" t="s">
        <v>664</v>
      </c>
      <c r="E143" s="30" t="s">
        <v>667</v>
      </c>
      <c r="F143" s="30" t="s">
        <v>670</v>
      </c>
      <c r="G143" s="30">
        <v>24</v>
      </c>
      <c r="H143" s="30">
        <f>24*55</f>
        <v>1320</v>
      </c>
      <c r="I143" s="30">
        <f t="shared" si="6"/>
        <v>1320</v>
      </c>
    </row>
    <row r="144" spans="1:10" ht="44" customHeight="1">
      <c r="A144" s="85"/>
      <c r="B144" s="85"/>
      <c r="C144" s="30" t="s">
        <v>648</v>
      </c>
      <c r="E144" s="30" t="s">
        <v>667</v>
      </c>
      <c r="F144" s="30" t="s">
        <v>389</v>
      </c>
      <c r="G144" s="30">
        <v>40</v>
      </c>
      <c r="H144" s="30">
        <v>40</v>
      </c>
      <c r="I144" s="30">
        <f t="shared" si="6"/>
        <v>40</v>
      </c>
    </row>
    <row r="145" spans="1:9" ht="44" customHeight="1">
      <c r="A145" s="85"/>
      <c r="B145" s="85"/>
      <c r="C145" s="30" t="s">
        <v>649</v>
      </c>
      <c r="E145" s="30" t="s">
        <v>667</v>
      </c>
      <c r="F145" s="30" t="s">
        <v>389</v>
      </c>
      <c r="G145" s="30">
        <v>60</v>
      </c>
      <c r="H145" s="30">
        <v>60</v>
      </c>
      <c r="I145" s="30">
        <f t="shared" si="6"/>
        <v>60</v>
      </c>
    </row>
    <row r="146" spans="1:9" ht="44" customHeight="1">
      <c r="A146" s="85"/>
      <c r="B146" s="85"/>
      <c r="C146" s="30" t="s">
        <v>650</v>
      </c>
      <c r="D146" s="30" t="s">
        <v>665</v>
      </c>
      <c r="E146" s="30" t="s">
        <v>667</v>
      </c>
      <c r="F146" s="30" t="s">
        <v>671</v>
      </c>
      <c r="G146" s="30">
        <v>1</v>
      </c>
      <c r="H146" s="30">
        <v>130</v>
      </c>
      <c r="I146" s="30">
        <f t="shared" si="6"/>
        <v>130</v>
      </c>
    </row>
    <row r="147" spans="1:9" ht="44" customHeight="1">
      <c r="A147" s="85"/>
      <c r="B147" s="85"/>
      <c r="C147" s="30" t="s">
        <v>651</v>
      </c>
      <c r="E147" s="30" t="s">
        <v>667</v>
      </c>
      <c r="F147" s="30">
        <v>3</v>
      </c>
      <c r="G147" s="30">
        <v>3</v>
      </c>
      <c r="H147" s="30">
        <v>9</v>
      </c>
      <c r="I147" s="30">
        <v>0</v>
      </c>
    </row>
    <row r="148" spans="1:9" ht="44" customHeight="1">
      <c r="A148" s="85"/>
      <c r="B148" s="85"/>
      <c r="C148" s="30" t="s">
        <v>652</v>
      </c>
      <c r="E148" s="30" t="s">
        <v>667</v>
      </c>
      <c r="F148" s="30">
        <v>3</v>
      </c>
      <c r="G148" s="30">
        <v>3</v>
      </c>
      <c r="H148" s="30">
        <v>9</v>
      </c>
      <c r="I148" s="30">
        <f>H148</f>
        <v>9</v>
      </c>
    </row>
    <row r="149" spans="1:9" ht="44" customHeight="1">
      <c r="A149" s="85"/>
      <c r="B149" s="85"/>
      <c r="C149" s="30" t="s">
        <v>653</v>
      </c>
      <c r="E149" s="30" t="s">
        <v>667</v>
      </c>
      <c r="F149" s="30" t="s">
        <v>672</v>
      </c>
      <c r="G149" s="30">
        <v>1</v>
      </c>
      <c r="H149" s="30">
        <v>75</v>
      </c>
      <c r="I149" s="30">
        <f t="shared" ref="I149:I156" si="7">H149</f>
        <v>75</v>
      </c>
    </row>
    <row r="150" spans="1:9" ht="44" customHeight="1">
      <c r="A150" s="85"/>
      <c r="B150" s="85"/>
      <c r="C150" s="30" t="s">
        <v>654</v>
      </c>
      <c r="E150" s="30" t="s">
        <v>667</v>
      </c>
      <c r="F150" s="30" t="s">
        <v>676</v>
      </c>
      <c r="G150" s="30">
        <v>1</v>
      </c>
      <c r="H150" s="30">
        <v>8</v>
      </c>
      <c r="I150" s="30">
        <f t="shared" si="7"/>
        <v>8</v>
      </c>
    </row>
    <row r="151" spans="1:9" ht="44" customHeight="1">
      <c r="A151" s="85"/>
      <c r="B151" s="85"/>
      <c r="C151" s="30" t="s">
        <v>655</v>
      </c>
      <c r="E151" s="30" t="s">
        <v>667</v>
      </c>
      <c r="F151" s="30" t="s">
        <v>470</v>
      </c>
      <c r="G151" s="30">
        <v>1</v>
      </c>
      <c r="H151" s="30">
        <v>7</v>
      </c>
      <c r="I151" s="30">
        <f t="shared" si="7"/>
        <v>7</v>
      </c>
    </row>
    <row r="152" spans="1:9" ht="88">
      <c r="A152" s="85"/>
      <c r="B152" s="85"/>
      <c r="C152" s="30" t="s">
        <v>656</v>
      </c>
      <c r="D152" s="30" t="s">
        <v>666</v>
      </c>
      <c r="E152" s="30" t="s">
        <v>667</v>
      </c>
      <c r="F152" s="30" t="s">
        <v>675</v>
      </c>
      <c r="G152" s="30">
        <v>3</v>
      </c>
      <c r="H152" s="30">
        <f>85*3</f>
        <v>255</v>
      </c>
      <c r="I152" s="30">
        <f t="shared" si="7"/>
        <v>255</v>
      </c>
    </row>
    <row r="153" spans="1:9" ht="44" customHeight="1">
      <c r="A153" s="85"/>
      <c r="B153" s="85"/>
      <c r="C153" s="30" t="s">
        <v>657</v>
      </c>
      <c r="E153" s="30" t="s">
        <v>667</v>
      </c>
      <c r="F153" s="30">
        <v>7</v>
      </c>
      <c r="G153" s="30">
        <v>3</v>
      </c>
      <c r="H153" s="30">
        <v>21</v>
      </c>
      <c r="I153" s="30">
        <f>H153</f>
        <v>21</v>
      </c>
    </row>
    <row r="154" spans="1:9" ht="44" customHeight="1">
      <c r="A154" s="85"/>
      <c r="B154" s="85"/>
      <c r="C154" s="30" t="s">
        <v>658</v>
      </c>
      <c r="E154" s="30" t="s">
        <v>667</v>
      </c>
      <c r="F154" s="30">
        <v>3</v>
      </c>
      <c r="G154" s="30">
        <v>3</v>
      </c>
      <c r="H154" s="30">
        <v>9</v>
      </c>
      <c r="I154" s="30">
        <f t="shared" si="7"/>
        <v>9</v>
      </c>
    </row>
    <row r="155" spans="1:9" ht="44" customHeight="1">
      <c r="A155" s="85"/>
      <c r="B155" s="85"/>
      <c r="C155" s="30" t="s">
        <v>659</v>
      </c>
      <c r="E155" s="30" t="s">
        <v>667</v>
      </c>
      <c r="F155" s="30" t="s">
        <v>674</v>
      </c>
      <c r="G155" s="30">
        <v>15</v>
      </c>
      <c r="H155" s="30">
        <f>15*1.2</f>
        <v>18</v>
      </c>
      <c r="I155" s="30">
        <f t="shared" si="7"/>
        <v>18</v>
      </c>
    </row>
    <row r="156" spans="1:9" ht="44" customHeight="1">
      <c r="A156" s="85"/>
      <c r="B156" s="85"/>
      <c r="C156" s="30" t="s">
        <v>660</v>
      </c>
      <c r="E156" s="30" t="s">
        <v>667</v>
      </c>
      <c r="F156" s="30" t="s">
        <v>673</v>
      </c>
      <c r="G156" s="30">
        <v>30</v>
      </c>
      <c r="H156" s="30">
        <v>60</v>
      </c>
      <c r="I156" s="30">
        <f t="shared" si="7"/>
        <v>60</v>
      </c>
    </row>
    <row r="157" spans="1:9" ht="22">
      <c r="A157" s="85"/>
      <c r="B157" s="85"/>
      <c r="C157" s="30" t="s">
        <v>679</v>
      </c>
    </row>
  </sheetData>
  <mergeCells count="36">
    <mergeCell ref="J132:J133"/>
    <mergeCell ref="B137:B138"/>
    <mergeCell ref="A137:A138"/>
    <mergeCell ref="B140:B157"/>
    <mergeCell ref="A140:A157"/>
    <mergeCell ref="C81:C82"/>
    <mergeCell ref="D81:D82"/>
    <mergeCell ref="C106:C109"/>
    <mergeCell ref="D106:D109"/>
    <mergeCell ref="C110:C112"/>
    <mergeCell ref="D110:D112"/>
    <mergeCell ref="D103:D105"/>
    <mergeCell ref="C103:C105"/>
    <mergeCell ref="A58:A67"/>
    <mergeCell ref="B58:B67"/>
    <mergeCell ref="A88:A118"/>
    <mergeCell ref="B88:B118"/>
    <mergeCell ref="B68:B87"/>
    <mergeCell ref="A68:A87"/>
    <mergeCell ref="I5:I7"/>
    <mergeCell ref="A24:A31"/>
    <mergeCell ref="B24:B31"/>
    <mergeCell ref="B32:B57"/>
    <mergeCell ref="A32:A57"/>
    <mergeCell ref="A23:I23"/>
    <mergeCell ref="B2:B22"/>
    <mergeCell ref="A2:A22"/>
    <mergeCell ref="A132:A134"/>
    <mergeCell ref="B132:B134"/>
    <mergeCell ref="A135:A136"/>
    <mergeCell ref="B135:B136"/>
    <mergeCell ref="I119:I128"/>
    <mergeCell ref="A119:A128"/>
    <mergeCell ref="B119:B128"/>
    <mergeCell ref="B129:B131"/>
    <mergeCell ref="A129:A13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235C1-DC55-A14E-BC0A-3D4AFF249CBD}">
  <dimension ref="A1:O42"/>
  <sheetViews>
    <sheetView topLeftCell="A6" workbookViewId="0">
      <pane xSplit="1" topLeftCell="B1" activePane="topRight" state="frozen"/>
      <selection pane="topRight" activeCell="C36" sqref="C36"/>
    </sheetView>
  </sheetViews>
  <sheetFormatPr baseColWidth="10" defaultColWidth="16.33203125" defaultRowHeight="21"/>
  <cols>
    <col min="1" max="1" width="40.5" style="5" customWidth="1"/>
    <col min="2" max="3" width="16.33203125" style="5"/>
    <col min="4" max="4" width="33.83203125" style="5" customWidth="1"/>
    <col min="5" max="5" width="49.33203125" style="14" customWidth="1"/>
    <col min="6" max="6" width="34.5" style="15" customWidth="1"/>
    <col min="7" max="11" width="16.33203125" style="5"/>
    <col min="12" max="13" width="26.1640625" style="5" customWidth="1"/>
    <col min="14" max="16384" width="16.33203125" style="5"/>
  </cols>
  <sheetData>
    <row r="1" spans="1:15" s="1" customFormat="1" ht="22">
      <c r="A1" s="1" t="s">
        <v>34</v>
      </c>
      <c r="B1" s="1" t="s">
        <v>35</v>
      </c>
      <c r="C1" s="1" t="s">
        <v>108</v>
      </c>
      <c r="D1" s="1" t="s">
        <v>36</v>
      </c>
      <c r="E1" s="12" t="s">
        <v>80</v>
      </c>
      <c r="F1" s="13" t="s">
        <v>74</v>
      </c>
      <c r="G1" s="1" t="s">
        <v>70</v>
      </c>
      <c r="H1" s="1" t="s">
        <v>71</v>
      </c>
      <c r="I1" s="1" t="s">
        <v>2</v>
      </c>
      <c r="J1" s="1" t="s">
        <v>101</v>
      </c>
      <c r="K1" s="1" t="s">
        <v>72</v>
      </c>
      <c r="L1" s="1" t="s">
        <v>40</v>
      </c>
      <c r="M1" s="1" t="s">
        <v>26</v>
      </c>
      <c r="N1" s="1" t="s">
        <v>190</v>
      </c>
      <c r="O1" s="1" t="s">
        <v>199</v>
      </c>
    </row>
    <row r="2" spans="1:15" s="33" customFormat="1" ht="132">
      <c r="A2" s="34" t="s">
        <v>44</v>
      </c>
      <c r="B2" s="34" t="s">
        <v>98</v>
      </c>
      <c r="C2" s="34" t="s">
        <v>109</v>
      </c>
      <c r="D2" s="34" t="s">
        <v>97</v>
      </c>
      <c r="E2" s="53"/>
      <c r="F2" s="54" t="s">
        <v>99</v>
      </c>
      <c r="G2" s="34" t="s">
        <v>93</v>
      </c>
      <c r="H2" s="34">
        <v>1499</v>
      </c>
      <c r="I2" s="34">
        <v>2</v>
      </c>
      <c r="J2" s="34">
        <f t="shared" ref="J2:J39" si="0">H2*I2</f>
        <v>2998</v>
      </c>
      <c r="K2" s="55" t="s">
        <v>96</v>
      </c>
      <c r="L2" s="33" t="s">
        <v>169</v>
      </c>
    </row>
    <row r="3" spans="1:15" s="43" customFormat="1" ht="198">
      <c r="A3" s="43" t="s">
        <v>262</v>
      </c>
      <c r="B3" s="44" t="s">
        <v>265</v>
      </c>
      <c r="C3" s="58" t="s">
        <v>109</v>
      </c>
      <c r="D3" s="44" t="s">
        <v>266</v>
      </c>
      <c r="E3" s="45"/>
      <c r="F3" s="59" t="s">
        <v>263</v>
      </c>
      <c r="G3" s="44" t="s">
        <v>264</v>
      </c>
      <c r="H3" s="43">
        <v>2999</v>
      </c>
      <c r="I3" s="43">
        <v>1</v>
      </c>
      <c r="J3" s="43">
        <v>2999</v>
      </c>
      <c r="K3" s="47"/>
      <c r="L3" s="44" t="s">
        <v>276</v>
      </c>
      <c r="M3" s="43">
        <f>2999+30</f>
        <v>3029</v>
      </c>
      <c r="N3" s="44" t="s">
        <v>280</v>
      </c>
    </row>
    <row r="4" spans="1:15" s="20" customFormat="1" ht="110">
      <c r="A4" s="5" t="s">
        <v>46</v>
      </c>
      <c r="B4" s="5" t="s">
        <v>38</v>
      </c>
      <c r="C4" s="20" t="s">
        <v>109</v>
      </c>
      <c r="D4" s="5" t="s">
        <v>91</v>
      </c>
      <c r="E4" s="14"/>
      <c r="F4" s="15" t="s">
        <v>92</v>
      </c>
      <c r="G4" s="5" t="s">
        <v>93</v>
      </c>
      <c r="H4" s="5">
        <v>2999</v>
      </c>
      <c r="I4" s="5">
        <v>1</v>
      </c>
      <c r="J4" s="20">
        <f t="shared" si="0"/>
        <v>2999</v>
      </c>
      <c r="K4" s="16" t="s">
        <v>90</v>
      </c>
      <c r="L4" s="5" t="s">
        <v>164</v>
      </c>
      <c r="M4" s="5"/>
    </row>
    <row r="5" spans="1:15" s="34" customFormat="1" ht="88">
      <c r="A5" s="33" t="s">
        <v>51</v>
      </c>
      <c r="B5" s="33" t="s">
        <v>52</v>
      </c>
      <c r="C5" s="34" t="s">
        <v>109</v>
      </c>
      <c r="D5" s="33" t="s">
        <v>75</v>
      </c>
      <c r="E5" s="35"/>
      <c r="F5" s="36" t="s">
        <v>77</v>
      </c>
      <c r="G5" s="33" t="s">
        <v>73</v>
      </c>
      <c r="H5" s="33">
        <v>4390</v>
      </c>
      <c r="I5" s="33">
        <v>0</v>
      </c>
      <c r="J5" s="34">
        <f t="shared" si="0"/>
        <v>0</v>
      </c>
      <c r="K5" s="37" t="s">
        <v>76</v>
      </c>
      <c r="L5" s="33" t="s">
        <v>200</v>
      </c>
      <c r="M5" s="33">
        <v>0</v>
      </c>
      <c r="N5" s="34" t="s">
        <v>191</v>
      </c>
    </row>
    <row r="6" spans="1:15" s="39" customFormat="1" ht="198">
      <c r="A6" s="39" t="s">
        <v>51</v>
      </c>
      <c r="B6" s="39" t="s">
        <v>52</v>
      </c>
      <c r="C6" s="39" t="s">
        <v>109</v>
      </c>
      <c r="D6" s="39" t="s">
        <v>282</v>
      </c>
      <c r="E6" s="40"/>
      <c r="F6" s="41" t="s">
        <v>281</v>
      </c>
      <c r="G6" s="39" t="s">
        <v>277</v>
      </c>
      <c r="H6" s="39">
        <v>3499</v>
      </c>
      <c r="I6" s="39">
        <v>1</v>
      </c>
      <c r="K6" s="42"/>
      <c r="L6" s="39" t="s">
        <v>278</v>
      </c>
      <c r="M6" s="39">
        <v>3489</v>
      </c>
      <c r="N6" s="39" t="s">
        <v>279</v>
      </c>
    </row>
    <row r="7" spans="1:15" s="34" customFormat="1" ht="179" customHeight="1">
      <c r="A7" s="38" t="s">
        <v>113</v>
      </c>
      <c r="B7" s="38" t="s">
        <v>58</v>
      </c>
      <c r="C7" s="38" t="s">
        <v>109</v>
      </c>
      <c r="D7" s="38" t="s">
        <v>95</v>
      </c>
      <c r="E7" s="35"/>
      <c r="F7" s="36" t="s">
        <v>114</v>
      </c>
      <c r="G7" s="38" t="s">
        <v>81</v>
      </c>
      <c r="H7" s="38">
        <v>2399</v>
      </c>
      <c r="I7" s="38">
        <v>1</v>
      </c>
      <c r="J7" s="34">
        <f t="shared" si="0"/>
        <v>2399</v>
      </c>
      <c r="K7" s="37" t="s">
        <v>94</v>
      </c>
      <c r="L7" s="38" t="s">
        <v>164</v>
      </c>
      <c r="M7" s="38"/>
    </row>
    <row r="8" spans="1:15" s="43" customFormat="1" ht="179" customHeight="1">
      <c r="A8" s="43" t="s">
        <v>113</v>
      </c>
      <c r="B8" s="44" t="s">
        <v>58</v>
      </c>
      <c r="C8" s="44" t="s">
        <v>109</v>
      </c>
      <c r="D8" s="44" t="s">
        <v>209</v>
      </c>
      <c r="E8" s="45"/>
      <c r="F8" s="46"/>
      <c r="G8" s="44" t="s">
        <v>135</v>
      </c>
      <c r="H8" s="43">
        <v>3599</v>
      </c>
      <c r="I8" s="43">
        <v>1</v>
      </c>
      <c r="J8" s="43">
        <v>3599</v>
      </c>
      <c r="K8" s="47"/>
      <c r="M8" s="43">
        <v>3599</v>
      </c>
      <c r="N8" s="44" t="s">
        <v>210</v>
      </c>
      <c r="O8" s="44" t="s">
        <v>211</v>
      </c>
    </row>
    <row r="9" spans="1:15" s="34" customFormat="1" ht="88">
      <c r="A9" s="38" t="s">
        <v>55</v>
      </c>
      <c r="B9" s="38" t="s">
        <v>58</v>
      </c>
      <c r="C9" s="38" t="s">
        <v>109</v>
      </c>
      <c r="D9" s="38" t="s">
        <v>112</v>
      </c>
      <c r="E9" s="35"/>
      <c r="F9" s="36" t="s">
        <v>110</v>
      </c>
      <c r="G9" s="38" t="s">
        <v>81</v>
      </c>
      <c r="H9" s="38">
        <v>3499</v>
      </c>
      <c r="I9" s="38">
        <v>0</v>
      </c>
      <c r="J9" s="34">
        <f t="shared" si="0"/>
        <v>0</v>
      </c>
      <c r="K9" s="37" t="s">
        <v>111</v>
      </c>
      <c r="L9" s="38" t="s">
        <v>168</v>
      </c>
      <c r="M9" s="38"/>
    </row>
    <row r="10" spans="1:15" s="34" customFormat="1" ht="110">
      <c r="A10" s="38" t="s">
        <v>57</v>
      </c>
      <c r="B10" s="38" t="s">
        <v>58</v>
      </c>
      <c r="C10" s="34" t="s">
        <v>109</v>
      </c>
      <c r="D10" s="38" t="s">
        <v>105</v>
      </c>
      <c r="E10" s="35"/>
      <c r="F10" s="36" t="s">
        <v>107</v>
      </c>
      <c r="G10" s="38" t="s">
        <v>81</v>
      </c>
      <c r="H10" s="38">
        <v>2999</v>
      </c>
      <c r="I10" s="38">
        <v>1</v>
      </c>
      <c r="J10" s="34">
        <f t="shared" si="0"/>
        <v>2999</v>
      </c>
      <c r="K10" s="37" t="s">
        <v>106</v>
      </c>
      <c r="L10" s="38" t="s">
        <v>167</v>
      </c>
      <c r="M10" s="38"/>
    </row>
    <row r="11" spans="1:15" s="39" customFormat="1" ht="154">
      <c r="A11" s="39" t="s">
        <v>57</v>
      </c>
      <c r="B11" s="39" t="s">
        <v>58</v>
      </c>
      <c r="C11" s="39" t="s">
        <v>109</v>
      </c>
      <c r="D11" s="39" t="s">
        <v>194</v>
      </c>
      <c r="E11" s="40"/>
      <c r="F11" s="41" t="s">
        <v>195</v>
      </c>
      <c r="G11" s="39" t="s">
        <v>196</v>
      </c>
      <c r="H11" s="39">
        <v>3699</v>
      </c>
      <c r="I11" s="39">
        <v>1</v>
      </c>
      <c r="J11" s="39">
        <f t="shared" si="0"/>
        <v>3699</v>
      </c>
      <c r="K11" s="42"/>
      <c r="L11" s="39" t="s">
        <v>197</v>
      </c>
      <c r="M11" s="39">
        <v>2729</v>
      </c>
      <c r="N11" s="39" t="s">
        <v>198</v>
      </c>
      <c r="O11" s="39">
        <v>0</v>
      </c>
    </row>
    <row r="12" spans="1:15" s="20" customFormat="1" ht="88">
      <c r="A12" s="5" t="s">
        <v>59</v>
      </c>
      <c r="B12" s="5" t="s">
        <v>69</v>
      </c>
      <c r="C12" s="20" t="s">
        <v>109</v>
      </c>
      <c r="D12" s="5" t="s">
        <v>78</v>
      </c>
      <c r="E12" s="14"/>
      <c r="F12" s="15" t="s">
        <v>131</v>
      </c>
      <c r="G12" s="5" t="s">
        <v>103</v>
      </c>
      <c r="H12" s="5">
        <v>2399</v>
      </c>
      <c r="I12" s="5">
        <v>0</v>
      </c>
      <c r="J12" s="20">
        <f t="shared" si="0"/>
        <v>0</v>
      </c>
      <c r="K12" s="16" t="s">
        <v>79</v>
      </c>
      <c r="L12" s="5" t="s">
        <v>166</v>
      </c>
      <c r="M12" s="5"/>
    </row>
    <row r="13" spans="1:15" s="20" customFormat="1" ht="88">
      <c r="A13" s="5" t="s">
        <v>59</v>
      </c>
      <c r="B13" s="5" t="s">
        <v>86</v>
      </c>
      <c r="C13" s="20" t="s">
        <v>109</v>
      </c>
      <c r="D13" s="5" t="s">
        <v>102</v>
      </c>
      <c r="E13" s="14"/>
      <c r="F13" s="15" t="s">
        <v>104</v>
      </c>
      <c r="G13" s="5" t="s">
        <v>103</v>
      </c>
      <c r="H13" s="5">
        <v>1988</v>
      </c>
      <c r="I13" s="5">
        <v>0</v>
      </c>
      <c r="J13" s="20">
        <f t="shared" si="0"/>
        <v>0</v>
      </c>
      <c r="K13" s="16" t="s">
        <v>163</v>
      </c>
      <c r="L13" s="5" t="s">
        <v>165</v>
      </c>
      <c r="M13" s="5"/>
    </row>
    <row r="14" spans="1:15" s="20" customFormat="1" ht="132">
      <c r="A14" s="5" t="s">
        <v>63</v>
      </c>
      <c r="B14" s="5" t="s">
        <v>69</v>
      </c>
      <c r="C14" s="20" t="s">
        <v>109</v>
      </c>
      <c r="D14" s="5" t="s">
        <v>82</v>
      </c>
      <c r="E14" s="14"/>
      <c r="F14" s="15" t="s">
        <v>84</v>
      </c>
      <c r="G14" s="5" t="s">
        <v>81</v>
      </c>
      <c r="H14" s="5">
        <v>5799</v>
      </c>
      <c r="I14" s="5">
        <v>0</v>
      </c>
      <c r="J14" s="20">
        <f t="shared" si="0"/>
        <v>0</v>
      </c>
      <c r="K14" s="16" t="s">
        <v>83</v>
      </c>
      <c r="L14" s="5" t="s">
        <v>165</v>
      </c>
      <c r="M14" s="5"/>
    </row>
    <row r="15" spans="1:15" s="20" customFormat="1" ht="110">
      <c r="A15" s="5" t="s">
        <v>85</v>
      </c>
      <c r="B15" s="5" t="s">
        <v>86</v>
      </c>
      <c r="C15" s="20" t="s">
        <v>109</v>
      </c>
      <c r="D15" s="5" t="s">
        <v>88</v>
      </c>
      <c r="E15" s="14"/>
      <c r="F15" s="15" t="s">
        <v>89</v>
      </c>
      <c r="G15" s="5" t="s">
        <v>81</v>
      </c>
      <c r="H15" s="5">
        <v>2199</v>
      </c>
      <c r="I15" s="5">
        <v>0</v>
      </c>
      <c r="J15" s="20">
        <f t="shared" si="0"/>
        <v>0</v>
      </c>
      <c r="K15" s="16" t="s">
        <v>87</v>
      </c>
      <c r="L15" s="5" t="s">
        <v>164</v>
      </c>
      <c r="M15" s="5"/>
    </row>
    <row r="16" spans="1:15" s="20" customFormat="1" ht="22">
      <c r="A16" s="5" t="s">
        <v>598</v>
      </c>
      <c r="B16" s="5" t="s">
        <v>98</v>
      </c>
      <c r="C16" s="5"/>
      <c r="D16" s="5"/>
      <c r="E16" s="14"/>
      <c r="F16" s="15"/>
      <c r="G16" s="5"/>
      <c r="H16" s="5"/>
      <c r="I16" s="5"/>
      <c r="J16" s="5">
        <f t="shared" si="0"/>
        <v>0</v>
      </c>
      <c r="K16" s="5"/>
      <c r="L16" s="5"/>
      <c r="M16" s="5"/>
    </row>
    <row r="17" spans="1:13" s="20" customFormat="1" ht="22">
      <c r="A17" s="20" t="s">
        <v>283</v>
      </c>
      <c r="B17" s="20" t="s">
        <v>39</v>
      </c>
      <c r="E17" s="21"/>
      <c r="F17" s="22"/>
      <c r="J17" s="5">
        <f t="shared" si="0"/>
        <v>0</v>
      </c>
      <c r="K17" s="23"/>
    </row>
    <row r="18" spans="1:13" s="20" customFormat="1" ht="22">
      <c r="A18" s="20" t="s">
        <v>49</v>
      </c>
      <c r="B18" s="20" t="s">
        <v>38</v>
      </c>
      <c r="E18" s="21"/>
      <c r="F18" s="22"/>
      <c r="J18" s="20">
        <f t="shared" si="0"/>
        <v>0</v>
      </c>
    </row>
    <row r="19" spans="1:13" ht="24" customHeight="1">
      <c r="A19" s="20" t="s">
        <v>48</v>
      </c>
      <c r="B19" s="20" t="s">
        <v>38</v>
      </c>
      <c r="C19" s="20"/>
      <c r="D19" s="20"/>
      <c r="E19" s="21"/>
      <c r="F19" s="22"/>
      <c r="G19" s="20"/>
      <c r="H19" s="20"/>
      <c r="I19" s="20"/>
      <c r="J19" s="20">
        <f t="shared" si="0"/>
        <v>0</v>
      </c>
      <c r="K19" s="20"/>
      <c r="L19" s="20"/>
      <c r="M19" s="20"/>
    </row>
    <row r="20" spans="1:13" ht="22">
      <c r="A20" s="20" t="s">
        <v>43</v>
      </c>
      <c r="B20" s="20" t="s">
        <v>98</v>
      </c>
      <c r="C20" s="20"/>
      <c r="D20" s="20"/>
      <c r="E20" s="21"/>
      <c r="F20" s="22"/>
      <c r="G20" s="20"/>
      <c r="H20" s="20"/>
      <c r="I20" s="20">
        <v>2</v>
      </c>
      <c r="J20" s="20">
        <f t="shared" si="0"/>
        <v>0</v>
      </c>
      <c r="K20" s="20"/>
      <c r="L20" s="20"/>
      <c r="M20" s="20"/>
    </row>
    <row r="21" spans="1:13" ht="22" customHeight="1">
      <c r="A21" s="20" t="s">
        <v>37</v>
      </c>
      <c r="B21" s="20" t="s">
        <v>98</v>
      </c>
      <c r="C21" s="20"/>
      <c r="D21" s="20"/>
      <c r="E21" s="21"/>
      <c r="F21" s="22"/>
      <c r="G21" s="20"/>
      <c r="H21" s="20"/>
      <c r="I21" s="20">
        <v>2</v>
      </c>
      <c r="J21" s="20">
        <f t="shared" si="0"/>
        <v>0</v>
      </c>
      <c r="K21" s="20"/>
      <c r="L21" s="20"/>
      <c r="M21" s="20"/>
    </row>
    <row r="22" spans="1:13" ht="22">
      <c r="A22" s="20" t="s">
        <v>42</v>
      </c>
      <c r="B22" s="20" t="s">
        <v>98</v>
      </c>
      <c r="C22" s="20" t="s">
        <v>170</v>
      </c>
      <c r="D22" s="20"/>
      <c r="E22" s="21"/>
      <c r="F22" s="22"/>
      <c r="G22" s="20"/>
      <c r="H22" s="20"/>
      <c r="I22" s="20">
        <v>2</v>
      </c>
      <c r="J22" s="20">
        <f t="shared" si="0"/>
        <v>0</v>
      </c>
      <c r="K22" s="20"/>
      <c r="L22" s="20"/>
      <c r="M22" s="20"/>
    </row>
    <row r="23" spans="1:13" ht="22">
      <c r="A23" s="20" t="s">
        <v>41</v>
      </c>
      <c r="B23" s="20" t="s">
        <v>98</v>
      </c>
      <c r="C23" s="20"/>
      <c r="D23" s="20"/>
      <c r="E23" s="21"/>
      <c r="F23" s="22"/>
      <c r="G23" s="20"/>
      <c r="H23" s="20"/>
      <c r="I23" s="20">
        <v>2</v>
      </c>
      <c r="J23" s="20">
        <f t="shared" si="0"/>
        <v>0</v>
      </c>
      <c r="K23" s="20"/>
      <c r="L23" s="20"/>
      <c r="M23" s="20"/>
    </row>
    <row r="24" spans="1:13" ht="24" customHeight="1">
      <c r="A24" s="20" t="s">
        <v>100</v>
      </c>
      <c r="B24" s="20" t="s">
        <v>98</v>
      </c>
      <c r="C24" s="20"/>
      <c r="D24" s="20"/>
      <c r="E24" s="21"/>
      <c r="F24" s="22"/>
      <c r="G24" s="20"/>
      <c r="H24" s="20"/>
      <c r="I24" s="20">
        <v>2</v>
      </c>
      <c r="J24" s="20">
        <f t="shared" si="0"/>
        <v>0</v>
      </c>
      <c r="K24" s="20"/>
      <c r="L24" s="20"/>
      <c r="M24" s="20"/>
    </row>
    <row r="25" spans="1:13" ht="21" customHeight="1">
      <c r="A25" s="20" t="s">
        <v>47</v>
      </c>
      <c r="B25" s="20" t="s">
        <v>38</v>
      </c>
      <c r="C25" s="20"/>
      <c r="D25" s="20"/>
      <c r="E25" s="21"/>
      <c r="F25" s="22"/>
      <c r="G25" s="20"/>
      <c r="H25" s="20"/>
      <c r="I25" s="20"/>
      <c r="J25" s="20">
        <f t="shared" si="0"/>
        <v>0</v>
      </c>
      <c r="K25" s="20"/>
      <c r="L25" s="20"/>
      <c r="M25" s="20"/>
    </row>
    <row r="26" spans="1:13" ht="22">
      <c r="A26" s="20" t="s">
        <v>171</v>
      </c>
      <c r="B26" s="20" t="s">
        <v>98</v>
      </c>
      <c r="C26" s="20"/>
      <c r="D26" s="20"/>
      <c r="E26" s="21"/>
      <c r="F26" s="22"/>
      <c r="G26" s="20"/>
      <c r="H26" s="20"/>
      <c r="I26" s="20">
        <v>2</v>
      </c>
      <c r="J26" s="20">
        <f t="shared" si="0"/>
        <v>0</v>
      </c>
      <c r="K26" s="20"/>
      <c r="L26" s="20"/>
      <c r="M26" s="20"/>
    </row>
    <row r="27" spans="1:13" ht="51" customHeight="1">
      <c r="A27" s="20" t="s">
        <v>50</v>
      </c>
      <c r="B27" s="20" t="s">
        <v>39</v>
      </c>
      <c r="C27" s="20"/>
      <c r="D27" s="20"/>
      <c r="E27" s="21"/>
      <c r="F27" s="22"/>
      <c r="G27" s="20"/>
      <c r="H27" s="20"/>
      <c r="I27" s="20"/>
      <c r="J27" s="20">
        <f t="shared" si="0"/>
        <v>0</v>
      </c>
      <c r="K27" s="20"/>
      <c r="L27" s="20"/>
      <c r="M27" s="20"/>
    </row>
    <row r="28" spans="1:13" ht="22">
      <c r="A28" s="5" t="s">
        <v>45</v>
      </c>
      <c r="B28" s="5" t="s">
        <v>38</v>
      </c>
      <c r="J28" s="20">
        <f t="shared" si="0"/>
        <v>0</v>
      </c>
    </row>
    <row r="29" spans="1:13" ht="22">
      <c r="A29" s="5" t="s">
        <v>53</v>
      </c>
      <c r="B29" s="5" t="s">
        <v>52</v>
      </c>
      <c r="J29" s="20">
        <f t="shared" si="0"/>
        <v>0</v>
      </c>
    </row>
    <row r="30" spans="1:13" ht="22">
      <c r="A30" s="5" t="s">
        <v>54</v>
      </c>
      <c r="B30" s="5" t="s">
        <v>52</v>
      </c>
      <c r="J30" s="20">
        <f t="shared" si="0"/>
        <v>0</v>
      </c>
    </row>
    <row r="31" spans="1:13" ht="22">
      <c r="A31" s="5" t="s">
        <v>56</v>
      </c>
      <c r="B31" s="5" t="s">
        <v>58</v>
      </c>
      <c r="J31" s="20">
        <f t="shared" si="0"/>
        <v>0</v>
      </c>
    </row>
    <row r="32" spans="1:13" ht="22">
      <c r="A32" s="5" t="s">
        <v>60</v>
      </c>
      <c r="B32" s="5" t="s">
        <v>69</v>
      </c>
      <c r="J32" s="20">
        <f t="shared" si="0"/>
        <v>0</v>
      </c>
    </row>
    <row r="33" spans="1:13" ht="22" customHeight="1">
      <c r="A33" s="5" t="s">
        <v>61</v>
      </c>
      <c r="B33" s="5" t="s">
        <v>69</v>
      </c>
      <c r="I33" s="5">
        <v>2</v>
      </c>
      <c r="J33" s="20">
        <f t="shared" si="0"/>
        <v>0</v>
      </c>
    </row>
    <row r="34" spans="1:13" ht="22">
      <c r="A34" s="5" t="s">
        <v>62</v>
      </c>
      <c r="B34" s="5" t="s">
        <v>69</v>
      </c>
      <c r="J34" s="20">
        <f t="shared" si="0"/>
        <v>0</v>
      </c>
    </row>
    <row r="35" spans="1:13" ht="22">
      <c r="A35" s="5" t="s">
        <v>64</v>
      </c>
      <c r="B35" s="5" t="s">
        <v>69</v>
      </c>
      <c r="C35" s="5" t="s">
        <v>109</v>
      </c>
      <c r="J35" s="20">
        <f t="shared" si="0"/>
        <v>0</v>
      </c>
    </row>
    <row r="36" spans="1:13" ht="22">
      <c r="A36" s="5" t="s">
        <v>65</v>
      </c>
      <c r="B36" s="5" t="s">
        <v>69</v>
      </c>
      <c r="J36" s="20">
        <f t="shared" si="0"/>
        <v>0</v>
      </c>
    </row>
    <row r="37" spans="1:13" ht="22">
      <c r="A37" s="5" t="s">
        <v>66</v>
      </c>
      <c r="B37" s="5" t="s">
        <v>69</v>
      </c>
      <c r="J37" s="20">
        <f t="shared" si="0"/>
        <v>0</v>
      </c>
    </row>
    <row r="38" spans="1:13" ht="22">
      <c r="A38" s="5" t="s">
        <v>67</v>
      </c>
      <c r="B38" s="5" t="s">
        <v>69</v>
      </c>
      <c r="J38" s="20">
        <f t="shared" si="0"/>
        <v>0</v>
      </c>
    </row>
    <row r="39" spans="1:13" ht="24" customHeight="1">
      <c r="A39" s="5" t="s">
        <v>68</v>
      </c>
      <c r="B39" s="5" t="s">
        <v>69</v>
      </c>
      <c r="J39" s="20">
        <f t="shared" si="0"/>
        <v>0</v>
      </c>
    </row>
    <row r="40" spans="1:13" ht="24" customHeight="1">
      <c r="A40" s="5" t="s">
        <v>172</v>
      </c>
      <c r="B40" s="5" t="s">
        <v>58</v>
      </c>
      <c r="C40" s="5" t="s">
        <v>173</v>
      </c>
      <c r="I40" s="5">
        <v>1</v>
      </c>
      <c r="J40" s="20">
        <v>269</v>
      </c>
      <c r="M40" s="5">
        <v>269</v>
      </c>
    </row>
    <row r="41" spans="1:13" s="74" customFormat="1" ht="24" customHeight="1">
      <c r="A41" s="74" t="s">
        <v>599</v>
      </c>
      <c r="B41" s="74" t="s">
        <v>600</v>
      </c>
      <c r="E41" s="14"/>
      <c r="F41" s="15"/>
      <c r="J41" s="20"/>
    </row>
    <row r="42" spans="1:13" s="17" customFormat="1" ht="22">
      <c r="A42" s="17" t="s">
        <v>17</v>
      </c>
      <c r="E42" s="18"/>
      <c r="F42" s="19"/>
      <c r="J42" s="32">
        <f>SUM(J2:J40)</f>
        <v>21961</v>
      </c>
      <c r="M42" s="17">
        <f>SUM(M2:M40)</f>
        <v>13115</v>
      </c>
    </row>
  </sheetData>
  <sortState xmlns:xlrd2="http://schemas.microsoft.com/office/spreadsheetml/2017/richdata2" ref="A2:L42">
    <sortCondition ref="C2:C42"/>
  </sortState>
  <phoneticPr fontId="1" type="noConversion"/>
  <hyperlinks>
    <hyperlink ref="K5" r:id="rId1" location="none" xr:uid="{44F77E9A-1FEF-BA4E-A64D-801080BEC1AB}"/>
    <hyperlink ref="K12" r:id="rId2" xr:uid="{C75A80B3-10B5-D343-BEFE-AF0CB407219F}"/>
    <hyperlink ref="K14" r:id="rId3" location="none" xr:uid="{A96F843D-460D-1444-95F7-D66882355794}"/>
    <hyperlink ref="K15" r:id="rId4" location="crumb-wrap" xr:uid="{272C40F1-6BDD-A843-99ED-828D5D445AEF}"/>
    <hyperlink ref="K4" r:id="rId5" location="crumb-wrap" xr:uid="{9A4AB8E5-23AA-A447-BF31-603A5738D213}"/>
    <hyperlink ref="K2" r:id="rId6" xr:uid="{46C53AC9-79FA-5B49-B558-90FF2AECB54E}"/>
    <hyperlink ref="K10" r:id="rId7" location="crumb-wrap" xr:uid="{D8613EAC-622E-994F-8E0A-8DF3EB7ACB4F}"/>
    <hyperlink ref="K9" r:id="rId8" location="crumb-wrap" xr:uid="{5F7E93BD-2ED9-2848-8C2F-43BAA389E323}"/>
    <hyperlink ref="K7" r:id="rId9" location="crumb-wrap" xr:uid="{697E496D-055D-D643-BF57-A496A4AD67DE}"/>
    <hyperlink ref="K13" r:id="rId10" location="crumb-wrap" xr:uid="{D9C13EFA-64F5-1546-8A22-F489440E29D5}"/>
  </hyperlinks>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1D9C8-28F9-4B4B-848D-0A0BF1EBDEF6}">
  <dimension ref="A1:D10"/>
  <sheetViews>
    <sheetView workbookViewId="0">
      <selection activeCell="C19" sqref="C19"/>
    </sheetView>
  </sheetViews>
  <sheetFormatPr baseColWidth="10" defaultColWidth="43.5" defaultRowHeight="21"/>
  <cols>
    <col min="1" max="1" width="16" style="9" customWidth="1"/>
    <col min="2" max="16384" width="43.5" style="9"/>
  </cols>
  <sheetData>
    <row r="1" spans="1:4">
      <c r="A1" s="9" t="s">
        <v>28</v>
      </c>
      <c r="B1" s="9" t="s">
        <v>30</v>
      </c>
      <c r="C1" s="9" t="s">
        <v>29</v>
      </c>
      <c r="D1" s="9" t="s">
        <v>303</v>
      </c>
    </row>
    <row r="3" spans="1:4" ht="22" customHeight="1">
      <c r="A3" s="91" t="s">
        <v>299</v>
      </c>
      <c r="B3" s="90" t="s">
        <v>31</v>
      </c>
      <c r="C3" s="10" t="s">
        <v>32</v>
      </c>
    </row>
    <row r="4" spans="1:4">
      <c r="A4" s="91"/>
      <c r="B4" s="90"/>
      <c r="C4" s="9" t="s">
        <v>33</v>
      </c>
    </row>
    <row r="5" spans="1:4">
      <c r="A5" s="9" t="s">
        <v>309</v>
      </c>
      <c r="B5" s="9" t="s">
        <v>298</v>
      </c>
      <c r="C5" s="9">
        <v>13942626713</v>
      </c>
    </row>
    <row r="6" spans="1:4">
      <c r="A6" s="9" t="s">
        <v>217</v>
      </c>
      <c r="B6" s="9" t="s">
        <v>300</v>
      </c>
      <c r="C6" s="9">
        <v>15140436656</v>
      </c>
    </row>
    <row r="7" spans="1:4">
      <c r="A7" s="9" t="s">
        <v>301</v>
      </c>
      <c r="B7" s="9" t="s">
        <v>302</v>
      </c>
      <c r="C7" s="9">
        <v>13840916589</v>
      </c>
      <c r="D7" s="9" t="s">
        <v>304</v>
      </c>
    </row>
    <row r="8" spans="1:4">
      <c r="A8" s="9" t="s">
        <v>432</v>
      </c>
      <c r="B8" s="9" t="s">
        <v>479</v>
      </c>
      <c r="C8" s="9" t="s">
        <v>480</v>
      </c>
    </row>
    <row r="9" spans="1:4">
      <c r="A9" s="9" t="s">
        <v>509</v>
      </c>
      <c r="B9" s="9" t="s">
        <v>536</v>
      </c>
      <c r="C9" s="9">
        <v>19889959688</v>
      </c>
    </row>
    <row r="10" spans="1:4">
      <c r="A10" s="9" t="s">
        <v>534</v>
      </c>
      <c r="B10" s="9" t="s">
        <v>643</v>
      </c>
      <c r="C10" s="9">
        <v>18841129373</v>
      </c>
    </row>
  </sheetData>
  <mergeCells count="2">
    <mergeCell ref="B3:B4"/>
    <mergeCell ref="A3:A4"/>
  </mergeCells>
  <phoneticPr fontId="1" type="noConversion"/>
  <hyperlinks>
    <hyperlink ref="C3" r:id="rId1" xr:uid="{2C0A23E9-276A-7940-B3DE-C0A352072F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AAFD-7008-5A46-95A3-812D9F73CD1C}">
  <dimension ref="A1:J137"/>
  <sheetViews>
    <sheetView workbookViewId="0">
      <pane ySplit="1" topLeftCell="A114" activePane="bottomLeft" state="frozen"/>
      <selection activeCell="D31" sqref="D31"/>
      <selection pane="bottomLeft" activeCell="F83" sqref="F83"/>
    </sheetView>
  </sheetViews>
  <sheetFormatPr baseColWidth="10" defaultColWidth="18.83203125" defaultRowHeight="21"/>
  <cols>
    <col min="1" max="1" width="18.83203125" style="5"/>
    <col min="2" max="2" width="18.83203125" style="4"/>
    <col min="3" max="6" width="18.83203125" style="5"/>
    <col min="7" max="7" width="18.83203125" style="63"/>
    <col min="8" max="8" width="44.83203125" style="5" customWidth="1"/>
    <col min="9" max="16384" width="18.83203125" style="5"/>
  </cols>
  <sheetData>
    <row r="1" spans="1:10" s="1" customFormat="1" ht="22">
      <c r="A1" s="1" t="s">
        <v>15</v>
      </c>
      <c r="B1" s="2" t="s">
        <v>22</v>
      </c>
      <c r="C1" s="1" t="s">
        <v>21</v>
      </c>
      <c r="D1" s="1" t="s">
        <v>18</v>
      </c>
      <c r="E1" s="1" t="s">
        <v>16</v>
      </c>
      <c r="F1" s="1" t="s">
        <v>23</v>
      </c>
      <c r="G1" s="62" t="s">
        <v>17</v>
      </c>
      <c r="H1" s="1" t="s">
        <v>19</v>
      </c>
      <c r="J1" s="4"/>
    </row>
    <row r="2" spans="1:10">
      <c r="A2" s="3">
        <v>44157</v>
      </c>
      <c r="B2" s="4">
        <v>100</v>
      </c>
      <c r="C2" s="5">
        <v>0</v>
      </c>
      <c r="D2" s="5">
        <v>37</v>
      </c>
      <c r="E2" s="5">
        <v>11.5</v>
      </c>
      <c r="F2" s="5">
        <v>0</v>
      </c>
      <c r="G2" s="63">
        <f>SUM(B2:F2)</f>
        <v>148.5</v>
      </c>
    </row>
    <row r="3" spans="1:10" ht="22">
      <c r="A3" s="3">
        <v>44158</v>
      </c>
      <c r="B3" s="4">
        <v>0</v>
      </c>
      <c r="C3" s="5">
        <v>0</v>
      </c>
      <c r="D3" s="5">
        <v>0</v>
      </c>
      <c r="E3" s="5">
        <v>0</v>
      </c>
      <c r="F3" s="5">
        <v>0</v>
      </c>
      <c r="G3" s="63">
        <f t="shared" ref="G3:G42" si="0">SUM(B3:F3)</f>
        <v>0</v>
      </c>
      <c r="H3" s="5" t="s">
        <v>20</v>
      </c>
    </row>
    <row r="4" spans="1:10">
      <c r="A4" s="3">
        <v>44159</v>
      </c>
      <c r="B4" s="4">
        <v>0</v>
      </c>
      <c r="C4" s="5">
        <v>14</v>
      </c>
      <c r="D4" s="5">
        <v>38</v>
      </c>
      <c r="E4" s="5">
        <v>55</v>
      </c>
      <c r="F4" s="5">
        <v>0</v>
      </c>
      <c r="G4" s="63">
        <f t="shared" si="0"/>
        <v>107</v>
      </c>
    </row>
    <row r="5" spans="1:10">
      <c r="A5" s="3">
        <v>44160</v>
      </c>
      <c r="B5" s="4">
        <v>0</v>
      </c>
      <c r="C5" s="5">
        <v>0</v>
      </c>
      <c r="D5" s="5">
        <v>45</v>
      </c>
      <c r="E5" s="5">
        <v>44</v>
      </c>
      <c r="F5" s="5">
        <v>0</v>
      </c>
      <c r="G5" s="63">
        <f t="shared" si="0"/>
        <v>89</v>
      </c>
    </row>
    <row r="6" spans="1:10">
      <c r="A6" s="3">
        <v>44161</v>
      </c>
      <c r="B6" s="4">
        <v>0</v>
      </c>
      <c r="C6" s="5">
        <v>0</v>
      </c>
      <c r="D6" s="5">
        <v>54.4</v>
      </c>
      <c r="E6" s="5">
        <v>59</v>
      </c>
      <c r="F6" s="5">
        <v>0</v>
      </c>
      <c r="G6" s="63">
        <f t="shared" si="0"/>
        <v>113.4</v>
      </c>
    </row>
    <row r="7" spans="1:10" ht="44">
      <c r="A7" s="3">
        <v>44162</v>
      </c>
      <c r="B7" s="4">
        <v>0</v>
      </c>
      <c r="C7" s="5">
        <v>0</v>
      </c>
      <c r="D7" s="5">
        <v>0</v>
      </c>
      <c r="E7" s="5">
        <v>0</v>
      </c>
      <c r="F7" s="5">
        <v>6</v>
      </c>
      <c r="G7" s="63">
        <f t="shared" si="0"/>
        <v>6</v>
      </c>
      <c r="H7" s="5" t="s">
        <v>24</v>
      </c>
    </row>
    <row r="8" spans="1:10">
      <c r="A8" s="3">
        <v>44163</v>
      </c>
      <c r="B8" s="4">
        <v>0</v>
      </c>
      <c r="C8" s="5">
        <v>0</v>
      </c>
      <c r="D8" s="5">
        <v>0</v>
      </c>
      <c r="E8" s="5">
        <v>0</v>
      </c>
      <c r="F8" s="5">
        <v>0</v>
      </c>
      <c r="G8" s="63">
        <f t="shared" si="0"/>
        <v>0</v>
      </c>
    </row>
    <row r="9" spans="1:10">
      <c r="A9" s="3">
        <v>44164</v>
      </c>
      <c r="B9" s="4">
        <v>0</v>
      </c>
      <c r="C9" s="5">
        <v>12</v>
      </c>
      <c r="D9" s="5">
        <v>16</v>
      </c>
      <c r="E9" s="5">
        <v>47</v>
      </c>
      <c r="F9" s="5">
        <v>0</v>
      </c>
      <c r="G9" s="63">
        <f t="shared" si="0"/>
        <v>75</v>
      </c>
    </row>
    <row r="10" spans="1:10">
      <c r="A10" s="3">
        <v>44165</v>
      </c>
      <c r="B10" s="4">
        <v>0</v>
      </c>
      <c r="C10" s="5">
        <v>0</v>
      </c>
      <c r="D10" s="5">
        <v>31.28</v>
      </c>
      <c r="E10" s="5">
        <v>59</v>
      </c>
      <c r="F10" s="5">
        <v>0</v>
      </c>
      <c r="G10" s="63">
        <f t="shared" si="0"/>
        <v>90.28</v>
      </c>
    </row>
    <row r="11" spans="1:10">
      <c r="A11" s="3">
        <v>44166</v>
      </c>
      <c r="B11" s="4">
        <v>0</v>
      </c>
      <c r="C11" s="5">
        <v>0</v>
      </c>
      <c r="D11" s="5">
        <v>61.6</v>
      </c>
      <c r="E11" s="5">
        <v>0</v>
      </c>
      <c r="F11" s="5">
        <v>0</v>
      </c>
      <c r="G11" s="63">
        <f t="shared" si="0"/>
        <v>61.6</v>
      </c>
    </row>
    <row r="12" spans="1:10">
      <c r="A12" s="3">
        <v>44167</v>
      </c>
      <c r="B12" s="4">
        <v>0</v>
      </c>
      <c r="C12" s="5">
        <v>0</v>
      </c>
      <c r="D12" s="5">
        <v>0</v>
      </c>
      <c r="E12" s="5">
        <v>58.5</v>
      </c>
      <c r="F12" s="5">
        <v>0</v>
      </c>
      <c r="G12" s="63">
        <f t="shared" si="0"/>
        <v>58.5</v>
      </c>
    </row>
    <row r="13" spans="1:10">
      <c r="A13" s="3">
        <v>44168</v>
      </c>
      <c r="B13" s="4">
        <v>0</v>
      </c>
      <c r="C13" s="5">
        <v>0</v>
      </c>
      <c r="D13" s="5">
        <v>0</v>
      </c>
      <c r="E13" s="5">
        <v>0</v>
      </c>
      <c r="F13" s="5">
        <v>0</v>
      </c>
      <c r="G13" s="63">
        <f t="shared" si="0"/>
        <v>0</v>
      </c>
    </row>
    <row r="14" spans="1:10" ht="22">
      <c r="A14" s="3">
        <v>44169</v>
      </c>
      <c r="B14" s="4">
        <v>0</v>
      </c>
      <c r="C14" s="5">
        <v>0</v>
      </c>
      <c r="D14" s="5">
        <v>41</v>
      </c>
      <c r="E14" s="5">
        <v>64.2</v>
      </c>
      <c r="F14" s="5">
        <v>0</v>
      </c>
      <c r="G14" s="63">
        <f t="shared" si="0"/>
        <v>105.2</v>
      </c>
      <c r="H14" s="5" t="s">
        <v>115</v>
      </c>
    </row>
    <row r="15" spans="1:10">
      <c r="A15" s="3">
        <v>44170</v>
      </c>
      <c r="B15" s="4">
        <v>0</v>
      </c>
      <c r="C15" s="5">
        <v>0</v>
      </c>
      <c r="D15" s="5">
        <v>0</v>
      </c>
      <c r="E15" s="5">
        <v>66.099999999999994</v>
      </c>
      <c r="F15" s="5">
        <v>0</v>
      </c>
      <c r="G15" s="63">
        <f t="shared" si="0"/>
        <v>66.099999999999994</v>
      </c>
    </row>
    <row r="16" spans="1:10">
      <c r="A16" s="3">
        <v>44171</v>
      </c>
      <c r="B16" s="4">
        <v>0</v>
      </c>
      <c r="C16" s="5">
        <v>0</v>
      </c>
      <c r="D16" s="5">
        <v>0</v>
      </c>
      <c r="E16" s="5">
        <v>0</v>
      </c>
      <c r="F16" s="5">
        <v>0</v>
      </c>
      <c r="G16" s="63">
        <f t="shared" si="0"/>
        <v>0</v>
      </c>
    </row>
    <row r="17" spans="1:8">
      <c r="A17" s="3">
        <v>44172</v>
      </c>
      <c r="B17" s="4">
        <v>0</v>
      </c>
      <c r="C17" s="5">
        <v>0</v>
      </c>
      <c r="D17" s="5">
        <v>19</v>
      </c>
      <c r="E17" s="5">
        <v>0</v>
      </c>
      <c r="F17" s="5">
        <v>0</v>
      </c>
      <c r="G17" s="63">
        <f t="shared" si="0"/>
        <v>19</v>
      </c>
    </row>
    <row r="18" spans="1:8">
      <c r="A18" s="3">
        <v>44173</v>
      </c>
      <c r="B18" s="4">
        <v>0</v>
      </c>
      <c r="C18" s="5">
        <v>0</v>
      </c>
      <c r="D18" s="5">
        <v>61</v>
      </c>
      <c r="E18" s="5">
        <v>57</v>
      </c>
      <c r="F18" s="5">
        <v>0</v>
      </c>
      <c r="G18" s="63">
        <f t="shared" si="0"/>
        <v>118</v>
      </c>
    </row>
    <row r="19" spans="1:8">
      <c r="A19" s="3">
        <v>44174</v>
      </c>
      <c r="B19" s="4">
        <v>0</v>
      </c>
      <c r="C19" s="5">
        <v>0</v>
      </c>
      <c r="D19" s="5">
        <v>49.2</v>
      </c>
      <c r="E19" s="5">
        <v>43</v>
      </c>
      <c r="F19" s="5">
        <v>0</v>
      </c>
      <c r="G19" s="63">
        <f t="shared" si="0"/>
        <v>92.2</v>
      </c>
    </row>
    <row r="20" spans="1:8">
      <c r="A20" s="3">
        <v>44175</v>
      </c>
      <c r="B20" s="4">
        <v>20</v>
      </c>
      <c r="C20" s="5">
        <v>0</v>
      </c>
      <c r="D20" s="5">
        <v>17.8</v>
      </c>
      <c r="E20" s="5">
        <v>110.5</v>
      </c>
      <c r="F20" s="5">
        <v>0</v>
      </c>
      <c r="G20" s="63">
        <f t="shared" si="0"/>
        <v>148.30000000000001</v>
      </c>
    </row>
    <row r="21" spans="1:8">
      <c r="A21" s="3">
        <v>44176</v>
      </c>
      <c r="B21" s="4">
        <v>0</v>
      </c>
      <c r="C21" s="5">
        <v>0</v>
      </c>
      <c r="D21" s="5">
        <v>84.65</v>
      </c>
      <c r="E21" s="5">
        <v>52.5</v>
      </c>
      <c r="F21" s="5">
        <v>0</v>
      </c>
      <c r="G21" s="63">
        <f t="shared" si="0"/>
        <v>137.15</v>
      </c>
    </row>
    <row r="22" spans="1:8">
      <c r="A22" s="3">
        <v>44177</v>
      </c>
      <c r="B22" s="4">
        <v>0</v>
      </c>
      <c r="C22" s="5">
        <v>0</v>
      </c>
      <c r="D22" s="5">
        <v>0</v>
      </c>
      <c r="E22" s="5">
        <v>0</v>
      </c>
      <c r="F22" s="5">
        <v>0</v>
      </c>
      <c r="G22" s="63">
        <f t="shared" si="0"/>
        <v>0</v>
      </c>
    </row>
    <row r="23" spans="1:8" ht="22">
      <c r="A23" s="3">
        <v>44178</v>
      </c>
      <c r="B23" s="4">
        <v>0</v>
      </c>
      <c r="C23" s="5">
        <v>0</v>
      </c>
      <c r="D23" s="5">
        <v>18.5</v>
      </c>
      <c r="E23" s="5">
        <v>77.8</v>
      </c>
      <c r="F23" s="5">
        <v>0</v>
      </c>
      <c r="G23" s="63">
        <f t="shared" si="0"/>
        <v>96.3</v>
      </c>
      <c r="H23" s="5" t="s">
        <v>213</v>
      </c>
    </row>
    <row r="24" spans="1:8">
      <c r="A24" s="3">
        <v>44179</v>
      </c>
      <c r="B24" s="4">
        <v>0</v>
      </c>
      <c r="C24" s="5">
        <v>0</v>
      </c>
      <c r="D24" s="5">
        <v>0</v>
      </c>
      <c r="E24" s="5">
        <v>0</v>
      </c>
      <c r="F24" s="5">
        <v>0</v>
      </c>
      <c r="G24" s="63">
        <f t="shared" si="0"/>
        <v>0</v>
      </c>
    </row>
    <row r="25" spans="1:8" ht="22">
      <c r="A25" s="3">
        <v>44180</v>
      </c>
      <c r="B25" s="4">
        <v>0</v>
      </c>
      <c r="C25" s="5">
        <v>0</v>
      </c>
      <c r="D25" s="5">
        <v>63.2</v>
      </c>
      <c r="E25" s="5">
        <v>204</v>
      </c>
      <c r="F25" s="5">
        <v>0</v>
      </c>
      <c r="G25" s="63">
        <f t="shared" si="0"/>
        <v>267.2</v>
      </c>
      <c r="H25" s="5" t="s">
        <v>212</v>
      </c>
    </row>
    <row r="26" spans="1:8">
      <c r="A26" s="3">
        <v>44181</v>
      </c>
      <c r="B26" s="4">
        <v>0</v>
      </c>
      <c r="C26" s="5">
        <v>0</v>
      </c>
      <c r="D26" s="5">
        <f>17.2+43.2</f>
        <v>60.400000000000006</v>
      </c>
      <c r="E26" s="5">
        <v>43</v>
      </c>
      <c r="F26" s="5">
        <v>0</v>
      </c>
      <c r="G26" s="63">
        <f t="shared" si="0"/>
        <v>103.4</v>
      </c>
    </row>
    <row r="27" spans="1:8" ht="22">
      <c r="A27" s="3">
        <v>44182</v>
      </c>
      <c r="B27" s="4">
        <v>0</v>
      </c>
      <c r="C27" s="5">
        <v>0</v>
      </c>
      <c r="D27" s="5">
        <f>20.3</f>
        <v>20.3</v>
      </c>
      <c r="E27" s="5">
        <v>46.9</v>
      </c>
      <c r="F27" s="5">
        <v>24</v>
      </c>
      <c r="G27" s="63">
        <f t="shared" si="0"/>
        <v>91.2</v>
      </c>
      <c r="H27" s="5" t="s">
        <v>218</v>
      </c>
    </row>
    <row r="28" spans="1:8" ht="22">
      <c r="A28" s="3">
        <v>44183</v>
      </c>
      <c r="B28" s="4">
        <v>0</v>
      </c>
      <c r="C28" s="5">
        <v>0</v>
      </c>
      <c r="D28" s="5">
        <v>0</v>
      </c>
      <c r="E28" s="5">
        <v>0</v>
      </c>
      <c r="F28" s="5">
        <v>10.9</v>
      </c>
      <c r="G28" s="63">
        <f t="shared" si="0"/>
        <v>10.9</v>
      </c>
      <c r="H28" s="5" t="s">
        <v>227</v>
      </c>
    </row>
    <row r="29" spans="1:8">
      <c r="A29" s="3">
        <v>44184</v>
      </c>
      <c r="B29" s="4">
        <v>0</v>
      </c>
      <c r="C29" s="5">
        <v>0</v>
      </c>
      <c r="D29" s="5">
        <f>17+38.72</f>
        <v>55.72</v>
      </c>
      <c r="E29" s="5">
        <f>1+11+45</f>
        <v>57</v>
      </c>
      <c r="F29" s="5">
        <v>0</v>
      </c>
      <c r="G29" s="63">
        <f t="shared" si="0"/>
        <v>112.72</v>
      </c>
    </row>
    <row r="30" spans="1:8">
      <c r="A30" s="3">
        <v>44185</v>
      </c>
      <c r="B30" s="4">
        <v>0</v>
      </c>
      <c r="C30" s="5">
        <v>0</v>
      </c>
      <c r="D30" s="5">
        <f>17.2+18.5</f>
        <v>35.700000000000003</v>
      </c>
      <c r="E30" s="5">
        <f>16+50</f>
        <v>66</v>
      </c>
      <c r="F30" s="5">
        <v>0</v>
      </c>
      <c r="G30" s="63">
        <f t="shared" si="0"/>
        <v>101.7</v>
      </c>
    </row>
    <row r="31" spans="1:8">
      <c r="A31" s="3">
        <v>44186</v>
      </c>
      <c r="B31" s="4">
        <v>0</v>
      </c>
      <c r="C31" s="5">
        <v>0</v>
      </c>
      <c r="D31" s="5">
        <f>17.6+48</f>
        <v>65.599999999999994</v>
      </c>
      <c r="E31" s="5">
        <f>5.5+15.5</f>
        <v>21</v>
      </c>
      <c r="F31" s="5">
        <v>0</v>
      </c>
      <c r="G31" s="63">
        <f t="shared" si="0"/>
        <v>86.6</v>
      </c>
    </row>
    <row r="32" spans="1:8">
      <c r="A32" s="3">
        <v>44187</v>
      </c>
      <c r="B32" s="4">
        <v>0</v>
      </c>
      <c r="C32" s="5">
        <v>0</v>
      </c>
      <c r="D32" s="5">
        <v>0</v>
      </c>
      <c r="E32" s="5">
        <v>0</v>
      </c>
      <c r="F32" s="5">
        <v>0</v>
      </c>
      <c r="G32" s="63">
        <f t="shared" si="0"/>
        <v>0</v>
      </c>
    </row>
    <row r="33" spans="1:8" ht="22">
      <c r="A33" s="3">
        <v>44188</v>
      </c>
      <c r="B33" s="4">
        <v>0</v>
      </c>
      <c r="C33" s="5">
        <f>28</f>
        <v>28</v>
      </c>
      <c r="D33" s="5">
        <f>27+35.5</f>
        <v>62.5</v>
      </c>
      <c r="E33" s="5">
        <f>34.9</f>
        <v>34.9</v>
      </c>
      <c r="F33" s="5">
        <v>30</v>
      </c>
      <c r="G33" s="63">
        <f t="shared" si="0"/>
        <v>155.4</v>
      </c>
      <c r="H33" s="5" t="s">
        <v>267</v>
      </c>
    </row>
    <row r="34" spans="1:8">
      <c r="A34" s="3">
        <v>44189</v>
      </c>
      <c r="B34" s="4">
        <v>0</v>
      </c>
      <c r="C34" s="5">
        <v>0</v>
      </c>
      <c r="D34" s="5">
        <f>39.91</f>
        <v>39.909999999999997</v>
      </c>
      <c r="E34" s="5">
        <f>12.3</f>
        <v>12.3</v>
      </c>
      <c r="F34" s="5">
        <v>0</v>
      </c>
      <c r="G34" s="63">
        <f t="shared" si="0"/>
        <v>52.209999999999994</v>
      </c>
    </row>
    <row r="35" spans="1:8">
      <c r="A35" s="3">
        <v>44190</v>
      </c>
      <c r="B35" s="4">
        <v>0</v>
      </c>
      <c r="C35" s="5">
        <v>0</v>
      </c>
      <c r="D35" s="5">
        <f>17.5</f>
        <v>17.5</v>
      </c>
      <c r="E35" s="5">
        <f>1+11+51</f>
        <v>63</v>
      </c>
      <c r="F35" s="5">
        <v>0</v>
      </c>
      <c r="G35" s="63">
        <f t="shared" si="0"/>
        <v>80.5</v>
      </c>
    </row>
    <row r="36" spans="1:8" ht="22">
      <c r="A36" s="3">
        <v>44191</v>
      </c>
      <c r="B36" s="4">
        <v>0</v>
      </c>
      <c r="C36" s="5">
        <f>4</f>
        <v>4</v>
      </c>
      <c r="D36" s="5">
        <v>0</v>
      </c>
      <c r="E36" s="5">
        <f>11.5+34.5</f>
        <v>46</v>
      </c>
      <c r="F36" s="5">
        <f>18.4</f>
        <v>18.399999999999999</v>
      </c>
      <c r="G36" s="63">
        <f t="shared" si="0"/>
        <v>68.400000000000006</v>
      </c>
      <c r="H36" s="5" t="s">
        <v>445</v>
      </c>
    </row>
    <row r="37" spans="1:8" ht="22">
      <c r="A37" s="3">
        <v>44192</v>
      </c>
      <c r="B37" s="4">
        <v>100</v>
      </c>
      <c r="C37" s="5">
        <v>0</v>
      </c>
      <c r="D37" s="5">
        <v>0</v>
      </c>
      <c r="E37" s="5">
        <v>0</v>
      </c>
      <c r="F37" s="5">
        <v>10</v>
      </c>
      <c r="G37" s="63">
        <f t="shared" si="0"/>
        <v>110</v>
      </c>
      <c r="H37" s="5" t="s">
        <v>285</v>
      </c>
    </row>
    <row r="38" spans="1:8">
      <c r="A38" s="3">
        <v>44193</v>
      </c>
      <c r="B38" s="4">
        <v>0</v>
      </c>
      <c r="C38" s="5">
        <v>0</v>
      </c>
      <c r="D38" s="5">
        <v>19</v>
      </c>
      <c r="E38" s="5">
        <f>1+66</f>
        <v>67</v>
      </c>
      <c r="F38" s="5">
        <v>0</v>
      </c>
      <c r="G38" s="63">
        <f t="shared" si="0"/>
        <v>86</v>
      </c>
    </row>
    <row r="39" spans="1:8" ht="22">
      <c r="A39" s="3">
        <v>44194</v>
      </c>
      <c r="B39" s="4">
        <v>0</v>
      </c>
      <c r="C39" s="5">
        <v>0</v>
      </c>
      <c r="D39" s="5">
        <f>28.8+24.8+15</f>
        <v>68.599999999999994</v>
      </c>
      <c r="E39" s="5">
        <f>63.8</f>
        <v>63.8</v>
      </c>
      <c r="F39" s="5">
        <v>15</v>
      </c>
      <c r="G39" s="63">
        <f t="shared" si="0"/>
        <v>147.39999999999998</v>
      </c>
      <c r="H39" s="5" t="s">
        <v>286</v>
      </c>
    </row>
    <row r="40" spans="1:8">
      <c r="A40" s="3">
        <v>44195</v>
      </c>
      <c r="B40" s="4">
        <v>0</v>
      </c>
      <c r="C40" s="5">
        <v>0</v>
      </c>
      <c r="D40" s="5">
        <f>37.8+49.33</f>
        <v>87.13</v>
      </c>
      <c r="E40" s="5">
        <f>64+1</f>
        <v>65</v>
      </c>
      <c r="F40" s="5">
        <v>0</v>
      </c>
      <c r="G40" s="63">
        <f t="shared" si="0"/>
        <v>152.13</v>
      </c>
    </row>
    <row r="41" spans="1:8">
      <c r="A41" s="3">
        <v>44196</v>
      </c>
      <c r="B41" s="4">
        <v>0</v>
      </c>
      <c r="C41" s="5">
        <v>0</v>
      </c>
      <c r="D41" s="5">
        <f>18+12.4</f>
        <v>30.4</v>
      </c>
      <c r="E41" s="5">
        <f>62+1</f>
        <v>63</v>
      </c>
      <c r="F41" s="5">
        <v>0</v>
      </c>
      <c r="G41" s="63">
        <f t="shared" si="0"/>
        <v>93.4</v>
      </c>
    </row>
    <row r="42" spans="1:8">
      <c r="A42" s="3">
        <v>44197</v>
      </c>
      <c r="B42" s="4">
        <v>0</v>
      </c>
      <c r="C42" s="5">
        <v>0</v>
      </c>
      <c r="D42" s="5">
        <v>0</v>
      </c>
      <c r="E42" s="5">
        <v>0</v>
      </c>
      <c r="F42" s="5">
        <v>0</v>
      </c>
      <c r="G42" s="63">
        <f t="shared" si="0"/>
        <v>0</v>
      </c>
    </row>
    <row r="43" spans="1:8" ht="22">
      <c r="A43" s="3">
        <v>44198</v>
      </c>
      <c r="B43" s="4">
        <v>0</v>
      </c>
      <c r="C43" s="5">
        <v>0</v>
      </c>
      <c r="D43" s="5">
        <v>0</v>
      </c>
      <c r="E43" s="5">
        <v>0</v>
      </c>
      <c r="F43" s="5">
        <v>195</v>
      </c>
      <c r="G43" s="63">
        <f>SUM(B43:F43)</f>
        <v>195</v>
      </c>
      <c r="H43" s="5" t="s">
        <v>290</v>
      </c>
    </row>
    <row r="44" spans="1:8" ht="44">
      <c r="A44" s="3">
        <v>44199</v>
      </c>
      <c r="B44" s="4">
        <v>0</v>
      </c>
      <c r="C44" s="5">
        <v>0</v>
      </c>
      <c r="D44" s="5">
        <v>43</v>
      </c>
      <c r="E44" s="5">
        <f>6+10.9</f>
        <v>16.899999999999999</v>
      </c>
      <c r="F44" s="5">
        <f>50+15+118</f>
        <v>183</v>
      </c>
      <c r="G44" s="63">
        <f t="shared" ref="G44:G67" si="1">SUM(B44:F44)</f>
        <v>242.9</v>
      </c>
      <c r="H44" s="5" t="s">
        <v>289</v>
      </c>
    </row>
    <row r="45" spans="1:8">
      <c r="A45" s="3">
        <v>44200</v>
      </c>
      <c r="B45" s="4">
        <v>0</v>
      </c>
      <c r="C45" s="5">
        <v>0</v>
      </c>
      <c r="D45" s="5">
        <f>40+39.3</f>
        <v>79.3</v>
      </c>
      <c r="E45" s="5">
        <f>57+16.9</f>
        <v>73.900000000000006</v>
      </c>
      <c r="G45" s="63">
        <f t="shared" si="1"/>
        <v>153.19999999999999</v>
      </c>
    </row>
    <row r="46" spans="1:8">
      <c r="A46" s="3">
        <v>44201</v>
      </c>
      <c r="B46" s="4">
        <v>0</v>
      </c>
      <c r="C46" s="5">
        <v>0</v>
      </c>
      <c r="D46" s="5">
        <f>36.9+38+36.74</f>
        <v>111.64000000000001</v>
      </c>
      <c r="E46" s="5">
        <f>7+54</f>
        <v>61</v>
      </c>
      <c r="F46" s="5">
        <v>0</v>
      </c>
      <c r="G46" s="63">
        <f t="shared" si="1"/>
        <v>172.64000000000001</v>
      </c>
    </row>
    <row r="47" spans="1:8">
      <c r="A47" s="3">
        <v>44202</v>
      </c>
      <c r="B47" s="4">
        <v>0</v>
      </c>
      <c r="C47" s="5">
        <v>0</v>
      </c>
      <c r="D47" s="5">
        <v>0</v>
      </c>
      <c r="E47" s="5">
        <v>0</v>
      </c>
      <c r="F47" s="5">
        <v>0</v>
      </c>
      <c r="G47" s="63">
        <f t="shared" si="1"/>
        <v>0</v>
      </c>
    </row>
    <row r="48" spans="1:8">
      <c r="A48" s="3">
        <v>44203</v>
      </c>
      <c r="B48" s="4">
        <v>0</v>
      </c>
      <c r="C48" s="5">
        <v>0</v>
      </c>
      <c r="D48" s="5">
        <f>52.91+46.7</f>
        <v>99.61</v>
      </c>
      <c r="E48" s="5">
        <f>46+11+1</f>
        <v>58</v>
      </c>
      <c r="F48" s="5">
        <v>0</v>
      </c>
      <c r="G48" s="63">
        <f t="shared" si="1"/>
        <v>157.61000000000001</v>
      </c>
    </row>
    <row r="49" spans="1:8">
      <c r="A49" s="3">
        <v>44204</v>
      </c>
      <c r="B49" s="4">
        <v>0</v>
      </c>
      <c r="C49" s="5">
        <v>0</v>
      </c>
      <c r="D49" s="5">
        <f>40+26</f>
        <v>66</v>
      </c>
      <c r="E49" s="5">
        <f>12+54</f>
        <v>66</v>
      </c>
      <c r="F49" s="5">
        <v>0</v>
      </c>
      <c r="G49" s="63">
        <f t="shared" si="1"/>
        <v>132</v>
      </c>
    </row>
    <row r="50" spans="1:8" ht="22">
      <c r="A50" s="3">
        <v>44205</v>
      </c>
      <c r="B50" s="4">
        <v>0</v>
      </c>
      <c r="C50" s="5">
        <v>0</v>
      </c>
      <c r="D50" s="5">
        <f>24.3</f>
        <v>24.3</v>
      </c>
      <c r="E50" s="5">
        <v>0</v>
      </c>
      <c r="F50" s="5">
        <f>42+23.3+698</f>
        <v>763.3</v>
      </c>
      <c r="G50" s="63">
        <f t="shared" si="1"/>
        <v>787.59999999999991</v>
      </c>
      <c r="H50" s="5" t="s">
        <v>317</v>
      </c>
    </row>
    <row r="51" spans="1:8">
      <c r="A51" s="3">
        <v>44206</v>
      </c>
      <c r="B51" s="4">
        <v>0</v>
      </c>
      <c r="C51" s="5">
        <v>0</v>
      </c>
      <c r="D51" s="5">
        <v>0</v>
      </c>
      <c r="E51" s="5">
        <f>36.9</f>
        <v>36.9</v>
      </c>
      <c r="F51" s="5">
        <v>0</v>
      </c>
      <c r="G51" s="63">
        <f t="shared" si="1"/>
        <v>36.9</v>
      </c>
    </row>
    <row r="52" spans="1:8">
      <c r="A52" s="3">
        <v>44207</v>
      </c>
      <c r="B52" s="4">
        <v>0</v>
      </c>
      <c r="C52" s="5">
        <v>0</v>
      </c>
      <c r="D52" s="5">
        <f>17.2+36.5</f>
        <v>53.7</v>
      </c>
      <c r="E52" s="5">
        <v>0</v>
      </c>
      <c r="F52" s="5">
        <v>0</v>
      </c>
      <c r="G52" s="63">
        <f>SUM(B52:F52)</f>
        <v>53.7</v>
      </c>
    </row>
    <row r="53" spans="1:8">
      <c r="A53" s="3">
        <v>44208</v>
      </c>
      <c r="B53" s="4">
        <v>0</v>
      </c>
      <c r="C53" s="5">
        <v>0</v>
      </c>
      <c r="D53" s="5">
        <f>38.1+19+43.8</f>
        <v>100.9</v>
      </c>
      <c r="E53" s="5">
        <f>12.5+42.5</f>
        <v>55</v>
      </c>
      <c r="F53" s="5">
        <v>0</v>
      </c>
      <c r="G53" s="63">
        <f t="shared" si="1"/>
        <v>155.9</v>
      </c>
    </row>
    <row r="54" spans="1:8">
      <c r="A54" s="3">
        <v>44209</v>
      </c>
      <c r="B54" s="4">
        <v>0</v>
      </c>
      <c r="C54" s="5">
        <v>0</v>
      </c>
      <c r="D54" s="5">
        <v>0</v>
      </c>
      <c r="E54" s="5">
        <f>2+60</f>
        <v>62</v>
      </c>
      <c r="F54" s="5">
        <v>0</v>
      </c>
      <c r="G54" s="63">
        <f t="shared" si="1"/>
        <v>62</v>
      </c>
    </row>
    <row r="55" spans="1:8">
      <c r="A55" s="3">
        <v>44210</v>
      </c>
      <c r="B55" s="4">
        <v>0</v>
      </c>
      <c r="C55" s="5">
        <v>0</v>
      </c>
      <c r="D55" s="5">
        <f>23.4</f>
        <v>23.4</v>
      </c>
      <c r="E55" s="5">
        <f>58.5</f>
        <v>58.5</v>
      </c>
      <c r="F55" s="5">
        <v>0</v>
      </c>
      <c r="G55" s="63">
        <f t="shared" si="1"/>
        <v>81.900000000000006</v>
      </c>
    </row>
    <row r="56" spans="1:8" ht="22">
      <c r="A56" s="3">
        <v>44211</v>
      </c>
      <c r="B56" s="4">
        <v>0</v>
      </c>
      <c r="C56" s="5">
        <v>0</v>
      </c>
      <c r="D56" s="5">
        <f>44.6+18.4</f>
        <v>63</v>
      </c>
      <c r="E56" s="5">
        <f>11+52.5</f>
        <v>63.5</v>
      </c>
      <c r="F56" s="5">
        <v>0</v>
      </c>
      <c r="G56" s="63">
        <f t="shared" si="1"/>
        <v>126.5</v>
      </c>
      <c r="H56" s="5" t="s">
        <v>436</v>
      </c>
    </row>
    <row r="57" spans="1:8" ht="22">
      <c r="A57" s="3">
        <v>44212</v>
      </c>
      <c r="B57" s="4">
        <v>0</v>
      </c>
      <c r="C57" s="5">
        <v>0</v>
      </c>
      <c r="D57" s="5">
        <v>0</v>
      </c>
      <c r="E57" s="5">
        <v>0</v>
      </c>
      <c r="F57" s="5">
        <v>30</v>
      </c>
      <c r="G57" s="63">
        <f t="shared" si="1"/>
        <v>30</v>
      </c>
      <c r="H57" s="5" t="s">
        <v>440</v>
      </c>
    </row>
    <row r="58" spans="1:8" ht="44">
      <c r="A58" s="3">
        <v>44213</v>
      </c>
      <c r="B58" s="4">
        <v>0</v>
      </c>
      <c r="C58" s="5">
        <v>0</v>
      </c>
      <c r="D58" s="5">
        <f>41.2</f>
        <v>41.2</v>
      </c>
      <c r="E58" s="5">
        <f>10+50.5</f>
        <v>60.5</v>
      </c>
      <c r="F58" s="5">
        <v>13</v>
      </c>
      <c r="G58" s="63">
        <f t="shared" si="1"/>
        <v>114.7</v>
      </c>
      <c r="H58" s="5" t="s">
        <v>500</v>
      </c>
    </row>
    <row r="59" spans="1:8">
      <c r="A59" s="3">
        <v>44214</v>
      </c>
      <c r="B59" s="4">
        <v>0</v>
      </c>
      <c r="C59" s="5">
        <v>0</v>
      </c>
      <c r="D59" s="5">
        <f>41.51+17.8</f>
        <v>59.31</v>
      </c>
      <c r="E59" s="5">
        <f>37+70</f>
        <v>107</v>
      </c>
      <c r="F59" s="5">
        <v>0</v>
      </c>
      <c r="G59" s="63">
        <f t="shared" si="1"/>
        <v>166.31</v>
      </c>
    </row>
    <row r="60" spans="1:8" ht="22">
      <c r="A60" s="3">
        <v>44215</v>
      </c>
      <c r="B60" s="4">
        <v>100</v>
      </c>
      <c r="C60" s="5">
        <v>0</v>
      </c>
      <c r="D60" s="5">
        <f>32.5</f>
        <v>32.5</v>
      </c>
      <c r="E60" s="5">
        <f>49.5</f>
        <v>49.5</v>
      </c>
      <c r="F60" s="5">
        <v>0</v>
      </c>
      <c r="G60" s="63">
        <f t="shared" si="1"/>
        <v>182</v>
      </c>
      <c r="H60" s="5" t="s">
        <v>441</v>
      </c>
    </row>
    <row r="61" spans="1:8">
      <c r="A61" s="3">
        <v>44216</v>
      </c>
      <c r="B61" s="4">
        <v>0</v>
      </c>
      <c r="C61" s="5">
        <v>0</v>
      </c>
      <c r="D61" s="5">
        <v>0</v>
      </c>
      <c r="E61" s="5">
        <v>0</v>
      </c>
      <c r="F61" s="5">
        <v>0</v>
      </c>
      <c r="G61" s="63">
        <f t="shared" si="1"/>
        <v>0</v>
      </c>
    </row>
    <row r="62" spans="1:8" ht="22">
      <c r="A62" s="3">
        <v>44217</v>
      </c>
      <c r="B62" s="4">
        <v>0</v>
      </c>
      <c r="C62" s="5">
        <v>0</v>
      </c>
      <c r="D62" s="5">
        <f>47.1</f>
        <v>47.1</v>
      </c>
      <c r="E62" s="5">
        <f>32</f>
        <v>32</v>
      </c>
      <c r="F62" s="5">
        <v>21.8</v>
      </c>
      <c r="G62" s="63">
        <f t="shared" si="1"/>
        <v>100.89999999999999</v>
      </c>
      <c r="H62" s="5" t="s">
        <v>495</v>
      </c>
    </row>
    <row r="63" spans="1:8">
      <c r="A63" s="3">
        <v>44218</v>
      </c>
      <c r="B63" s="4">
        <v>0</v>
      </c>
      <c r="C63" s="5">
        <v>0</v>
      </c>
      <c r="D63" s="5">
        <v>0</v>
      </c>
      <c r="E63" s="5">
        <v>0</v>
      </c>
      <c r="F63" s="5">
        <v>0</v>
      </c>
      <c r="G63" s="63">
        <f t="shared" si="1"/>
        <v>0</v>
      </c>
    </row>
    <row r="64" spans="1:8" ht="44">
      <c r="A64" s="3">
        <v>44219</v>
      </c>
      <c r="B64" s="4">
        <v>0</v>
      </c>
      <c r="C64" s="5">
        <v>0</v>
      </c>
      <c r="D64" s="5">
        <f>40+44.6</f>
        <v>84.6</v>
      </c>
      <c r="E64" s="5">
        <f>18+35.9</f>
        <v>53.9</v>
      </c>
      <c r="F64" s="5">
        <f>24.51+25.5</f>
        <v>50.010000000000005</v>
      </c>
      <c r="G64" s="63">
        <f t="shared" si="1"/>
        <v>188.51</v>
      </c>
      <c r="H64" s="5" t="s">
        <v>496</v>
      </c>
    </row>
    <row r="65" spans="1:8">
      <c r="A65" s="3">
        <v>44220</v>
      </c>
      <c r="B65" s="4">
        <v>0</v>
      </c>
      <c r="C65" s="5">
        <v>0</v>
      </c>
      <c r="D65" s="5">
        <v>0</v>
      </c>
      <c r="E65" s="5">
        <v>0</v>
      </c>
      <c r="F65" s="5">
        <v>0</v>
      </c>
      <c r="G65" s="63">
        <f t="shared" si="1"/>
        <v>0</v>
      </c>
    </row>
    <row r="66" spans="1:8">
      <c r="A66" s="3">
        <v>44221</v>
      </c>
      <c r="B66" s="4">
        <v>0</v>
      </c>
      <c r="C66" s="5">
        <v>0</v>
      </c>
      <c r="D66" s="5">
        <v>0</v>
      </c>
      <c r="E66" s="5">
        <v>0</v>
      </c>
      <c r="F66" s="5">
        <v>0</v>
      </c>
      <c r="G66" s="63">
        <f t="shared" si="1"/>
        <v>0</v>
      </c>
    </row>
    <row r="67" spans="1:8" ht="22">
      <c r="A67" s="3">
        <v>44222</v>
      </c>
      <c r="B67" s="4">
        <v>0</v>
      </c>
      <c r="C67" s="5">
        <v>14</v>
      </c>
      <c r="D67" s="5">
        <f>40.9+23.9</f>
        <v>64.8</v>
      </c>
      <c r="E67" s="5">
        <f>2+68</f>
        <v>70</v>
      </c>
      <c r="F67" s="5">
        <v>4</v>
      </c>
      <c r="G67" s="63">
        <f t="shared" si="1"/>
        <v>152.80000000000001</v>
      </c>
      <c r="H67" s="5" t="s">
        <v>435</v>
      </c>
    </row>
    <row r="68" spans="1:8" ht="22">
      <c r="A68" s="3">
        <v>44223</v>
      </c>
      <c r="B68" s="4">
        <v>0</v>
      </c>
      <c r="C68" s="5">
        <v>0</v>
      </c>
      <c r="D68" s="5">
        <f>17.6+39.51</f>
        <v>57.11</v>
      </c>
      <c r="E68" s="5">
        <f>38+42+15.6</f>
        <v>95.6</v>
      </c>
      <c r="F68" s="5">
        <v>0</v>
      </c>
      <c r="G68" s="63">
        <f>SUM(B68:F68)</f>
        <v>152.70999999999998</v>
      </c>
      <c r="H68" s="5" t="s">
        <v>494</v>
      </c>
    </row>
    <row r="69" spans="1:8" s="70" customFormat="1">
      <c r="A69" s="3">
        <v>44224</v>
      </c>
      <c r="B69" s="4">
        <v>0</v>
      </c>
      <c r="C69" s="70">
        <v>0</v>
      </c>
      <c r="D69" s="70">
        <f>38.8+10+38.93</f>
        <v>87.72999999999999</v>
      </c>
      <c r="E69" s="70">
        <f>30+70.5</f>
        <v>100.5</v>
      </c>
      <c r="F69" s="70">
        <v>0</v>
      </c>
      <c r="G69" s="63">
        <f t="shared" ref="G69:G98" si="2">SUM(B69:F69)</f>
        <v>188.23</v>
      </c>
    </row>
    <row r="70" spans="1:8" s="70" customFormat="1" ht="22">
      <c r="A70" s="3">
        <v>44225</v>
      </c>
      <c r="B70" s="4">
        <v>0</v>
      </c>
      <c r="C70" s="70">
        <v>0</v>
      </c>
      <c r="D70" s="70">
        <f>20.76+38.3</f>
        <v>59.06</v>
      </c>
      <c r="E70" s="70">
        <f>62.5+1</f>
        <v>63.5</v>
      </c>
      <c r="F70" s="70">
        <v>0</v>
      </c>
      <c r="G70" s="63">
        <f t="shared" si="2"/>
        <v>122.56</v>
      </c>
      <c r="H70" s="70" t="s">
        <v>458</v>
      </c>
    </row>
    <row r="71" spans="1:8" s="70" customFormat="1" ht="22">
      <c r="A71" s="3">
        <v>44226</v>
      </c>
      <c r="B71" s="4">
        <v>0</v>
      </c>
      <c r="C71" s="70">
        <v>0</v>
      </c>
      <c r="D71" s="70">
        <f>37.7</f>
        <v>37.700000000000003</v>
      </c>
      <c r="E71" s="70">
        <f>1+50+18.5</f>
        <v>69.5</v>
      </c>
      <c r="F71" s="70">
        <v>42.9</v>
      </c>
      <c r="G71" s="63">
        <f t="shared" si="2"/>
        <v>150.1</v>
      </c>
      <c r="H71" s="70" t="s">
        <v>453</v>
      </c>
    </row>
    <row r="72" spans="1:8" s="70" customFormat="1" ht="22">
      <c r="A72" s="3">
        <v>44227</v>
      </c>
      <c r="B72" s="4">
        <v>0</v>
      </c>
      <c r="C72" s="70">
        <v>0</v>
      </c>
      <c r="D72" s="70">
        <f>37+20.79+40.5</f>
        <v>98.289999999999992</v>
      </c>
      <c r="E72" s="70">
        <v>101</v>
      </c>
      <c r="F72" s="70">
        <v>0</v>
      </c>
      <c r="G72" s="63">
        <f t="shared" si="2"/>
        <v>199.29</v>
      </c>
      <c r="H72" s="70" t="s">
        <v>452</v>
      </c>
    </row>
    <row r="73" spans="1:8" s="70" customFormat="1" ht="22">
      <c r="A73" s="3">
        <v>44228</v>
      </c>
      <c r="B73" s="4">
        <v>0</v>
      </c>
      <c r="C73" s="70">
        <v>0</v>
      </c>
      <c r="D73" s="70">
        <f>19.1+38</f>
        <v>57.1</v>
      </c>
      <c r="E73" s="70">
        <f>12+47.5</f>
        <v>59.5</v>
      </c>
      <c r="F73" s="70">
        <v>0</v>
      </c>
      <c r="G73" s="63">
        <f t="shared" si="2"/>
        <v>116.6</v>
      </c>
      <c r="H73" s="70" t="s">
        <v>497</v>
      </c>
    </row>
    <row r="74" spans="1:8" s="70" customFormat="1" ht="22">
      <c r="A74" s="3">
        <v>44229</v>
      </c>
      <c r="B74" s="4">
        <v>0</v>
      </c>
      <c r="C74" s="70">
        <v>0</v>
      </c>
      <c r="D74" s="70">
        <f>36+17.6+18.4</f>
        <v>72</v>
      </c>
      <c r="E74" s="70">
        <v>66.5</v>
      </c>
      <c r="F74" s="70">
        <v>0</v>
      </c>
      <c r="G74" s="63">
        <f t="shared" si="2"/>
        <v>138.5</v>
      </c>
      <c r="H74" s="70" t="s">
        <v>498</v>
      </c>
    </row>
    <row r="75" spans="1:8" s="70" customFormat="1" ht="22">
      <c r="A75" s="3">
        <v>44230</v>
      </c>
      <c r="B75" s="4">
        <v>0</v>
      </c>
      <c r="C75" s="70">
        <v>0</v>
      </c>
      <c r="D75" s="70">
        <f>17.6+39.51</f>
        <v>57.11</v>
      </c>
      <c r="E75" s="70">
        <f>2.5+21+5+21</f>
        <v>49.5</v>
      </c>
      <c r="F75" s="70">
        <v>0</v>
      </c>
      <c r="G75" s="63">
        <f t="shared" si="2"/>
        <v>106.61</v>
      </c>
      <c r="H75" s="70" t="s">
        <v>499</v>
      </c>
    </row>
    <row r="76" spans="1:8" s="70" customFormat="1" ht="22">
      <c r="A76" s="3">
        <v>44231</v>
      </c>
      <c r="B76" s="4">
        <v>0</v>
      </c>
      <c r="C76" s="70">
        <v>0</v>
      </c>
      <c r="D76" s="70">
        <v>0</v>
      </c>
      <c r="E76" s="70">
        <v>0</v>
      </c>
      <c r="F76" s="70">
        <v>4.5999999999999996</v>
      </c>
      <c r="G76" s="63">
        <f t="shared" si="2"/>
        <v>4.5999999999999996</v>
      </c>
      <c r="H76" s="70" t="s">
        <v>448</v>
      </c>
    </row>
    <row r="77" spans="1:8" s="70" customFormat="1" ht="22">
      <c r="A77" s="3">
        <v>44232</v>
      </c>
      <c r="B77" s="4">
        <v>0</v>
      </c>
      <c r="C77" s="70">
        <v>0</v>
      </c>
      <c r="D77" s="70">
        <f>17.7</f>
        <v>17.7</v>
      </c>
      <c r="E77" s="70">
        <f>39</f>
        <v>39</v>
      </c>
      <c r="F77" s="70">
        <v>46.9</v>
      </c>
      <c r="G77" s="63">
        <f t="shared" si="2"/>
        <v>103.6</v>
      </c>
      <c r="H77" s="70" t="s">
        <v>447</v>
      </c>
    </row>
    <row r="78" spans="1:8" s="70" customFormat="1" ht="22">
      <c r="A78" s="3">
        <v>44233</v>
      </c>
      <c r="B78" s="4">
        <v>0</v>
      </c>
      <c r="C78" s="70">
        <v>0</v>
      </c>
      <c r="D78" s="70">
        <f>33.42</f>
        <v>33.42</v>
      </c>
      <c r="E78" s="70">
        <f>4+17+42</f>
        <v>63</v>
      </c>
      <c r="F78" s="70">
        <f>5</f>
        <v>5</v>
      </c>
      <c r="G78" s="63">
        <f t="shared" si="2"/>
        <v>101.42</v>
      </c>
      <c r="H78" s="70" t="s">
        <v>446</v>
      </c>
    </row>
    <row r="79" spans="1:8" s="71" customFormat="1">
      <c r="A79" s="3">
        <v>44234</v>
      </c>
      <c r="B79" s="4">
        <v>100</v>
      </c>
      <c r="C79" s="71">
        <v>0</v>
      </c>
      <c r="D79" s="71">
        <f>40</f>
        <v>40</v>
      </c>
      <c r="E79" s="71">
        <f>50.5</f>
        <v>50.5</v>
      </c>
      <c r="F79" s="71">
        <v>0</v>
      </c>
      <c r="G79" s="63">
        <f t="shared" si="2"/>
        <v>190.5</v>
      </c>
    </row>
    <row r="80" spans="1:8" s="71" customFormat="1">
      <c r="A80" s="3">
        <v>44235</v>
      </c>
      <c r="B80" s="4">
        <v>0</v>
      </c>
      <c r="C80" s="71">
        <v>0</v>
      </c>
      <c r="D80" s="71">
        <f>17</f>
        <v>17</v>
      </c>
      <c r="E80" s="71">
        <f>2+66</f>
        <v>68</v>
      </c>
      <c r="F80" s="71">
        <v>0</v>
      </c>
      <c r="G80" s="63">
        <f t="shared" si="2"/>
        <v>85</v>
      </c>
    </row>
    <row r="81" spans="1:8" s="71" customFormat="1">
      <c r="A81" s="3">
        <v>44236</v>
      </c>
      <c r="B81" s="4">
        <v>0</v>
      </c>
      <c r="C81" s="71">
        <v>0</v>
      </c>
      <c r="D81" s="71">
        <f>43+31.7</f>
        <v>74.7</v>
      </c>
      <c r="E81" s="71">
        <f>64.5+5+6.5</f>
        <v>76</v>
      </c>
      <c r="F81" s="71">
        <v>0</v>
      </c>
      <c r="G81" s="63">
        <f t="shared" si="2"/>
        <v>150.69999999999999</v>
      </c>
    </row>
    <row r="82" spans="1:8" s="71" customFormat="1" ht="44">
      <c r="A82" s="3">
        <v>44237</v>
      </c>
      <c r="B82" s="4">
        <v>0</v>
      </c>
      <c r="C82" s="71">
        <v>0</v>
      </c>
      <c r="D82" s="71">
        <v>0</v>
      </c>
      <c r="E82" s="71">
        <f>11+1</f>
        <v>12</v>
      </c>
      <c r="F82" s="71">
        <f>25.6+101.4+14.5+187+35.3+75.3</f>
        <v>439.1</v>
      </c>
      <c r="G82" s="63">
        <f t="shared" si="2"/>
        <v>451.1</v>
      </c>
      <c r="H82" s="71" t="s">
        <v>493</v>
      </c>
    </row>
    <row r="83" spans="1:8" s="71" customFormat="1" ht="22">
      <c r="A83" s="3">
        <v>44238</v>
      </c>
      <c r="B83" s="4">
        <v>0</v>
      </c>
      <c r="C83" s="71">
        <v>0</v>
      </c>
      <c r="D83" s="71">
        <v>0</v>
      </c>
      <c r="E83" s="71">
        <v>0</v>
      </c>
      <c r="F83" s="71">
        <v>0</v>
      </c>
      <c r="G83" s="63">
        <f t="shared" si="2"/>
        <v>0</v>
      </c>
      <c r="H83" s="71" t="s">
        <v>490</v>
      </c>
    </row>
    <row r="84" spans="1:8" s="71" customFormat="1" ht="22">
      <c r="A84" s="3">
        <v>44239</v>
      </c>
      <c r="B84" s="4">
        <v>0</v>
      </c>
      <c r="C84" s="71">
        <v>0</v>
      </c>
      <c r="D84" s="71">
        <v>0</v>
      </c>
      <c r="E84" s="71">
        <v>0</v>
      </c>
      <c r="F84" s="71">
        <v>0</v>
      </c>
      <c r="G84" s="63">
        <f t="shared" si="2"/>
        <v>0</v>
      </c>
      <c r="H84" s="71" t="s">
        <v>491</v>
      </c>
    </row>
    <row r="85" spans="1:8" s="71" customFormat="1" ht="44">
      <c r="A85" s="3">
        <v>44240</v>
      </c>
      <c r="B85" s="4">
        <v>0</v>
      </c>
      <c r="C85" s="71">
        <v>0</v>
      </c>
      <c r="D85" s="71">
        <v>0</v>
      </c>
      <c r="E85" s="71">
        <f>9.6+110</f>
        <v>119.6</v>
      </c>
      <c r="F85" s="71">
        <v>0</v>
      </c>
      <c r="G85" s="63">
        <f t="shared" si="2"/>
        <v>119.6</v>
      </c>
      <c r="H85" s="71" t="s">
        <v>492</v>
      </c>
    </row>
    <row r="86" spans="1:8" s="71" customFormat="1" ht="22">
      <c r="A86" s="3">
        <v>44241</v>
      </c>
      <c r="B86" s="4">
        <v>0</v>
      </c>
      <c r="C86" s="71">
        <v>0</v>
      </c>
      <c r="D86" s="71">
        <f>33.99</f>
        <v>33.99</v>
      </c>
      <c r="E86" s="71">
        <f>64.5</f>
        <v>64.5</v>
      </c>
      <c r="F86" s="71">
        <v>0</v>
      </c>
      <c r="G86" s="63">
        <f t="shared" si="2"/>
        <v>98.490000000000009</v>
      </c>
      <c r="H86" s="71" t="s">
        <v>501</v>
      </c>
    </row>
    <row r="87" spans="1:8" s="71" customFormat="1" ht="22">
      <c r="A87" s="3">
        <v>44242</v>
      </c>
      <c r="B87" s="4">
        <v>0</v>
      </c>
      <c r="C87" s="71">
        <v>0</v>
      </c>
      <c r="D87" s="71">
        <v>39.49</v>
      </c>
      <c r="E87" s="71">
        <v>62</v>
      </c>
      <c r="F87" s="71">
        <v>0</v>
      </c>
      <c r="G87" s="63">
        <f t="shared" si="2"/>
        <v>101.49000000000001</v>
      </c>
      <c r="H87" s="71" t="s">
        <v>502</v>
      </c>
    </row>
    <row r="88" spans="1:8" s="71" customFormat="1" ht="22">
      <c r="A88" s="3">
        <v>44243</v>
      </c>
      <c r="B88" s="4">
        <v>0</v>
      </c>
      <c r="C88" s="71">
        <v>0</v>
      </c>
      <c r="D88" s="71">
        <v>17</v>
      </c>
      <c r="E88" s="71">
        <f>62.5+3.5</f>
        <v>66</v>
      </c>
      <c r="F88" s="71">
        <v>32.9</v>
      </c>
      <c r="G88" s="63">
        <f t="shared" si="2"/>
        <v>115.9</v>
      </c>
      <c r="H88" s="71" t="s">
        <v>504</v>
      </c>
    </row>
    <row r="89" spans="1:8" s="71" customFormat="1">
      <c r="A89" s="3">
        <v>44244</v>
      </c>
      <c r="B89" s="4">
        <v>0</v>
      </c>
      <c r="C89" s="71">
        <v>0</v>
      </c>
      <c r="D89" s="71">
        <f>16.14</f>
        <v>16.14</v>
      </c>
      <c r="E89" s="71">
        <f>2.5+49.5</f>
        <v>52</v>
      </c>
      <c r="F89" s="71">
        <v>0</v>
      </c>
      <c r="G89" s="63">
        <f t="shared" si="2"/>
        <v>68.14</v>
      </c>
    </row>
    <row r="90" spans="1:8" s="71" customFormat="1">
      <c r="A90" s="3">
        <v>44245</v>
      </c>
      <c r="B90" s="4">
        <v>0</v>
      </c>
      <c r="C90" s="71">
        <v>0</v>
      </c>
      <c r="D90" s="71">
        <f>38.4</f>
        <v>38.4</v>
      </c>
      <c r="E90" s="71">
        <f>2+59.5</f>
        <v>61.5</v>
      </c>
      <c r="F90" s="71">
        <v>0</v>
      </c>
      <c r="G90" s="63">
        <f t="shared" si="2"/>
        <v>99.9</v>
      </c>
    </row>
    <row r="91" spans="1:8" s="71" customFormat="1" ht="22">
      <c r="A91" s="3">
        <v>44246</v>
      </c>
      <c r="B91" s="4">
        <v>0</v>
      </c>
      <c r="C91" s="71">
        <v>0</v>
      </c>
      <c r="D91" s="71">
        <f>38.5</f>
        <v>38.5</v>
      </c>
      <c r="E91" s="71">
        <f>23+49.5</f>
        <v>72.5</v>
      </c>
      <c r="F91" s="71">
        <v>0</v>
      </c>
      <c r="G91" s="63">
        <f t="shared" si="2"/>
        <v>111</v>
      </c>
      <c r="H91" s="71" t="s">
        <v>503</v>
      </c>
    </row>
    <row r="92" spans="1:8" s="71" customFormat="1" ht="22">
      <c r="A92" s="3">
        <v>44247</v>
      </c>
      <c r="B92" s="4">
        <v>0</v>
      </c>
      <c r="C92" s="71">
        <v>0</v>
      </c>
      <c r="D92" s="71">
        <f>37</f>
        <v>37</v>
      </c>
      <c r="E92" s="71">
        <f>2+56</f>
        <v>58</v>
      </c>
      <c r="F92" s="71">
        <v>0</v>
      </c>
      <c r="G92" s="63">
        <f t="shared" si="2"/>
        <v>95</v>
      </c>
      <c r="H92" s="71" t="s">
        <v>505</v>
      </c>
    </row>
    <row r="93" spans="1:8" s="71" customFormat="1">
      <c r="A93" s="3">
        <v>44248</v>
      </c>
      <c r="B93" s="4">
        <v>0</v>
      </c>
      <c r="C93" s="71">
        <v>0</v>
      </c>
      <c r="D93" s="71">
        <v>38.75</v>
      </c>
      <c r="E93" s="71">
        <f>25.5+35.5</f>
        <v>61</v>
      </c>
      <c r="F93" s="71">
        <v>0</v>
      </c>
      <c r="G93" s="63">
        <f t="shared" si="2"/>
        <v>99.75</v>
      </c>
    </row>
    <row r="94" spans="1:8" s="71" customFormat="1" ht="22">
      <c r="A94" s="3">
        <v>44249</v>
      </c>
      <c r="B94" s="4">
        <v>0</v>
      </c>
      <c r="C94" s="71">
        <v>0</v>
      </c>
      <c r="D94" s="71">
        <v>0</v>
      </c>
      <c r="E94" s="71">
        <v>0</v>
      </c>
      <c r="F94" s="71">
        <v>0</v>
      </c>
      <c r="G94" s="63">
        <f t="shared" si="2"/>
        <v>0</v>
      </c>
      <c r="H94" s="71" t="s">
        <v>507</v>
      </c>
    </row>
    <row r="95" spans="1:8" s="71" customFormat="1">
      <c r="A95" s="3">
        <v>44250</v>
      </c>
      <c r="B95" s="4">
        <v>0</v>
      </c>
      <c r="C95" s="71">
        <v>0</v>
      </c>
      <c r="D95" s="71">
        <v>35.049999999999997</v>
      </c>
      <c r="E95" s="71">
        <f>51</f>
        <v>51</v>
      </c>
      <c r="F95" s="71">
        <v>0</v>
      </c>
      <c r="G95" s="63">
        <f t="shared" si="2"/>
        <v>86.05</v>
      </c>
    </row>
    <row r="96" spans="1:8" s="71" customFormat="1">
      <c r="A96" s="3">
        <v>44251</v>
      </c>
      <c r="B96" s="4">
        <v>100</v>
      </c>
      <c r="C96" s="71">
        <v>0</v>
      </c>
      <c r="D96" s="71">
        <f>15.19</f>
        <v>15.19</v>
      </c>
      <c r="E96" s="71">
        <f>1+60</f>
        <v>61</v>
      </c>
      <c r="F96" s="71">
        <v>0</v>
      </c>
      <c r="G96" s="63">
        <f t="shared" si="2"/>
        <v>176.19</v>
      </c>
    </row>
    <row r="97" spans="1:8" s="71" customFormat="1" ht="22">
      <c r="A97" s="3">
        <v>44252</v>
      </c>
      <c r="B97" s="4">
        <v>0</v>
      </c>
      <c r="C97" s="71">
        <v>0</v>
      </c>
      <c r="D97" s="71">
        <f>35.05</f>
        <v>35.049999999999997</v>
      </c>
      <c r="E97" s="71">
        <f>59.5</f>
        <v>59.5</v>
      </c>
      <c r="F97" s="71">
        <v>0</v>
      </c>
      <c r="G97" s="63">
        <f t="shared" si="2"/>
        <v>94.55</v>
      </c>
      <c r="H97" s="71" t="s">
        <v>508</v>
      </c>
    </row>
    <row r="98" spans="1:8" s="71" customFormat="1" ht="22">
      <c r="A98" s="3">
        <v>44253</v>
      </c>
      <c r="B98" s="4">
        <v>0</v>
      </c>
      <c r="C98" s="71">
        <v>0</v>
      </c>
      <c r="D98" s="71">
        <v>0</v>
      </c>
      <c r="E98" s="71">
        <v>0</v>
      </c>
      <c r="F98" s="71">
        <f>8.9</f>
        <v>8.9</v>
      </c>
      <c r="G98" s="63">
        <f t="shared" si="2"/>
        <v>8.9</v>
      </c>
      <c r="H98" s="71" t="s">
        <v>506</v>
      </c>
    </row>
    <row r="99" spans="1:8" s="71" customFormat="1">
      <c r="A99" s="3">
        <v>44254</v>
      </c>
      <c r="B99" s="4">
        <v>0</v>
      </c>
      <c r="C99" s="71">
        <v>0</v>
      </c>
      <c r="D99" s="71">
        <f>17.2</f>
        <v>17.2</v>
      </c>
      <c r="E99" s="71">
        <f>12+42.5</f>
        <v>54.5</v>
      </c>
      <c r="F99" s="71">
        <v>0</v>
      </c>
      <c r="G99" s="63">
        <f>SUM(B99:F99)</f>
        <v>71.7</v>
      </c>
    </row>
    <row r="100" spans="1:8" s="74" customFormat="1">
      <c r="A100" s="3">
        <v>44255</v>
      </c>
      <c r="B100" s="4">
        <v>0</v>
      </c>
      <c r="C100" s="74">
        <v>0</v>
      </c>
      <c r="D100" s="74">
        <f>17.5+39</f>
        <v>56.5</v>
      </c>
      <c r="E100" s="74">
        <f>59.5</f>
        <v>59.5</v>
      </c>
      <c r="F100" s="79">
        <v>0</v>
      </c>
      <c r="G100" s="63">
        <f t="shared" ref="G100:G129" si="3">SUM(B100:F100)</f>
        <v>116</v>
      </c>
    </row>
    <row r="101" spans="1:8" s="74" customFormat="1">
      <c r="A101" s="3">
        <v>44256</v>
      </c>
      <c r="B101" s="4">
        <v>0</v>
      </c>
      <c r="C101" s="74">
        <v>6</v>
      </c>
      <c r="D101" s="74">
        <v>0</v>
      </c>
      <c r="E101" s="74">
        <f>72.9+60.5</f>
        <v>133.4</v>
      </c>
      <c r="F101" s="79">
        <v>0</v>
      </c>
      <c r="G101" s="63">
        <f t="shared" si="3"/>
        <v>139.4</v>
      </c>
    </row>
    <row r="102" spans="1:8" s="74" customFormat="1">
      <c r="A102" s="3">
        <v>44257</v>
      </c>
      <c r="B102" s="4">
        <v>0</v>
      </c>
      <c r="C102" s="74">
        <v>0</v>
      </c>
      <c r="D102" s="79">
        <v>0</v>
      </c>
      <c r="E102" s="74">
        <f>56</f>
        <v>56</v>
      </c>
      <c r="F102" s="79">
        <v>0</v>
      </c>
      <c r="G102" s="63">
        <f t="shared" si="3"/>
        <v>56</v>
      </c>
    </row>
    <row r="103" spans="1:8" s="74" customFormat="1">
      <c r="A103" s="3">
        <v>44258</v>
      </c>
      <c r="B103" s="4">
        <v>0</v>
      </c>
      <c r="C103" s="79">
        <v>0</v>
      </c>
      <c r="D103" s="79">
        <v>0</v>
      </c>
      <c r="E103" s="74">
        <f>4.6+59.5+1</f>
        <v>65.099999999999994</v>
      </c>
      <c r="F103" s="79">
        <v>0</v>
      </c>
      <c r="G103" s="63">
        <f t="shared" si="3"/>
        <v>65.099999999999994</v>
      </c>
    </row>
    <row r="104" spans="1:8" s="74" customFormat="1">
      <c r="A104" s="3">
        <v>44259</v>
      </c>
      <c r="B104" s="4">
        <v>0</v>
      </c>
      <c r="C104" s="79">
        <v>0</v>
      </c>
      <c r="D104" s="74">
        <f>16.49</f>
        <v>16.489999999999998</v>
      </c>
      <c r="E104" s="74">
        <f>53</f>
        <v>53</v>
      </c>
      <c r="F104" s="79">
        <v>0</v>
      </c>
      <c r="G104" s="63">
        <f t="shared" si="3"/>
        <v>69.489999999999995</v>
      </c>
    </row>
    <row r="105" spans="1:8" s="74" customFormat="1">
      <c r="A105" s="3">
        <v>44260</v>
      </c>
      <c r="B105" s="4">
        <v>0</v>
      </c>
      <c r="C105" s="79">
        <v>0</v>
      </c>
      <c r="D105" s="74">
        <v>14.42</v>
      </c>
      <c r="E105" s="74">
        <f>21.28+2.5+55.5</f>
        <v>79.28</v>
      </c>
      <c r="F105" s="79">
        <v>0</v>
      </c>
      <c r="G105" s="63">
        <f t="shared" si="3"/>
        <v>93.7</v>
      </c>
    </row>
    <row r="106" spans="1:8" s="74" customFormat="1">
      <c r="A106" s="3">
        <v>44261</v>
      </c>
      <c r="B106" s="4">
        <v>0</v>
      </c>
      <c r="C106" s="79">
        <v>0</v>
      </c>
      <c r="D106" s="74">
        <v>0</v>
      </c>
      <c r="E106" s="74">
        <f>4.6+62.5</f>
        <v>67.099999999999994</v>
      </c>
      <c r="F106" s="79">
        <v>0</v>
      </c>
      <c r="G106" s="63">
        <f t="shared" si="3"/>
        <v>67.099999999999994</v>
      </c>
    </row>
    <row r="107" spans="1:8" s="74" customFormat="1">
      <c r="A107" s="3">
        <v>44262</v>
      </c>
      <c r="B107" s="4">
        <v>0</v>
      </c>
      <c r="C107" s="79">
        <v>0</v>
      </c>
      <c r="D107" s="74">
        <v>31</v>
      </c>
      <c r="E107" s="74">
        <f>2</f>
        <v>2</v>
      </c>
      <c r="F107" s="79">
        <v>0</v>
      </c>
      <c r="G107" s="63">
        <f t="shared" si="3"/>
        <v>33</v>
      </c>
    </row>
    <row r="108" spans="1:8" s="74" customFormat="1" ht="22">
      <c r="A108" s="3">
        <v>44263</v>
      </c>
      <c r="B108" s="4">
        <v>0</v>
      </c>
      <c r="C108" s="79">
        <v>0</v>
      </c>
      <c r="D108" s="74">
        <f>17.5+40</f>
        <v>57.5</v>
      </c>
      <c r="E108" s="74">
        <f>15+29</f>
        <v>44</v>
      </c>
      <c r="F108" s="79">
        <v>0</v>
      </c>
      <c r="G108" s="63">
        <f t="shared" si="3"/>
        <v>101.5</v>
      </c>
      <c r="H108" s="74" t="s">
        <v>526</v>
      </c>
    </row>
    <row r="109" spans="1:8" s="74" customFormat="1">
      <c r="A109" s="3">
        <v>44264</v>
      </c>
      <c r="B109" s="4">
        <v>0</v>
      </c>
      <c r="C109" s="74">
        <v>12</v>
      </c>
      <c r="D109" s="74">
        <v>0</v>
      </c>
      <c r="E109" s="74">
        <f>4.6+2+54+2.5</f>
        <v>63.1</v>
      </c>
      <c r="F109" s="79">
        <v>0</v>
      </c>
      <c r="G109" s="63">
        <f t="shared" si="3"/>
        <v>75.099999999999994</v>
      </c>
    </row>
    <row r="110" spans="1:8" s="74" customFormat="1">
      <c r="A110" s="3">
        <v>44265</v>
      </c>
      <c r="B110" s="4">
        <v>0</v>
      </c>
      <c r="C110" s="74">
        <v>0</v>
      </c>
      <c r="D110" s="74">
        <v>0</v>
      </c>
      <c r="E110" s="74">
        <f>1+44</f>
        <v>45</v>
      </c>
      <c r="F110" s="79">
        <v>0</v>
      </c>
      <c r="G110" s="63">
        <f t="shared" si="3"/>
        <v>45</v>
      </c>
    </row>
    <row r="111" spans="1:8" s="74" customFormat="1">
      <c r="A111" s="3">
        <v>44266</v>
      </c>
      <c r="B111" s="4">
        <v>0</v>
      </c>
      <c r="C111" s="79">
        <v>0</v>
      </c>
      <c r="D111" s="74">
        <f>44.1</f>
        <v>44.1</v>
      </c>
      <c r="E111" s="74">
        <f>39.3</f>
        <v>39.299999999999997</v>
      </c>
      <c r="F111" s="79">
        <v>0</v>
      </c>
      <c r="G111" s="63">
        <f t="shared" si="3"/>
        <v>83.4</v>
      </c>
    </row>
    <row r="112" spans="1:8" s="74" customFormat="1" ht="22">
      <c r="A112" s="3">
        <v>44267</v>
      </c>
      <c r="B112" s="4">
        <v>0</v>
      </c>
      <c r="C112" s="79">
        <v>0</v>
      </c>
      <c r="D112" s="74">
        <f>37.12</f>
        <v>37.119999999999997</v>
      </c>
      <c r="E112" s="74">
        <f>1+56.5</f>
        <v>57.5</v>
      </c>
      <c r="F112" s="79">
        <v>0</v>
      </c>
      <c r="G112" s="63">
        <f t="shared" si="3"/>
        <v>94.62</v>
      </c>
      <c r="H112" s="74" t="s">
        <v>601</v>
      </c>
    </row>
    <row r="113" spans="1:8" s="74" customFormat="1">
      <c r="A113" s="3">
        <v>44268</v>
      </c>
      <c r="B113" s="4">
        <v>100</v>
      </c>
      <c r="C113" s="79">
        <v>0</v>
      </c>
      <c r="D113" s="74">
        <v>0</v>
      </c>
      <c r="E113" s="74">
        <f>52.5+2+4.6+8</f>
        <v>67.099999999999994</v>
      </c>
      <c r="F113" s="79">
        <v>0</v>
      </c>
      <c r="G113" s="63">
        <f t="shared" si="3"/>
        <v>167.1</v>
      </c>
    </row>
    <row r="114" spans="1:8" s="74" customFormat="1" ht="44">
      <c r="A114" s="3">
        <v>44269</v>
      </c>
      <c r="B114" s="4">
        <v>0</v>
      </c>
      <c r="C114" s="79">
        <v>0</v>
      </c>
      <c r="D114" s="74">
        <f>38+46.06</f>
        <v>84.06</v>
      </c>
      <c r="E114" s="74">
        <f>58</f>
        <v>58</v>
      </c>
      <c r="F114" s="74">
        <v>0</v>
      </c>
      <c r="G114" s="63">
        <f t="shared" si="3"/>
        <v>142.06</v>
      </c>
      <c r="H114" s="74" t="s">
        <v>527</v>
      </c>
    </row>
    <row r="115" spans="1:8" s="74" customFormat="1" ht="22">
      <c r="A115" s="3">
        <v>44270</v>
      </c>
      <c r="B115" s="4">
        <v>0</v>
      </c>
      <c r="C115" s="79">
        <v>0</v>
      </c>
      <c r="D115" s="74">
        <f>18.2</f>
        <v>18.2</v>
      </c>
      <c r="E115" s="74">
        <f>5.5</f>
        <v>5.5</v>
      </c>
      <c r="F115" s="74">
        <f>33.9</f>
        <v>33.9</v>
      </c>
      <c r="G115" s="63">
        <f t="shared" si="3"/>
        <v>57.599999999999994</v>
      </c>
      <c r="H115" s="74" t="s">
        <v>525</v>
      </c>
    </row>
    <row r="116" spans="1:8" s="74" customFormat="1" ht="22">
      <c r="A116" s="3">
        <v>44271</v>
      </c>
      <c r="B116" s="4">
        <v>0</v>
      </c>
      <c r="C116" s="79">
        <v>0</v>
      </c>
      <c r="D116" s="74">
        <f>21</f>
        <v>21</v>
      </c>
      <c r="E116" s="74">
        <f>16+52+14</f>
        <v>82</v>
      </c>
      <c r="F116" s="74">
        <v>0</v>
      </c>
      <c r="G116" s="63">
        <f t="shared" si="3"/>
        <v>103</v>
      </c>
      <c r="H116" s="74" t="s">
        <v>528</v>
      </c>
    </row>
    <row r="117" spans="1:8" s="74" customFormat="1">
      <c r="A117" s="3">
        <v>44272</v>
      </c>
      <c r="B117" s="4">
        <v>0</v>
      </c>
      <c r="C117" s="79">
        <v>0</v>
      </c>
      <c r="D117" s="74">
        <f>44.82</f>
        <v>44.82</v>
      </c>
      <c r="E117" s="74">
        <f>38+14+1</f>
        <v>53</v>
      </c>
      <c r="F117" s="74">
        <v>0</v>
      </c>
      <c r="G117" s="63">
        <f t="shared" si="3"/>
        <v>97.82</v>
      </c>
    </row>
    <row r="118" spans="1:8" s="74" customFormat="1" ht="22" customHeight="1">
      <c r="A118" s="3">
        <v>44273</v>
      </c>
      <c r="B118" s="4">
        <v>0</v>
      </c>
      <c r="C118" s="79">
        <v>0</v>
      </c>
      <c r="D118" s="74">
        <f>42+17.2</f>
        <v>59.2</v>
      </c>
      <c r="E118" s="74">
        <f>2.3+1+30</f>
        <v>33.299999999999997</v>
      </c>
      <c r="F118" s="74">
        <v>452</v>
      </c>
      <c r="G118" s="63">
        <f t="shared" si="3"/>
        <v>544.5</v>
      </c>
      <c r="H118" s="74" t="s">
        <v>524</v>
      </c>
    </row>
    <row r="119" spans="1:8" s="74" customFormat="1" ht="22" customHeight="1">
      <c r="A119" s="3">
        <v>44274</v>
      </c>
      <c r="B119" s="4">
        <v>0</v>
      </c>
      <c r="C119" s="79">
        <v>0</v>
      </c>
      <c r="D119" s="74">
        <f>47.5</f>
        <v>47.5</v>
      </c>
      <c r="E119" s="74">
        <f>54.5+7.5+1+13.8+36+19.2</f>
        <v>132</v>
      </c>
      <c r="F119" s="74">
        <f>3</f>
        <v>3</v>
      </c>
      <c r="G119" s="63">
        <f t="shared" si="3"/>
        <v>182.5</v>
      </c>
      <c r="H119" s="74" t="s">
        <v>617</v>
      </c>
    </row>
    <row r="120" spans="1:8" s="74" customFormat="1" ht="22" customHeight="1">
      <c r="A120" s="3">
        <v>44275</v>
      </c>
      <c r="B120" s="4">
        <v>0</v>
      </c>
      <c r="C120" s="79">
        <v>0</v>
      </c>
      <c r="D120" s="74">
        <f>38.7</f>
        <v>38.700000000000003</v>
      </c>
      <c r="E120" s="74">
        <f>4.6+13+1+14.5+28+19</f>
        <v>80.099999999999994</v>
      </c>
      <c r="F120" s="74">
        <v>0</v>
      </c>
      <c r="G120" s="63">
        <f t="shared" si="3"/>
        <v>118.8</v>
      </c>
      <c r="H120" s="74" t="s">
        <v>614</v>
      </c>
    </row>
    <row r="121" spans="1:8" s="74" customFormat="1" ht="22">
      <c r="A121" s="3">
        <v>44276</v>
      </c>
      <c r="B121" s="4">
        <v>0</v>
      </c>
      <c r="C121" s="74">
        <v>10</v>
      </c>
      <c r="D121" s="74">
        <v>0</v>
      </c>
      <c r="E121" s="74">
        <f>3.5+54+9.5</f>
        <v>67</v>
      </c>
      <c r="F121" s="74">
        <v>800</v>
      </c>
      <c r="G121" s="63">
        <f t="shared" si="3"/>
        <v>877</v>
      </c>
      <c r="H121" s="74" t="s">
        <v>613</v>
      </c>
    </row>
    <row r="122" spans="1:8" s="74" customFormat="1" ht="66">
      <c r="A122" s="3">
        <v>44277</v>
      </c>
      <c r="B122" s="4">
        <v>0</v>
      </c>
      <c r="C122" s="74">
        <v>6</v>
      </c>
      <c r="D122" s="74">
        <f>42.8+11.6</f>
        <v>54.4</v>
      </c>
      <c r="E122" s="74">
        <f>17+9+18.4</f>
        <v>44.4</v>
      </c>
      <c r="F122" s="74">
        <v>0</v>
      </c>
      <c r="G122" s="63">
        <f t="shared" si="3"/>
        <v>104.8</v>
      </c>
      <c r="H122" s="74" t="s">
        <v>616</v>
      </c>
    </row>
    <row r="123" spans="1:8" s="74" customFormat="1" ht="22">
      <c r="A123" s="3">
        <v>44278</v>
      </c>
      <c r="B123" s="4">
        <v>0</v>
      </c>
      <c r="C123" s="74">
        <v>0</v>
      </c>
      <c r="D123" s="74">
        <f>17.9</f>
        <v>17.899999999999999</v>
      </c>
      <c r="E123" s="74">
        <f>59.5+7.2</f>
        <v>66.7</v>
      </c>
      <c r="F123" s="74">
        <v>0</v>
      </c>
      <c r="G123" s="63">
        <f t="shared" si="3"/>
        <v>84.6</v>
      </c>
      <c r="H123" s="74" t="s">
        <v>612</v>
      </c>
    </row>
    <row r="124" spans="1:8" s="79" customFormat="1">
      <c r="A124" s="3">
        <v>44279</v>
      </c>
      <c r="B124" s="4">
        <v>0</v>
      </c>
      <c r="C124" s="79">
        <v>0</v>
      </c>
      <c r="D124" s="79">
        <f>19</f>
        <v>19</v>
      </c>
      <c r="E124" s="79">
        <f>6+59.5</f>
        <v>65.5</v>
      </c>
      <c r="F124" s="79">
        <v>0</v>
      </c>
      <c r="G124" s="63">
        <f t="shared" si="3"/>
        <v>84.5</v>
      </c>
    </row>
    <row r="125" spans="1:8" s="79" customFormat="1" ht="44">
      <c r="A125" s="3">
        <v>44280</v>
      </c>
      <c r="B125" s="4">
        <v>0</v>
      </c>
      <c r="C125" s="79">
        <v>0</v>
      </c>
      <c r="D125" s="79">
        <v>36.75</v>
      </c>
      <c r="E125" s="79">
        <f>16.4+2+1+17.5</f>
        <v>36.9</v>
      </c>
      <c r="F125" s="79">
        <f>10</f>
        <v>10</v>
      </c>
      <c r="G125" s="63">
        <f t="shared" si="3"/>
        <v>83.65</v>
      </c>
      <c r="H125" s="79" t="s">
        <v>615</v>
      </c>
    </row>
    <row r="126" spans="1:8" s="79" customFormat="1" ht="22">
      <c r="A126" s="3">
        <v>44281</v>
      </c>
      <c r="B126" s="4">
        <v>0</v>
      </c>
      <c r="C126" s="79">
        <v>12</v>
      </c>
      <c r="D126" s="79">
        <f>19.1</f>
        <v>19.100000000000001</v>
      </c>
      <c r="E126" s="79">
        <f>1+53.5</f>
        <v>54.5</v>
      </c>
      <c r="F126" s="79">
        <f>19.5</f>
        <v>19.5</v>
      </c>
      <c r="G126" s="63">
        <f t="shared" si="3"/>
        <v>105.1</v>
      </c>
      <c r="H126" s="79" t="s">
        <v>611</v>
      </c>
    </row>
    <row r="127" spans="1:8" s="79" customFormat="1">
      <c r="A127" s="3">
        <v>44282</v>
      </c>
      <c r="B127" s="4">
        <v>0</v>
      </c>
      <c r="C127" s="79">
        <v>0</v>
      </c>
      <c r="D127" s="79">
        <v>0</v>
      </c>
      <c r="E127" s="79">
        <v>0</v>
      </c>
      <c r="F127" s="79">
        <v>0</v>
      </c>
      <c r="G127" s="63">
        <f t="shared" si="3"/>
        <v>0</v>
      </c>
    </row>
    <row r="128" spans="1:8" s="79" customFormat="1" ht="22">
      <c r="A128" s="3">
        <v>44283</v>
      </c>
      <c r="B128" s="4">
        <v>0</v>
      </c>
      <c r="C128" s="79">
        <v>0</v>
      </c>
      <c r="D128" s="79">
        <v>0</v>
      </c>
      <c r="E128" s="79">
        <f>7.1+10</f>
        <v>17.100000000000001</v>
      </c>
      <c r="F128" s="79">
        <v>175</v>
      </c>
      <c r="G128" s="63">
        <f t="shared" si="3"/>
        <v>192.1</v>
      </c>
      <c r="H128" s="79" t="s">
        <v>610</v>
      </c>
    </row>
    <row r="129" spans="1:8" s="79" customFormat="1" ht="22">
      <c r="A129" s="3">
        <v>44284</v>
      </c>
      <c r="B129" s="4"/>
      <c r="G129" s="63">
        <f t="shared" si="3"/>
        <v>0</v>
      </c>
      <c r="H129" s="79" t="s">
        <v>680</v>
      </c>
    </row>
    <row r="130" spans="1:8" s="8" customFormat="1" ht="22">
      <c r="A130" s="6" t="s">
        <v>17</v>
      </c>
      <c r="B130" s="7">
        <f>SUM(B2:B129)</f>
        <v>620</v>
      </c>
      <c r="C130" s="7">
        <f>SUM(C2:C129)</f>
        <v>118</v>
      </c>
      <c r="D130" s="7">
        <f>SUM(D2:D129)</f>
        <v>3983.1899999999991</v>
      </c>
      <c r="E130" s="7">
        <f>SUM(E2:E129)</f>
        <v>5967.1800000000012</v>
      </c>
      <c r="F130" s="7">
        <f>SUM(F2:F129)</f>
        <v>3448.11</v>
      </c>
      <c r="G130" s="64">
        <f>SUM(G2:G129)</f>
        <v>14136.48</v>
      </c>
    </row>
    <row r="131" spans="1:8">
      <c r="A131" s="3"/>
    </row>
    <row r="132" spans="1:8">
      <c r="A132" s="3"/>
    </row>
    <row r="133" spans="1:8">
      <c r="A133" s="3"/>
    </row>
    <row r="134" spans="1:8">
      <c r="A134" s="3"/>
    </row>
    <row r="135" spans="1:8">
      <c r="A135" s="3"/>
    </row>
    <row r="136" spans="1:8">
      <c r="A136" s="3"/>
    </row>
    <row r="137" spans="1:8">
      <c r="A137" s="3"/>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B49D-7F4A-134E-A0C6-BDA1D38BDBD2}">
  <dimension ref="A1:G26"/>
  <sheetViews>
    <sheetView workbookViewId="0">
      <pane ySplit="1" topLeftCell="A15" activePane="bottomLeft" state="frozen"/>
      <selection pane="bottomLeft" activeCell="C21" sqref="C21"/>
    </sheetView>
  </sheetViews>
  <sheetFormatPr baseColWidth="10" defaultColWidth="20" defaultRowHeight="21"/>
  <cols>
    <col min="1" max="2" width="20" style="11"/>
    <col min="3" max="3" width="37.5" style="11" customWidth="1"/>
    <col min="4" max="4" width="20" style="25"/>
    <col min="5" max="5" width="41.83203125" style="11" customWidth="1"/>
    <col min="6" max="6" width="60" style="11" customWidth="1"/>
    <col min="7" max="7" width="40.1640625" style="11" customWidth="1"/>
    <col min="8" max="16384" width="20" style="11"/>
  </cols>
  <sheetData>
    <row r="1" spans="1:7" s="1" customFormat="1" ht="22">
      <c r="A1" s="1" t="s">
        <v>0</v>
      </c>
      <c r="B1" s="1" t="s">
        <v>121</v>
      </c>
      <c r="C1" s="1" t="s">
        <v>118</v>
      </c>
      <c r="D1" s="12" t="s">
        <v>124</v>
      </c>
      <c r="E1" s="1" t="s">
        <v>127</v>
      </c>
      <c r="F1" s="1" t="s">
        <v>120</v>
      </c>
      <c r="G1" s="1" t="s">
        <v>119</v>
      </c>
    </row>
    <row r="2" spans="1:7" ht="22">
      <c r="A2" s="11" t="s">
        <v>3</v>
      </c>
      <c r="B2" s="11" t="s">
        <v>122</v>
      </c>
      <c r="C2" s="24">
        <v>44167</v>
      </c>
      <c r="D2" s="25" t="s">
        <v>123</v>
      </c>
      <c r="F2" s="11" t="s">
        <v>125</v>
      </c>
    </row>
    <row r="3" spans="1:7" ht="44">
      <c r="A3" s="11" t="s">
        <v>3</v>
      </c>
      <c r="B3" s="11" t="s">
        <v>126</v>
      </c>
      <c r="C3" s="24" t="s">
        <v>128</v>
      </c>
      <c r="D3" s="25">
        <v>0.33</v>
      </c>
      <c r="E3" s="11" t="s">
        <v>140</v>
      </c>
      <c r="G3" s="11" t="s">
        <v>130</v>
      </c>
    </row>
    <row r="4" spans="1:7" ht="154">
      <c r="A4" s="11" t="s">
        <v>13</v>
      </c>
      <c r="B4" s="11" t="s">
        <v>13</v>
      </c>
      <c r="C4" s="24" t="s">
        <v>154</v>
      </c>
      <c r="D4" s="25">
        <v>5.5</v>
      </c>
      <c r="E4" s="11" t="s">
        <v>161</v>
      </c>
      <c r="F4" s="29" t="s">
        <v>216</v>
      </c>
      <c r="G4" s="11" t="s">
        <v>153</v>
      </c>
    </row>
    <row r="5" spans="1:7" ht="66">
      <c r="A5" s="11" t="s">
        <v>3</v>
      </c>
      <c r="B5" s="11" t="s">
        <v>129</v>
      </c>
      <c r="C5" s="24" t="s">
        <v>156</v>
      </c>
      <c r="D5" s="25">
        <v>2.5</v>
      </c>
      <c r="E5" s="11" t="s">
        <v>157</v>
      </c>
      <c r="F5" s="11" t="s">
        <v>158</v>
      </c>
      <c r="G5" s="11" t="s">
        <v>160</v>
      </c>
    </row>
    <row r="6" spans="1:7" ht="171" customHeight="1">
      <c r="A6" s="11" t="s">
        <v>13</v>
      </c>
      <c r="B6" s="11" t="s">
        <v>188</v>
      </c>
      <c r="C6" s="11" t="s">
        <v>214</v>
      </c>
      <c r="D6" s="25">
        <v>9.5</v>
      </c>
      <c r="E6" s="11" t="s">
        <v>215</v>
      </c>
      <c r="F6" s="11" t="s">
        <v>229</v>
      </c>
      <c r="G6" s="11" t="s">
        <v>189</v>
      </c>
    </row>
    <row r="7" spans="1:7" s="31" customFormat="1" ht="66">
      <c r="A7" s="31" t="s">
        <v>3</v>
      </c>
      <c r="B7" s="31" t="s">
        <v>222</v>
      </c>
      <c r="C7" s="31" t="s">
        <v>223</v>
      </c>
      <c r="D7" s="25">
        <v>2.5</v>
      </c>
      <c r="E7" s="31" t="s">
        <v>224</v>
      </c>
      <c r="F7" s="29" t="s">
        <v>226</v>
      </c>
      <c r="G7" s="31" t="s">
        <v>225</v>
      </c>
    </row>
    <row r="8" spans="1:7" ht="110">
      <c r="A8" s="11" t="s">
        <v>217</v>
      </c>
      <c r="B8" s="11" t="s">
        <v>219</v>
      </c>
      <c r="C8" s="11" t="s">
        <v>228</v>
      </c>
      <c r="D8" s="25">
        <v>5.5</v>
      </c>
      <c r="E8" s="11" t="s">
        <v>220</v>
      </c>
      <c r="F8" s="11" t="s">
        <v>297</v>
      </c>
      <c r="G8" s="11" t="s">
        <v>221</v>
      </c>
    </row>
    <row r="9" spans="1:7" ht="330">
      <c r="A9" s="11" t="s">
        <v>231</v>
      </c>
      <c r="B9" s="11" t="s">
        <v>232</v>
      </c>
      <c r="C9" s="11" t="s">
        <v>269</v>
      </c>
      <c r="D9" s="25">
        <v>10.5</v>
      </c>
      <c r="E9" s="11" t="s">
        <v>259</v>
      </c>
      <c r="F9" s="11" t="s">
        <v>268</v>
      </c>
      <c r="G9" s="11" t="s">
        <v>296</v>
      </c>
    </row>
    <row r="10" spans="1:7" ht="66">
      <c r="A10" s="51" t="s">
        <v>231</v>
      </c>
      <c r="B10" s="11" t="s">
        <v>120</v>
      </c>
      <c r="C10" s="11" t="s">
        <v>270</v>
      </c>
      <c r="D10" s="25">
        <v>6</v>
      </c>
      <c r="E10" s="11" t="s">
        <v>271</v>
      </c>
      <c r="F10" s="29" t="s">
        <v>272</v>
      </c>
      <c r="G10" s="11" t="s">
        <v>295</v>
      </c>
    </row>
    <row r="11" spans="1:7" s="52" customFormat="1" ht="154">
      <c r="A11" s="52" t="s">
        <v>217</v>
      </c>
      <c r="B11" s="52" t="s">
        <v>292</v>
      </c>
      <c r="C11" s="52" t="s">
        <v>293</v>
      </c>
      <c r="D11" s="25">
        <v>13.5</v>
      </c>
      <c r="E11" s="52" t="s">
        <v>294</v>
      </c>
    </row>
    <row r="12" spans="1:7" ht="308">
      <c r="A12" s="91" t="s">
        <v>217</v>
      </c>
      <c r="B12" s="11" t="s">
        <v>291</v>
      </c>
      <c r="C12" s="11" t="s">
        <v>510</v>
      </c>
      <c r="D12" s="25">
        <v>20.5</v>
      </c>
      <c r="E12" s="11" t="s">
        <v>488</v>
      </c>
      <c r="F12" s="66" t="s">
        <v>520</v>
      </c>
      <c r="G12" s="52" t="s">
        <v>402</v>
      </c>
    </row>
    <row r="13" spans="1:7" s="73" customFormat="1" ht="66">
      <c r="A13" s="91"/>
      <c r="B13" s="73" t="s">
        <v>511</v>
      </c>
      <c r="C13" s="73" t="s">
        <v>516</v>
      </c>
      <c r="D13" s="25"/>
      <c r="E13" s="73" t="s">
        <v>517</v>
      </c>
      <c r="F13" s="66" t="s">
        <v>519</v>
      </c>
    </row>
    <row r="14" spans="1:7" s="68" customFormat="1" ht="44">
      <c r="A14" s="91" t="s">
        <v>432</v>
      </c>
      <c r="B14" s="68" t="s">
        <v>487</v>
      </c>
      <c r="C14" s="68" t="s">
        <v>482</v>
      </c>
      <c r="D14" s="25"/>
    </row>
    <row r="15" spans="1:7" s="61" customFormat="1" ht="88">
      <c r="A15" s="91"/>
      <c r="B15" s="61" t="s">
        <v>433</v>
      </c>
      <c r="C15" s="61" t="s">
        <v>434</v>
      </c>
      <c r="D15" s="25"/>
    </row>
    <row r="16" spans="1:7" ht="198">
      <c r="A16" s="91"/>
      <c r="B16" s="11" t="s">
        <v>483</v>
      </c>
      <c r="C16" s="11" t="s">
        <v>484</v>
      </c>
      <c r="F16" s="29" t="s">
        <v>521</v>
      </c>
      <c r="G16" s="11" t="s">
        <v>522</v>
      </c>
    </row>
    <row r="17" spans="1:6" ht="88">
      <c r="A17" s="91"/>
      <c r="B17" s="11" t="s">
        <v>485</v>
      </c>
      <c r="C17" s="11" t="s">
        <v>486</v>
      </c>
      <c r="E17" s="11" t="s">
        <v>518</v>
      </c>
      <c r="F17" s="11" t="s">
        <v>523</v>
      </c>
    </row>
    <row r="18" spans="1:6" ht="22">
      <c r="A18" s="91" t="s">
        <v>512</v>
      </c>
      <c r="B18" s="11" t="s">
        <v>513</v>
      </c>
    </row>
    <row r="19" spans="1:6" ht="22">
      <c r="A19" s="91"/>
      <c r="B19" s="11" t="s">
        <v>514</v>
      </c>
    </row>
    <row r="20" spans="1:6" ht="22">
      <c r="A20" s="91"/>
      <c r="B20" s="11" t="s">
        <v>515</v>
      </c>
    </row>
    <row r="21" spans="1:6" ht="22">
      <c r="A21" s="11" t="s">
        <v>509</v>
      </c>
      <c r="C21" s="11" t="s">
        <v>602</v>
      </c>
    </row>
    <row r="22" spans="1:6" ht="22">
      <c r="A22" s="11" t="s">
        <v>534</v>
      </c>
    </row>
    <row r="23" spans="1:6" s="78" customFormat="1" ht="22">
      <c r="A23" s="91" t="s">
        <v>538</v>
      </c>
      <c r="B23" s="78" t="s">
        <v>122</v>
      </c>
      <c r="C23" s="24" t="s">
        <v>605</v>
      </c>
      <c r="D23" s="25"/>
    </row>
    <row r="24" spans="1:6" ht="44">
      <c r="A24" s="91"/>
      <c r="B24" s="11" t="s">
        <v>578</v>
      </c>
      <c r="C24" s="24" t="s">
        <v>606</v>
      </c>
      <c r="E24" s="11" t="s">
        <v>603</v>
      </c>
    </row>
    <row r="25" spans="1:6" ht="44">
      <c r="A25" s="11" t="s">
        <v>549</v>
      </c>
      <c r="B25" s="11" t="s">
        <v>604</v>
      </c>
      <c r="C25" s="11" t="s">
        <v>607</v>
      </c>
    </row>
    <row r="26" spans="1:6" ht="22">
      <c r="A26" s="11" t="s">
        <v>544</v>
      </c>
      <c r="B26" s="11" t="s">
        <v>122</v>
      </c>
      <c r="C26" s="11" t="s">
        <v>608</v>
      </c>
      <c r="E26" s="11" t="s">
        <v>609</v>
      </c>
    </row>
  </sheetData>
  <mergeCells count="4">
    <mergeCell ref="A14:A17"/>
    <mergeCell ref="A12:A13"/>
    <mergeCell ref="A18:A20"/>
    <mergeCell ref="A23:A24"/>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50F6-DCA8-6F49-85E6-701F85802663}">
  <dimension ref="A1:J7"/>
  <sheetViews>
    <sheetView workbookViewId="0">
      <pane ySplit="1" topLeftCell="A2" activePane="bottomLeft" state="frozen"/>
      <selection pane="bottomLeft" activeCell="E6" sqref="E6"/>
    </sheetView>
  </sheetViews>
  <sheetFormatPr baseColWidth="10" defaultColWidth="18.1640625" defaultRowHeight="21"/>
  <cols>
    <col min="1" max="16384" width="18.1640625" style="27"/>
  </cols>
  <sheetData>
    <row r="1" spans="1:10" s="1" customFormat="1" ht="22">
      <c r="A1" s="1" t="s">
        <v>144</v>
      </c>
      <c r="B1" s="2" t="s">
        <v>146</v>
      </c>
      <c r="C1" s="1" t="s">
        <v>145</v>
      </c>
      <c r="D1" s="1" t="s">
        <v>19</v>
      </c>
      <c r="J1" s="26"/>
    </row>
    <row r="2" spans="1:10" ht="66">
      <c r="A2" s="27" t="s">
        <v>147</v>
      </c>
      <c r="B2" s="27" t="s">
        <v>148</v>
      </c>
      <c r="C2" s="27">
        <v>0</v>
      </c>
      <c r="D2" s="27" t="s">
        <v>149</v>
      </c>
    </row>
    <row r="3" spans="1:10" ht="66">
      <c r="A3" s="27" t="s">
        <v>150</v>
      </c>
      <c r="B3" s="27" t="s">
        <v>151</v>
      </c>
      <c r="C3" s="27">
        <v>100</v>
      </c>
      <c r="D3" s="27" t="s">
        <v>152</v>
      </c>
    </row>
    <row r="4" spans="1:10" ht="44">
      <c r="A4" s="27" t="s">
        <v>253</v>
      </c>
      <c r="B4" s="27" t="s">
        <v>273</v>
      </c>
      <c r="C4" s="27">
        <v>33292.050000000003</v>
      </c>
      <c r="D4" s="56" t="s">
        <v>274</v>
      </c>
    </row>
    <row r="5" spans="1:10" ht="44">
      <c r="A5" s="27" t="s">
        <v>260</v>
      </c>
      <c r="B5" s="27" t="s">
        <v>261</v>
      </c>
      <c r="C5" s="27">
        <v>0</v>
      </c>
      <c r="D5" s="27" t="s">
        <v>443</v>
      </c>
    </row>
    <row r="6" spans="1:10" ht="198">
      <c r="A6" s="27" t="s">
        <v>275</v>
      </c>
      <c r="B6" s="27" t="s">
        <v>444</v>
      </c>
      <c r="C6" s="27">
        <v>80</v>
      </c>
    </row>
    <row r="7" spans="1:10" s="28" customFormat="1" ht="22">
      <c r="A7" s="28" t="s">
        <v>17</v>
      </c>
      <c r="C7" s="28">
        <f>SUM(C2:C6)</f>
        <v>33472.050000000003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硬装费用明细</vt:lpstr>
      <vt:lpstr>主材辅材工具费用明细</vt:lpstr>
      <vt:lpstr>电器家具明细</vt:lpstr>
      <vt:lpstr>商家详细信息</vt:lpstr>
      <vt:lpstr>饮食交通开支</vt:lpstr>
      <vt:lpstr>进度记录</vt:lpstr>
      <vt:lpstr>产权费用明细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HAO</dc:creator>
  <cp:lastModifiedBy>ZHANG HAO</cp:lastModifiedBy>
  <dcterms:created xsi:type="dcterms:W3CDTF">2020-12-02T11:08:53Z</dcterms:created>
  <dcterms:modified xsi:type="dcterms:W3CDTF">2021-03-28T14:57:06Z</dcterms:modified>
</cp:coreProperties>
</file>