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zhanghao/Desktop/zx/"/>
    </mc:Choice>
  </mc:AlternateContent>
  <xr:revisionPtr revIDLastSave="0" documentId="13_ncr:1_{EC5DF779-1D2B-E147-98C2-5B8C8C6A3861}" xr6:coauthVersionLast="46" xr6:coauthVersionMax="46" xr10:uidLastSave="{00000000-0000-0000-0000-000000000000}"/>
  <bookViews>
    <workbookView xWindow="0" yWindow="0" windowWidth="28800" windowHeight="18000" activeTab="1" xr2:uid="{F96C3ACB-6BF3-7543-938C-F8A111EEAE27}"/>
  </bookViews>
  <sheets>
    <sheet name="硬装费用明细" sheetId="1" r:id="rId1"/>
    <sheet name="主材辅材工具费用明细" sheetId="6" r:id="rId2"/>
    <sheet name="电器家具明细" sheetId="4" r:id="rId3"/>
    <sheet name="商家详细信息" sheetId="3" r:id="rId4"/>
    <sheet name="饮食交通开支" sheetId="2" r:id="rId5"/>
    <sheet name="进度记录" sheetId="5" r:id="rId6"/>
    <sheet name="产权费用明细" sheetId="7"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2" l="1"/>
  <c r="D48" i="2"/>
  <c r="D46" i="2"/>
  <c r="H83" i="6"/>
  <c r="I83" i="6" s="1"/>
  <c r="B83" i="6" s="1"/>
  <c r="G33" i="6"/>
  <c r="H33" i="6" s="1"/>
  <c r="I33" i="6" s="1"/>
  <c r="G40" i="6"/>
  <c r="H40" i="6" s="1"/>
  <c r="I40" i="6" s="1"/>
  <c r="G41" i="6"/>
  <c r="G39" i="6"/>
  <c r="H39" i="6" s="1"/>
  <c r="I39" i="6" s="1"/>
  <c r="G30" i="6"/>
  <c r="G34" i="6"/>
  <c r="H34" i="6" s="1"/>
  <c r="I34" i="6" s="1"/>
  <c r="G69" i="6"/>
  <c r="H69" i="6" s="1"/>
  <c r="I69" i="6" s="1"/>
  <c r="G46" i="6"/>
  <c r="H46" i="6" s="1"/>
  <c r="I46" i="6" s="1"/>
  <c r="G59" i="6"/>
  <c r="H59" i="6" s="1"/>
  <c r="I59" i="6" s="1"/>
  <c r="G73" i="6"/>
  <c r="H73" i="6" s="1"/>
  <c r="I73" i="6" s="1"/>
  <c r="H50" i="6"/>
  <c r="I50" i="6" s="1"/>
  <c r="G50" i="6"/>
  <c r="G63" i="6"/>
  <c r="I63" i="6"/>
  <c r="G75" i="6"/>
  <c r="H38" i="6"/>
  <c r="I38" i="6" s="1"/>
  <c r="G38" i="6"/>
  <c r="H49" i="6"/>
  <c r="I49" i="6" s="1"/>
  <c r="G49" i="6"/>
  <c r="H52" i="6"/>
  <c r="I52" i="6" s="1"/>
  <c r="G52" i="6"/>
  <c r="G77" i="6"/>
  <c r="H77" i="6" s="1"/>
  <c r="I77" i="6" s="1"/>
  <c r="G36" i="6"/>
  <c r="G70" i="6"/>
  <c r="H70" i="6" s="1"/>
  <c r="I70" i="6" s="1"/>
  <c r="I36" i="6"/>
  <c r="H62" i="6"/>
  <c r="I62" i="6" s="1"/>
  <c r="H37" i="6"/>
  <c r="I37" i="6" s="1"/>
  <c r="H29" i="6"/>
  <c r="I56" i="6"/>
  <c r="I64" i="6"/>
  <c r="I76" i="6"/>
  <c r="I78" i="6"/>
  <c r="I29" i="6"/>
  <c r="H61" i="6"/>
  <c r="I61" i="6" s="1"/>
  <c r="H67" i="6"/>
  <c r="I67" i="6" s="1"/>
  <c r="H66" i="6"/>
  <c r="I66" i="6" s="1"/>
  <c r="H65" i="6"/>
  <c r="I65" i="6" s="1"/>
  <c r="H79" i="6"/>
  <c r="I79" i="6" s="1"/>
  <c r="H82" i="6"/>
  <c r="I82" i="6" s="1"/>
  <c r="H57" i="6"/>
  <c r="I57" i="6" s="1"/>
  <c r="H58" i="6"/>
  <c r="I58" i="6" s="1"/>
  <c r="H60" i="6"/>
  <c r="I60" i="6" s="1"/>
  <c r="H68" i="6"/>
  <c r="I68" i="6" s="1"/>
  <c r="H71" i="6"/>
  <c r="I71" i="6" s="1"/>
  <c r="H72" i="6"/>
  <c r="I72" i="6" s="1"/>
  <c r="H74" i="6"/>
  <c r="I74" i="6" s="1"/>
  <c r="H75" i="6"/>
  <c r="I75" i="6" s="1"/>
  <c r="H80" i="6"/>
  <c r="I80" i="6" s="1"/>
  <c r="H81" i="6"/>
  <c r="I81" i="6" s="1"/>
  <c r="H55" i="6"/>
  <c r="I55" i="6" s="1"/>
  <c r="H54" i="6"/>
  <c r="I54" i="6" s="1"/>
  <c r="H51" i="6"/>
  <c r="I51" i="6" s="1"/>
  <c r="H48" i="6"/>
  <c r="I48" i="6" s="1"/>
  <c r="H41" i="6"/>
  <c r="I41" i="6" s="1"/>
  <c r="H42" i="6"/>
  <c r="I42" i="6" s="1"/>
  <c r="H43" i="6"/>
  <c r="I43" i="6" s="1"/>
  <c r="H44" i="6"/>
  <c r="I44" i="6" s="1"/>
  <c r="H45" i="6"/>
  <c r="I45" i="6" s="1"/>
  <c r="H47" i="6"/>
  <c r="I47" i="6" s="1"/>
  <c r="H32" i="6"/>
  <c r="I32" i="6" s="1"/>
  <c r="H35" i="6"/>
  <c r="I35" i="6" s="1"/>
  <c r="H31" i="6"/>
  <c r="I31" i="6" s="1"/>
  <c r="H30" i="6"/>
  <c r="I30" i="6" s="1"/>
  <c r="E45" i="2"/>
  <c r="E46" i="2"/>
  <c r="G46" i="2" s="1"/>
  <c r="E48" i="2"/>
  <c r="G48" i="2" s="1"/>
  <c r="G6" i="1"/>
  <c r="E49" i="2"/>
  <c r="F50" i="2"/>
  <c r="D50" i="2"/>
  <c r="E51" i="2"/>
  <c r="G51" i="2" s="1"/>
  <c r="G52" i="2"/>
  <c r="D52" i="2"/>
  <c r="G5" i="1"/>
  <c r="B21" i="6"/>
  <c r="I20" i="6"/>
  <c r="D53" i="2"/>
  <c r="E53" i="2"/>
  <c r="G53" i="2"/>
  <c r="G47" i="2"/>
  <c r="G49" i="2"/>
  <c r="G43" i="2"/>
  <c r="E54" i="2"/>
  <c r="G54" i="2" s="1"/>
  <c r="B55" i="2"/>
  <c r="F44" i="2"/>
  <c r="D45" i="2"/>
  <c r="G45" i="2" s="1"/>
  <c r="I9" i="1"/>
  <c r="E41" i="2"/>
  <c r="G41" i="2" s="1"/>
  <c r="D41" i="2"/>
  <c r="E40" i="2"/>
  <c r="D39" i="2"/>
  <c r="E39" i="2"/>
  <c r="D40" i="2"/>
  <c r="E38" i="2"/>
  <c r="G38" i="2"/>
  <c r="G37" i="2"/>
  <c r="G42" i="2"/>
  <c r="E44" i="2"/>
  <c r="G44" i="2" s="1"/>
  <c r="M3" i="4"/>
  <c r="M41" i="4" s="1"/>
  <c r="C7" i="7"/>
  <c r="C33" i="2"/>
  <c r="C55" i="2" s="1"/>
  <c r="C36" i="2"/>
  <c r="G36" i="2" s="1"/>
  <c r="D34" i="2"/>
  <c r="D33" i="2"/>
  <c r="F36" i="2"/>
  <c r="E33" i="2"/>
  <c r="E34" i="2"/>
  <c r="E35" i="2"/>
  <c r="D35" i="2"/>
  <c r="G35" i="2" s="1"/>
  <c r="E36" i="2"/>
  <c r="G40" i="2" l="1"/>
  <c r="G50" i="2"/>
  <c r="G34" i="2"/>
  <c r="F55" i="2"/>
  <c r="B29" i="6"/>
  <c r="B65" i="6"/>
  <c r="B55" i="6"/>
  <c r="G33" i="2"/>
  <c r="G39" i="2"/>
  <c r="G31" i="2"/>
  <c r="G32" i="2"/>
  <c r="D30" i="2"/>
  <c r="E30" i="2"/>
  <c r="E29" i="2"/>
  <c r="E55" i="2" s="1"/>
  <c r="D31" i="2"/>
  <c r="E31" i="2"/>
  <c r="G30" i="2" l="1"/>
  <c r="G28" i="2"/>
  <c r="D29" i="2"/>
  <c r="G29" i="2" s="1"/>
  <c r="D26" i="2" l="1"/>
  <c r="G26" i="2" l="1"/>
  <c r="D27" i="2"/>
  <c r="G27" i="2" s="1"/>
  <c r="G24" i="2"/>
  <c r="G25" i="2"/>
  <c r="G23" i="2"/>
  <c r="G22" i="2"/>
  <c r="H15" i="6"/>
  <c r="H14" i="6"/>
  <c r="H13" i="6"/>
  <c r="H12" i="6"/>
  <c r="H11" i="6"/>
  <c r="J11" i="4"/>
  <c r="D55" i="2" l="1"/>
  <c r="H10" i="6"/>
  <c r="G21" i="2" l="1"/>
  <c r="G20" i="2"/>
  <c r="H9" i="6"/>
  <c r="H8" i="6"/>
  <c r="H7" i="6"/>
  <c r="H6" i="6"/>
  <c r="H5" i="6"/>
  <c r="H4" i="6"/>
  <c r="G19" i="2" l="1"/>
  <c r="G18" i="2" l="1"/>
  <c r="G17" i="2" l="1"/>
  <c r="G16" i="2"/>
  <c r="G15" i="2" l="1"/>
  <c r="G14" i="2"/>
  <c r="H3" i="6"/>
  <c r="H2" i="6"/>
  <c r="G13" i="2"/>
  <c r="J7" i="4" l="1"/>
  <c r="J13" i="4"/>
  <c r="J18" i="4"/>
  <c r="J19" i="4"/>
  <c r="J20" i="4"/>
  <c r="J21" i="4"/>
  <c r="J22" i="4"/>
  <c r="J23" i="4"/>
  <c r="J24" i="4"/>
  <c r="J25" i="4"/>
  <c r="J26" i="4"/>
  <c r="J27" i="4"/>
  <c r="J4" i="4"/>
  <c r="J28" i="4"/>
  <c r="J5" i="4"/>
  <c r="J29" i="4"/>
  <c r="J30" i="4"/>
  <c r="J9" i="4"/>
  <c r="J31" i="4"/>
  <c r="J10" i="4"/>
  <c r="J12" i="4"/>
  <c r="J32" i="4"/>
  <c r="J33" i="4"/>
  <c r="J34" i="4"/>
  <c r="J14" i="4"/>
  <c r="J35" i="4"/>
  <c r="J36" i="4"/>
  <c r="J37" i="4"/>
  <c r="J38" i="4"/>
  <c r="J39" i="4"/>
  <c r="J15" i="4"/>
  <c r="J17" i="4"/>
  <c r="J16" i="4"/>
  <c r="J2" i="4"/>
  <c r="J41" i="4" l="1"/>
  <c r="G3" i="2"/>
  <c r="G4" i="2"/>
  <c r="G5" i="2"/>
  <c r="G6" i="2"/>
  <c r="G7" i="2"/>
  <c r="G8" i="2"/>
  <c r="G9" i="2"/>
  <c r="G10" i="2"/>
  <c r="G11" i="2"/>
  <c r="G12" i="2"/>
  <c r="G2" i="2"/>
  <c r="G55" i="2" l="1"/>
</calcChain>
</file>

<file path=xl/sharedStrings.xml><?xml version="1.0" encoding="utf-8"?>
<sst xmlns="http://schemas.openxmlformats.org/spreadsheetml/2006/main" count="618" uniqueCount="419">
  <si>
    <t>项目名称</t>
    <phoneticPr fontId="1" type="noConversion"/>
  </si>
  <si>
    <t>单价</t>
    <phoneticPr fontId="1" type="noConversion"/>
  </si>
  <si>
    <t>数量</t>
    <phoneticPr fontId="1" type="noConversion"/>
  </si>
  <si>
    <t>封窗</t>
    <phoneticPr fontId="1" type="noConversion"/>
  </si>
  <si>
    <t>项目描述</t>
    <phoneticPr fontId="1" type="noConversion"/>
  </si>
  <si>
    <t>餐厅北阳台封窗，南次卧阳台封窗</t>
    <phoneticPr fontId="1" type="noConversion"/>
  </si>
  <si>
    <t>南北阳台共7.52㎡</t>
    <phoneticPr fontId="1" type="noConversion"/>
  </si>
  <si>
    <t>收费说明</t>
    <phoneticPr fontId="1" type="noConversion"/>
  </si>
  <si>
    <t>商家</t>
    <phoneticPr fontId="1" type="noConversion"/>
  </si>
  <si>
    <t>唯众</t>
    <phoneticPr fontId="1" type="noConversion"/>
  </si>
  <si>
    <t>总价计算</t>
    <phoneticPr fontId="1" type="noConversion"/>
  </si>
  <si>
    <t>窗380/㎡，钢化+50/㎡，窗扇+300/扇，钢板+100/块</t>
    <phoneticPr fontId="1" type="noConversion"/>
  </si>
  <si>
    <t>收费方式</t>
    <phoneticPr fontId="1" type="noConversion"/>
  </si>
  <si>
    <t>砸墙</t>
    <phoneticPr fontId="1" type="noConversion"/>
  </si>
  <si>
    <t>——</t>
    <phoneticPr fontId="1" type="noConversion"/>
  </si>
  <si>
    <t>日期</t>
    <phoneticPr fontId="1" type="noConversion"/>
  </si>
  <si>
    <t>饮食</t>
    <phoneticPr fontId="1" type="noConversion"/>
  </si>
  <si>
    <t>合计</t>
    <phoneticPr fontId="1" type="noConversion"/>
  </si>
  <si>
    <t>打车</t>
    <phoneticPr fontId="1" type="noConversion"/>
  </si>
  <si>
    <t>备注</t>
    <phoneticPr fontId="1" type="noConversion"/>
  </si>
  <si>
    <t>没有出门</t>
    <phoneticPr fontId="1" type="noConversion"/>
  </si>
  <si>
    <t>地铁</t>
    <phoneticPr fontId="1" type="noConversion"/>
  </si>
  <si>
    <t>公交卡充值</t>
    <phoneticPr fontId="1" type="noConversion"/>
  </si>
  <si>
    <t>其它</t>
    <phoneticPr fontId="1" type="noConversion"/>
  </si>
  <si>
    <t>其它项为B站充值，以为自己能给迷瞪看报价买的礼物</t>
    <phoneticPr fontId="1" type="noConversion"/>
  </si>
  <si>
    <t>380*7.52+3.6*50+300*2+100*2 = 3837.6</t>
    <phoneticPr fontId="1" type="noConversion"/>
  </si>
  <si>
    <t>实付</t>
    <phoneticPr fontId="1" type="noConversion"/>
  </si>
  <si>
    <r>
      <t>品诺装饰</t>
    </r>
    <r>
      <rPr>
        <sz val="16"/>
        <color rgb="FFFF0000"/>
        <rFont val="等线"/>
        <family val="3"/>
        <charset val="134"/>
      </rPr>
      <t>[1]</t>
    </r>
    <phoneticPr fontId="1" type="noConversion"/>
  </si>
  <si>
    <t>商家名称</t>
    <phoneticPr fontId="1" type="noConversion"/>
  </si>
  <si>
    <t>详细信息</t>
    <phoneticPr fontId="1" type="noConversion"/>
  </si>
  <si>
    <t>全称</t>
    <phoneticPr fontId="1" type="noConversion"/>
  </si>
  <si>
    <t>大连品诺装饰装修工程有限公司</t>
    <phoneticPr fontId="1" type="noConversion"/>
  </si>
  <si>
    <t>https://gongshang.mingluji.com/liaoning/name/%E5%A4%A7%E8%BF%9E%E5%93%81%E8%AF%BA%E8%A3%85%E9%A5%B0%E8%A3%85%E4%BF%AE%E5%B7%A5%E7%A8%8B%E6%9C%89%E9%99%90%E5%85%AC%E5%8F%B8</t>
    <phoneticPr fontId="1" type="noConversion"/>
  </si>
  <si>
    <t>https://aiqicha.baidu.com/company_detail_91131019584325?rq=ef&amp;pd=ee&amp;from=ps</t>
  </si>
  <si>
    <t>商品</t>
    <phoneticPr fontId="1" type="noConversion"/>
  </si>
  <si>
    <t>空间位置</t>
    <phoneticPr fontId="1" type="noConversion"/>
  </si>
  <si>
    <t>品牌型号</t>
    <phoneticPr fontId="1" type="noConversion"/>
  </si>
  <si>
    <t>淋浴花洒</t>
    <phoneticPr fontId="1" type="noConversion"/>
  </si>
  <si>
    <t>长卫生间</t>
    <phoneticPr fontId="1" type="noConversion"/>
  </si>
  <si>
    <t>方卫生间</t>
    <phoneticPr fontId="1" type="noConversion"/>
  </si>
  <si>
    <t>选购说明</t>
    <phoneticPr fontId="1" type="noConversion"/>
  </si>
  <si>
    <t>玻璃隔断门1</t>
    <phoneticPr fontId="1" type="noConversion"/>
  </si>
  <si>
    <t>马桶扶手</t>
    <phoneticPr fontId="1" type="noConversion"/>
  </si>
  <si>
    <t>马桶</t>
    <phoneticPr fontId="1" type="noConversion"/>
  </si>
  <si>
    <t>垃圾桶</t>
    <phoneticPr fontId="1" type="noConversion"/>
  </si>
  <si>
    <t>电热水器</t>
    <phoneticPr fontId="1" type="noConversion"/>
  </si>
  <si>
    <t>洗衣机洗漱台台面</t>
    <phoneticPr fontId="1" type="noConversion"/>
  </si>
  <si>
    <t>洗衣机</t>
    <phoneticPr fontId="1" type="noConversion"/>
  </si>
  <si>
    <t>洗漱台盆</t>
    <phoneticPr fontId="1" type="noConversion"/>
  </si>
  <si>
    <t>镜柜</t>
    <phoneticPr fontId="1" type="noConversion"/>
  </si>
  <si>
    <t>多层置物架（镜柜左侧）</t>
    <phoneticPr fontId="1" type="noConversion"/>
  </si>
  <si>
    <t>洗漱台一体（台盆，柜体，柜镜）</t>
    <phoneticPr fontId="1" type="noConversion"/>
  </si>
  <si>
    <t>冰箱</t>
    <phoneticPr fontId="1" type="noConversion"/>
  </si>
  <si>
    <t>餐厅</t>
    <phoneticPr fontId="1" type="noConversion"/>
  </si>
  <si>
    <t>折叠桌</t>
    <phoneticPr fontId="1" type="noConversion"/>
  </si>
  <si>
    <t>餐椅</t>
    <phoneticPr fontId="1" type="noConversion"/>
  </si>
  <si>
    <t>蒸烤一体机</t>
    <phoneticPr fontId="1" type="noConversion"/>
  </si>
  <si>
    <t>水槽</t>
    <phoneticPr fontId="1" type="noConversion"/>
  </si>
  <si>
    <t>洗碗机</t>
    <phoneticPr fontId="1" type="noConversion"/>
  </si>
  <si>
    <t>厨房</t>
    <phoneticPr fontId="1" type="noConversion"/>
  </si>
  <si>
    <t>电视</t>
    <phoneticPr fontId="1" type="noConversion"/>
  </si>
  <si>
    <t>多人沙发</t>
    <phoneticPr fontId="1" type="noConversion"/>
  </si>
  <si>
    <t>单人沙发</t>
    <phoneticPr fontId="1" type="noConversion"/>
  </si>
  <si>
    <t>茶几</t>
    <phoneticPr fontId="1" type="noConversion"/>
  </si>
  <si>
    <t>立式空调</t>
    <phoneticPr fontId="1" type="noConversion"/>
  </si>
  <si>
    <t>电动晾衣架</t>
    <phoneticPr fontId="1" type="noConversion"/>
  </si>
  <si>
    <t>边几1</t>
    <phoneticPr fontId="1" type="noConversion"/>
  </si>
  <si>
    <t>边几2</t>
    <phoneticPr fontId="1" type="noConversion"/>
  </si>
  <si>
    <t>落地灯</t>
    <phoneticPr fontId="1" type="noConversion"/>
  </si>
  <si>
    <t>壁挂灯</t>
    <phoneticPr fontId="1" type="noConversion"/>
  </si>
  <si>
    <t>客厅</t>
    <phoneticPr fontId="1" type="noConversion"/>
  </si>
  <si>
    <t>渠道</t>
    <phoneticPr fontId="1" type="noConversion"/>
  </si>
  <si>
    <t>报价</t>
    <phoneticPr fontId="1" type="noConversion"/>
  </si>
  <si>
    <t>链接</t>
    <phoneticPr fontId="1" type="noConversion"/>
  </si>
  <si>
    <t>京东，松下冰箱京东自营旗舰店</t>
    <phoneticPr fontId="1" type="noConversion"/>
  </si>
  <si>
    <t>尺寸（宽，深，高），mm</t>
    <phoneticPr fontId="1" type="noConversion"/>
  </si>
  <si>
    <t>松下（Panasonic）303升三门冰箱 一级能效 小京鱼智能 银离子抗菌 自动制冰宽幅变温NR-JS30AX1-W 白色</t>
    <phoneticPr fontId="1" type="noConversion"/>
  </si>
  <si>
    <t>https://item.jd.com/100007742413.html#none</t>
    <phoneticPr fontId="1" type="noConversion"/>
  </si>
  <si>
    <t>600，650，1900</t>
    <phoneticPr fontId="1" type="noConversion"/>
  </si>
  <si>
    <t>小米电视4A 60英寸 L60M5-4A 4K超高清 HDR 内置小爱 2GB+8GB 教育电视 人工智能语音网络液晶平板电视</t>
    <phoneticPr fontId="1" type="noConversion"/>
  </si>
  <si>
    <t>https://item.jd.com/100012354238.html</t>
    <phoneticPr fontId="1" type="noConversion"/>
  </si>
  <si>
    <t>缩略图</t>
    <phoneticPr fontId="1" type="noConversion"/>
  </si>
  <si>
    <t>京东，美的京东自营官方旗舰店</t>
    <phoneticPr fontId="1" type="noConversion"/>
  </si>
  <si>
    <t>美的（Midea）新一级 智行 智能变频冷暖 3匹客厅圆柱空调立式柜机 KFR-72LW/BP3DN8Y-YH200(1) 【新一级爆款】第四代智清洁</t>
    <phoneticPr fontId="1" type="noConversion"/>
  </si>
  <si>
    <t>https://item.jd.com/100007626997.html#none</t>
    <phoneticPr fontId="1" type="noConversion"/>
  </si>
  <si>
    <t>【室内机】405，405，1775【室外机】940，342，673</t>
    <phoneticPr fontId="1" type="noConversion"/>
  </si>
  <si>
    <t>壁挂空调1</t>
    <phoneticPr fontId="1" type="noConversion"/>
  </si>
  <si>
    <t>主卧室</t>
    <phoneticPr fontId="1" type="noConversion"/>
  </si>
  <si>
    <t>https://item.jd.com/100013853386.html#crumb-wrap</t>
    <phoneticPr fontId="1" type="noConversion"/>
  </si>
  <si>
    <t>美的（Midea）新一级 i青春II 智能控制 变频冷暖 大 1匹壁挂式空调挂机KFR-26GW/N8XHB1【新一级爆款】第四代智清洁</t>
    <phoneticPr fontId="1" type="noConversion"/>
  </si>
  <si>
    <t>【室内机】880，195，295 【室外机】857，328，555</t>
    <phoneticPr fontId="1" type="noConversion"/>
  </si>
  <si>
    <t>https://item.jd.com/100012295086.html#crumb-wrap</t>
    <phoneticPr fontId="1" type="noConversion"/>
  </si>
  <si>
    <t>海尔（Haier）滚筒洗衣机全自动 高温除菌 微蒸汽除螨防皱10KG洗烘一体变频EG100HB129S【微蒸汽空气洗蒸衣塑型】</t>
    <phoneticPr fontId="1" type="noConversion"/>
  </si>
  <si>
    <t>595，650，850</t>
    <phoneticPr fontId="1" type="noConversion"/>
  </si>
  <si>
    <t>京东，海尔京东自营旗舰店</t>
    <phoneticPr fontId="1" type="noConversion"/>
  </si>
  <si>
    <t>https://item.jd.com/100013700218.html#crumb-wrap</t>
    <phoneticPr fontId="1" type="noConversion"/>
  </si>
  <si>
    <t>美的（Midea）J58+Q70-T 油烟机 侧吸抽油烟机 烟灶套装 WiFi智控 家用吸油烟机 燃气灶 （天然气）【20㎡挥手烟机5.0KW六爪灶-天】</t>
    <phoneticPr fontId="1" type="noConversion"/>
  </si>
  <si>
    <t>https://item.jd.com/100003859066.html</t>
    <phoneticPr fontId="1" type="noConversion"/>
  </si>
  <si>
    <t>海尔（Haier）60升电热水器3000W变频速热6倍增容一级能效智能手机APP控制遥控预约EC6003-JT1(U1)京品家电【3000W变频】智能抑菌 6倍增容</t>
    <phoneticPr fontId="1" type="noConversion"/>
  </si>
  <si>
    <t>卫生间</t>
    <phoneticPr fontId="1" type="noConversion"/>
  </si>
  <si>
    <t>810，440，490</t>
    <phoneticPr fontId="1" type="noConversion"/>
  </si>
  <si>
    <t>电热毛巾架</t>
    <phoneticPr fontId="1" type="noConversion"/>
  </si>
  <si>
    <t>总价</t>
    <phoneticPr fontId="1" type="noConversion"/>
  </si>
  <si>
    <t>小米电视Redmi A55 55英寸4KHDR超高清人工智能网络液晶教育平板电视红米 L55R6-A</t>
    <phoneticPr fontId="1" type="noConversion"/>
  </si>
  <si>
    <t>京东，小米京东自营旗舰店</t>
    <phoneticPr fontId="1" type="noConversion"/>
  </si>
  <si>
    <t>【含边框，不含底座】1237.8，63.9，715.3</t>
    <phoneticPr fontId="1" type="noConversion"/>
  </si>
  <si>
    <t>美的（Midea）8套 嵌入式 家用洗碗机 WIFI智控 银离子抑菌 20min超快洗 台式刷碗机D18【8套台嵌两用】20min超快洗</t>
    <phoneticPr fontId="1" type="noConversion"/>
  </si>
  <si>
    <t>https://item.jd.com/100012006210.html#crumb-wrap</t>
    <phoneticPr fontId="1" type="noConversion"/>
  </si>
  <si>
    <t>550，500，590</t>
    <phoneticPr fontId="1" type="noConversion"/>
  </si>
  <si>
    <t>类型</t>
    <phoneticPr fontId="1" type="noConversion"/>
  </si>
  <si>
    <t>电器</t>
    <phoneticPr fontId="1" type="noConversion"/>
  </si>
  <si>
    <t>【外形尺寸】595，525，454【开孔尺寸】560，550，450</t>
    <phoneticPr fontId="1" type="noConversion"/>
  </si>
  <si>
    <t>https://item.jd.com/4315566.html#crumb-wrap</t>
    <phoneticPr fontId="1" type="noConversion"/>
  </si>
  <si>
    <t>美的（Midea）伯爵 蒸汽烤箱 嵌入式电蒸箱电烤箱 家用大容量蒸烤一体机TQN34FBJ-SA</t>
    <phoneticPr fontId="1" type="noConversion"/>
  </si>
  <si>
    <t>抽油烟机+灶台</t>
    <phoneticPr fontId="1" type="noConversion"/>
  </si>
  <si>
    <t>【抽油烟机】-【机体尺寸】898，404，636（429+207）【安装尺寸】宽915             【灶台】-【面板尺寸】760，445，145 【开孔尺寸】645，340，R20</t>
    <phoneticPr fontId="1" type="noConversion"/>
  </si>
  <si>
    <t>炒方便面</t>
    <phoneticPr fontId="1" type="noConversion"/>
  </si>
  <si>
    <r>
      <t>入户北次卧隔断墙+客厅回字形隔断墙+餐厅北阳台窗正下方墙垛+南次卧窗正下方墙垛+主卧飘窗</t>
    </r>
    <r>
      <rPr>
        <sz val="16"/>
        <color theme="0" tint="-0.34998626667073579"/>
        <rFont val="等线"/>
        <family val="3"/>
        <charset val="134"/>
      </rPr>
      <t>+门洞抬高10厘米全屋拉平（门洞包括两个卫生间+厨房门+四个卧室门）</t>
    </r>
    <phoneticPr fontId="1" type="noConversion"/>
  </si>
  <si>
    <t>砸墙+清渣（不涉及瓦工，因此不包含抹灰）</t>
    <phoneticPr fontId="1" type="noConversion"/>
  </si>
  <si>
    <t>开始时间</t>
    <phoneticPr fontId="1" type="noConversion"/>
  </si>
  <si>
    <t>注意事项</t>
    <phoneticPr fontId="1" type="noConversion"/>
  </si>
  <si>
    <t>后续跟进</t>
    <phoneticPr fontId="1" type="noConversion"/>
  </si>
  <si>
    <t>子项目</t>
    <phoneticPr fontId="1" type="noConversion"/>
  </si>
  <si>
    <t>量尺</t>
    <phoneticPr fontId="1" type="noConversion"/>
  </si>
  <si>
    <t>1~2</t>
    <phoneticPr fontId="1" type="noConversion"/>
  </si>
  <si>
    <t>工期, h</t>
    <phoneticPr fontId="1" type="noConversion"/>
  </si>
  <si>
    <t>卸旧门窗，砸墙</t>
    <phoneticPr fontId="1" type="noConversion"/>
  </si>
  <si>
    <t>卸旧门窗</t>
    <phoneticPr fontId="1" type="noConversion"/>
  </si>
  <si>
    <t>实施说明</t>
    <phoneticPr fontId="1" type="noConversion"/>
  </si>
  <si>
    <t>2020/12/7，14：00</t>
    <phoneticPr fontId="1" type="noConversion"/>
  </si>
  <si>
    <t>安装</t>
    <phoneticPr fontId="1" type="noConversion"/>
  </si>
  <si>
    <t>① 冬季使用废旧塑料布短时间临时封补窗口保护地暖</t>
    <phoneticPr fontId="1" type="noConversion"/>
  </si>
  <si>
    <t xml:space="preserve"> </t>
    <phoneticPr fontId="1" type="noConversion"/>
  </si>
  <si>
    <t>价格</t>
    <phoneticPr fontId="1" type="noConversion"/>
  </si>
  <si>
    <t>耳罩</t>
    <phoneticPr fontId="1" type="noConversion"/>
  </si>
  <si>
    <t>3MX5A</t>
    <phoneticPr fontId="1" type="noConversion"/>
  </si>
  <si>
    <t>京东</t>
    <phoneticPr fontId="1" type="noConversion"/>
  </si>
  <si>
    <t>口罩</t>
    <phoneticPr fontId="1" type="noConversion"/>
  </si>
  <si>
    <t>3M1201</t>
    <phoneticPr fontId="1" type="noConversion"/>
  </si>
  <si>
    <t>胶带</t>
    <phoneticPr fontId="1" type="noConversion"/>
  </si>
  <si>
    <t>楼下文具店</t>
    <phoneticPr fontId="1" type="noConversion"/>
  </si>
  <si>
    <t>收废品负责卸载和回收，收入+180元</t>
    <phoneticPr fontId="1" type="noConversion"/>
  </si>
  <si>
    <t>预付款400【已支付】+尾款600【已支付】</t>
    <phoneticPr fontId="1" type="noConversion"/>
  </si>
  <si>
    <t>① 门洞上扩会破坏本身的门梁，全部上扩后还需要根据要求重新建梁，所以取消该项目</t>
    <phoneticPr fontId="1" type="noConversion"/>
  </si>
  <si>
    <t>问题</t>
    <phoneticPr fontId="1" type="noConversion"/>
  </si>
  <si>
    <t>事项</t>
    <phoneticPr fontId="1" type="noConversion"/>
  </si>
  <si>
    <t>费用</t>
    <phoneticPr fontId="1" type="noConversion"/>
  </si>
  <si>
    <t>流程</t>
    <phoneticPr fontId="1" type="noConversion"/>
  </si>
  <si>
    <t>不产权申请表</t>
    <phoneticPr fontId="1" type="noConversion"/>
  </si>
  <si>
    <t>售楼处二楼财务处领取</t>
    <phoneticPr fontId="1" type="noConversion"/>
  </si>
  <si>
    <t>无需填写，找贷款银行代办时再处理</t>
    <phoneticPr fontId="1" type="noConversion"/>
  </si>
  <si>
    <t>产权测绘图纸</t>
    <phoneticPr fontId="1" type="noConversion"/>
  </si>
  <si>
    <t>五一路317号万水千山测绘公司</t>
    <phoneticPr fontId="1" type="noConversion"/>
  </si>
  <si>
    <t>存在乱收费问题，留存收据待查证</t>
    <phoneticPr fontId="1" type="noConversion"/>
  </si>
  <si>
    <t>① 不要破坏公共走廊地砖、入户门、地暖、管道、承重墙；② 冬季使用废旧塑料布短时间临时封补窗口保护地暖；③拆卸下来的钢筋可以卖，2块钱/公斤；④外墙变内墙后应该要求同时铲掉原外墙保温层</t>
    <phoneticPr fontId="1" type="noConversion"/>
  </si>
  <si>
    <t>2020/12/8，14：00-17：00；2020/12/9，08:00-10：30</t>
    <phoneticPr fontId="1" type="noConversion"/>
  </si>
  <si>
    <t>预付款650【已支付】+尾款3180【已支付】</t>
    <phoneticPr fontId="1" type="noConversion"/>
  </si>
  <si>
    <t>2020/12/9，10：30-11：30；2020/12/9，14：30-16：00</t>
    <phoneticPr fontId="1" type="noConversion"/>
  </si>
  <si>
    <t>上午先装窗框和挡水板，发泡剂填充，打胶固定；下午等发泡和胶干了之后装玻璃，胶封</t>
    <phoneticPr fontId="1" type="noConversion"/>
  </si>
  <si>
    <t>24小时之后可以看看开关窗看是否牢固，有无安装问题</t>
    <phoneticPr fontId="1" type="noConversion"/>
  </si>
  <si>
    <t xml:space="preserve">工人作业速度非常快，没有时间仔细确认①断桥铝材质的厚度是否满足1.4mm ②实际测量发现窗扇厚度73mm，窗框厚度64mm，经过邻居和商家反复确认，觉得可能存在欺诈，已录音备用 </t>
    <phoneticPr fontId="1" type="noConversion"/>
  </si>
  <si>
    <t>①装好后不要立即清扫，以免扬灰影响胶封；②装好后应等待24小时再去检查已免蹭到未干的胶</t>
    <phoneticPr fontId="1" type="noConversion"/>
  </si>
  <si>
    <r>
      <t>包含砸墙、清渣</t>
    </r>
    <r>
      <rPr>
        <sz val="16"/>
        <color theme="0" tint="-0.34998626667073579"/>
        <rFont val="等线"/>
        <family val="3"/>
        <charset val="134"/>
      </rPr>
      <t>和抹灰(单独砸墙无瓦工)</t>
    </r>
    <r>
      <rPr>
        <sz val="16"/>
        <color theme="1"/>
        <rFont val="等线"/>
        <family val="4"/>
        <charset val="134"/>
        <scheme val="minor"/>
      </rPr>
      <t>；出售拆卸下来的钢筋，收入+30元</t>
    </r>
    <phoneticPr fontId="1" type="noConversion"/>
  </si>
  <si>
    <t>断桥铝，73型材(营口永顺断桥铝)，双层玻璃，单层玻璃厚5mm，四分格形态，内嵌海绵棒，北阳台全钢化，南阳台非钢化，明合页带定位器，无内导，外阳台台面内倾斜渗水各加一块钢板防渗漏，五金304不锈钢</t>
    <phoneticPr fontId="1" type="noConversion"/>
  </si>
  <si>
    <t>https://item.jd.com/100008697687.html#crumb-wrap</t>
    <phoneticPr fontId="1" type="noConversion"/>
  </si>
  <si>
    <t>【双十二】-100</t>
    <phoneticPr fontId="1" type="noConversion"/>
  </si>
  <si>
    <t>【双十二】-0</t>
    <phoneticPr fontId="1" type="noConversion"/>
  </si>
  <si>
    <t>【双十二】-200</t>
    <phoneticPr fontId="1" type="noConversion"/>
  </si>
  <si>
    <t>【双十二】-500</t>
    <phoneticPr fontId="1" type="noConversion"/>
  </si>
  <si>
    <t>需要有通风孔和底座通风孔；                                   【双十二】-500</t>
    <phoneticPr fontId="1" type="noConversion"/>
  </si>
  <si>
    <t>【双十二】-100*2</t>
    <phoneticPr fontId="1" type="noConversion"/>
  </si>
  <si>
    <t>卫浴</t>
    <phoneticPr fontId="1" type="noConversion"/>
  </si>
  <si>
    <t>风暖浴霸</t>
    <phoneticPr fontId="1" type="noConversion"/>
  </si>
  <si>
    <t>前置过滤器</t>
    <phoneticPr fontId="1" type="noConversion"/>
  </si>
  <si>
    <t>厨房用品</t>
    <phoneticPr fontId="1" type="noConversion"/>
  </si>
  <si>
    <t>铲保温墙</t>
    <phoneticPr fontId="1" type="noConversion"/>
  </si>
  <si>
    <t>北阳台封窗后变为内阳台，需要铲掉保温层扩大一点空间</t>
    <phoneticPr fontId="1" type="noConversion"/>
  </si>
  <si>
    <t>① 这一步应该包含在砸墙中，当时忘记了。为了节约成本，就自己铲</t>
    <phoneticPr fontId="1" type="noConversion"/>
  </si>
  <si>
    <t>工业吸尘器</t>
    <phoneticPr fontId="1" type="noConversion"/>
  </si>
  <si>
    <t>杰诺JS-308S</t>
    <phoneticPr fontId="1" type="noConversion"/>
  </si>
  <si>
    <t>灭火器</t>
    <phoneticPr fontId="1" type="noConversion"/>
  </si>
  <si>
    <t>浙星干粉灭火器4公斤 手提式</t>
    <phoneticPr fontId="1" type="noConversion"/>
  </si>
  <si>
    <t>装修保护膜</t>
    <phoneticPr fontId="1" type="noConversion"/>
  </si>
  <si>
    <t>彩弘2.4m*15m 两卷</t>
    <phoneticPr fontId="1" type="noConversion"/>
  </si>
  <si>
    <t>冲击钻电锤电镐两用</t>
    <phoneticPr fontId="1" type="noConversion"/>
  </si>
  <si>
    <t>德国沃克莱夫混凝土工业级电钻套装</t>
    <phoneticPr fontId="1" type="noConversion"/>
  </si>
  <si>
    <t>插排</t>
    <phoneticPr fontId="1" type="noConversion"/>
  </si>
  <si>
    <t>公牛，3m</t>
    <phoneticPr fontId="1" type="noConversion"/>
  </si>
  <si>
    <t>小区便利店</t>
    <phoneticPr fontId="1" type="noConversion"/>
  </si>
  <si>
    <t>铲保温层</t>
    <phoneticPr fontId="1" type="noConversion"/>
  </si>
  <si>
    <t>①应该包含在砸墙环节②最好用角磨机、撬棍等工具效率更高③做好防护，包括降噪耳罩、防尘口罩、眼罩、面罩等，保温岩棉的碎屑容易进入呼吸道、沾皮肤后发痒</t>
    <phoneticPr fontId="1" type="noConversion"/>
  </si>
  <si>
    <t>售后</t>
    <phoneticPr fontId="1" type="noConversion"/>
  </si>
  <si>
    <t>送三年延保</t>
    <phoneticPr fontId="1" type="noConversion"/>
  </si>
  <si>
    <t>梯子</t>
    <phoneticPr fontId="1" type="noConversion"/>
  </si>
  <si>
    <t>格美居GEMJU家用折叠人字梯铝合金加厚</t>
    <phoneticPr fontId="1" type="noConversion"/>
  </si>
  <si>
    <t>美的RX10Pro</t>
    <phoneticPr fontId="1" type="noConversion"/>
  </si>
  <si>
    <t>600，581，775</t>
    <phoneticPr fontId="1" type="noConversion"/>
  </si>
  <si>
    <t>淘宝，美的合易美专卖店</t>
    <phoneticPr fontId="1" type="noConversion"/>
  </si>
  <si>
    <t>【双十二】</t>
    <phoneticPr fontId="1" type="noConversion"/>
  </si>
  <si>
    <t>整机保修一年，主要零部件（控制面板、电机、电控板、水泵）保修三年</t>
    <phoneticPr fontId="1" type="noConversion"/>
  </si>
  <si>
    <t>安装费用</t>
    <phoneticPr fontId="1" type="noConversion"/>
  </si>
  <si>
    <t>【双十二】-600，3790可以拿下；赠品回血：-</t>
    <phoneticPr fontId="1" type="noConversion"/>
  </si>
  <si>
    <t>临时马桶</t>
    <phoneticPr fontId="1" type="noConversion"/>
  </si>
  <si>
    <t>住宅电器设计规范</t>
    <phoneticPr fontId="1" type="noConversion"/>
  </si>
  <si>
    <t>墨斗+墨汁*2</t>
    <phoneticPr fontId="1" type="noConversion"/>
  </si>
  <si>
    <t>田岛</t>
    <phoneticPr fontId="1" type="noConversion"/>
  </si>
  <si>
    <t>3M</t>
    <phoneticPr fontId="1" type="noConversion"/>
  </si>
  <si>
    <t>口罩防尘罩10片</t>
    <phoneticPr fontId="1" type="noConversion"/>
  </si>
  <si>
    <t>激光水平仪</t>
    <phoneticPr fontId="1" type="noConversion"/>
  </si>
  <si>
    <t>石井</t>
    <phoneticPr fontId="1" type="noConversion"/>
  </si>
  <si>
    <t>方太JQD6T+HT8BE.S(天然气)油烟机燃气灶20大风量一键启动巨焰大火力新灶</t>
    <phoneticPr fontId="1" type="noConversion"/>
  </si>
  <si>
    <t>保修5年</t>
    <phoneticPr fontId="1" type="noConversion"/>
  </si>
  <si>
    <t>免费，辅材按实际情况收费</t>
    <phoneticPr fontId="1" type="noConversion"/>
  </si>
  <si>
    <t>请田孟吃饭</t>
    <phoneticPr fontId="1" type="noConversion"/>
  </si>
  <si>
    <t>去宜家</t>
    <phoneticPr fontId="1" type="noConversion"/>
  </si>
  <si>
    <t>2020/12/11，10：30-12：30；2020/12/11，14：30-17：30；2020/12/15，10：30-12：30；2020/12/15，14：30-17：00</t>
    <phoneticPr fontId="1" type="noConversion"/>
  </si>
  <si>
    <t>保温层包括保温岩棉、挂网、水泥砂浆，使用锤子、剪刀、电锤、电镐进行铲除、以及清渣</t>
    <phoneticPr fontId="1" type="noConversion"/>
  </si>
  <si>
    <r>
      <t>抹灰</t>
    </r>
    <r>
      <rPr>
        <sz val="16"/>
        <color theme="1"/>
        <rFont val="等线"/>
        <family val="4"/>
        <charset val="134"/>
      </rPr>
      <t>，铲遗留下来的外墙保温棉</t>
    </r>
    <phoneticPr fontId="1" type="noConversion"/>
  </si>
  <si>
    <t>水电</t>
    <phoneticPr fontId="1" type="noConversion"/>
  </si>
  <si>
    <t>买了两瓶眼药水舒缓</t>
    <phoneticPr fontId="1" type="noConversion"/>
  </si>
  <si>
    <t>拆开发商提供的电线盒看具体走线和是否能重用</t>
    <phoneticPr fontId="1" type="noConversion"/>
  </si>
  <si>
    <t>拆掉插座、开关、报警器、强弱电箱、网口、TV口、白炽灯线盒，查看每个节点的进出火、零、地线的情况并录像，配合物业提供的室内走电参考图，还原目前电路路线</t>
    <phoneticPr fontId="1" type="noConversion"/>
  </si>
  <si>
    <t>①注意用电安全，一定要断开强电箱总开关再进行操作</t>
    <phoneticPr fontId="1" type="noConversion"/>
  </si>
  <si>
    <t>保护</t>
    <phoneticPr fontId="1" type="noConversion"/>
  </si>
  <si>
    <t>2020/12/16，14：30-17：00</t>
    <phoneticPr fontId="1" type="noConversion"/>
  </si>
  <si>
    <t>使用保护膜保护目前室内所有北面的窗户，留南向窗通风</t>
    <phoneticPr fontId="1" type="noConversion"/>
  </si>
  <si>
    <t>①购买的静电吸附防护膜单层覆盖防护飞溅的水泥强度不够，需多层覆盖或者最好换无纺布防护</t>
    <phoneticPr fontId="1" type="noConversion"/>
  </si>
  <si>
    <t>南向窗必要时实施保护；如果两层防护不够，考虑更换无纺布</t>
    <phoneticPr fontId="1" type="noConversion"/>
  </si>
  <si>
    <t>买调料做鱿鱼</t>
    <phoneticPr fontId="1" type="noConversion"/>
  </si>
  <si>
    <t>2020/12/17，10：30-12：00；2020/12/17，14：30-17：30；2020/12/19，10：30-11：30；</t>
    <phoneticPr fontId="1" type="noConversion"/>
  </si>
  <si>
    <r>
      <t>窗户附近铲除后需再次挂网抹水泥砂浆以及后续操作；铲除后发现新封的窗钉大部分穿保温层固定，咨询卖窗商家答复没有安全隐患，但是会沿保温层渗水，</t>
    </r>
    <r>
      <rPr>
        <sz val="16"/>
        <color rgb="FFC00000"/>
        <rFont val="等线"/>
        <family val="3"/>
        <charset val="134"/>
      </rPr>
      <t>后续考虑使用防水专用水泥砂浆对全屋类似情况的窗户都进行封堵和加固，再辅以防水层提高防水性能</t>
    </r>
    <phoneticPr fontId="1" type="noConversion"/>
  </si>
  <si>
    <t>抹灰</t>
    <phoneticPr fontId="1" type="noConversion"/>
  </si>
  <si>
    <t>砌墙抹灰</t>
    <phoneticPr fontId="1" type="noConversion"/>
  </si>
  <si>
    <t>砌主卧门洞+飘窗、南次卧阳台、餐厅阳台抹灰</t>
    <phoneticPr fontId="1" type="noConversion"/>
  </si>
  <si>
    <t>红砖</t>
    <phoneticPr fontId="1" type="noConversion"/>
  </si>
  <si>
    <t>9期便民建材批发商店</t>
    <phoneticPr fontId="1" type="noConversion"/>
  </si>
  <si>
    <t>标准尺寸</t>
    <phoneticPr fontId="1" type="noConversion"/>
  </si>
  <si>
    <t>0.6 = (0.5/块+0.1/块上料)</t>
    <phoneticPr fontId="1" type="noConversion"/>
  </si>
  <si>
    <t>水泥</t>
    <phoneticPr fontId="1" type="noConversion"/>
  </si>
  <si>
    <t>26 = (25/袋+1/袋上料)</t>
    <phoneticPr fontId="1" type="noConversion"/>
  </si>
  <si>
    <t>沙子</t>
    <phoneticPr fontId="1" type="noConversion"/>
  </si>
  <si>
    <t>河沙，40kg/袋</t>
    <phoneticPr fontId="1" type="noConversion"/>
  </si>
  <si>
    <t>保温板</t>
    <phoneticPr fontId="1" type="noConversion"/>
  </si>
  <si>
    <t>胶钉</t>
    <phoneticPr fontId="1" type="noConversion"/>
  </si>
  <si>
    <t>胶泥</t>
    <phoneticPr fontId="1" type="noConversion"/>
  </si>
  <si>
    <t>网</t>
    <phoneticPr fontId="1" type="noConversion"/>
  </si>
  <si>
    <t>门梁</t>
    <phoneticPr fontId="1" type="noConversion"/>
  </si>
  <si>
    <t>5 = (4/袋+1/袋上料)</t>
    <phoneticPr fontId="1" type="noConversion"/>
  </si>
  <si>
    <t>120cmx60cm/块</t>
    <phoneticPr fontId="1" type="noConversion"/>
  </si>
  <si>
    <t>长1.25m, 横截面4cm*6cm</t>
    <phoneticPr fontId="1" type="noConversion"/>
  </si>
  <si>
    <t>25/m</t>
    <phoneticPr fontId="1" type="noConversion"/>
  </si>
  <si>
    <t>散工+业主</t>
    <phoneticPr fontId="1" type="noConversion"/>
  </si>
  <si>
    <t>业主</t>
    <phoneticPr fontId="1" type="noConversion"/>
  </si>
  <si>
    <t>① 师傅干一天我们跟着学，让师傅尽量把难做的部分做完，余下简单的活我们自己干完，可以省一天人工费用</t>
    <phoneticPr fontId="1" type="noConversion"/>
  </si>
  <si>
    <t>契税</t>
    <phoneticPr fontId="1" type="noConversion"/>
  </si>
  <si>
    <t>塑料盆</t>
    <phoneticPr fontId="1" type="noConversion"/>
  </si>
  <si>
    <t>8期楼下便利店</t>
    <phoneticPr fontId="1" type="noConversion"/>
  </si>
  <si>
    <t>粉笔</t>
    <phoneticPr fontId="1" type="noConversion"/>
  </si>
  <si>
    <t>白色一盒，彩色一盒</t>
    <phoneticPr fontId="1" type="noConversion"/>
  </si>
  <si>
    <t>抹灰泥板</t>
    <phoneticPr fontId="1" type="noConversion"/>
  </si>
  <si>
    <t xml:space="preserve"> 主卧门洞为红砖墙，左右宽15cm，厚12cm，高220cm，门洞上方加钢梁，两根长1.25m横截面4cm*6cm的钢梁拼接，新旧墙体衔接处每隔40cm左右掏一个洞，长砖嵌入，砌好后直接水泥砂浆抹平；抹灰部分，南次卧阳台左墙窗户缝隙处填水泥砂浆，然后铺2cm厚保温板，以胶钉固定，再加胶泥挂网和水泥砂浆抹平，顶部有掉落倾向的原挂网打一两个胶钉固定；厨房餐厅顶部有掉落倾向的原挂网打一个胶钉固定，胶泥抹平，定工人单人单日工期，剩余部分自己学着做完</t>
    <phoneticPr fontId="1" type="noConversion"/>
  </si>
  <si>
    <t>个人户口页</t>
    <phoneticPr fontId="1" type="noConversion"/>
  </si>
  <si>
    <t>Fesco借出</t>
    <phoneticPr fontId="1" type="noConversion"/>
  </si>
  <si>
    <t>燃气热水器</t>
    <phoneticPr fontId="1" type="noConversion"/>
  </si>
  <si>
    <t>390，160，600</t>
    <phoneticPr fontId="1" type="noConversion"/>
  </si>
  <si>
    <t>京东，海尔热水器隆阳专卖店</t>
    <phoneticPr fontId="1" type="noConversion"/>
  </si>
  <si>
    <t>厨房室内</t>
    <phoneticPr fontId="1" type="noConversion"/>
  </si>
  <si>
    <t>海尔燃气热水器JSQ31-16R5BW</t>
    <phoneticPr fontId="1" type="noConversion"/>
  </si>
  <si>
    <t>翻墙续费</t>
    <phoneticPr fontId="1" type="noConversion"/>
  </si>
  <si>
    <t>便携免洗洗手液+前置滤水器</t>
    <phoneticPr fontId="1" type="noConversion"/>
  </si>
  <si>
    <t>①飘窗窗台正下方加2cm厚保温板，以胶钉固定，再加胶泥挂网抹平    ②南次卧阳台右侧顶待胶泥干透后补两个胶钉  ③南次卧阳台剩下墙面师傅建议在刮大白的时候直接用石膏挂网抹平，建议咨询大白师傅 ④餐厅阳台剩下有保温棉的墙面挂网胶泥抹平，之后和其它墙面一起其它部分以水泥砂浆抹平    ⑤未用防水专用水泥，后续靠窗部分均需要做防水涂层⑥师傅门洞没有砌平砌垂直，需要再来修补</t>
    <phoneticPr fontId="1" type="noConversion"/>
  </si>
  <si>
    <t xml:space="preserve">2020/12/19，16：30-17：30（找师傅）                 2020/12/20，10：30-11：30（上料）                                       2020/12/21，8：30-11：30         2020/12/21，13：30-17：30      2020/12/24，12：00-13：00       2020/12/24，17：30-18：10       </t>
    <phoneticPr fontId="1" type="noConversion"/>
  </si>
  <si>
    <t>2020/12/25，10：00-13：30         2020/12/25，15：30-18：00</t>
    <phoneticPr fontId="1" type="noConversion"/>
  </si>
  <si>
    <t>①，②没有补，但是在餐厅阳台顶面补了一个，修补师傅遗留下来的明显裂缝，补砸墙遗留下来的缺角</t>
    <phoneticPr fontId="1" type="noConversion"/>
  </si>
  <si>
    <t>③④⑤⑥（有所改善，但是门洞内外墙面有倾斜角，如果要做窄边框一定需要再找平）</t>
    <phoneticPr fontId="1" type="noConversion"/>
  </si>
  <si>
    <t>纳米大厦房管局</t>
    <phoneticPr fontId="1" type="noConversion"/>
  </si>
  <si>
    <t>首套1.5%</t>
    <phoneticPr fontId="1" type="noConversion"/>
  </si>
  <si>
    <t>房本工本费</t>
    <phoneticPr fontId="1" type="noConversion"/>
  </si>
  <si>
    <t>给崔涛大概1月25号可以问下进度</t>
    <phoneticPr fontId="1" type="noConversion"/>
  </si>
  <si>
    <t>TODO: 收货好评返200， 晒单赠品三选一(海尔熨烫机，红三角电饭锅，美菱电炒锅)，师傅上门安装时退还设计费30</t>
    <phoneticPr fontId="1" type="noConversion"/>
  </si>
  <si>
    <t>京东，海尔家电智选旗舰店</t>
    <phoneticPr fontId="1" type="noConversion"/>
  </si>
  <si>
    <t>TODO: 收货晒图送赠品（茶吧机）</t>
    <phoneticPr fontId="1" type="noConversion"/>
  </si>
  <si>
    <t>延迟送货（需要时提前联系商家），保价360天，整机一年，主件三年，送十年电机延保卡</t>
    <phoneticPr fontId="1" type="noConversion"/>
  </si>
  <si>
    <t>延迟送货（3月15号），保价30天，整机八年保修，免费上门，免费换零件，服务电话4006-999-999</t>
    <phoneticPr fontId="1" type="noConversion"/>
  </si>
  <si>
    <t>700，675，1775</t>
    <phoneticPr fontId="1" type="noConversion"/>
  </si>
  <si>
    <t>海尔冰箱十字对开门风冷无霜四门冰箱双变频大容量冰箱405升新国标一级能效阻氧干湿分储母婴专属空间</t>
    <phoneticPr fontId="1" type="noConversion"/>
  </si>
  <si>
    <t>浴缸</t>
    <phoneticPr fontId="1" type="noConversion"/>
  </si>
  <si>
    <t>抹灰抹子（光面）</t>
    <phoneticPr fontId="1" type="noConversion"/>
  </si>
  <si>
    <t>腾讯会员</t>
    <phoneticPr fontId="1" type="noConversion"/>
  </si>
  <si>
    <t>验孕棒15</t>
    <phoneticPr fontId="1" type="noConversion"/>
  </si>
  <si>
    <t>① 要根据自己定好的点位图纸和实际画线仔细对应，我们标识的已经很仔细了，但是实际画线中发现的问题：a) 主卧室进门的照明开关给画在了新砌的门边上，这样开槽势必会截断部分钢梁, 已调整为原墙面开槽 b) 燃气热水器的冷热水管没有按照实际管距开槽，选款冷热管距20.9cm, 实际开槽15cm, 还好问了海尔售后说不影响安装，燃气热水器的电热防冻插座要距离机器10cm左右，这里也让师傅调整了一下距离 ② 施工不规范：a) 给线盒打发泡(跟师傅说改水泥砂浆、胶泥或者石膏，但是他为了省工人费用不同意，看看能不能自己搞一下)，b) 冷热水管紧贴着走</t>
    <phoneticPr fontId="1" type="noConversion"/>
  </si>
  <si>
    <t>日工结束支付全款</t>
    <phoneticPr fontId="1" type="noConversion"/>
  </si>
  <si>
    <t>岳岳手机充值50，验孕棒15，喜家德118</t>
    <phoneticPr fontId="1" type="noConversion"/>
  </si>
  <si>
    <t>岳岳生日蛋糕</t>
    <phoneticPr fontId="1" type="noConversion"/>
  </si>
  <si>
    <t>施工</t>
    <phoneticPr fontId="1" type="noConversion"/>
  </si>
  <si>
    <t>现场沟通水电点位给报价，定师傅，下料和订购，联系水钻工人</t>
    <phoneticPr fontId="1" type="noConversion"/>
  </si>
  <si>
    <t>2020/12/31，10：00-18：00 2021/01/01，10：30-12：00  2021/01/03，11：30-17：30</t>
    <phoneticPr fontId="1" type="noConversion"/>
  </si>
  <si>
    <t>从不同渠道联系到5个水电工，单独约实地沟通水电计划让师傅出报价（走水and/or走电，包工or包工包料），选择权重 价格&gt;是否容易沟通&gt;渠道信赖度选师傅，让师傅下料，去购买施工材料，联系水钻工人</t>
    <phoneticPr fontId="1" type="noConversion"/>
  </si>
  <si>
    <t>师傅（孟师傅-电话13942626713）砌墙敷衍！</t>
    <phoneticPr fontId="1" type="noConversion"/>
  </si>
  <si>
    <t>根据我们出的图纸画线（工人用的是水平尺+记号笔，没有用弹线），开槽，打水钻眼，布线</t>
    <phoneticPr fontId="1" type="noConversion"/>
  </si>
  <si>
    <r>
      <t>①21号第一天砌墙的时候比较相信师傅，门洞不平不垂直没有及时发现，22号发现，23号疫情做核酸检测，24号师傅中午和晚上才有空过来做修补，严重拖慢了工期；</t>
    </r>
    <r>
      <rPr>
        <sz val="16"/>
        <color rgb="FFC00000"/>
        <rFont val="等线"/>
        <family val="3"/>
        <charset val="134"/>
      </rPr>
      <t>一定不要轻易相信散工的人品，你以为的默认的标准只要不明说不强调，散工就会随便糊弄</t>
    </r>
    <phoneticPr fontId="1" type="noConversion"/>
  </si>
  <si>
    <t>押金500（待还，1月20号之前去还）</t>
    <phoneticPr fontId="1" type="noConversion"/>
  </si>
  <si>
    <r>
      <t>开发商的线路可靠性存疑(主卧卫生间灯跳闸一次)，</t>
    </r>
    <r>
      <rPr>
        <sz val="16"/>
        <color rgb="FFC00000"/>
        <rFont val="等线"/>
        <family val="3"/>
        <charset val="134"/>
      </rPr>
      <t>要么全屋换线要么电改完之后仔细验收</t>
    </r>
    <phoneticPr fontId="1" type="noConversion"/>
  </si>
  <si>
    <t>砌墙师傅</t>
    <phoneticPr fontId="1" type="noConversion"/>
  </si>
  <si>
    <t>孟</t>
    <phoneticPr fontId="1" type="noConversion"/>
  </si>
  <si>
    <t>品诺装饰（砸墙）</t>
    <phoneticPr fontId="1" type="noConversion"/>
  </si>
  <si>
    <t>王</t>
    <phoneticPr fontId="1" type="noConversion"/>
  </si>
  <si>
    <t>水钻打眼</t>
    <phoneticPr fontId="1" type="noConversion"/>
  </si>
  <si>
    <t>赵</t>
    <phoneticPr fontId="1" type="noConversion"/>
  </si>
  <si>
    <t>其它商家</t>
    <phoneticPr fontId="1" type="noConversion"/>
  </si>
  <si>
    <t>岳威，15241464419</t>
    <phoneticPr fontId="1" type="noConversion"/>
  </si>
  <si>
    <t>水：从厕所走进水到两个卫生间，主冷水管6分，进两个卫生间6变4，卫生间和厨房内部都是4分管，燃气热水器回水和热水都是4分，只做主管回水；电：分8个回路（①全屋（不含厨房和卫生间）照明，②主次卫生间，③厨房，④全屋（不含厨房和卫生间）插座，⑤冰箱，⑥客厅柜机空调，⑦北卧室挂机空调，⑧南卧室挂机空调），换强电空开，不做全屋换线；水钻眼：共13个穿梁眼（10个40走水，3个走电），1个燃气热水器排气管</t>
    <phoneticPr fontId="1" type="noConversion"/>
  </si>
  <si>
    <t>幸福家居建材市场</t>
    <phoneticPr fontId="1" type="noConversion"/>
  </si>
  <si>
    <t>下水管隔音棉</t>
    <phoneticPr fontId="1" type="noConversion"/>
  </si>
  <si>
    <t>项目</t>
    <phoneticPr fontId="1" type="noConversion"/>
  </si>
  <si>
    <t>全流程</t>
    <phoneticPr fontId="1" type="noConversion"/>
  </si>
  <si>
    <t>砌墙</t>
    <phoneticPr fontId="1" type="noConversion"/>
  </si>
  <si>
    <t>单项合计</t>
    <phoneticPr fontId="1" type="noConversion"/>
  </si>
  <si>
    <t>料量按散工要求购买，共479, 人工费450/天,师傅喝水2块</t>
    <phoneticPr fontId="1" type="noConversion"/>
  </si>
  <si>
    <t>50kg/袋，小野田425</t>
    <phoneticPr fontId="1" type="noConversion"/>
  </si>
  <si>
    <t>26.5=(25/袋+1.5/袋上料)</t>
    <phoneticPr fontId="1" type="noConversion"/>
  </si>
  <si>
    <t>5.5=(4/袋+1.5/袋上料)</t>
    <phoneticPr fontId="1" type="noConversion"/>
  </si>
  <si>
    <t>0.5/块，共20上料费</t>
    <phoneticPr fontId="1" type="noConversion"/>
  </si>
  <si>
    <t>1.5cm厚，7.5米长，1米宽</t>
    <phoneticPr fontId="1" type="noConversion"/>
  </si>
  <si>
    <t>80一卷</t>
    <phoneticPr fontId="1" type="noConversion"/>
  </si>
  <si>
    <t>买菜、炒板栗、fresh</t>
    <phoneticPr fontId="1" type="noConversion"/>
  </si>
  <si>
    <t>防水丙纶布</t>
    <phoneticPr fontId="1" type="noConversion"/>
  </si>
  <si>
    <t>小比利</t>
    <phoneticPr fontId="1" type="noConversion"/>
  </si>
  <si>
    <t>5/米</t>
    <phoneticPr fontId="1" type="noConversion"/>
  </si>
  <si>
    <t>胶粉</t>
    <phoneticPr fontId="1" type="noConversion"/>
  </si>
  <si>
    <t>14/袋</t>
    <phoneticPr fontId="1" type="noConversion"/>
  </si>
  <si>
    <t>包管找坡防水贴砖找平</t>
    <phoneticPr fontId="1" type="noConversion"/>
  </si>
  <si>
    <t>伟星</t>
    <phoneticPr fontId="1" type="noConversion"/>
  </si>
  <si>
    <t>6分ppr 45°弯头</t>
    <phoneticPr fontId="1" type="noConversion"/>
  </si>
  <si>
    <t>6分ppr弯头</t>
    <phoneticPr fontId="1" type="noConversion"/>
  </si>
  <si>
    <t>6分ppr管</t>
    <phoneticPr fontId="1" type="noConversion"/>
  </si>
  <si>
    <t>6分ppr 直接</t>
    <phoneticPr fontId="1" type="noConversion"/>
  </si>
  <si>
    <t>6变4ppr三通</t>
    <phoneticPr fontId="1" type="noConversion"/>
  </si>
  <si>
    <t>6变4ppr直接</t>
    <phoneticPr fontId="1" type="noConversion"/>
  </si>
  <si>
    <t>6变4ppr弯头</t>
    <phoneticPr fontId="1" type="noConversion"/>
  </si>
  <si>
    <t>6分保温棉</t>
    <phoneticPr fontId="1" type="noConversion"/>
  </si>
  <si>
    <t>6分球阀</t>
    <phoneticPr fontId="1" type="noConversion"/>
  </si>
  <si>
    <t>4分ppr管</t>
    <phoneticPr fontId="1" type="noConversion"/>
  </si>
  <si>
    <t>4分ppr弯头</t>
    <phoneticPr fontId="1" type="noConversion"/>
  </si>
  <si>
    <t>4分ppr三通</t>
    <phoneticPr fontId="1" type="noConversion"/>
  </si>
  <si>
    <t>4分ppr 45°弯头</t>
    <phoneticPr fontId="1" type="noConversion"/>
  </si>
  <si>
    <t>4分内丝弯头</t>
    <phoneticPr fontId="1" type="noConversion"/>
  </si>
  <si>
    <t>4分ppr内丝三通</t>
    <phoneticPr fontId="1" type="noConversion"/>
  </si>
  <si>
    <t>4分连体弯头</t>
    <phoneticPr fontId="1" type="noConversion"/>
  </si>
  <si>
    <t>塑料丝堵</t>
    <phoneticPr fontId="1" type="noConversion"/>
  </si>
  <si>
    <t>打压用角阀</t>
    <phoneticPr fontId="1" type="noConversion"/>
  </si>
  <si>
    <t>4分管古（内螺纹直接）</t>
    <phoneticPr fontId="1" type="noConversion"/>
  </si>
  <si>
    <t>打压用长软管</t>
    <phoneticPr fontId="1" type="noConversion"/>
  </si>
  <si>
    <t>4分红色保温棉</t>
    <phoneticPr fontId="1" type="noConversion"/>
  </si>
  <si>
    <t>4分蓝色保温棉</t>
    <phoneticPr fontId="1" type="noConversion"/>
  </si>
  <si>
    <t>4分管夹子</t>
    <phoneticPr fontId="1" type="noConversion"/>
  </si>
  <si>
    <t>1寸管夹子</t>
    <phoneticPr fontId="1" type="noConversion"/>
  </si>
  <si>
    <t>生料带</t>
    <phoneticPr fontId="1" type="noConversion"/>
  </si>
  <si>
    <t>100扁管</t>
    <phoneticPr fontId="1" type="noConversion"/>
  </si>
  <si>
    <t>50直接</t>
    <phoneticPr fontId="1" type="noConversion"/>
  </si>
  <si>
    <t>50单口弯头</t>
    <phoneticPr fontId="1" type="noConversion"/>
  </si>
  <si>
    <t>50弯头</t>
    <phoneticPr fontId="1" type="noConversion"/>
  </si>
  <si>
    <t>50下水管</t>
    <phoneticPr fontId="1" type="noConversion"/>
  </si>
  <si>
    <t>下水胶</t>
    <phoneticPr fontId="1" type="noConversion"/>
  </si>
  <si>
    <t>水电改造-下水</t>
    <phoneticPr fontId="1" type="noConversion"/>
  </si>
  <si>
    <t>水电改造-生活用水</t>
    <phoneticPr fontId="1" type="noConversion"/>
  </si>
  <si>
    <t>4平方线红、蓝、花（黄绿双色）</t>
    <phoneticPr fontId="1" type="noConversion"/>
  </si>
  <si>
    <t>2.5平方线红、蓝、白、绿</t>
    <phoneticPr fontId="1" type="noConversion"/>
  </si>
  <si>
    <t>3分线管</t>
    <phoneticPr fontId="1" type="noConversion"/>
  </si>
  <si>
    <t>3分线管接头</t>
    <phoneticPr fontId="1" type="noConversion"/>
  </si>
  <si>
    <t>3分线盒活结</t>
    <phoneticPr fontId="1" type="noConversion"/>
  </si>
  <si>
    <t>线盒</t>
    <phoneticPr fontId="1" type="noConversion"/>
  </si>
  <si>
    <t>连体线盒</t>
    <phoneticPr fontId="1" type="noConversion"/>
  </si>
  <si>
    <t>盒盖</t>
    <phoneticPr fontId="1" type="noConversion"/>
  </si>
  <si>
    <t>发泡胶</t>
    <phoneticPr fontId="1" type="noConversion"/>
  </si>
  <si>
    <t>开槽锯片</t>
    <phoneticPr fontId="1" type="noConversion"/>
  </si>
  <si>
    <t>割铁锯片</t>
    <phoneticPr fontId="1" type="noConversion"/>
  </si>
  <si>
    <t>腊管</t>
    <phoneticPr fontId="1" type="noConversion"/>
  </si>
  <si>
    <t>电布</t>
    <phoneticPr fontId="1" type="noConversion"/>
  </si>
  <si>
    <t>网线</t>
    <phoneticPr fontId="1" type="noConversion"/>
  </si>
  <si>
    <t>钢丝</t>
    <phoneticPr fontId="1" type="noConversion"/>
  </si>
  <si>
    <t>蛇皮螺纹管</t>
    <phoneticPr fontId="1" type="noConversion"/>
  </si>
  <si>
    <t>3分线夹子</t>
    <phoneticPr fontId="1" type="noConversion"/>
  </si>
  <si>
    <t>水电改造-电</t>
    <phoneticPr fontId="1" type="noConversion"/>
  </si>
  <si>
    <t>9期便民建材批发商店</t>
  </si>
  <si>
    <t>35/根，每根4米</t>
    <phoneticPr fontId="1" type="noConversion"/>
  </si>
  <si>
    <t>4/根，每根4米</t>
    <phoneticPr fontId="1" type="noConversion"/>
  </si>
  <si>
    <t>10/根</t>
    <phoneticPr fontId="1" type="noConversion"/>
  </si>
  <si>
    <t>3/根</t>
    <phoneticPr fontId="1" type="noConversion"/>
  </si>
  <si>
    <t>6/袋</t>
    <phoneticPr fontId="1" type="noConversion"/>
  </si>
  <si>
    <t>5/袋</t>
    <phoneticPr fontId="1" type="noConversion"/>
  </si>
  <si>
    <t>100扁移位器一套</t>
    <phoneticPr fontId="1" type="noConversion"/>
  </si>
  <si>
    <t>15/米</t>
    <phoneticPr fontId="1" type="noConversion"/>
  </si>
  <si>
    <t>50三通</t>
    <phoneticPr fontId="1" type="noConversion"/>
  </si>
  <si>
    <t>6/米</t>
    <phoneticPr fontId="1" type="noConversion"/>
  </si>
  <si>
    <t>25/桶</t>
    <phoneticPr fontId="1" type="noConversion"/>
  </si>
  <si>
    <t>222/捆</t>
    <phoneticPr fontId="1" type="noConversion"/>
  </si>
  <si>
    <t>145/捆</t>
    <phoneticPr fontId="1" type="noConversion"/>
  </si>
  <si>
    <t>1/根</t>
    <phoneticPr fontId="1" type="noConversion"/>
  </si>
  <si>
    <t>4/米</t>
    <phoneticPr fontId="1" type="noConversion"/>
  </si>
  <si>
    <t>六类线</t>
    <phoneticPr fontId="1" type="noConversion"/>
  </si>
  <si>
    <t>1/米</t>
    <phoneticPr fontId="1" type="noConversion"/>
  </si>
  <si>
    <t>灯头+200瓦灯泡</t>
    <phoneticPr fontId="1" type="noConversion"/>
  </si>
  <si>
    <t>50管45°弯头</t>
    <phoneticPr fontId="1" type="noConversion"/>
  </si>
  <si>
    <t>60/根，每根4米</t>
    <phoneticPr fontId="1" type="noConversion"/>
  </si>
  <si>
    <t>1寸吊夹</t>
    <phoneticPr fontId="1" type="noConversion"/>
  </si>
  <si>
    <t>20/袋</t>
    <phoneticPr fontId="1" type="noConversion"/>
  </si>
  <si>
    <t>料量按散工要求购买4170(=4015-15(抹零)+45+60+50+15)，余料退货退款497，实际用料总费用 3673(=4170-497) , 水电人工费3500, 水钻眼440(460=13x30+70，实付440)，清渣费20(13袋垃圾)，空开费用</t>
    <phoneticPr fontId="1" type="noConversion"/>
  </si>
  <si>
    <t>堵漏王</t>
    <phoneticPr fontId="1" type="noConversion"/>
  </si>
  <si>
    <t>8/袋</t>
    <phoneticPr fontId="1" type="noConversion"/>
  </si>
  <si>
    <t>可能是退款的时候识别错误</t>
  </si>
  <si>
    <t>可能是退款的时候识别错误</t>
    <phoneticPr fontId="1" type="noConversion"/>
  </si>
  <si>
    <t>2021/01/04，7：30-17：00          2021/01/05，7：00-18：00</t>
    <phoneticPr fontId="1" type="noConversion"/>
  </si>
  <si>
    <r>
      <rPr>
        <sz val="16"/>
        <color theme="1"/>
        <rFont val="等线"/>
        <family val="4"/>
        <charset val="134"/>
      </rPr>
      <t>①安全起见，厨房燃气管左侧的插座不保留</t>
    </r>
    <r>
      <rPr>
        <sz val="16"/>
        <color rgb="FFC00000"/>
        <rFont val="等线"/>
        <family val="3"/>
        <charset val="134"/>
      </rPr>
      <t xml:space="preserve"> </t>
    </r>
    <r>
      <rPr>
        <sz val="16"/>
        <color theme="1"/>
        <rFont val="等线"/>
        <family val="4"/>
        <charset val="134"/>
      </rPr>
      <t>②已走的冷热水管需要拉开一点距离，没有走的冷热水管不可以再紧贴，尽量留有一点距离 ③ 卫生间马桶下水使用扁管移位没有带来地面高度的提升 ④ 空气开关由下进上出改为通用做法上进下出，</t>
    </r>
    <r>
      <rPr>
        <sz val="16"/>
        <color rgb="FFC00000"/>
        <rFont val="等线"/>
        <family val="3"/>
        <charset val="134"/>
      </rPr>
      <t xml:space="preserve">更换空开 ⑤ 线盒发泡抠出来改为水泥砂浆 </t>
    </r>
    <r>
      <rPr>
        <sz val="16"/>
        <color theme="1"/>
        <rFont val="等线"/>
        <family val="4"/>
        <charset val="134"/>
      </rPr>
      <t>⑥不需要的点位能抽空就抽空</t>
    </r>
    <r>
      <rPr>
        <sz val="16"/>
        <color rgb="FFC00000"/>
        <rFont val="等线"/>
        <family val="3"/>
        <charset val="134"/>
      </rPr>
      <t xml:space="preserve"> ⑦ 全屋水电走完拍照留底，保留详细尺寸，标注未走活线的路径(入户卧室，客厅灯、厨房阳台灯、南次卧阳台灯) ⑧ 验收（</t>
    </r>
    <r>
      <rPr>
        <sz val="16"/>
        <color theme="1"/>
        <rFont val="等线"/>
        <family val="4"/>
        <charset val="134"/>
      </rPr>
      <t>约伟星打压</t>
    </r>
    <r>
      <rPr>
        <sz val="16"/>
        <color rgb="FFC00000"/>
        <rFont val="等线"/>
        <family val="3"/>
        <charset val="134"/>
      </rPr>
      <t>，验证电路各项回路和安装）</t>
    </r>
    <r>
      <rPr>
        <sz val="16"/>
        <color theme="1"/>
        <rFont val="等线"/>
        <family val="4"/>
        <charset val="134"/>
      </rPr>
      <t>⑨未使用完的完整耗材可以退</t>
    </r>
    <r>
      <rPr>
        <sz val="16"/>
        <color rgb="FFC00000"/>
        <rFont val="等线"/>
        <family val="3"/>
        <charset val="134"/>
      </rPr>
      <t xml:space="preserve">，其它多余耗材卖二手 </t>
    </r>
    <phoneticPr fontId="1" type="noConversion"/>
  </si>
  <si>
    <t>①涉及到燃气管路附近的用电要慎重，跟洗碗机商家确认洗碗机为前置散热，跟燃气公司确认可以沿墙角走燃气管路 ②其它工地上看到的不规范工艺一定要提前跟工人说，不说他们就会默认怎么方便怎么来（比如这次的线盒用发泡固定）③上料一定要仔细核对，不论大小件全部数好，少了让卖家及时补齐 ④抽出来的废弃电线自己收好，可以卖钱，不然就被工人带走了⑤打眼的活能干的都让师傅一起干了，可以省一些钱</t>
    <phoneticPr fontId="1" type="noConversion"/>
  </si>
  <si>
    <t>厨卫</t>
    <phoneticPr fontId="1" type="noConversion"/>
  </si>
  <si>
    <t>瓷砖样品</t>
    <phoneticPr fontId="1" type="noConversion"/>
  </si>
  <si>
    <t>1688+淘宝</t>
    <phoneticPr fontId="1" type="noConversion"/>
  </si>
  <si>
    <t>色初23+意大利米兰27+恒志13+玛喆20+方拓12+德胜居18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</si>
</sst>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8" formatCode="0.00;[Red]0.00"/>
  </numFmts>
  <fonts count="20">
    <font>
      <sz val="12"/>
      <color theme="1"/>
      <name val="等线"/>
      <family val="2"/>
      <charset val="134"/>
      <scheme val="minor"/>
    </font>
    <font>
      <sz val="9"/>
      <name val="等线"/>
      <family val="2"/>
      <charset val="134"/>
      <scheme val="minor"/>
    </font>
    <font>
      <sz val="16"/>
      <color theme="1"/>
      <name val="等线"/>
      <family val="2"/>
      <charset val="134"/>
      <scheme val="minor"/>
    </font>
    <font>
      <b/>
      <sz val="16"/>
      <color theme="1"/>
      <name val="等线"/>
      <family val="4"/>
      <charset val="134"/>
      <scheme val="minor"/>
    </font>
    <font>
      <sz val="16"/>
      <color rgb="FFFF0000"/>
      <name val="等线"/>
      <family val="3"/>
      <charset val="134"/>
    </font>
    <font>
      <u/>
      <sz val="12"/>
      <color theme="10"/>
      <name val="等线"/>
      <family val="2"/>
      <charset val="134"/>
      <scheme val="minor"/>
    </font>
    <font>
      <sz val="16"/>
      <color theme="1"/>
      <name val="等线"/>
      <family val="4"/>
      <charset val="134"/>
      <scheme val="minor"/>
    </font>
    <font>
      <u/>
      <sz val="16"/>
      <color theme="10"/>
      <name val="等线"/>
      <family val="4"/>
      <charset val="134"/>
      <scheme val="minor"/>
    </font>
    <font>
      <sz val="16"/>
      <color theme="0" tint="-0.34998626667073579"/>
      <name val="等线"/>
      <family val="3"/>
      <charset val="134"/>
    </font>
    <font>
      <sz val="16"/>
      <color rgb="FFC00000"/>
      <name val="等线"/>
      <family val="3"/>
      <charset val="134"/>
    </font>
    <font>
      <sz val="16"/>
      <color theme="0" tint="-0.249977111117893"/>
      <name val="等线"/>
      <family val="4"/>
      <charset val="134"/>
      <scheme val="minor"/>
    </font>
    <font>
      <u/>
      <sz val="12"/>
      <color theme="0" tint="-0.249977111117893"/>
      <name val="等线"/>
      <family val="4"/>
      <charset val="134"/>
      <scheme val="minor"/>
    </font>
    <font>
      <u/>
      <sz val="12"/>
      <color theme="1"/>
      <name val="等线"/>
      <family val="4"/>
      <charset val="134"/>
      <scheme val="minor"/>
    </font>
    <font>
      <sz val="16"/>
      <color theme="0" tint="-0.249977111117893"/>
      <name val="等线"/>
      <family val="2"/>
      <charset val="134"/>
      <scheme val="minor"/>
    </font>
    <font>
      <sz val="16"/>
      <color theme="1"/>
      <name val="等线 (正文)"/>
      <family val="3"/>
      <charset val="134"/>
    </font>
    <font>
      <sz val="16"/>
      <color theme="1"/>
      <name val="等线"/>
      <family val="3"/>
      <charset val="134"/>
    </font>
    <font>
      <u/>
      <sz val="12"/>
      <color theme="1"/>
      <name val="等线 (正文)"/>
      <family val="3"/>
      <charset val="134"/>
    </font>
    <font>
      <sz val="16"/>
      <color theme="1"/>
      <name val="等线"/>
      <family val="4"/>
      <charset val="134"/>
    </font>
    <font>
      <sz val="16"/>
      <color rgb="FF000000"/>
      <name val="等线"/>
      <family val="4"/>
      <charset val="134"/>
      <scheme val="minor"/>
    </font>
    <font>
      <sz val="16"/>
      <color rgb="FFC00000"/>
      <name val="等线"/>
      <family val="4"/>
      <charset val="134"/>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74">
    <xf numFmtId="0" fontId="0" fillId="0" borderId="0" xfId="0">
      <alignment vertical="center"/>
    </xf>
    <xf numFmtId="0" fontId="3" fillId="0" borderId="0" xfId="0" applyFont="1" applyAlignment="1">
      <alignment horizontal="left" vertical="center" wrapText="1"/>
    </xf>
    <xf numFmtId="176" fontId="3" fillId="0" borderId="0" xfId="0" applyNumberFormat="1" applyFont="1" applyAlignment="1">
      <alignment horizontal="left" vertical="center" wrapText="1"/>
    </xf>
    <xf numFmtId="14" fontId="2" fillId="0" borderId="0" xfId="0" applyNumberFormat="1" applyFont="1" applyAlignment="1">
      <alignment horizontal="left" vertical="center" wrapText="1"/>
    </xf>
    <xf numFmtId="176" fontId="2" fillId="0" borderId="0" xfId="0" applyNumberFormat="1" applyFont="1" applyAlignment="1">
      <alignment horizontal="left" vertical="center" wrapText="1"/>
    </xf>
    <xf numFmtId="0" fontId="2" fillId="0" borderId="0" xfId="0" applyFont="1" applyAlignment="1">
      <alignment horizontal="left" vertical="center" wrapText="1"/>
    </xf>
    <xf numFmtId="14" fontId="3" fillId="0" borderId="1" xfId="0" applyNumberFormat="1" applyFont="1" applyBorder="1" applyAlignment="1">
      <alignment horizontal="left" vertical="center" wrapText="1"/>
    </xf>
    <xf numFmtId="176"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2" fillId="0" borderId="0" xfId="0" applyFont="1" applyAlignment="1">
      <alignment horizontal="left" vertical="center"/>
    </xf>
    <xf numFmtId="0" fontId="7" fillId="0" borderId="0" xfId="1" applyFont="1" applyAlignment="1">
      <alignment horizontal="left" vertical="center"/>
    </xf>
    <xf numFmtId="0" fontId="6" fillId="0" borderId="0" xfId="0" applyFont="1" applyAlignment="1">
      <alignment horizontal="left" vertical="center" wrapText="1"/>
    </xf>
    <xf numFmtId="0" fontId="3" fillId="0" borderId="0" xfId="0" applyNumberFormat="1" applyFont="1" applyAlignment="1">
      <alignment horizontal="left" vertical="center" wrapText="1"/>
    </xf>
    <xf numFmtId="49" fontId="3" fillId="0" borderId="0" xfId="0" applyNumberFormat="1" applyFont="1" applyAlignment="1">
      <alignment horizontal="left" vertical="center" wrapText="1"/>
    </xf>
    <xf numFmtId="0" fontId="2" fillId="0" borderId="0" xfId="0" applyNumberFormat="1" applyFont="1" applyAlignment="1">
      <alignment horizontal="left" vertical="center" wrapText="1"/>
    </xf>
    <xf numFmtId="49" fontId="2" fillId="0" borderId="0" xfId="0" applyNumberFormat="1" applyFont="1" applyAlignment="1">
      <alignment horizontal="left" vertical="center" wrapText="1"/>
    </xf>
    <xf numFmtId="0" fontId="5" fillId="0" borderId="0" xfId="1" applyAlignment="1">
      <alignment horizontal="left" vertical="center" wrapText="1"/>
    </xf>
    <xf numFmtId="0" fontId="2" fillId="0" borderId="1" xfId="0" applyFont="1" applyBorder="1" applyAlignment="1">
      <alignment horizontal="left" vertical="center" wrapText="1"/>
    </xf>
    <xf numFmtId="0" fontId="2" fillId="0" borderId="1" xfId="0" applyNumberFormat="1" applyFont="1" applyBorder="1" applyAlignment="1">
      <alignment horizontal="left" vertical="center" wrapText="1"/>
    </xf>
    <xf numFmtId="49" fontId="2" fillId="0" borderId="1" xfId="0" applyNumberFormat="1" applyFont="1" applyBorder="1" applyAlignment="1">
      <alignment horizontal="left" vertical="center" wrapText="1"/>
    </xf>
    <xf numFmtId="0" fontId="2" fillId="0" borderId="0" xfId="0" applyFont="1" applyFill="1" applyAlignment="1">
      <alignment horizontal="left" vertical="center" wrapText="1"/>
    </xf>
    <xf numFmtId="0" fontId="2" fillId="0" borderId="0" xfId="0" applyNumberFormat="1" applyFont="1" applyFill="1" applyAlignment="1">
      <alignment horizontal="left" vertical="center" wrapText="1"/>
    </xf>
    <xf numFmtId="49" fontId="2" fillId="0" borderId="0" xfId="0" applyNumberFormat="1" applyFont="1" applyFill="1" applyAlignment="1">
      <alignment horizontal="left" vertical="center" wrapText="1"/>
    </xf>
    <xf numFmtId="0" fontId="5" fillId="0" borderId="0" xfId="1" applyFill="1" applyAlignment="1">
      <alignment horizontal="left" vertical="center" wrapText="1"/>
    </xf>
    <xf numFmtId="14" fontId="6" fillId="0" borderId="0" xfId="0" applyNumberFormat="1" applyFont="1" applyAlignment="1">
      <alignment horizontal="left" vertical="center" wrapText="1"/>
    </xf>
    <xf numFmtId="0" fontId="6" fillId="0" borderId="0" xfId="0" applyNumberFormat="1" applyFont="1" applyAlignment="1">
      <alignment horizontal="left" vertical="center" wrapText="1"/>
    </xf>
    <xf numFmtId="176" fontId="6" fillId="0" borderId="0" xfId="0" applyNumberFormat="1" applyFont="1" applyAlignment="1">
      <alignment horizontal="left" vertical="center" wrapText="1"/>
    </xf>
    <xf numFmtId="0" fontId="6" fillId="0" borderId="0" xfId="0" applyFont="1" applyAlignment="1">
      <alignment vertical="center" wrapText="1"/>
    </xf>
    <xf numFmtId="0" fontId="3" fillId="0" borderId="1" xfId="0" applyFont="1" applyBorder="1" applyAlignment="1">
      <alignment vertical="center" wrapText="1"/>
    </xf>
    <xf numFmtId="0" fontId="9"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center" wrapText="1"/>
    </xf>
    <xf numFmtId="0" fontId="2" fillId="0" borderId="1" xfId="0" applyFont="1" applyFill="1" applyBorder="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0" applyNumberFormat="1" applyFont="1" applyAlignment="1">
      <alignment horizontal="left" vertical="center" wrapText="1"/>
    </xf>
    <xf numFmtId="49" fontId="10" fillId="0" borderId="0" xfId="0" applyNumberFormat="1" applyFont="1" applyAlignment="1">
      <alignment horizontal="left" vertical="center" wrapText="1"/>
    </xf>
    <xf numFmtId="0" fontId="11" fillId="0" borderId="0" xfId="1" applyFont="1" applyAlignment="1">
      <alignment horizontal="left" vertical="center" wrapText="1"/>
    </xf>
    <xf numFmtId="0" fontId="13" fillId="0" borderId="0" xfId="0" applyFont="1" applyAlignment="1">
      <alignment horizontal="left" vertical="center" wrapText="1"/>
    </xf>
    <xf numFmtId="0" fontId="6" fillId="2" borderId="0" xfId="0" applyFont="1" applyFill="1" applyAlignment="1">
      <alignment horizontal="left" vertical="center" wrapText="1"/>
    </xf>
    <xf numFmtId="0" fontId="6" fillId="2" borderId="0" xfId="0" applyNumberFormat="1" applyFont="1" applyFill="1" applyAlignment="1">
      <alignment horizontal="left" vertical="center" wrapText="1"/>
    </xf>
    <xf numFmtId="49" fontId="6" fillId="2" borderId="0" xfId="0" applyNumberFormat="1" applyFont="1" applyFill="1" applyAlignment="1">
      <alignment horizontal="left" vertical="center" wrapText="1"/>
    </xf>
    <xf numFmtId="0" fontId="12" fillId="2" borderId="0" xfId="1" applyFont="1" applyFill="1" applyAlignment="1">
      <alignment horizontal="left" vertical="center" wrapText="1"/>
    </xf>
    <xf numFmtId="0" fontId="14" fillId="2" borderId="0" xfId="0" applyFont="1" applyFill="1" applyAlignment="1">
      <alignment horizontal="left" vertical="center" wrapText="1"/>
    </xf>
    <xf numFmtId="0" fontId="15" fillId="2" borderId="0" xfId="0" applyFont="1" applyFill="1" applyAlignment="1">
      <alignment horizontal="left" vertical="center" wrapText="1"/>
    </xf>
    <xf numFmtId="0" fontId="14" fillId="2" borderId="0" xfId="0" applyNumberFormat="1" applyFont="1" applyFill="1" applyAlignment="1">
      <alignment horizontal="left" vertical="center" wrapText="1"/>
    </xf>
    <xf numFmtId="49" fontId="14" fillId="2" borderId="0" xfId="0" applyNumberFormat="1" applyFont="1" applyFill="1" applyAlignment="1">
      <alignment horizontal="left" vertical="center" wrapText="1"/>
    </xf>
    <xf numFmtId="0" fontId="16" fillId="2" borderId="0" xfId="1" applyFont="1" applyFill="1" applyAlignment="1">
      <alignment horizontal="left" vertical="center" wrapText="1"/>
    </xf>
    <xf numFmtId="0" fontId="2" fillId="0" borderId="2" xfId="0" applyFont="1" applyBorder="1" applyAlignment="1">
      <alignment vertical="center" wrapText="1"/>
    </xf>
    <xf numFmtId="0" fontId="3" fillId="0" borderId="0" xfId="0" applyFont="1" applyAlignment="1">
      <alignment vertical="center" wrapText="1"/>
    </xf>
    <xf numFmtId="0" fontId="2" fillId="0" borderId="0"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10" fillId="0" borderId="0" xfId="0" applyNumberFormat="1" applyFont="1" applyFill="1" applyAlignment="1">
      <alignment horizontal="left" vertical="center" wrapText="1"/>
    </xf>
    <xf numFmtId="49" fontId="10" fillId="0" borderId="0" xfId="0" applyNumberFormat="1" applyFont="1" applyFill="1" applyAlignment="1">
      <alignment horizontal="left" vertical="center" wrapText="1"/>
    </xf>
    <xf numFmtId="0" fontId="11" fillId="0" borderId="0" xfId="1" applyFont="1" applyFill="1" applyAlignment="1">
      <alignment horizontal="left" vertical="center" wrapText="1"/>
    </xf>
    <xf numFmtId="10" fontId="6" fillId="0" borderId="0" xfId="0" applyNumberFormat="1" applyFont="1" applyAlignment="1">
      <alignment vertical="center" wrapText="1"/>
    </xf>
    <xf numFmtId="0" fontId="2" fillId="0" borderId="0" xfId="0" applyFont="1" applyBorder="1" applyAlignment="1">
      <alignment vertical="center" wrapText="1"/>
    </xf>
    <xf numFmtId="0" fontId="2" fillId="2" borderId="0" xfId="0" applyFont="1" applyFill="1" applyAlignment="1">
      <alignment horizontal="left" vertical="center" wrapText="1"/>
    </xf>
    <xf numFmtId="49" fontId="15" fillId="2" borderId="0" xfId="0" applyNumberFormat="1" applyFont="1" applyFill="1" applyAlignment="1">
      <alignment horizontal="left" vertical="center" wrapText="1"/>
    </xf>
    <xf numFmtId="0" fontId="2" fillId="0" borderId="0" xfId="0" applyFont="1" applyBorder="1" applyAlignment="1">
      <alignment vertical="center" wrapText="1"/>
    </xf>
    <xf numFmtId="0" fontId="2" fillId="0" borderId="0" xfId="0" applyFont="1" applyAlignment="1">
      <alignment horizontal="left" vertical="center"/>
    </xf>
    <xf numFmtId="0" fontId="6" fillId="0" borderId="0" xfId="0" applyFont="1" applyAlignment="1">
      <alignment horizontal="left" vertical="center" wrapText="1"/>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0" xfId="0" applyFont="1" applyBorder="1" applyAlignment="1">
      <alignment horizontal="center" vertical="center" wrapText="1"/>
    </xf>
    <xf numFmtId="178" fontId="3" fillId="0" borderId="0" xfId="0" applyNumberFormat="1" applyFont="1" applyAlignment="1">
      <alignment horizontal="left" vertical="center" wrapText="1"/>
    </xf>
    <xf numFmtId="178" fontId="2" fillId="0" borderId="0" xfId="0" applyNumberFormat="1" applyFont="1" applyAlignment="1">
      <alignment horizontal="left" vertical="center" wrapText="1"/>
    </xf>
    <xf numFmtId="178" fontId="3" fillId="0" borderId="1" xfId="0" applyNumberFormat="1" applyFont="1" applyBorder="1" applyAlignment="1">
      <alignment horizontal="left" vertical="center" wrapText="1"/>
    </xf>
    <xf numFmtId="0" fontId="18" fillId="0" borderId="0" xfId="0" applyFont="1" applyAlignment="1">
      <alignment vertical="center" wrapText="1"/>
    </xf>
    <xf numFmtId="0" fontId="2" fillId="0" borderId="2" xfId="0" applyFont="1" applyBorder="1" applyAlignment="1">
      <alignment horizontal="center" vertical="center" wrapText="1"/>
    </xf>
    <xf numFmtId="0" fontId="19" fillId="0" borderId="0" xfId="0" applyFont="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4</xdr:col>
      <xdr:colOff>1</xdr:colOff>
      <xdr:row>13</xdr:row>
      <xdr:rowOff>0</xdr:rowOff>
    </xdr:from>
    <xdr:to>
      <xdr:col>4</xdr:col>
      <xdr:colOff>430670</xdr:colOff>
      <xdr:row>13</xdr:row>
      <xdr:rowOff>1645920</xdr:rowOff>
    </xdr:to>
    <xdr:pic>
      <xdr:nvPicPr>
        <xdr:cNvPr id="5" name="图片 4">
          <a:extLst>
            <a:ext uri="{FF2B5EF4-FFF2-40B4-BE49-F238E27FC236}">
              <a16:creationId xmlns:a16="http://schemas.microsoft.com/office/drawing/2014/main" id="{1801C084-F690-AD44-A86C-F58AFAB86C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53401" y="11493500"/>
          <a:ext cx="430669" cy="1645920"/>
        </a:xfrm>
        <a:prstGeom prst="rect">
          <a:avLst/>
        </a:prstGeom>
      </xdr:spPr>
    </xdr:pic>
    <xdr:clientData/>
  </xdr:twoCellAnchor>
  <xdr:twoCellAnchor editAs="oneCell">
    <xdr:from>
      <xdr:col>4</xdr:col>
      <xdr:colOff>3</xdr:colOff>
      <xdr:row>14</xdr:row>
      <xdr:rowOff>0</xdr:rowOff>
    </xdr:from>
    <xdr:to>
      <xdr:col>4</xdr:col>
      <xdr:colOff>1955498</xdr:colOff>
      <xdr:row>14</xdr:row>
      <xdr:rowOff>914400</xdr:rowOff>
    </xdr:to>
    <xdr:pic>
      <xdr:nvPicPr>
        <xdr:cNvPr id="7" name="图片 6">
          <a:extLst>
            <a:ext uri="{FF2B5EF4-FFF2-40B4-BE49-F238E27FC236}">
              <a16:creationId xmlns:a16="http://schemas.microsoft.com/office/drawing/2014/main" id="{D647A629-173E-0F4B-ADC5-9102BD2E1E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53403" y="13169900"/>
          <a:ext cx="1955495" cy="914400"/>
        </a:xfrm>
        <a:prstGeom prst="rect">
          <a:avLst/>
        </a:prstGeom>
      </xdr:spPr>
    </xdr:pic>
    <xdr:clientData/>
  </xdr:twoCellAnchor>
  <xdr:twoCellAnchor editAs="oneCell">
    <xdr:from>
      <xdr:col>4</xdr:col>
      <xdr:colOff>21802</xdr:colOff>
      <xdr:row>3</xdr:row>
      <xdr:rowOff>25400</xdr:rowOff>
    </xdr:from>
    <xdr:to>
      <xdr:col>4</xdr:col>
      <xdr:colOff>957902</xdr:colOff>
      <xdr:row>3</xdr:row>
      <xdr:rowOff>1305560</xdr:rowOff>
    </xdr:to>
    <xdr:pic>
      <xdr:nvPicPr>
        <xdr:cNvPr id="9" name="图片 8">
          <a:extLst>
            <a:ext uri="{FF2B5EF4-FFF2-40B4-BE49-F238E27FC236}">
              <a16:creationId xmlns:a16="http://schemas.microsoft.com/office/drawing/2014/main" id="{34B8FCFC-0BA9-BC49-8BF4-C34EC05A6A9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75202" y="1981200"/>
          <a:ext cx="936100" cy="1280160"/>
        </a:xfrm>
        <a:prstGeom prst="rect">
          <a:avLst/>
        </a:prstGeom>
      </xdr:spPr>
    </xdr:pic>
    <xdr:clientData/>
  </xdr:twoCellAnchor>
  <xdr:twoCellAnchor editAs="oneCell">
    <xdr:from>
      <xdr:col>4</xdr:col>
      <xdr:colOff>1</xdr:colOff>
      <xdr:row>4</xdr:row>
      <xdr:rowOff>0</xdr:rowOff>
    </xdr:from>
    <xdr:to>
      <xdr:col>4</xdr:col>
      <xdr:colOff>468307</xdr:colOff>
      <xdr:row>4</xdr:row>
      <xdr:rowOff>1097280</xdr:rowOff>
    </xdr:to>
    <xdr:pic>
      <xdr:nvPicPr>
        <xdr:cNvPr id="11" name="图片 10">
          <a:extLst>
            <a:ext uri="{FF2B5EF4-FFF2-40B4-BE49-F238E27FC236}">
              <a16:creationId xmlns:a16="http://schemas.microsoft.com/office/drawing/2014/main" id="{C522A44B-FF9E-F14A-8AE0-2BB3E31679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53401" y="3352800"/>
          <a:ext cx="468306" cy="1097280"/>
        </a:xfrm>
        <a:prstGeom prst="rect">
          <a:avLst/>
        </a:prstGeom>
      </xdr:spPr>
    </xdr:pic>
    <xdr:clientData/>
  </xdr:twoCellAnchor>
  <xdr:twoCellAnchor editAs="oneCell">
    <xdr:from>
      <xdr:col>4</xdr:col>
      <xdr:colOff>2</xdr:colOff>
      <xdr:row>6</xdr:row>
      <xdr:rowOff>0</xdr:rowOff>
    </xdr:from>
    <xdr:to>
      <xdr:col>4</xdr:col>
      <xdr:colOff>2499433</xdr:colOff>
      <xdr:row>6</xdr:row>
      <xdr:rowOff>1920240</xdr:rowOff>
    </xdr:to>
    <xdr:pic>
      <xdr:nvPicPr>
        <xdr:cNvPr id="13" name="图片 12">
          <a:extLst>
            <a:ext uri="{FF2B5EF4-FFF2-40B4-BE49-F238E27FC236}">
              <a16:creationId xmlns:a16="http://schemas.microsoft.com/office/drawing/2014/main" id="{88401EE0-C0A7-634B-8337-FF071794C20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153402" y="4470400"/>
          <a:ext cx="2499431" cy="1920240"/>
        </a:xfrm>
        <a:prstGeom prst="rect">
          <a:avLst/>
        </a:prstGeom>
      </xdr:spPr>
    </xdr:pic>
    <xdr:clientData/>
  </xdr:twoCellAnchor>
  <xdr:twoCellAnchor editAs="oneCell">
    <xdr:from>
      <xdr:col>4</xdr:col>
      <xdr:colOff>4</xdr:colOff>
      <xdr:row>1</xdr:row>
      <xdr:rowOff>0</xdr:rowOff>
    </xdr:from>
    <xdr:to>
      <xdr:col>4</xdr:col>
      <xdr:colOff>2675829</xdr:colOff>
      <xdr:row>1</xdr:row>
      <xdr:rowOff>1554480</xdr:rowOff>
    </xdr:to>
    <xdr:pic>
      <xdr:nvPicPr>
        <xdr:cNvPr id="17" name="图片 16">
          <a:extLst>
            <a:ext uri="{FF2B5EF4-FFF2-40B4-BE49-F238E27FC236}">
              <a16:creationId xmlns:a16="http://schemas.microsoft.com/office/drawing/2014/main" id="{AF55BCD4-13F3-1146-9A57-B827B1D39DB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4" y="279400"/>
          <a:ext cx="2675825" cy="1554480"/>
        </a:xfrm>
        <a:prstGeom prst="rect">
          <a:avLst/>
        </a:prstGeom>
      </xdr:spPr>
    </xdr:pic>
    <xdr:clientData/>
  </xdr:twoCellAnchor>
  <xdr:twoCellAnchor editAs="oneCell">
    <xdr:from>
      <xdr:col>4</xdr:col>
      <xdr:colOff>3</xdr:colOff>
      <xdr:row>9</xdr:row>
      <xdr:rowOff>0</xdr:rowOff>
    </xdr:from>
    <xdr:to>
      <xdr:col>4</xdr:col>
      <xdr:colOff>1236251</xdr:colOff>
      <xdr:row>9</xdr:row>
      <xdr:rowOff>1371600</xdr:rowOff>
    </xdr:to>
    <xdr:pic>
      <xdr:nvPicPr>
        <xdr:cNvPr id="19" name="图片 18">
          <a:extLst>
            <a:ext uri="{FF2B5EF4-FFF2-40B4-BE49-F238E27FC236}">
              <a16:creationId xmlns:a16="http://schemas.microsoft.com/office/drawing/2014/main" id="{0AF386CE-89B2-5446-8E1B-855ED60A876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153403" y="7861300"/>
          <a:ext cx="1236248" cy="1371600"/>
        </a:xfrm>
        <a:prstGeom prst="rect">
          <a:avLst/>
        </a:prstGeom>
      </xdr:spPr>
    </xdr:pic>
    <xdr:clientData/>
  </xdr:twoCellAnchor>
  <xdr:twoCellAnchor editAs="oneCell">
    <xdr:from>
      <xdr:col>4</xdr:col>
      <xdr:colOff>2</xdr:colOff>
      <xdr:row>8</xdr:row>
      <xdr:rowOff>0</xdr:rowOff>
    </xdr:from>
    <xdr:to>
      <xdr:col>4</xdr:col>
      <xdr:colOff>1321292</xdr:colOff>
      <xdr:row>8</xdr:row>
      <xdr:rowOff>1097280</xdr:rowOff>
    </xdr:to>
    <xdr:pic>
      <xdr:nvPicPr>
        <xdr:cNvPr id="21" name="图片 20">
          <a:extLst>
            <a:ext uri="{FF2B5EF4-FFF2-40B4-BE49-F238E27FC236}">
              <a16:creationId xmlns:a16="http://schemas.microsoft.com/office/drawing/2014/main" id="{8E6979FE-BA18-7D4B-9A88-32D048F91A8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153402" y="6743700"/>
          <a:ext cx="1321290" cy="1097280"/>
        </a:xfrm>
        <a:prstGeom prst="rect">
          <a:avLst/>
        </a:prstGeom>
      </xdr:spPr>
    </xdr:pic>
    <xdr:clientData/>
  </xdr:twoCellAnchor>
  <xdr:twoCellAnchor editAs="oneCell">
    <xdr:from>
      <xdr:col>4</xdr:col>
      <xdr:colOff>0</xdr:colOff>
      <xdr:row>6</xdr:row>
      <xdr:rowOff>0</xdr:rowOff>
    </xdr:from>
    <xdr:to>
      <xdr:col>4</xdr:col>
      <xdr:colOff>1845876</xdr:colOff>
      <xdr:row>6</xdr:row>
      <xdr:rowOff>640080</xdr:rowOff>
    </xdr:to>
    <xdr:pic>
      <xdr:nvPicPr>
        <xdr:cNvPr id="22" name="图片 21">
          <a:extLst>
            <a:ext uri="{FF2B5EF4-FFF2-40B4-BE49-F238E27FC236}">
              <a16:creationId xmlns:a16="http://schemas.microsoft.com/office/drawing/2014/main" id="{93E9AC59-E6B4-6B42-93FF-D3D70EB391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153400" y="4470400"/>
          <a:ext cx="1845876" cy="64008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item.jd.com/4315566.html" TargetMode="External"/><Relationship Id="rId3" Type="http://schemas.openxmlformats.org/officeDocument/2006/relationships/hyperlink" Target="https://item.jd.com/100007626997.html" TargetMode="External"/><Relationship Id="rId7" Type="http://schemas.openxmlformats.org/officeDocument/2006/relationships/hyperlink" Target="https://item.jd.com/100012006210.html" TargetMode="External"/><Relationship Id="rId2" Type="http://schemas.openxmlformats.org/officeDocument/2006/relationships/hyperlink" Target="https://item.jd.com/100012354238.html" TargetMode="External"/><Relationship Id="rId1" Type="http://schemas.openxmlformats.org/officeDocument/2006/relationships/hyperlink" Target="https://item.jd.com/100007742413.html" TargetMode="External"/><Relationship Id="rId6" Type="http://schemas.openxmlformats.org/officeDocument/2006/relationships/hyperlink" Target="https://item.jd.com/100003859066.html" TargetMode="External"/><Relationship Id="rId11" Type="http://schemas.openxmlformats.org/officeDocument/2006/relationships/drawing" Target="../drawings/drawing1.xml"/><Relationship Id="rId5" Type="http://schemas.openxmlformats.org/officeDocument/2006/relationships/hyperlink" Target="https://item.jd.com/100012295086.html" TargetMode="External"/><Relationship Id="rId10" Type="http://schemas.openxmlformats.org/officeDocument/2006/relationships/hyperlink" Target="https://item.jd.com/100008697687.html" TargetMode="External"/><Relationship Id="rId4" Type="http://schemas.openxmlformats.org/officeDocument/2006/relationships/hyperlink" Target="https://item.jd.com/100013853386.html" TargetMode="External"/><Relationship Id="rId9" Type="http://schemas.openxmlformats.org/officeDocument/2006/relationships/hyperlink" Target="https://item.jd.com/100013700218.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ngshang.mingluji.com/liaoning/name/%E5%A4%A7%E8%BF%9E%E5%93%81%E8%AF%BA%E8%A3%85%E9%A5%B0%E8%A3%85%E4%BF%AE%E5%B7%A5%E7%A8%8B%E6%9C%89%E9%99%90%E5%85%AC%E5%8F%B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C161-75F4-7C4B-8CB2-C8EB52272EAD}">
  <dimension ref="A1:J9"/>
  <sheetViews>
    <sheetView zoomScale="109" workbookViewId="0">
      <pane ySplit="1" topLeftCell="A5" activePane="bottomLeft" state="frozen"/>
      <selection activeCell="D31" sqref="D31"/>
      <selection pane="bottomLeft" activeCell="C11" sqref="C11"/>
    </sheetView>
  </sheetViews>
  <sheetFormatPr baseColWidth="10" defaultColWidth="27.6640625" defaultRowHeight="21"/>
  <cols>
    <col min="1" max="1" width="14.1640625" style="5" customWidth="1"/>
    <col min="2" max="2" width="40.1640625" style="5" customWidth="1"/>
    <col min="3" max="3" width="15.33203125" style="5" customWidth="1"/>
    <col min="4" max="9" width="27.6640625" style="5"/>
    <col min="10" max="10" width="53" style="5" customWidth="1"/>
    <col min="11" max="16384" width="27.6640625" style="5"/>
  </cols>
  <sheetData>
    <row r="1" spans="1:10" s="1" customFormat="1" ht="22">
      <c r="A1" s="1" t="s">
        <v>0</v>
      </c>
      <c r="B1" s="1" t="s">
        <v>4</v>
      </c>
      <c r="C1" s="1" t="s">
        <v>8</v>
      </c>
      <c r="D1" s="1" t="s">
        <v>7</v>
      </c>
      <c r="E1" s="1" t="s">
        <v>1</v>
      </c>
      <c r="F1" s="1" t="s">
        <v>2</v>
      </c>
      <c r="G1" s="1" t="s">
        <v>10</v>
      </c>
      <c r="H1" s="1" t="s">
        <v>12</v>
      </c>
      <c r="I1" s="1" t="s">
        <v>26</v>
      </c>
      <c r="J1" s="1" t="s">
        <v>144</v>
      </c>
    </row>
    <row r="2" spans="1:10" ht="220">
      <c r="A2" s="5" t="s">
        <v>3</v>
      </c>
      <c r="B2" s="5" t="s">
        <v>5</v>
      </c>
      <c r="C2" s="5" t="s">
        <v>9</v>
      </c>
      <c r="D2" s="5" t="s">
        <v>163</v>
      </c>
      <c r="E2" s="5" t="s">
        <v>11</v>
      </c>
      <c r="F2" s="5" t="s">
        <v>6</v>
      </c>
      <c r="G2" s="5" t="s">
        <v>25</v>
      </c>
      <c r="H2" s="5" t="s">
        <v>156</v>
      </c>
      <c r="I2" s="5">
        <v>3830</v>
      </c>
      <c r="J2" s="5" t="s">
        <v>160</v>
      </c>
    </row>
    <row r="3" spans="1:10" ht="132">
      <c r="A3" s="5" t="s">
        <v>13</v>
      </c>
      <c r="B3" s="5" t="s">
        <v>117</v>
      </c>
      <c r="C3" s="5" t="s">
        <v>27</v>
      </c>
      <c r="D3" s="5" t="s">
        <v>118</v>
      </c>
      <c r="E3" s="5">
        <v>1000</v>
      </c>
      <c r="F3" s="5" t="s">
        <v>14</v>
      </c>
      <c r="G3" s="5">
        <v>1000</v>
      </c>
      <c r="H3" s="5" t="s">
        <v>142</v>
      </c>
      <c r="I3" s="5">
        <v>1000</v>
      </c>
      <c r="J3" s="5" t="s">
        <v>143</v>
      </c>
    </row>
    <row r="4" spans="1:10" ht="44">
      <c r="A4" s="5" t="s">
        <v>175</v>
      </c>
      <c r="B4" s="5" t="s">
        <v>176</v>
      </c>
      <c r="C4" s="5" t="s">
        <v>252</v>
      </c>
      <c r="D4" s="5">
        <v>0</v>
      </c>
      <c r="E4" s="5">
        <v>0</v>
      </c>
      <c r="F4" s="5">
        <v>1</v>
      </c>
      <c r="G4" s="5">
        <v>0</v>
      </c>
      <c r="H4" s="5">
        <v>0</v>
      </c>
      <c r="I4" s="5">
        <v>0</v>
      </c>
      <c r="J4" s="5" t="s">
        <v>177</v>
      </c>
    </row>
    <row r="5" spans="1:10" ht="66">
      <c r="A5" s="5" t="s">
        <v>231</v>
      </c>
      <c r="B5" s="5" t="s">
        <v>233</v>
      </c>
      <c r="C5" s="5" t="s">
        <v>251</v>
      </c>
      <c r="D5" s="5" t="s">
        <v>318</v>
      </c>
      <c r="E5" s="5" t="s">
        <v>14</v>
      </c>
      <c r="F5" s="5" t="s">
        <v>14</v>
      </c>
      <c r="G5" s="5">
        <f>479+450+2</f>
        <v>931</v>
      </c>
      <c r="H5" s="5" t="s">
        <v>291</v>
      </c>
      <c r="I5" s="5">
        <v>931</v>
      </c>
      <c r="J5" s="5" t="s">
        <v>253</v>
      </c>
    </row>
    <row r="6" spans="1:10" ht="308">
      <c r="A6" s="5" t="s">
        <v>218</v>
      </c>
      <c r="B6" s="5" t="s">
        <v>311</v>
      </c>
      <c r="C6" s="5" t="s">
        <v>251</v>
      </c>
      <c r="D6" s="5" t="s">
        <v>407</v>
      </c>
      <c r="E6" s="5" t="s">
        <v>14</v>
      </c>
      <c r="F6" s="5" t="s">
        <v>14</v>
      </c>
      <c r="G6" s="5">
        <f>3673+3500+440+20</f>
        <v>7633</v>
      </c>
      <c r="I6" s="5">
        <v>7633</v>
      </c>
      <c r="J6" s="5" t="s">
        <v>290</v>
      </c>
    </row>
    <row r="9" spans="1:10" s="17" customFormat="1" ht="22">
      <c r="A9" s="17" t="s">
        <v>17</v>
      </c>
      <c r="I9" s="17">
        <f>SUM(I2:I6)</f>
        <v>13394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1F9F4-DFD8-BD4E-8A63-048432AB3CEF}">
  <dimension ref="A1:J91"/>
  <sheetViews>
    <sheetView tabSelected="1" workbookViewId="0">
      <pane ySplit="1" topLeftCell="A81" activePane="bottomLeft" state="frozen"/>
      <selection pane="bottomLeft" activeCell="G86" sqref="G86"/>
    </sheetView>
  </sheetViews>
  <sheetFormatPr baseColWidth="10" defaultColWidth="18" defaultRowHeight="21"/>
  <cols>
    <col min="1" max="2" width="18" style="30"/>
    <col min="3" max="3" width="24.1640625" style="30" customWidth="1"/>
    <col min="4" max="4" width="18" style="30"/>
    <col min="5" max="5" width="18" style="30" customWidth="1"/>
    <col min="6" max="16384" width="18" style="30"/>
  </cols>
  <sheetData>
    <row r="1" spans="1:10" s="49" customFormat="1" ht="22">
      <c r="A1" s="49" t="s">
        <v>314</v>
      </c>
      <c r="B1" s="49" t="s">
        <v>317</v>
      </c>
      <c r="C1" s="49" t="s">
        <v>34</v>
      </c>
      <c r="D1" s="49" t="s">
        <v>36</v>
      </c>
      <c r="E1" s="49" t="s">
        <v>71</v>
      </c>
      <c r="F1" s="49" t="s">
        <v>133</v>
      </c>
      <c r="G1" s="49" t="s">
        <v>2</v>
      </c>
      <c r="H1" s="49" t="s">
        <v>102</v>
      </c>
      <c r="I1" s="49" t="s">
        <v>26</v>
      </c>
      <c r="J1" s="49" t="s">
        <v>144</v>
      </c>
    </row>
    <row r="2" spans="1:10" ht="22">
      <c r="A2" s="30" t="s">
        <v>315</v>
      </c>
      <c r="C2" s="30" t="s">
        <v>134</v>
      </c>
      <c r="D2" s="30" t="s">
        <v>135</v>
      </c>
      <c r="E2" s="30" t="s">
        <v>136</v>
      </c>
      <c r="F2" s="30">
        <v>278</v>
      </c>
      <c r="G2" s="30">
        <v>2</v>
      </c>
      <c r="H2" s="30">
        <f t="shared" ref="H2:H15" si="0">F2*G2</f>
        <v>556</v>
      </c>
      <c r="I2" s="30">
        <v>423</v>
      </c>
    </row>
    <row r="3" spans="1:10" ht="22">
      <c r="C3" s="30" t="s">
        <v>137</v>
      </c>
      <c r="D3" s="30" t="s">
        <v>138</v>
      </c>
      <c r="E3" s="30" t="s">
        <v>136</v>
      </c>
      <c r="F3" s="30">
        <v>64</v>
      </c>
      <c r="G3" s="30">
        <v>2</v>
      </c>
      <c r="H3" s="30">
        <f t="shared" si="0"/>
        <v>128</v>
      </c>
      <c r="I3" s="30">
        <v>101</v>
      </c>
    </row>
    <row r="4" spans="1:10" ht="22">
      <c r="C4" s="30" t="s">
        <v>139</v>
      </c>
      <c r="E4" s="30" t="s">
        <v>140</v>
      </c>
      <c r="F4" s="30">
        <v>5</v>
      </c>
      <c r="G4" s="30">
        <v>2</v>
      </c>
      <c r="H4" s="30">
        <f t="shared" si="0"/>
        <v>10</v>
      </c>
      <c r="I4" s="30">
        <v>10</v>
      </c>
    </row>
    <row r="5" spans="1:10" ht="22">
      <c r="C5" s="30" t="s">
        <v>178</v>
      </c>
      <c r="D5" s="30" t="s">
        <v>179</v>
      </c>
      <c r="E5" s="30" t="s">
        <v>136</v>
      </c>
      <c r="F5" s="30">
        <v>318</v>
      </c>
      <c r="G5" s="30">
        <v>1</v>
      </c>
      <c r="H5" s="30">
        <f t="shared" si="0"/>
        <v>318</v>
      </c>
      <c r="I5" s="61">
        <v>412</v>
      </c>
    </row>
    <row r="6" spans="1:10" ht="66">
      <c r="C6" s="30" t="s">
        <v>180</v>
      </c>
      <c r="D6" s="30" t="s">
        <v>181</v>
      </c>
      <c r="E6" s="30" t="s">
        <v>136</v>
      </c>
      <c r="F6" s="30">
        <v>53.9</v>
      </c>
      <c r="G6" s="30">
        <v>1</v>
      </c>
      <c r="H6" s="30">
        <f t="shared" si="0"/>
        <v>53.9</v>
      </c>
      <c r="I6" s="61"/>
    </row>
    <row r="7" spans="1:10" ht="44">
      <c r="C7" s="30" t="s">
        <v>182</v>
      </c>
      <c r="D7" s="30" t="s">
        <v>183</v>
      </c>
      <c r="E7" s="30" t="s">
        <v>136</v>
      </c>
      <c r="F7" s="30">
        <v>39.9</v>
      </c>
      <c r="G7" s="30">
        <v>1</v>
      </c>
      <c r="H7" s="30">
        <f t="shared" si="0"/>
        <v>39.9</v>
      </c>
      <c r="I7" s="61"/>
    </row>
    <row r="8" spans="1:10" ht="66">
      <c r="C8" s="30" t="s">
        <v>184</v>
      </c>
      <c r="D8" s="30" t="s">
        <v>185</v>
      </c>
      <c r="E8" s="30" t="s">
        <v>136</v>
      </c>
      <c r="F8" s="30">
        <v>188</v>
      </c>
      <c r="G8" s="30">
        <v>1</v>
      </c>
      <c r="H8" s="30">
        <f t="shared" si="0"/>
        <v>188</v>
      </c>
      <c r="I8" s="50">
        <v>188</v>
      </c>
    </row>
    <row r="9" spans="1:10" ht="22">
      <c r="C9" s="30" t="s">
        <v>186</v>
      </c>
      <c r="D9" s="30" t="s">
        <v>187</v>
      </c>
      <c r="E9" s="30" t="s">
        <v>188</v>
      </c>
      <c r="F9" s="30">
        <v>35</v>
      </c>
      <c r="G9" s="30">
        <v>1</v>
      </c>
      <c r="H9" s="30">
        <f t="shared" si="0"/>
        <v>35</v>
      </c>
      <c r="I9" s="50">
        <v>35</v>
      </c>
    </row>
    <row r="10" spans="1:10" ht="66">
      <c r="C10" s="30" t="s">
        <v>193</v>
      </c>
      <c r="D10" s="30" t="s">
        <v>194</v>
      </c>
      <c r="E10" s="30" t="s">
        <v>136</v>
      </c>
      <c r="F10" s="30">
        <v>258</v>
      </c>
      <c r="G10" s="30">
        <v>1</v>
      </c>
      <c r="H10" s="30">
        <f t="shared" si="0"/>
        <v>258</v>
      </c>
      <c r="I10" s="50">
        <v>129</v>
      </c>
    </row>
    <row r="11" spans="1:10" ht="22">
      <c r="C11" s="30" t="s">
        <v>202</v>
      </c>
      <c r="E11" s="30" t="s">
        <v>136</v>
      </c>
      <c r="F11" s="30">
        <v>22</v>
      </c>
      <c r="G11" s="30">
        <v>1</v>
      </c>
      <c r="H11" s="30">
        <f t="shared" si="0"/>
        <v>22</v>
      </c>
      <c r="I11" s="50">
        <v>22</v>
      </c>
    </row>
    <row r="12" spans="1:10" ht="22">
      <c r="C12" s="30" t="s">
        <v>203</v>
      </c>
      <c r="E12" s="30" t="s">
        <v>136</v>
      </c>
      <c r="F12" s="30">
        <v>11.2</v>
      </c>
      <c r="G12" s="30">
        <v>1</v>
      </c>
      <c r="H12" s="30">
        <f t="shared" si="0"/>
        <v>11.2</v>
      </c>
      <c r="I12" s="50">
        <v>11.2</v>
      </c>
    </row>
    <row r="13" spans="1:10" ht="22">
      <c r="C13" s="30" t="s">
        <v>204</v>
      </c>
      <c r="D13" s="30" t="s">
        <v>205</v>
      </c>
      <c r="E13" s="30" t="s">
        <v>136</v>
      </c>
      <c r="F13" s="30">
        <v>89</v>
      </c>
      <c r="G13" s="30">
        <v>1</v>
      </c>
      <c r="H13" s="30">
        <f t="shared" si="0"/>
        <v>89</v>
      </c>
      <c r="I13" s="50">
        <v>89</v>
      </c>
    </row>
    <row r="14" spans="1:10" ht="22">
      <c r="C14" s="30" t="s">
        <v>207</v>
      </c>
      <c r="D14" s="30" t="s">
        <v>206</v>
      </c>
      <c r="E14" s="30" t="s">
        <v>136</v>
      </c>
      <c r="F14" s="30">
        <v>30</v>
      </c>
      <c r="G14" s="30">
        <v>1</v>
      </c>
      <c r="H14" s="30">
        <f t="shared" si="0"/>
        <v>30</v>
      </c>
      <c r="I14" s="50">
        <v>30</v>
      </c>
    </row>
    <row r="15" spans="1:10" s="58" customFormat="1" ht="22">
      <c r="C15" s="58" t="s">
        <v>208</v>
      </c>
      <c r="D15" s="58" t="s">
        <v>209</v>
      </c>
      <c r="E15" s="58" t="s">
        <v>136</v>
      </c>
      <c r="F15" s="58">
        <v>287.5</v>
      </c>
      <c r="G15" s="58">
        <v>1</v>
      </c>
      <c r="H15" s="58">
        <f t="shared" si="0"/>
        <v>287.5</v>
      </c>
      <c r="I15" s="58">
        <v>287.5</v>
      </c>
    </row>
    <row r="16" spans="1:10" ht="44">
      <c r="C16" s="30" t="s">
        <v>255</v>
      </c>
      <c r="E16" s="30" t="s">
        <v>256</v>
      </c>
      <c r="F16" s="30">
        <v>15</v>
      </c>
      <c r="G16" s="30">
        <v>1</v>
      </c>
      <c r="H16" s="30">
        <v>15</v>
      </c>
      <c r="I16" s="50">
        <v>15</v>
      </c>
    </row>
    <row r="17" spans="1:9" ht="44">
      <c r="C17" s="30" t="s">
        <v>257</v>
      </c>
      <c r="D17" s="30" t="s">
        <v>258</v>
      </c>
      <c r="E17" s="30" t="s">
        <v>140</v>
      </c>
      <c r="F17" s="30">
        <v>3</v>
      </c>
      <c r="G17" s="30">
        <v>2</v>
      </c>
      <c r="H17" s="30">
        <v>6</v>
      </c>
      <c r="I17" s="50">
        <v>6</v>
      </c>
    </row>
    <row r="18" spans="1:9" ht="44">
      <c r="C18" s="30" t="s">
        <v>259</v>
      </c>
      <c r="E18" s="30" t="s">
        <v>235</v>
      </c>
      <c r="F18" s="30">
        <v>10</v>
      </c>
      <c r="G18" s="30">
        <v>1</v>
      </c>
      <c r="H18" s="30">
        <v>10</v>
      </c>
      <c r="I18" s="50">
        <v>10</v>
      </c>
    </row>
    <row r="19" spans="1:9" s="48" customFormat="1" ht="44">
      <c r="C19" s="48" t="s">
        <v>287</v>
      </c>
      <c r="E19" s="48" t="s">
        <v>235</v>
      </c>
      <c r="F19" s="48">
        <v>10</v>
      </c>
      <c r="G19" s="48">
        <v>1</v>
      </c>
      <c r="H19" s="48">
        <v>10</v>
      </c>
      <c r="I19" s="48">
        <v>10</v>
      </c>
    </row>
    <row r="20" spans="1:9" s="51" customFormat="1" ht="22">
      <c r="A20" s="28" t="s">
        <v>17</v>
      </c>
      <c r="B20" s="28"/>
      <c r="I20" s="51">
        <f>SUM(I2:I19)</f>
        <v>1778.7</v>
      </c>
    </row>
    <row r="21" spans="1:9" ht="44">
      <c r="A21" s="65" t="s">
        <v>316</v>
      </c>
      <c r="B21" s="65">
        <f>SUM(I21:I28)</f>
        <v>479</v>
      </c>
      <c r="C21" s="30" t="s">
        <v>234</v>
      </c>
      <c r="D21" s="30" t="s">
        <v>236</v>
      </c>
      <c r="E21" s="30" t="s">
        <v>235</v>
      </c>
      <c r="F21" s="30" t="s">
        <v>237</v>
      </c>
      <c r="G21" s="30">
        <v>80</v>
      </c>
      <c r="H21" s="30">
        <v>48</v>
      </c>
      <c r="I21" s="50">
        <v>48</v>
      </c>
    </row>
    <row r="22" spans="1:9" ht="44">
      <c r="A22" s="67"/>
      <c r="B22" s="67"/>
      <c r="C22" s="30" t="s">
        <v>238</v>
      </c>
      <c r="D22" s="30" t="s">
        <v>319</v>
      </c>
      <c r="E22" s="30" t="s">
        <v>235</v>
      </c>
      <c r="F22" s="30" t="s">
        <v>239</v>
      </c>
      <c r="G22" s="30">
        <v>3</v>
      </c>
      <c r="H22" s="30">
        <v>78</v>
      </c>
      <c r="I22" s="50">
        <v>78</v>
      </c>
    </row>
    <row r="23" spans="1:9" ht="44">
      <c r="A23" s="67"/>
      <c r="B23" s="67"/>
      <c r="C23" s="30" t="s">
        <v>240</v>
      </c>
      <c r="D23" s="30" t="s">
        <v>241</v>
      </c>
      <c r="E23" s="30" t="s">
        <v>235</v>
      </c>
      <c r="F23" s="30" t="s">
        <v>247</v>
      </c>
      <c r="G23" s="30">
        <v>20</v>
      </c>
      <c r="H23" s="30">
        <v>100</v>
      </c>
      <c r="I23" s="50">
        <v>100</v>
      </c>
    </row>
    <row r="24" spans="1:9" ht="44">
      <c r="A24" s="67"/>
      <c r="B24" s="67"/>
      <c r="C24" s="30" t="s">
        <v>242</v>
      </c>
      <c r="D24" s="30" t="s">
        <v>248</v>
      </c>
      <c r="E24" s="30" t="s">
        <v>235</v>
      </c>
      <c r="F24" s="30">
        <v>4</v>
      </c>
      <c r="G24" s="30">
        <v>7</v>
      </c>
      <c r="H24" s="30">
        <v>28</v>
      </c>
      <c r="I24" s="50">
        <v>28</v>
      </c>
    </row>
    <row r="25" spans="1:9" ht="44">
      <c r="A25" s="67"/>
      <c r="B25" s="67"/>
      <c r="C25" s="30" t="s">
        <v>243</v>
      </c>
      <c r="E25" s="30" t="s">
        <v>235</v>
      </c>
      <c r="F25" s="30">
        <v>1</v>
      </c>
      <c r="G25" s="30">
        <v>50</v>
      </c>
      <c r="H25" s="30">
        <v>50</v>
      </c>
      <c r="I25" s="50">
        <v>50</v>
      </c>
    </row>
    <row r="26" spans="1:9" ht="44">
      <c r="A26" s="67"/>
      <c r="B26" s="67"/>
      <c r="C26" s="30" t="s">
        <v>244</v>
      </c>
      <c r="E26" s="30" t="s">
        <v>235</v>
      </c>
      <c r="F26" s="30" t="s">
        <v>239</v>
      </c>
      <c r="G26" s="30">
        <v>3</v>
      </c>
      <c r="H26" s="30">
        <v>78</v>
      </c>
      <c r="I26" s="50">
        <v>77</v>
      </c>
    </row>
    <row r="27" spans="1:9" ht="44">
      <c r="A27" s="67"/>
      <c r="B27" s="67"/>
      <c r="C27" s="30" t="s">
        <v>245</v>
      </c>
      <c r="E27" s="30" t="s">
        <v>235</v>
      </c>
      <c r="F27" s="30">
        <v>2</v>
      </c>
      <c r="G27" s="30">
        <v>20</v>
      </c>
      <c r="H27" s="30">
        <v>40</v>
      </c>
      <c r="I27" s="50">
        <v>36</v>
      </c>
    </row>
    <row r="28" spans="1:9" s="48" customFormat="1" ht="44">
      <c r="A28" s="72"/>
      <c r="B28" s="72"/>
      <c r="C28" s="48" t="s">
        <v>246</v>
      </c>
      <c r="D28" s="48" t="s">
        <v>249</v>
      </c>
      <c r="E28" s="48" t="s">
        <v>235</v>
      </c>
      <c r="F28" s="48" t="s">
        <v>250</v>
      </c>
      <c r="G28" s="48">
        <v>2.5</v>
      </c>
      <c r="H28" s="48">
        <v>62</v>
      </c>
      <c r="I28" s="48">
        <v>62</v>
      </c>
    </row>
    <row r="29" spans="1:9" ht="44">
      <c r="A29" s="64" t="s">
        <v>365</v>
      </c>
      <c r="B29" s="67">
        <f>SUM(I29:I54)</f>
        <v>2021</v>
      </c>
      <c r="C29" s="30" t="s">
        <v>335</v>
      </c>
      <c r="D29" s="30" t="s">
        <v>332</v>
      </c>
      <c r="E29" s="30" t="s">
        <v>235</v>
      </c>
      <c r="F29" s="30" t="s">
        <v>404</v>
      </c>
      <c r="G29" s="30">
        <v>5</v>
      </c>
      <c r="H29" s="30">
        <f>60*5</f>
        <v>300</v>
      </c>
      <c r="I29" s="58">
        <f>H29</f>
        <v>300</v>
      </c>
    </row>
    <row r="30" spans="1:9" ht="44">
      <c r="A30" s="64"/>
      <c r="B30" s="67"/>
      <c r="C30" s="30" t="s">
        <v>334</v>
      </c>
      <c r="D30" s="30" t="s">
        <v>332</v>
      </c>
      <c r="E30" s="30" t="s">
        <v>235</v>
      </c>
      <c r="F30" s="30">
        <v>7</v>
      </c>
      <c r="G30" s="30">
        <f>30-19</f>
        <v>11</v>
      </c>
      <c r="H30" s="30">
        <f>F30*G30</f>
        <v>77</v>
      </c>
      <c r="I30" s="58">
        <f t="shared" ref="I30:I82" si="1">H30</f>
        <v>77</v>
      </c>
    </row>
    <row r="31" spans="1:9" ht="44">
      <c r="A31" s="64"/>
      <c r="B31" s="67"/>
      <c r="C31" s="30" t="s">
        <v>333</v>
      </c>
      <c r="D31" s="30" t="s">
        <v>332</v>
      </c>
      <c r="E31" s="30" t="s">
        <v>384</v>
      </c>
      <c r="F31" s="30">
        <v>7</v>
      </c>
      <c r="G31" s="30">
        <v>10</v>
      </c>
      <c r="H31" s="30">
        <f>F31*G31</f>
        <v>70</v>
      </c>
      <c r="I31" s="58">
        <f t="shared" si="1"/>
        <v>70</v>
      </c>
    </row>
    <row r="32" spans="1:9" ht="44">
      <c r="A32" s="64"/>
      <c r="B32" s="67"/>
      <c r="C32" s="30" t="s">
        <v>336</v>
      </c>
      <c r="D32" s="30" t="s">
        <v>332</v>
      </c>
      <c r="E32" s="30" t="s">
        <v>384</v>
      </c>
      <c r="F32" s="30">
        <v>6</v>
      </c>
      <c r="G32" s="30">
        <v>4</v>
      </c>
      <c r="H32" s="30">
        <f t="shared" ref="H32:H35" si="2">F32*G32</f>
        <v>24</v>
      </c>
      <c r="I32" s="58">
        <f t="shared" si="1"/>
        <v>24</v>
      </c>
    </row>
    <row r="33" spans="1:10" ht="44">
      <c r="A33" s="64"/>
      <c r="B33" s="67"/>
      <c r="C33" s="30" t="s">
        <v>337</v>
      </c>
      <c r="D33" s="30" t="s">
        <v>332</v>
      </c>
      <c r="E33" s="30" t="s">
        <v>384</v>
      </c>
      <c r="F33" s="30">
        <v>5</v>
      </c>
      <c r="G33" s="30">
        <f>6-7</f>
        <v>-1</v>
      </c>
      <c r="H33" s="30">
        <f t="shared" si="2"/>
        <v>-5</v>
      </c>
      <c r="I33" s="58">
        <f t="shared" si="1"/>
        <v>-5</v>
      </c>
      <c r="J33" s="71" t="s">
        <v>410</v>
      </c>
    </row>
    <row r="34" spans="1:10" ht="44">
      <c r="A34" s="64"/>
      <c r="B34" s="67"/>
      <c r="C34" s="30" t="s">
        <v>338</v>
      </c>
      <c r="D34" s="30" t="s">
        <v>332</v>
      </c>
      <c r="E34" s="30" t="s">
        <v>384</v>
      </c>
      <c r="F34" s="30">
        <v>4.5</v>
      </c>
      <c r="G34" s="30">
        <f>4-2</f>
        <v>2</v>
      </c>
      <c r="H34" s="30">
        <f t="shared" si="2"/>
        <v>9</v>
      </c>
      <c r="I34" s="58">
        <f t="shared" si="1"/>
        <v>9</v>
      </c>
    </row>
    <row r="35" spans="1:10" ht="44">
      <c r="A35" s="64"/>
      <c r="B35" s="67"/>
      <c r="C35" s="30" t="s">
        <v>339</v>
      </c>
      <c r="D35" s="30" t="s">
        <v>332</v>
      </c>
      <c r="E35" s="30" t="s">
        <v>384</v>
      </c>
      <c r="F35" s="30">
        <v>4.5</v>
      </c>
      <c r="G35" s="30">
        <v>2</v>
      </c>
      <c r="H35" s="30">
        <f t="shared" si="2"/>
        <v>9</v>
      </c>
      <c r="I35" s="58">
        <f t="shared" si="1"/>
        <v>9</v>
      </c>
    </row>
    <row r="36" spans="1:10" ht="44">
      <c r="A36" s="64"/>
      <c r="B36" s="67"/>
      <c r="C36" s="30" t="s">
        <v>340</v>
      </c>
      <c r="E36" s="30" t="s">
        <v>384</v>
      </c>
      <c r="F36" s="30" t="s">
        <v>386</v>
      </c>
      <c r="G36" s="30">
        <f>5+6</f>
        <v>11</v>
      </c>
      <c r="H36" s="30">
        <v>44</v>
      </c>
      <c r="I36" s="58">
        <f t="shared" si="1"/>
        <v>44</v>
      </c>
    </row>
    <row r="37" spans="1:10" ht="44">
      <c r="A37" s="64"/>
      <c r="B37" s="67"/>
      <c r="C37" s="30" t="s">
        <v>341</v>
      </c>
      <c r="D37" s="30" t="s">
        <v>332</v>
      </c>
      <c r="E37" s="30" t="s">
        <v>384</v>
      </c>
      <c r="F37" s="30">
        <v>115</v>
      </c>
      <c r="G37" s="30">
        <v>1</v>
      </c>
      <c r="H37" s="30">
        <f>115</f>
        <v>115</v>
      </c>
      <c r="I37" s="58">
        <f t="shared" si="1"/>
        <v>115</v>
      </c>
    </row>
    <row r="38" spans="1:10" ht="44">
      <c r="A38" s="64"/>
      <c r="B38" s="67"/>
      <c r="C38" s="30" t="s">
        <v>342</v>
      </c>
      <c r="D38" s="30" t="s">
        <v>332</v>
      </c>
      <c r="E38" s="30" t="s">
        <v>384</v>
      </c>
      <c r="F38" s="30" t="s">
        <v>385</v>
      </c>
      <c r="G38" s="30">
        <f>18+1</f>
        <v>19</v>
      </c>
      <c r="H38" s="30">
        <f>35*19</f>
        <v>665</v>
      </c>
      <c r="I38" s="58">
        <f t="shared" si="1"/>
        <v>665</v>
      </c>
    </row>
    <row r="39" spans="1:10" ht="44">
      <c r="A39" s="64"/>
      <c r="B39" s="67"/>
      <c r="C39" s="30" t="s">
        <v>343</v>
      </c>
      <c r="D39" s="30" t="s">
        <v>332</v>
      </c>
      <c r="E39" s="30" t="s">
        <v>384</v>
      </c>
      <c r="F39" s="30">
        <v>4</v>
      </c>
      <c r="G39" s="30">
        <f>60-30</f>
        <v>30</v>
      </c>
      <c r="H39" s="30">
        <f>F39*G39</f>
        <v>120</v>
      </c>
      <c r="I39" s="58">
        <f t="shared" si="1"/>
        <v>120</v>
      </c>
    </row>
    <row r="40" spans="1:10" ht="44">
      <c r="A40" s="64"/>
      <c r="B40" s="67"/>
      <c r="C40" s="30" t="s">
        <v>344</v>
      </c>
      <c r="D40" s="30" t="s">
        <v>332</v>
      </c>
      <c r="E40" s="30" t="s">
        <v>384</v>
      </c>
      <c r="F40" s="30">
        <v>3</v>
      </c>
      <c r="G40" s="30">
        <f>15-10</f>
        <v>5</v>
      </c>
      <c r="H40" s="30">
        <f t="shared" ref="H40:H47" si="3">F40*G40</f>
        <v>15</v>
      </c>
      <c r="I40" s="58">
        <f t="shared" si="1"/>
        <v>15</v>
      </c>
      <c r="J40" s="30" t="s">
        <v>411</v>
      </c>
    </row>
    <row r="41" spans="1:10" ht="44">
      <c r="A41" s="64"/>
      <c r="B41" s="67"/>
      <c r="C41" s="30" t="s">
        <v>345</v>
      </c>
      <c r="D41" s="30" t="s">
        <v>332</v>
      </c>
      <c r="E41" s="30" t="s">
        <v>384</v>
      </c>
      <c r="F41" s="30">
        <v>4</v>
      </c>
      <c r="G41" s="30">
        <f>15-8</f>
        <v>7</v>
      </c>
      <c r="H41" s="30">
        <f t="shared" si="3"/>
        <v>28</v>
      </c>
      <c r="I41" s="58">
        <f t="shared" si="1"/>
        <v>28</v>
      </c>
    </row>
    <row r="42" spans="1:10" ht="44">
      <c r="A42" s="64"/>
      <c r="B42" s="67"/>
      <c r="C42" s="30" t="s">
        <v>351</v>
      </c>
      <c r="D42" s="30" t="s">
        <v>332</v>
      </c>
      <c r="E42" s="30" t="s">
        <v>384</v>
      </c>
      <c r="F42" s="30">
        <v>3</v>
      </c>
      <c r="G42" s="30">
        <v>6</v>
      </c>
      <c r="H42" s="30">
        <f t="shared" si="3"/>
        <v>18</v>
      </c>
      <c r="I42" s="58">
        <f t="shared" si="1"/>
        <v>18</v>
      </c>
    </row>
    <row r="43" spans="1:10" ht="44">
      <c r="A43" s="64"/>
      <c r="B43" s="67"/>
      <c r="C43" s="30" t="s">
        <v>346</v>
      </c>
      <c r="D43" s="30" t="s">
        <v>332</v>
      </c>
      <c r="E43" s="30" t="s">
        <v>384</v>
      </c>
      <c r="F43" s="30">
        <v>18</v>
      </c>
      <c r="G43" s="30">
        <v>12</v>
      </c>
      <c r="H43" s="30">
        <f t="shared" si="3"/>
        <v>216</v>
      </c>
      <c r="I43" s="58">
        <f t="shared" si="1"/>
        <v>216</v>
      </c>
    </row>
    <row r="44" spans="1:10" ht="44">
      <c r="A44" s="64"/>
      <c r="B44" s="67"/>
      <c r="C44" s="30" t="s">
        <v>347</v>
      </c>
      <c r="D44" s="30" t="s">
        <v>332</v>
      </c>
      <c r="E44" s="30" t="s">
        <v>384</v>
      </c>
      <c r="F44" s="30">
        <v>18</v>
      </c>
      <c r="G44" s="30">
        <v>3</v>
      </c>
      <c r="H44" s="30">
        <f t="shared" si="3"/>
        <v>54</v>
      </c>
      <c r="I44" s="58">
        <f t="shared" si="1"/>
        <v>54</v>
      </c>
    </row>
    <row r="45" spans="1:10" ht="44">
      <c r="A45" s="64"/>
      <c r="B45" s="67"/>
      <c r="C45" s="30" t="s">
        <v>348</v>
      </c>
      <c r="D45" s="30" t="s">
        <v>332</v>
      </c>
      <c r="E45" s="30" t="s">
        <v>384</v>
      </c>
      <c r="F45" s="30">
        <v>40</v>
      </c>
      <c r="G45" s="30">
        <v>2</v>
      </c>
      <c r="H45" s="30">
        <f t="shared" si="3"/>
        <v>80</v>
      </c>
      <c r="I45" s="58">
        <f t="shared" si="1"/>
        <v>80</v>
      </c>
    </row>
    <row r="46" spans="1:10" ht="44">
      <c r="A46" s="64"/>
      <c r="B46" s="67"/>
      <c r="C46" s="30" t="s">
        <v>349</v>
      </c>
      <c r="E46" s="30" t="s">
        <v>384</v>
      </c>
      <c r="F46" s="30">
        <v>1</v>
      </c>
      <c r="G46" s="30">
        <f>12-5</f>
        <v>7</v>
      </c>
      <c r="H46" s="30">
        <f t="shared" si="3"/>
        <v>7</v>
      </c>
      <c r="I46" s="58">
        <f t="shared" si="1"/>
        <v>7</v>
      </c>
    </row>
    <row r="47" spans="1:10" ht="44">
      <c r="A47" s="64"/>
      <c r="B47" s="67"/>
      <c r="C47" s="30" t="s">
        <v>350</v>
      </c>
      <c r="E47" s="30" t="s">
        <v>384</v>
      </c>
      <c r="F47" s="30">
        <v>12</v>
      </c>
      <c r="G47" s="30">
        <v>3</v>
      </c>
      <c r="H47" s="30">
        <f t="shared" si="3"/>
        <v>36</v>
      </c>
      <c r="I47" s="58">
        <f t="shared" si="1"/>
        <v>36</v>
      </c>
    </row>
    <row r="48" spans="1:10" ht="44">
      <c r="A48" s="64"/>
      <c r="B48" s="67"/>
      <c r="C48" s="30" t="s">
        <v>352</v>
      </c>
      <c r="E48" s="30" t="s">
        <v>384</v>
      </c>
      <c r="F48" s="30" t="s">
        <v>387</v>
      </c>
      <c r="G48" s="30">
        <v>2</v>
      </c>
      <c r="H48" s="30">
        <f>10*2</f>
        <v>20</v>
      </c>
      <c r="I48" s="58">
        <f t="shared" si="1"/>
        <v>20</v>
      </c>
    </row>
    <row r="49" spans="1:9" ht="44">
      <c r="A49" s="64"/>
      <c r="B49" s="67"/>
      <c r="C49" s="30" t="s">
        <v>353</v>
      </c>
      <c r="E49" s="30" t="s">
        <v>384</v>
      </c>
      <c r="F49" s="30" t="s">
        <v>388</v>
      </c>
      <c r="G49" s="30">
        <f>13+8+3</f>
        <v>24</v>
      </c>
      <c r="H49" s="30">
        <f>3*24</f>
        <v>72</v>
      </c>
      <c r="I49" s="58">
        <f t="shared" si="1"/>
        <v>72</v>
      </c>
    </row>
    <row r="50" spans="1:9" ht="44">
      <c r="A50" s="64"/>
      <c r="B50" s="67"/>
      <c r="C50" s="30" t="s">
        <v>354</v>
      </c>
      <c r="E50" s="30" t="s">
        <v>384</v>
      </c>
      <c r="F50" s="30" t="s">
        <v>388</v>
      </c>
      <c r="G50" s="30">
        <f>13-4</f>
        <v>9</v>
      </c>
      <c r="H50" s="30">
        <f>3*9</f>
        <v>27</v>
      </c>
      <c r="I50" s="58">
        <f t="shared" si="1"/>
        <v>27</v>
      </c>
    </row>
    <row r="51" spans="1:9" ht="44">
      <c r="A51" s="64"/>
      <c r="B51" s="67"/>
      <c r="C51" s="30" t="s">
        <v>355</v>
      </c>
      <c r="E51" s="30" t="s">
        <v>384</v>
      </c>
      <c r="F51" s="30" t="s">
        <v>390</v>
      </c>
      <c r="G51" s="30">
        <v>1</v>
      </c>
      <c r="H51" s="30">
        <f>5*1</f>
        <v>5</v>
      </c>
      <c r="I51" s="58">
        <f t="shared" si="1"/>
        <v>5</v>
      </c>
    </row>
    <row r="52" spans="1:9" ht="44">
      <c r="A52" s="64"/>
      <c r="B52" s="67"/>
      <c r="C52" s="30" t="s">
        <v>356</v>
      </c>
      <c r="E52" s="30" t="s">
        <v>384</v>
      </c>
      <c r="F52" s="30" t="s">
        <v>389</v>
      </c>
      <c r="G52" s="30">
        <f>1+1</f>
        <v>2</v>
      </c>
      <c r="H52" s="30">
        <f>6*2</f>
        <v>12</v>
      </c>
      <c r="I52" s="58">
        <f t="shared" si="1"/>
        <v>12</v>
      </c>
    </row>
    <row r="53" spans="1:9" ht="44">
      <c r="A53" s="64"/>
      <c r="B53" s="67"/>
      <c r="C53" s="30" t="s">
        <v>405</v>
      </c>
      <c r="E53" s="30" t="s">
        <v>384</v>
      </c>
      <c r="F53" s="30" t="s">
        <v>406</v>
      </c>
      <c r="G53" s="30">
        <v>0</v>
      </c>
      <c r="H53" s="30">
        <v>0</v>
      </c>
      <c r="I53" s="58">
        <v>0</v>
      </c>
    </row>
    <row r="54" spans="1:9" ht="44">
      <c r="A54" s="64"/>
      <c r="B54" s="67"/>
      <c r="C54" s="30" t="s">
        <v>357</v>
      </c>
      <c r="E54" s="30" t="s">
        <v>384</v>
      </c>
      <c r="F54" s="30">
        <v>3</v>
      </c>
      <c r="G54" s="30">
        <v>1</v>
      </c>
      <c r="H54" s="30">
        <f>F54*G54</f>
        <v>3</v>
      </c>
      <c r="I54" s="58">
        <f t="shared" si="1"/>
        <v>3</v>
      </c>
    </row>
    <row r="55" spans="1:9" ht="44">
      <c r="A55" s="64" t="s">
        <v>364</v>
      </c>
      <c r="B55" s="67">
        <f>SUM(I55:I64)</f>
        <v>78</v>
      </c>
      <c r="C55" s="30" t="s">
        <v>391</v>
      </c>
      <c r="E55" s="30" t="s">
        <v>384</v>
      </c>
      <c r="F55" s="30">
        <v>15</v>
      </c>
      <c r="G55" s="30">
        <v>1</v>
      </c>
      <c r="H55" s="30">
        <f>F55*G55</f>
        <v>15</v>
      </c>
      <c r="I55" s="58">
        <f t="shared" si="1"/>
        <v>15</v>
      </c>
    </row>
    <row r="56" spans="1:9" ht="44">
      <c r="A56" s="64"/>
      <c r="B56" s="67"/>
      <c r="C56" s="30" t="s">
        <v>358</v>
      </c>
      <c r="E56" s="30" t="s">
        <v>384</v>
      </c>
      <c r="F56" s="30" t="s">
        <v>392</v>
      </c>
      <c r="G56" s="30">
        <v>0.2</v>
      </c>
      <c r="H56" s="30">
        <v>3</v>
      </c>
      <c r="I56" s="58">
        <f t="shared" si="1"/>
        <v>3</v>
      </c>
    </row>
    <row r="57" spans="1:9" ht="44">
      <c r="A57" s="64"/>
      <c r="B57" s="67"/>
      <c r="C57" s="30" t="s">
        <v>359</v>
      </c>
      <c r="E57" s="30" t="s">
        <v>384</v>
      </c>
      <c r="F57" s="30">
        <v>2</v>
      </c>
      <c r="G57" s="30">
        <v>1</v>
      </c>
      <c r="H57" s="30">
        <f t="shared" ref="H57:H81" si="4">F57*G57</f>
        <v>2</v>
      </c>
      <c r="I57" s="58">
        <f t="shared" si="1"/>
        <v>2</v>
      </c>
    </row>
    <row r="58" spans="1:9" ht="44">
      <c r="A58" s="64"/>
      <c r="B58" s="67"/>
      <c r="C58" s="30" t="s">
        <v>360</v>
      </c>
      <c r="E58" s="30" t="s">
        <v>384</v>
      </c>
      <c r="F58" s="30">
        <v>2</v>
      </c>
      <c r="G58" s="30">
        <v>1</v>
      </c>
      <c r="H58" s="30">
        <f t="shared" si="4"/>
        <v>2</v>
      </c>
      <c r="I58" s="58">
        <f t="shared" si="1"/>
        <v>2</v>
      </c>
    </row>
    <row r="59" spans="1:9" ht="44">
      <c r="A59" s="64"/>
      <c r="B59" s="67"/>
      <c r="C59" s="30" t="s">
        <v>361</v>
      </c>
      <c r="E59" s="30" t="s">
        <v>384</v>
      </c>
      <c r="F59" s="30">
        <v>2</v>
      </c>
      <c r="G59" s="30">
        <f>5-1</f>
        <v>4</v>
      </c>
      <c r="H59" s="30">
        <f t="shared" si="4"/>
        <v>8</v>
      </c>
      <c r="I59" s="58">
        <f t="shared" si="1"/>
        <v>8</v>
      </c>
    </row>
    <row r="60" spans="1:9" ht="44">
      <c r="A60" s="64"/>
      <c r="B60" s="67"/>
      <c r="C60" s="30" t="s">
        <v>393</v>
      </c>
      <c r="E60" s="30" t="s">
        <v>235</v>
      </c>
      <c r="F60" s="30">
        <v>3</v>
      </c>
      <c r="G60" s="30">
        <v>1</v>
      </c>
      <c r="H60" s="30">
        <f t="shared" si="4"/>
        <v>3</v>
      </c>
      <c r="I60" s="58">
        <f t="shared" si="1"/>
        <v>3</v>
      </c>
    </row>
    <row r="61" spans="1:9" ht="44">
      <c r="A61" s="64"/>
      <c r="B61" s="67"/>
      <c r="C61" s="30" t="s">
        <v>362</v>
      </c>
      <c r="E61" s="30" t="s">
        <v>384</v>
      </c>
      <c r="F61" s="30" t="s">
        <v>394</v>
      </c>
      <c r="G61" s="30">
        <v>3</v>
      </c>
      <c r="H61" s="30">
        <f>6*3</f>
        <v>18</v>
      </c>
      <c r="I61" s="58">
        <f t="shared" si="1"/>
        <v>18</v>
      </c>
    </row>
    <row r="62" spans="1:9" ht="44">
      <c r="A62" s="64"/>
      <c r="B62" s="67"/>
      <c r="C62" s="30" t="s">
        <v>403</v>
      </c>
      <c r="E62" s="30" t="s">
        <v>384</v>
      </c>
      <c r="F62" s="30">
        <v>2</v>
      </c>
      <c r="G62" s="30">
        <v>1</v>
      </c>
      <c r="H62" s="30">
        <f>F62*G62</f>
        <v>2</v>
      </c>
      <c r="I62" s="58">
        <f>H62</f>
        <v>2</v>
      </c>
    </row>
    <row r="63" spans="1:9" ht="44">
      <c r="A63" s="64"/>
      <c r="B63" s="67"/>
      <c r="C63" s="30" t="s">
        <v>408</v>
      </c>
      <c r="E63" s="30" t="s">
        <v>384</v>
      </c>
      <c r="F63" s="30" t="s">
        <v>409</v>
      </c>
      <c r="G63" s="30">
        <f>1-1</f>
        <v>0</v>
      </c>
      <c r="H63" s="30">
        <v>0</v>
      </c>
      <c r="I63" s="58">
        <f>H63</f>
        <v>0</v>
      </c>
    </row>
    <row r="64" spans="1:9" ht="44">
      <c r="A64" s="64"/>
      <c r="B64" s="67"/>
      <c r="C64" s="30" t="s">
        <v>363</v>
      </c>
      <c r="E64" s="30" t="s">
        <v>384</v>
      </c>
      <c r="F64" s="30" t="s">
        <v>395</v>
      </c>
      <c r="G64" s="30">
        <v>1</v>
      </c>
      <c r="H64" s="30">
        <v>25</v>
      </c>
      <c r="I64" s="58">
        <f t="shared" si="1"/>
        <v>25</v>
      </c>
    </row>
    <row r="65" spans="1:9" ht="44">
      <c r="A65" s="67" t="s">
        <v>383</v>
      </c>
      <c r="B65" s="67">
        <f>SUM(I65:I82)</f>
        <v>1612</v>
      </c>
      <c r="C65" s="30" t="s">
        <v>366</v>
      </c>
      <c r="E65" s="30" t="s">
        <v>384</v>
      </c>
      <c r="F65" s="30" t="s">
        <v>396</v>
      </c>
      <c r="G65" s="30">
        <v>3</v>
      </c>
      <c r="H65" s="30">
        <f>222*3</f>
        <v>666</v>
      </c>
      <c r="I65" s="58">
        <f t="shared" si="1"/>
        <v>666</v>
      </c>
    </row>
    <row r="66" spans="1:9" ht="44">
      <c r="A66" s="67"/>
      <c r="B66" s="67"/>
      <c r="C66" s="30" t="s">
        <v>367</v>
      </c>
      <c r="E66" s="30" t="s">
        <v>384</v>
      </c>
      <c r="F66" s="30" t="s">
        <v>397</v>
      </c>
      <c r="G66" s="30">
        <v>4</v>
      </c>
      <c r="H66" s="30">
        <f>145*4</f>
        <v>580</v>
      </c>
      <c r="I66" s="58">
        <f t="shared" si="1"/>
        <v>580</v>
      </c>
    </row>
    <row r="67" spans="1:9" ht="44">
      <c r="A67" s="67"/>
      <c r="B67" s="67"/>
      <c r="C67" s="30" t="s">
        <v>368</v>
      </c>
      <c r="E67" s="30" t="s">
        <v>384</v>
      </c>
      <c r="F67" s="30" t="s">
        <v>388</v>
      </c>
      <c r="G67" s="30">
        <v>25</v>
      </c>
      <c r="H67" s="30">
        <f>75</f>
        <v>75</v>
      </c>
      <c r="I67" s="58">
        <f t="shared" si="1"/>
        <v>75</v>
      </c>
    </row>
    <row r="68" spans="1:9" ht="44">
      <c r="A68" s="67"/>
      <c r="B68" s="67"/>
      <c r="C68" s="30" t="s">
        <v>369</v>
      </c>
      <c r="E68" s="30" t="s">
        <v>384</v>
      </c>
      <c r="F68" s="30">
        <v>0.4</v>
      </c>
      <c r="G68" s="30">
        <v>40</v>
      </c>
      <c r="H68" s="30">
        <f t="shared" si="4"/>
        <v>16</v>
      </c>
      <c r="I68" s="58">
        <f t="shared" si="1"/>
        <v>16</v>
      </c>
    </row>
    <row r="69" spans="1:9" ht="44">
      <c r="A69" s="67"/>
      <c r="B69" s="67"/>
      <c r="C69" s="30" t="s">
        <v>370</v>
      </c>
      <c r="E69" s="30" t="s">
        <v>384</v>
      </c>
      <c r="F69" s="30">
        <v>0.4</v>
      </c>
      <c r="G69" s="30">
        <f>150-90</f>
        <v>60</v>
      </c>
      <c r="H69" s="30">
        <f t="shared" si="4"/>
        <v>24</v>
      </c>
      <c r="I69" s="58">
        <f t="shared" si="1"/>
        <v>24</v>
      </c>
    </row>
    <row r="70" spans="1:9" ht="44">
      <c r="A70" s="67"/>
      <c r="B70" s="67"/>
      <c r="C70" s="30" t="s">
        <v>371</v>
      </c>
      <c r="E70" s="30" t="s">
        <v>384</v>
      </c>
      <c r="F70" s="30">
        <v>1</v>
      </c>
      <c r="G70" s="30">
        <f>30+10</f>
        <v>40</v>
      </c>
      <c r="H70" s="30">
        <f t="shared" si="4"/>
        <v>40</v>
      </c>
      <c r="I70" s="58">
        <f t="shared" si="1"/>
        <v>40</v>
      </c>
    </row>
    <row r="71" spans="1:9" ht="44">
      <c r="A71" s="67"/>
      <c r="B71" s="67"/>
      <c r="C71" s="30" t="s">
        <v>372</v>
      </c>
      <c r="E71" s="30" t="s">
        <v>384</v>
      </c>
      <c r="F71" s="30">
        <v>1</v>
      </c>
      <c r="G71" s="30">
        <v>50</v>
      </c>
      <c r="H71" s="30">
        <f t="shared" si="4"/>
        <v>50</v>
      </c>
      <c r="I71" s="58">
        <f t="shared" si="1"/>
        <v>50</v>
      </c>
    </row>
    <row r="72" spans="1:9" ht="44">
      <c r="A72" s="67"/>
      <c r="B72" s="67"/>
      <c r="C72" s="30" t="s">
        <v>373</v>
      </c>
      <c r="E72" s="30" t="s">
        <v>384</v>
      </c>
      <c r="F72" s="30">
        <v>0.5</v>
      </c>
      <c r="G72" s="30">
        <v>10</v>
      </c>
      <c r="H72" s="30">
        <f t="shared" si="4"/>
        <v>5</v>
      </c>
      <c r="I72" s="58">
        <f t="shared" si="1"/>
        <v>5</v>
      </c>
    </row>
    <row r="73" spans="1:9" ht="44">
      <c r="A73" s="67"/>
      <c r="B73" s="67"/>
      <c r="C73" s="30" t="s">
        <v>374</v>
      </c>
      <c r="E73" s="30" t="s">
        <v>384</v>
      </c>
      <c r="F73" s="30">
        <v>15</v>
      </c>
      <c r="G73" s="30">
        <f>3-2</f>
        <v>1</v>
      </c>
      <c r="H73" s="30">
        <f t="shared" si="4"/>
        <v>15</v>
      </c>
      <c r="I73" s="58">
        <f t="shared" si="1"/>
        <v>15</v>
      </c>
    </row>
    <row r="74" spans="1:9" ht="44">
      <c r="A74" s="67"/>
      <c r="B74" s="67"/>
      <c r="C74" s="30" t="s">
        <v>375</v>
      </c>
      <c r="E74" s="30" t="s">
        <v>384</v>
      </c>
      <c r="F74" s="30">
        <v>15</v>
      </c>
      <c r="G74" s="30">
        <v>2</v>
      </c>
      <c r="H74" s="30">
        <f t="shared" si="4"/>
        <v>30</v>
      </c>
      <c r="I74" s="58">
        <f t="shared" si="1"/>
        <v>30</v>
      </c>
    </row>
    <row r="75" spans="1:9" ht="44">
      <c r="A75" s="67"/>
      <c r="B75" s="67"/>
      <c r="C75" s="30" t="s">
        <v>376</v>
      </c>
      <c r="E75" s="30" t="s">
        <v>384</v>
      </c>
      <c r="F75" s="30">
        <v>2</v>
      </c>
      <c r="G75" s="30">
        <f>2-1</f>
        <v>1</v>
      </c>
      <c r="H75" s="30">
        <f t="shared" si="4"/>
        <v>2</v>
      </c>
      <c r="I75" s="58">
        <f t="shared" si="1"/>
        <v>2</v>
      </c>
    </row>
    <row r="76" spans="1:9" ht="44">
      <c r="A76" s="67"/>
      <c r="B76" s="67"/>
      <c r="C76" s="30" t="s">
        <v>377</v>
      </c>
      <c r="E76" s="30" t="s">
        <v>384</v>
      </c>
      <c r="F76" s="30" t="s">
        <v>398</v>
      </c>
      <c r="G76" s="30">
        <v>11</v>
      </c>
      <c r="H76" s="30">
        <v>10</v>
      </c>
      <c r="I76" s="58">
        <f t="shared" si="1"/>
        <v>10</v>
      </c>
    </row>
    <row r="77" spans="1:9" ht="44">
      <c r="A77" s="67"/>
      <c r="B77" s="67"/>
      <c r="C77" s="30" t="s">
        <v>378</v>
      </c>
      <c r="E77" s="30" t="s">
        <v>384</v>
      </c>
      <c r="F77" s="30">
        <v>5</v>
      </c>
      <c r="G77" s="30">
        <f>5+3</f>
        <v>8</v>
      </c>
      <c r="H77" s="30">
        <f t="shared" si="4"/>
        <v>40</v>
      </c>
      <c r="I77" s="58">
        <f t="shared" si="1"/>
        <v>40</v>
      </c>
    </row>
    <row r="78" spans="1:9" ht="44">
      <c r="A78" s="67"/>
      <c r="B78" s="67"/>
      <c r="C78" s="30" t="s">
        <v>379</v>
      </c>
      <c r="D78" s="30" t="s">
        <v>400</v>
      </c>
      <c r="E78" s="30" t="s">
        <v>384</v>
      </c>
      <c r="F78" s="30" t="s">
        <v>399</v>
      </c>
      <c r="G78" s="30">
        <v>35</v>
      </c>
      <c r="H78" s="30">
        <v>9</v>
      </c>
      <c r="I78" s="58">
        <f t="shared" si="1"/>
        <v>9</v>
      </c>
    </row>
    <row r="79" spans="1:9" ht="44">
      <c r="A79" s="67"/>
      <c r="B79" s="67"/>
      <c r="C79" s="30" t="s">
        <v>380</v>
      </c>
      <c r="E79" s="30" t="s">
        <v>384</v>
      </c>
      <c r="F79" s="30" t="s">
        <v>401</v>
      </c>
      <c r="G79" s="30">
        <v>10</v>
      </c>
      <c r="H79" s="30">
        <f>1*10</f>
        <v>10</v>
      </c>
      <c r="I79" s="58">
        <f t="shared" si="1"/>
        <v>10</v>
      </c>
    </row>
    <row r="80" spans="1:9" ht="44">
      <c r="A80" s="67"/>
      <c r="B80" s="67"/>
      <c r="C80" s="30" t="s">
        <v>402</v>
      </c>
      <c r="E80" s="30" t="s">
        <v>384</v>
      </c>
      <c r="F80" s="30">
        <v>5</v>
      </c>
      <c r="G80" s="30">
        <v>4</v>
      </c>
      <c r="H80" s="30">
        <f t="shared" si="4"/>
        <v>20</v>
      </c>
      <c r="I80" s="58">
        <f t="shared" si="1"/>
        <v>20</v>
      </c>
    </row>
    <row r="81" spans="1:9" ht="44">
      <c r="A81" s="67"/>
      <c r="B81" s="67"/>
      <c r="C81" s="30" t="s">
        <v>381</v>
      </c>
      <c r="E81" s="30" t="s">
        <v>384</v>
      </c>
      <c r="F81" s="30">
        <v>0</v>
      </c>
      <c r="G81" s="30">
        <v>1</v>
      </c>
      <c r="H81" s="30">
        <f t="shared" si="4"/>
        <v>0</v>
      </c>
      <c r="I81" s="58">
        <f t="shared" si="1"/>
        <v>0</v>
      </c>
    </row>
    <row r="82" spans="1:9" s="48" customFormat="1" ht="44">
      <c r="A82" s="72"/>
      <c r="B82" s="72"/>
      <c r="C82" s="48" t="s">
        <v>382</v>
      </c>
      <c r="E82" s="48" t="s">
        <v>384</v>
      </c>
      <c r="F82" s="48" t="s">
        <v>390</v>
      </c>
      <c r="G82" s="48">
        <v>4</v>
      </c>
      <c r="H82" s="48">
        <f>5*4</f>
        <v>20</v>
      </c>
      <c r="I82" s="48">
        <f t="shared" si="1"/>
        <v>20</v>
      </c>
    </row>
    <row r="83" spans="1:9" s="58" customFormat="1" ht="110">
      <c r="A83" s="65" t="s">
        <v>331</v>
      </c>
      <c r="B83" s="65">
        <f>SUM(I83:I90)</f>
        <v>988</v>
      </c>
      <c r="C83" s="58" t="s">
        <v>416</v>
      </c>
      <c r="E83" s="58" t="s">
        <v>417</v>
      </c>
      <c r="F83" s="58" t="s">
        <v>418</v>
      </c>
      <c r="H83" s="58">
        <f>23+27+13+20+12+18</f>
        <v>113</v>
      </c>
      <c r="I83" s="58">
        <f>H83</f>
        <v>113</v>
      </c>
    </row>
    <row r="84" spans="1:9" ht="44">
      <c r="A84" s="67"/>
      <c r="B84" s="67"/>
      <c r="C84" s="30" t="s">
        <v>313</v>
      </c>
      <c r="D84" s="30" t="s">
        <v>323</v>
      </c>
      <c r="E84" s="30" t="s">
        <v>312</v>
      </c>
      <c r="F84" s="30" t="s">
        <v>324</v>
      </c>
      <c r="G84" s="30">
        <v>1</v>
      </c>
      <c r="H84" s="30">
        <v>80</v>
      </c>
      <c r="I84" s="58">
        <v>80</v>
      </c>
    </row>
    <row r="85" spans="1:9" ht="44">
      <c r="A85" s="67"/>
      <c r="B85" s="67"/>
      <c r="C85" s="30" t="s">
        <v>238</v>
      </c>
      <c r="D85" s="30" t="s">
        <v>319</v>
      </c>
      <c r="E85" s="30" t="s">
        <v>235</v>
      </c>
      <c r="F85" s="30" t="s">
        <v>320</v>
      </c>
      <c r="G85" s="30">
        <v>10</v>
      </c>
      <c r="H85" s="30">
        <v>265</v>
      </c>
      <c r="I85" s="58">
        <v>265</v>
      </c>
    </row>
    <row r="86" spans="1:9" ht="44">
      <c r="A86" s="67"/>
      <c r="B86" s="67"/>
      <c r="C86" s="30" t="s">
        <v>240</v>
      </c>
      <c r="D86" s="30" t="s">
        <v>241</v>
      </c>
      <c r="E86" s="30" t="s">
        <v>235</v>
      </c>
      <c r="F86" s="30" t="s">
        <v>321</v>
      </c>
      <c r="G86" s="30">
        <v>20</v>
      </c>
      <c r="H86" s="30">
        <v>110</v>
      </c>
      <c r="I86" s="58">
        <v>110</v>
      </c>
    </row>
    <row r="87" spans="1:9" ht="44">
      <c r="A87" s="67"/>
      <c r="B87" s="67"/>
      <c r="C87" s="30" t="s">
        <v>234</v>
      </c>
      <c r="D87" s="30" t="s">
        <v>236</v>
      </c>
      <c r="E87" s="30" t="s">
        <v>235</v>
      </c>
      <c r="F87" s="30" t="s">
        <v>322</v>
      </c>
      <c r="G87" s="30">
        <v>50</v>
      </c>
      <c r="H87" s="30">
        <v>50</v>
      </c>
      <c r="I87" s="58">
        <v>50</v>
      </c>
    </row>
    <row r="88" spans="1:9" ht="44">
      <c r="A88" s="67"/>
      <c r="B88" s="67"/>
      <c r="C88" s="30" t="s">
        <v>326</v>
      </c>
      <c r="D88" s="30" t="s">
        <v>327</v>
      </c>
      <c r="E88" s="30" t="s">
        <v>235</v>
      </c>
      <c r="F88" s="30" t="s">
        <v>328</v>
      </c>
      <c r="G88" s="30">
        <v>60</v>
      </c>
      <c r="H88" s="30">
        <v>300</v>
      </c>
      <c r="I88" s="58">
        <v>300</v>
      </c>
    </row>
    <row r="89" spans="1:9">
      <c r="A89" s="67"/>
      <c r="B89" s="67"/>
      <c r="I89" s="58"/>
    </row>
    <row r="90" spans="1:9" s="48" customFormat="1" ht="44">
      <c r="A90" s="72"/>
      <c r="B90" s="72"/>
      <c r="C90" s="48" t="s">
        <v>329</v>
      </c>
      <c r="D90" s="48" t="s">
        <v>327</v>
      </c>
      <c r="E90" s="48" t="s">
        <v>235</v>
      </c>
      <c r="F90" s="48" t="s">
        <v>330</v>
      </c>
      <c r="G90" s="48">
        <v>5</v>
      </c>
      <c r="H90" s="48">
        <v>70</v>
      </c>
      <c r="I90" s="48">
        <v>70</v>
      </c>
    </row>
    <row r="91" spans="1:9" s="58" customFormat="1">
      <c r="A91" s="66"/>
      <c r="B91" s="66"/>
    </row>
  </sheetData>
  <mergeCells count="11">
    <mergeCell ref="I5:I7"/>
    <mergeCell ref="A21:A28"/>
    <mergeCell ref="B21:B28"/>
    <mergeCell ref="B29:B54"/>
    <mergeCell ref="A29:A54"/>
    <mergeCell ref="A55:A64"/>
    <mergeCell ref="B55:B64"/>
    <mergeCell ref="A65:A82"/>
    <mergeCell ref="B65:B82"/>
    <mergeCell ref="B83:B90"/>
    <mergeCell ref="A83:A9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35C1-DC55-A14E-BC0A-3D4AFF249CBD}">
  <dimension ref="A1:O41"/>
  <sheetViews>
    <sheetView topLeftCell="A17" workbookViewId="0">
      <pane xSplit="1" topLeftCell="J1" activePane="topRight" state="frozen"/>
      <selection pane="topRight" activeCell="A18" sqref="A18:XFD18"/>
    </sheetView>
  </sheetViews>
  <sheetFormatPr baseColWidth="10" defaultColWidth="16.33203125" defaultRowHeight="21"/>
  <cols>
    <col min="1" max="1" width="40.5" style="5" customWidth="1"/>
    <col min="2" max="3" width="16.33203125" style="5"/>
    <col min="4" max="4" width="33.83203125" style="5" customWidth="1"/>
    <col min="5" max="5" width="49.33203125" style="14" customWidth="1"/>
    <col min="6" max="6" width="34.5" style="15" customWidth="1"/>
    <col min="7" max="11" width="16.33203125" style="5"/>
    <col min="12" max="13" width="26.1640625" style="5" customWidth="1"/>
    <col min="14" max="16384" width="16.33203125" style="5"/>
  </cols>
  <sheetData>
    <row r="1" spans="1:15" s="1" customFormat="1" ht="22">
      <c r="A1" s="1" t="s">
        <v>34</v>
      </c>
      <c r="B1" s="1" t="s">
        <v>35</v>
      </c>
      <c r="C1" s="1" t="s">
        <v>109</v>
      </c>
      <c r="D1" s="1" t="s">
        <v>36</v>
      </c>
      <c r="E1" s="12" t="s">
        <v>81</v>
      </c>
      <c r="F1" s="13" t="s">
        <v>75</v>
      </c>
      <c r="G1" s="1" t="s">
        <v>71</v>
      </c>
      <c r="H1" s="1" t="s">
        <v>72</v>
      </c>
      <c r="I1" s="1" t="s">
        <v>2</v>
      </c>
      <c r="J1" s="1" t="s">
        <v>102</v>
      </c>
      <c r="K1" s="1" t="s">
        <v>73</v>
      </c>
      <c r="L1" s="1" t="s">
        <v>40</v>
      </c>
      <c r="M1" s="1" t="s">
        <v>26</v>
      </c>
      <c r="N1" s="1" t="s">
        <v>191</v>
      </c>
      <c r="O1" s="1" t="s">
        <v>200</v>
      </c>
    </row>
    <row r="2" spans="1:15" s="33" customFormat="1" ht="132">
      <c r="A2" s="34" t="s">
        <v>45</v>
      </c>
      <c r="B2" s="34" t="s">
        <v>99</v>
      </c>
      <c r="C2" s="34" t="s">
        <v>110</v>
      </c>
      <c r="D2" s="34" t="s">
        <v>98</v>
      </c>
      <c r="E2" s="54"/>
      <c r="F2" s="55" t="s">
        <v>100</v>
      </c>
      <c r="G2" s="34" t="s">
        <v>94</v>
      </c>
      <c r="H2" s="34">
        <v>1499</v>
      </c>
      <c r="I2" s="34">
        <v>2</v>
      </c>
      <c r="J2" s="34">
        <f t="shared" ref="J2:J39" si="0">H2*I2</f>
        <v>2998</v>
      </c>
      <c r="K2" s="56" t="s">
        <v>97</v>
      </c>
      <c r="L2" s="33" t="s">
        <v>170</v>
      </c>
    </row>
    <row r="3" spans="1:15" s="43" customFormat="1" ht="198">
      <c r="A3" s="43" t="s">
        <v>263</v>
      </c>
      <c r="B3" s="44" t="s">
        <v>266</v>
      </c>
      <c r="C3" s="59" t="s">
        <v>110</v>
      </c>
      <c r="D3" s="44" t="s">
        <v>267</v>
      </c>
      <c r="E3" s="45"/>
      <c r="F3" s="60" t="s">
        <v>264</v>
      </c>
      <c r="G3" s="44" t="s">
        <v>265</v>
      </c>
      <c r="H3" s="43">
        <v>2999</v>
      </c>
      <c r="I3" s="43">
        <v>1</v>
      </c>
      <c r="J3" s="43">
        <v>2999</v>
      </c>
      <c r="K3" s="47"/>
      <c r="L3" s="44" t="s">
        <v>279</v>
      </c>
      <c r="M3" s="43">
        <f>2999+30</f>
        <v>3029</v>
      </c>
      <c r="N3" s="44" t="s">
        <v>283</v>
      </c>
    </row>
    <row r="4" spans="1:15" s="20" customFormat="1" ht="110">
      <c r="A4" s="5" t="s">
        <v>47</v>
      </c>
      <c r="B4" s="5" t="s">
        <v>38</v>
      </c>
      <c r="C4" s="20" t="s">
        <v>110</v>
      </c>
      <c r="D4" s="5" t="s">
        <v>92</v>
      </c>
      <c r="E4" s="14"/>
      <c r="F4" s="15" t="s">
        <v>93</v>
      </c>
      <c r="G4" s="5" t="s">
        <v>94</v>
      </c>
      <c r="H4" s="5">
        <v>2999</v>
      </c>
      <c r="I4" s="5">
        <v>1</v>
      </c>
      <c r="J4" s="20">
        <f t="shared" si="0"/>
        <v>2999</v>
      </c>
      <c r="K4" s="16" t="s">
        <v>91</v>
      </c>
      <c r="L4" s="5" t="s">
        <v>165</v>
      </c>
      <c r="M4" s="5"/>
    </row>
    <row r="5" spans="1:15" s="34" customFormat="1" ht="88">
      <c r="A5" s="33" t="s">
        <v>52</v>
      </c>
      <c r="B5" s="33" t="s">
        <v>53</v>
      </c>
      <c r="C5" s="34" t="s">
        <v>110</v>
      </c>
      <c r="D5" s="33" t="s">
        <v>76</v>
      </c>
      <c r="E5" s="35"/>
      <c r="F5" s="36" t="s">
        <v>78</v>
      </c>
      <c r="G5" s="33" t="s">
        <v>74</v>
      </c>
      <c r="H5" s="33">
        <v>4390</v>
      </c>
      <c r="I5" s="33">
        <v>0</v>
      </c>
      <c r="J5" s="34">
        <f t="shared" si="0"/>
        <v>0</v>
      </c>
      <c r="K5" s="37" t="s">
        <v>77</v>
      </c>
      <c r="L5" s="33" t="s">
        <v>201</v>
      </c>
      <c r="M5" s="33">
        <v>0</v>
      </c>
      <c r="N5" s="34" t="s">
        <v>192</v>
      </c>
    </row>
    <row r="6" spans="1:15" s="39" customFormat="1" ht="198">
      <c r="A6" s="39" t="s">
        <v>52</v>
      </c>
      <c r="B6" s="39" t="s">
        <v>53</v>
      </c>
      <c r="C6" s="39" t="s">
        <v>110</v>
      </c>
      <c r="D6" s="39" t="s">
        <v>285</v>
      </c>
      <c r="E6" s="40"/>
      <c r="F6" s="41" t="s">
        <v>284</v>
      </c>
      <c r="G6" s="39" t="s">
        <v>280</v>
      </c>
      <c r="H6" s="39">
        <v>3499</v>
      </c>
      <c r="I6" s="39">
        <v>1</v>
      </c>
      <c r="K6" s="42"/>
      <c r="L6" s="39" t="s">
        <v>281</v>
      </c>
      <c r="M6" s="39">
        <v>3489</v>
      </c>
      <c r="N6" s="39" t="s">
        <v>282</v>
      </c>
    </row>
    <row r="7" spans="1:15" s="34" customFormat="1" ht="179" customHeight="1">
      <c r="A7" s="38" t="s">
        <v>114</v>
      </c>
      <c r="B7" s="38" t="s">
        <v>59</v>
      </c>
      <c r="C7" s="38" t="s">
        <v>110</v>
      </c>
      <c r="D7" s="38" t="s">
        <v>96</v>
      </c>
      <c r="E7" s="35"/>
      <c r="F7" s="36" t="s">
        <v>115</v>
      </c>
      <c r="G7" s="38" t="s">
        <v>82</v>
      </c>
      <c r="H7" s="38">
        <v>2399</v>
      </c>
      <c r="I7" s="38">
        <v>1</v>
      </c>
      <c r="J7" s="34">
        <f t="shared" si="0"/>
        <v>2399</v>
      </c>
      <c r="K7" s="37" t="s">
        <v>95</v>
      </c>
      <c r="L7" s="38" t="s">
        <v>165</v>
      </c>
      <c r="M7" s="38"/>
    </row>
    <row r="8" spans="1:15" s="43" customFormat="1" ht="179" customHeight="1">
      <c r="A8" s="43" t="s">
        <v>114</v>
      </c>
      <c r="B8" s="44" t="s">
        <v>59</v>
      </c>
      <c r="C8" s="44" t="s">
        <v>110</v>
      </c>
      <c r="D8" s="44" t="s">
        <v>210</v>
      </c>
      <c r="E8" s="45"/>
      <c r="F8" s="46"/>
      <c r="G8" s="44" t="s">
        <v>136</v>
      </c>
      <c r="H8" s="43">
        <v>3599</v>
      </c>
      <c r="I8" s="43">
        <v>1</v>
      </c>
      <c r="J8" s="43">
        <v>3599</v>
      </c>
      <c r="K8" s="47"/>
      <c r="M8" s="43">
        <v>3599</v>
      </c>
      <c r="N8" s="44" t="s">
        <v>211</v>
      </c>
      <c r="O8" s="44" t="s">
        <v>212</v>
      </c>
    </row>
    <row r="9" spans="1:15" s="34" customFormat="1" ht="88">
      <c r="A9" s="38" t="s">
        <v>56</v>
      </c>
      <c r="B9" s="38" t="s">
        <v>59</v>
      </c>
      <c r="C9" s="38" t="s">
        <v>110</v>
      </c>
      <c r="D9" s="38" t="s">
        <v>113</v>
      </c>
      <c r="E9" s="35"/>
      <c r="F9" s="36" t="s">
        <v>111</v>
      </c>
      <c r="G9" s="38" t="s">
        <v>82</v>
      </c>
      <c r="H9" s="38">
        <v>3499</v>
      </c>
      <c r="I9" s="38">
        <v>0</v>
      </c>
      <c r="J9" s="34">
        <f t="shared" si="0"/>
        <v>0</v>
      </c>
      <c r="K9" s="37" t="s">
        <v>112</v>
      </c>
      <c r="L9" s="38" t="s">
        <v>169</v>
      </c>
      <c r="M9" s="38"/>
    </row>
    <row r="10" spans="1:15" s="34" customFormat="1" ht="110">
      <c r="A10" s="38" t="s">
        <v>58</v>
      </c>
      <c r="B10" s="38" t="s">
        <v>59</v>
      </c>
      <c r="C10" s="34" t="s">
        <v>110</v>
      </c>
      <c r="D10" s="38" t="s">
        <v>106</v>
      </c>
      <c r="E10" s="35"/>
      <c r="F10" s="36" t="s">
        <v>108</v>
      </c>
      <c r="G10" s="38" t="s">
        <v>82</v>
      </c>
      <c r="H10" s="38">
        <v>2999</v>
      </c>
      <c r="I10" s="38">
        <v>1</v>
      </c>
      <c r="J10" s="34">
        <f t="shared" si="0"/>
        <v>2999</v>
      </c>
      <c r="K10" s="37" t="s">
        <v>107</v>
      </c>
      <c r="L10" s="38" t="s">
        <v>168</v>
      </c>
      <c r="M10" s="38"/>
    </row>
    <row r="11" spans="1:15" s="39" customFormat="1" ht="154">
      <c r="A11" s="39" t="s">
        <v>58</v>
      </c>
      <c r="B11" s="39" t="s">
        <v>59</v>
      </c>
      <c r="C11" s="39" t="s">
        <v>110</v>
      </c>
      <c r="D11" s="39" t="s">
        <v>195</v>
      </c>
      <c r="E11" s="40"/>
      <c r="F11" s="41" t="s">
        <v>196</v>
      </c>
      <c r="G11" s="39" t="s">
        <v>197</v>
      </c>
      <c r="H11" s="39">
        <v>3699</v>
      </c>
      <c r="I11" s="39">
        <v>1</v>
      </c>
      <c r="J11" s="39">
        <f t="shared" si="0"/>
        <v>3699</v>
      </c>
      <c r="K11" s="42"/>
      <c r="L11" s="39" t="s">
        <v>198</v>
      </c>
      <c r="M11" s="39">
        <v>2729</v>
      </c>
      <c r="N11" s="39" t="s">
        <v>199</v>
      </c>
      <c r="O11" s="39">
        <v>0</v>
      </c>
    </row>
    <row r="12" spans="1:15" s="20" customFormat="1" ht="88">
      <c r="A12" s="5" t="s">
        <v>60</v>
      </c>
      <c r="B12" s="5" t="s">
        <v>70</v>
      </c>
      <c r="C12" s="20" t="s">
        <v>110</v>
      </c>
      <c r="D12" s="5" t="s">
        <v>79</v>
      </c>
      <c r="E12" s="14"/>
      <c r="F12" s="15" t="s">
        <v>132</v>
      </c>
      <c r="G12" s="5" t="s">
        <v>104</v>
      </c>
      <c r="H12" s="5">
        <v>2399</v>
      </c>
      <c r="I12" s="5">
        <v>0</v>
      </c>
      <c r="J12" s="20">
        <f t="shared" si="0"/>
        <v>0</v>
      </c>
      <c r="K12" s="16" t="s">
        <v>80</v>
      </c>
      <c r="L12" s="5" t="s">
        <v>167</v>
      </c>
      <c r="M12" s="5"/>
    </row>
    <row r="13" spans="1:15" s="20" customFormat="1" ht="88">
      <c r="A13" s="5" t="s">
        <v>60</v>
      </c>
      <c r="B13" s="5" t="s">
        <v>87</v>
      </c>
      <c r="C13" s="20" t="s">
        <v>110</v>
      </c>
      <c r="D13" s="5" t="s">
        <v>103</v>
      </c>
      <c r="E13" s="14"/>
      <c r="F13" s="15" t="s">
        <v>105</v>
      </c>
      <c r="G13" s="5" t="s">
        <v>104</v>
      </c>
      <c r="H13" s="5">
        <v>1988</v>
      </c>
      <c r="I13" s="5">
        <v>0</v>
      </c>
      <c r="J13" s="20">
        <f t="shared" si="0"/>
        <v>0</v>
      </c>
      <c r="K13" s="16" t="s">
        <v>164</v>
      </c>
      <c r="L13" s="5" t="s">
        <v>166</v>
      </c>
      <c r="M13" s="5"/>
    </row>
    <row r="14" spans="1:15" s="20" customFormat="1" ht="132">
      <c r="A14" s="5" t="s">
        <v>64</v>
      </c>
      <c r="B14" s="5" t="s">
        <v>70</v>
      </c>
      <c r="C14" s="20" t="s">
        <v>110</v>
      </c>
      <c r="D14" s="5" t="s">
        <v>83</v>
      </c>
      <c r="E14" s="14"/>
      <c r="F14" s="15" t="s">
        <v>85</v>
      </c>
      <c r="G14" s="5" t="s">
        <v>82</v>
      </c>
      <c r="H14" s="5">
        <v>5799</v>
      </c>
      <c r="I14" s="5">
        <v>0</v>
      </c>
      <c r="J14" s="20">
        <f t="shared" si="0"/>
        <v>0</v>
      </c>
      <c r="K14" s="16" t="s">
        <v>84</v>
      </c>
      <c r="L14" s="5" t="s">
        <v>166</v>
      </c>
      <c r="M14" s="5"/>
    </row>
    <row r="15" spans="1:15" s="20" customFormat="1" ht="110">
      <c r="A15" s="5" t="s">
        <v>86</v>
      </c>
      <c r="B15" s="5" t="s">
        <v>87</v>
      </c>
      <c r="C15" s="20" t="s">
        <v>110</v>
      </c>
      <c r="D15" s="5" t="s">
        <v>89</v>
      </c>
      <c r="E15" s="14"/>
      <c r="F15" s="15" t="s">
        <v>90</v>
      </c>
      <c r="G15" s="5" t="s">
        <v>82</v>
      </c>
      <c r="H15" s="5">
        <v>2199</v>
      </c>
      <c r="I15" s="5">
        <v>0</v>
      </c>
      <c r="J15" s="20">
        <f t="shared" si="0"/>
        <v>0</v>
      </c>
      <c r="K15" s="16" t="s">
        <v>88</v>
      </c>
      <c r="L15" s="5" t="s">
        <v>165</v>
      </c>
      <c r="M15" s="5"/>
    </row>
    <row r="16" spans="1:15" s="20" customFormat="1" ht="22">
      <c r="A16" s="5" t="s">
        <v>41</v>
      </c>
      <c r="B16" s="5" t="s">
        <v>38</v>
      </c>
      <c r="C16" s="5"/>
      <c r="D16" s="5"/>
      <c r="E16" s="14"/>
      <c r="F16" s="15"/>
      <c r="G16" s="5"/>
      <c r="H16" s="5"/>
      <c r="I16" s="5"/>
      <c r="J16" s="5">
        <f t="shared" si="0"/>
        <v>0</v>
      </c>
      <c r="K16" s="5"/>
      <c r="L16" s="5"/>
      <c r="M16" s="5"/>
    </row>
    <row r="17" spans="1:13" s="20" customFormat="1" ht="22">
      <c r="A17" s="20" t="s">
        <v>286</v>
      </c>
      <c r="B17" s="20" t="s">
        <v>39</v>
      </c>
      <c r="E17" s="21"/>
      <c r="F17" s="22"/>
      <c r="J17" s="5">
        <f t="shared" si="0"/>
        <v>0</v>
      </c>
      <c r="K17" s="23"/>
    </row>
    <row r="18" spans="1:13" s="20" customFormat="1" ht="22">
      <c r="A18" s="20" t="s">
        <v>50</v>
      </c>
      <c r="B18" s="20" t="s">
        <v>38</v>
      </c>
      <c r="E18" s="21"/>
      <c r="F18" s="22"/>
      <c r="J18" s="20">
        <f t="shared" si="0"/>
        <v>0</v>
      </c>
    </row>
    <row r="19" spans="1:13" ht="24" customHeight="1">
      <c r="A19" s="20" t="s">
        <v>49</v>
      </c>
      <c r="B19" s="20" t="s">
        <v>38</v>
      </c>
      <c r="C19" s="20"/>
      <c r="D19" s="20"/>
      <c r="E19" s="21"/>
      <c r="F19" s="22"/>
      <c r="G19" s="20"/>
      <c r="H19" s="20"/>
      <c r="I19" s="20"/>
      <c r="J19" s="20">
        <f t="shared" si="0"/>
        <v>0</v>
      </c>
      <c r="K19" s="20"/>
      <c r="L19" s="20"/>
      <c r="M19" s="20"/>
    </row>
    <row r="20" spans="1:13" ht="22">
      <c r="A20" s="20" t="s">
        <v>44</v>
      </c>
      <c r="B20" s="20" t="s">
        <v>99</v>
      </c>
      <c r="C20" s="20"/>
      <c r="D20" s="20"/>
      <c r="E20" s="21"/>
      <c r="F20" s="22"/>
      <c r="G20" s="20"/>
      <c r="H20" s="20"/>
      <c r="I20" s="20">
        <v>2</v>
      </c>
      <c r="J20" s="20">
        <f t="shared" si="0"/>
        <v>0</v>
      </c>
      <c r="K20" s="20"/>
      <c r="L20" s="20"/>
      <c r="M20" s="20"/>
    </row>
    <row r="21" spans="1:13" ht="22" customHeight="1">
      <c r="A21" s="20" t="s">
        <v>37</v>
      </c>
      <c r="B21" s="20" t="s">
        <v>99</v>
      </c>
      <c r="C21" s="20"/>
      <c r="D21" s="20"/>
      <c r="E21" s="21"/>
      <c r="F21" s="22"/>
      <c r="G21" s="20"/>
      <c r="H21" s="20"/>
      <c r="I21" s="20">
        <v>2</v>
      </c>
      <c r="J21" s="20">
        <f t="shared" si="0"/>
        <v>0</v>
      </c>
      <c r="K21" s="20"/>
      <c r="L21" s="20"/>
      <c r="M21" s="20"/>
    </row>
    <row r="22" spans="1:13" ht="22">
      <c r="A22" s="20" t="s">
        <v>43</v>
      </c>
      <c r="B22" s="20" t="s">
        <v>99</v>
      </c>
      <c r="C22" s="20" t="s">
        <v>171</v>
      </c>
      <c r="D22" s="20"/>
      <c r="E22" s="21"/>
      <c r="F22" s="22"/>
      <c r="G22" s="20"/>
      <c r="H22" s="20"/>
      <c r="I22" s="20">
        <v>2</v>
      </c>
      <c r="J22" s="20">
        <f t="shared" si="0"/>
        <v>0</v>
      </c>
      <c r="K22" s="20"/>
      <c r="L22" s="20"/>
      <c r="M22" s="20"/>
    </row>
    <row r="23" spans="1:13" ht="22">
      <c r="A23" s="20" t="s">
        <v>42</v>
      </c>
      <c r="B23" s="20" t="s">
        <v>99</v>
      </c>
      <c r="C23" s="20"/>
      <c r="D23" s="20"/>
      <c r="E23" s="21"/>
      <c r="F23" s="22"/>
      <c r="G23" s="20"/>
      <c r="H23" s="20"/>
      <c r="I23" s="20">
        <v>2</v>
      </c>
      <c r="J23" s="20">
        <f t="shared" si="0"/>
        <v>0</v>
      </c>
      <c r="K23" s="20"/>
      <c r="L23" s="20"/>
      <c r="M23" s="20"/>
    </row>
    <row r="24" spans="1:13" ht="24" customHeight="1">
      <c r="A24" s="20" t="s">
        <v>101</v>
      </c>
      <c r="B24" s="20" t="s">
        <v>99</v>
      </c>
      <c r="C24" s="20"/>
      <c r="D24" s="20"/>
      <c r="E24" s="21"/>
      <c r="F24" s="22"/>
      <c r="G24" s="20"/>
      <c r="H24" s="20"/>
      <c r="I24" s="20">
        <v>2</v>
      </c>
      <c r="J24" s="20">
        <f t="shared" si="0"/>
        <v>0</v>
      </c>
      <c r="K24" s="20"/>
      <c r="L24" s="20"/>
      <c r="M24" s="20"/>
    </row>
    <row r="25" spans="1:13" ht="21" customHeight="1">
      <c r="A25" s="20" t="s">
        <v>48</v>
      </c>
      <c r="B25" s="20" t="s">
        <v>38</v>
      </c>
      <c r="C25" s="20"/>
      <c r="D25" s="20"/>
      <c r="E25" s="21"/>
      <c r="F25" s="22"/>
      <c r="G25" s="20"/>
      <c r="H25" s="20"/>
      <c r="I25" s="20"/>
      <c r="J25" s="20">
        <f t="shared" si="0"/>
        <v>0</v>
      </c>
      <c r="K25" s="20"/>
      <c r="L25" s="20"/>
      <c r="M25" s="20"/>
    </row>
    <row r="26" spans="1:13" ht="22">
      <c r="A26" s="20" t="s">
        <v>172</v>
      </c>
      <c r="B26" s="20" t="s">
        <v>99</v>
      </c>
      <c r="C26" s="20"/>
      <c r="D26" s="20"/>
      <c r="E26" s="21"/>
      <c r="F26" s="22"/>
      <c r="G26" s="20"/>
      <c r="H26" s="20"/>
      <c r="I26" s="20">
        <v>2</v>
      </c>
      <c r="J26" s="20">
        <f t="shared" si="0"/>
        <v>0</v>
      </c>
      <c r="K26" s="20"/>
      <c r="L26" s="20"/>
      <c r="M26" s="20"/>
    </row>
    <row r="27" spans="1:13" ht="51" customHeight="1">
      <c r="A27" s="20" t="s">
        <v>51</v>
      </c>
      <c r="B27" s="20" t="s">
        <v>39</v>
      </c>
      <c r="C27" s="20"/>
      <c r="D27" s="20"/>
      <c r="E27" s="21"/>
      <c r="F27" s="22"/>
      <c r="G27" s="20"/>
      <c r="H27" s="20"/>
      <c r="I27" s="20"/>
      <c r="J27" s="20">
        <f t="shared" si="0"/>
        <v>0</v>
      </c>
      <c r="K27" s="20"/>
      <c r="L27" s="20"/>
      <c r="M27" s="20"/>
    </row>
    <row r="28" spans="1:13" ht="22">
      <c r="A28" s="5" t="s">
        <v>46</v>
      </c>
      <c r="B28" s="5" t="s">
        <v>38</v>
      </c>
      <c r="J28" s="20">
        <f t="shared" si="0"/>
        <v>0</v>
      </c>
    </row>
    <row r="29" spans="1:13" ht="22">
      <c r="A29" s="5" t="s">
        <v>54</v>
      </c>
      <c r="B29" s="5" t="s">
        <v>53</v>
      </c>
      <c r="J29" s="20">
        <f t="shared" si="0"/>
        <v>0</v>
      </c>
    </row>
    <row r="30" spans="1:13" ht="22">
      <c r="A30" s="5" t="s">
        <v>55</v>
      </c>
      <c r="B30" s="5" t="s">
        <v>53</v>
      </c>
      <c r="J30" s="20">
        <f t="shared" si="0"/>
        <v>0</v>
      </c>
    </row>
    <row r="31" spans="1:13" ht="22">
      <c r="A31" s="5" t="s">
        <v>57</v>
      </c>
      <c r="B31" s="5" t="s">
        <v>59</v>
      </c>
      <c r="J31" s="20">
        <f t="shared" si="0"/>
        <v>0</v>
      </c>
    </row>
    <row r="32" spans="1:13" ht="22">
      <c r="A32" s="5" t="s">
        <v>61</v>
      </c>
      <c r="B32" s="5" t="s">
        <v>70</v>
      </c>
      <c r="J32" s="20">
        <f t="shared" si="0"/>
        <v>0</v>
      </c>
    </row>
    <row r="33" spans="1:13" ht="22" customHeight="1">
      <c r="A33" s="5" t="s">
        <v>62</v>
      </c>
      <c r="B33" s="5" t="s">
        <v>70</v>
      </c>
      <c r="I33" s="5">
        <v>2</v>
      </c>
      <c r="J33" s="20">
        <f t="shared" si="0"/>
        <v>0</v>
      </c>
    </row>
    <row r="34" spans="1:13" ht="22">
      <c r="A34" s="5" t="s">
        <v>63</v>
      </c>
      <c r="B34" s="5" t="s">
        <v>70</v>
      </c>
      <c r="J34" s="20">
        <f t="shared" si="0"/>
        <v>0</v>
      </c>
    </row>
    <row r="35" spans="1:13" ht="22">
      <c r="A35" s="5" t="s">
        <v>65</v>
      </c>
      <c r="B35" s="5" t="s">
        <v>70</v>
      </c>
      <c r="C35" s="5" t="s">
        <v>110</v>
      </c>
      <c r="J35" s="20">
        <f t="shared" si="0"/>
        <v>0</v>
      </c>
    </row>
    <row r="36" spans="1:13" ht="22">
      <c r="A36" s="5" t="s">
        <v>66</v>
      </c>
      <c r="B36" s="5" t="s">
        <v>70</v>
      </c>
      <c r="J36" s="20">
        <f t="shared" si="0"/>
        <v>0</v>
      </c>
    </row>
    <row r="37" spans="1:13" ht="22">
      <c r="A37" s="5" t="s">
        <v>67</v>
      </c>
      <c r="B37" s="5" t="s">
        <v>70</v>
      </c>
      <c r="J37" s="20">
        <f t="shared" si="0"/>
        <v>0</v>
      </c>
    </row>
    <row r="38" spans="1:13" ht="22">
      <c r="A38" s="5" t="s">
        <v>68</v>
      </c>
      <c r="B38" s="5" t="s">
        <v>70</v>
      </c>
      <c r="J38" s="20">
        <f t="shared" si="0"/>
        <v>0</v>
      </c>
    </row>
    <row r="39" spans="1:13" ht="24" customHeight="1">
      <c r="A39" s="5" t="s">
        <v>69</v>
      </c>
      <c r="B39" s="5" t="s">
        <v>70</v>
      </c>
      <c r="J39" s="20">
        <f t="shared" si="0"/>
        <v>0</v>
      </c>
    </row>
    <row r="40" spans="1:13" ht="24" customHeight="1">
      <c r="A40" s="5" t="s">
        <v>173</v>
      </c>
      <c r="B40" s="5" t="s">
        <v>59</v>
      </c>
      <c r="C40" s="5" t="s">
        <v>174</v>
      </c>
      <c r="I40" s="5">
        <v>1</v>
      </c>
      <c r="J40" s="20">
        <v>0</v>
      </c>
    </row>
    <row r="41" spans="1:13" s="17" customFormat="1" ht="22">
      <c r="A41" s="17" t="s">
        <v>17</v>
      </c>
      <c r="E41" s="18"/>
      <c r="F41" s="19"/>
      <c r="J41" s="32">
        <f>SUM(J2:J40)</f>
        <v>21692</v>
      </c>
      <c r="M41" s="17">
        <f>SUM(M2:M40)</f>
        <v>12846</v>
      </c>
    </row>
  </sheetData>
  <sortState xmlns:xlrd2="http://schemas.microsoft.com/office/spreadsheetml/2017/richdata2" ref="A2:L41">
    <sortCondition ref="C2:C41"/>
  </sortState>
  <phoneticPr fontId="1" type="noConversion"/>
  <hyperlinks>
    <hyperlink ref="K5" r:id="rId1" location="none" xr:uid="{44F77E9A-1FEF-BA4E-A64D-801080BEC1AB}"/>
    <hyperlink ref="K12" r:id="rId2" xr:uid="{C75A80B3-10B5-D343-BEFE-AF0CB407219F}"/>
    <hyperlink ref="K14" r:id="rId3" location="none" xr:uid="{A96F843D-460D-1444-95F7-D66882355794}"/>
    <hyperlink ref="K15" r:id="rId4" location="crumb-wrap" xr:uid="{272C40F1-6BDD-A843-99ED-828D5D445AEF}"/>
    <hyperlink ref="K4" r:id="rId5" location="crumb-wrap" xr:uid="{9A4AB8E5-23AA-A447-BF31-603A5738D213}"/>
    <hyperlink ref="K2" r:id="rId6" xr:uid="{46C53AC9-79FA-5B49-B558-90FF2AECB54E}"/>
    <hyperlink ref="K10" r:id="rId7" location="crumb-wrap" xr:uid="{D8613EAC-622E-994F-8E0A-8DF3EB7ACB4F}"/>
    <hyperlink ref="K9" r:id="rId8" location="crumb-wrap" xr:uid="{5F7E93BD-2ED9-2848-8C2F-43BAA389E323}"/>
    <hyperlink ref="K7" r:id="rId9" location="crumb-wrap" xr:uid="{697E496D-055D-D643-BF57-A496A4AD67DE}"/>
    <hyperlink ref="K13" r:id="rId10" location="crumb-wrap" xr:uid="{D9C13EFA-64F5-1546-8A22-F489440E29D5}"/>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1D9C8-28F9-4B4B-848D-0A0BF1EBDEF6}">
  <dimension ref="A1:D7"/>
  <sheetViews>
    <sheetView workbookViewId="0">
      <selection activeCell="A8" sqref="A8"/>
    </sheetView>
  </sheetViews>
  <sheetFormatPr baseColWidth="10" defaultColWidth="43.5" defaultRowHeight="21"/>
  <cols>
    <col min="1" max="1" width="16" style="9" customWidth="1"/>
    <col min="2" max="16384" width="43.5" style="9"/>
  </cols>
  <sheetData>
    <row r="1" spans="1:4">
      <c r="A1" s="9" t="s">
        <v>28</v>
      </c>
      <c r="B1" s="9" t="s">
        <v>30</v>
      </c>
      <c r="C1" s="9" t="s">
        <v>29</v>
      </c>
      <c r="D1" s="9" t="s">
        <v>309</v>
      </c>
    </row>
    <row r="3" spans="1:4" ht="22" customHeight="1">
      <c r="A3" s="63" t="s">
        <v>305</v>
      </c>
      <c r="B3" s="62" t="s">
        <v>31</v>
      </c>
      <c r="C3" s="10" t="s">
        <v>32</v>
      </c>
    </row>
    <row r="4" spans="1:4">
      <c r="A4" s="63"/>
      <c r="B4" s="62"/>
      <c r="C4" s="9" t="s">
        <v>33</v>
      </c>
    </row>
    <row r="5" spans="1:4">
      <c r="A5" s="9" t="s">
        <v>303</v>
      </c>
      <c r="B5" s="9" t="s">
        <v>304</v>
      </c>
      <c r="C5" s="9">
        <v>13942626713</v>
      </c>
    </row>
    <row r="6" spans="1:4">
      <c r="A6" s="9" t="s">
        <v>218</v>
      </c>
      <c r="B6" s="9" t="s">
        <v>306</v>
      </c>
      <c r="C6" s="9">
        <v>15140436656</v>
      </c>
    </row>
    <row r="7" spans="1:4">
      <c r="A7" s="9" t="s">
        <v>307</v>
      </c>
      <c r="B7" s="9" t="s">
        <v>308</v>
      </c>
      <c r="C7" s="9">
        <v>13840916589</v>
      </c>
      <c r="D7" s="9" t="s">
        <v>310</v>
      </c>
    </row>
  </sheetData>
  <mergeCells count="2">
    <mergeCell ref="B3:B4"/>
    <mergeCell ref="A3:A4"/>
  </mergeCells>
  <phoneticPr fontId="1" type="noConversion"/>
  <hyperlinks>
    <hyperlink ref="C3" r:id="rId1" xr:uid="{2C0A23E9-276A-7940-B3DE-C0A352072F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8AAFD-7008-5A46-95A3-812D9F73CD1C}">
  <dimension ref="A1:J62"/>
  <sheetViews>
    <sheetView workbookViewId="0">
      <pane ySplit="1" topLeftCell="A37" activePane="bottomLeft" state="frozen"/>
      <selection activeCell="D31" sqref="D31"/>
      <selection pane="bottomLeft" activeCell="E59" sqref="E59"/>
    </sheetView>
  </sheetViews>
  <sheetFormatPr baseColWidth="10" defaultColWidth="18.83203125" defaultRowHeight="21"/>
  <cols>
    <col min="1" max="1" width="18.83203125" style="5"/>
    <col min="2" max="2" width="18.83203125" style="4"/>
    <col min="3" max="6" width="18.83203125" style="5"/>
    <col min="7" max="7" width="18.83203125" style="69"/>
    <col min="8" max="8" width="25.83203125" style="5" customWidth="1"/>
    <col min="9" max="16384" width="18.83203125" style="5"/>
  </cols>
  <sheetData>
    <row r="1" spans="1:10" s="1" customFormat="1" ht="22">
      <c r="A1" s="1" t="s">
        <v>15</v>
      </c>
      <c r="B1" s="2" t="s">
        <v>22</v>
      </c>
      <c r="C1" s="1" t="s">
        <v>21</v>
      </c>
      <c r="D1" s="1" t="s">
        <v>18</v>
      </c>
      <c r="E1" s="1" t="s">
        <v>16</v>
      </c>
      <c r="F1" s="1" t="s">
        <v>23</v>
      </c>
      <c r="G1" s="68" t="s">
        <v>17</v>
      </c>
      <c r="H1" s="1" t="s">
        <v>19</v>
      </c>
      <c r="J1" s="4"/>
    </row>
    <row r="2" spans="1:10">
      <c r="A2" s="3">
        <v>44157</v>
      </c>
      <c r="B2" s="4">
        <v>100</v>
      </c>
      <c r="C2" s="5">
        <v>0</v>
      </c>
      <c r="D2" s="5">
        <v>37</v>
      </c>
      <c r="E2" s="5">
        <v>11.5</v>
      </c>
      <c r="F2" s="5">
        <v>0</v>
      </c>
      <c r="G2" s="69">
        <f>SUM(B2:F2)</f>
        <v>148.5</v>
      </c>
    </row>
    <row r="3" spans="1:10" ht="22">
      <c r="A3" s="3">
        <v>44158</v>
      </c>
      <c r="B3" s="4">
        <v>0</v>
      </c>
      <c r="C3" s="5">
        <v>0</v>
      </c>
      <c r="D3" s="5">
        <v>0</v>
      </c>
      <c r="E3" s="5">
        <v>0</v>
      </c>
      <c r="F3" s="5">
        <v>0</v>
      </c>
      <c r="G3" s="69">
        <f t="shared" ref="G3:G42" si="0">SUM(B3:F3)</f>
        <v>0</v>
      </c>
      <c r="H3" s="5" t="s">
        <v>20</v>
      </c>
    </row>
    <row r="4" spans="1:10">
      <c r="A4" s="3">
        <v>44159</v>
      </c>
      <c r="B4" s="4">
        <v>0</v>
      </c>
      <c r="C4" s="5">
        <v>14</v>
      </c>
      <c r="D4" s="5">
        <v>38</v>
      </c>
      <c r="E4" s="5">
        <v>55</v>
      </c>
      <c r="F4" s="5">
        <v>0</v>
      </c>
      <c r="G4" s="69">
        <f t="shared" si="0"/>
        <v>107</v>
      </c>
    </row>
    <row r="5" spans="1:10">
      <c r="A5" s="3">
        <v>44160</v>
      </c>
      <c r="B5" s="4">
        <v>0</v>
      </c>
      <c r="C5" s="5">
        <v>0</v>
      </c>
      <c r="D5" s="5">
        <v>45</v>
      </c>
      <c r="E5" s="5">
        <v>44</v>
      </c>
      <c r="F5" s="5">
        <v>0</v>
      </c>
      <c r="G5" s="69">
        <f t="shared" si="0"/>
        <v>89</v>
      </c>
    </row>
    <row r="6" spans="1:10">
      <c r="A6" s="3">
        <v>44161</v>
      </c>
      <c r="B6" s="4">
        <v>0</v>
      </c>
      <c r="C6" s="5">
        <v>0</v>
      </c>
      <c r="D6" s="5">
        <v>54.4</v>
      </c>
      <c r="E6" s="5">
        <v>59</v>
      </c>
      <c r="F6" s="5">
        <v>0</v>
      </c>
      <c r="G6" s="69">
        <f t="shared" si="0"/>
        <v>113.4</v>
      </c>
    </row>
    <row r="7" spans="1:10" ht="66">
      <c r="A7" s="3">
        <v>44162</v>
      </c>
      <c r="B7" s="4">
        <v>0</v>
      </c>
      <c r="C7" s="5">
        <v>0</v>
      </c>
      <c r="D7" s="5">
        <v>0</v>
      </c>
      <c r="E7" s="5">
        <v>0</v>
      </c>
      <c r="F7" s="5">
        <v>6</v>
      </c>
      <c r="G7" s="69">
        <f t="shared" si="0"/>
        <v>6</v>
      </c>
      <c r="H7" s="5" t="s">
        <v>24</v>
      </c>
    </row>
    <row r="8" spans="1:10">
      <c r="A8" s="3">
        <v>44163</v>
      </c>
      <c r="B8" s="4">
        <v>0</v>
      </c>
      <c r="C8" s="5">
        <v>0</v>
      </c>
      <c r="D8" s="5">
        <v>0</v>
      </c>
      <c r="E8" s="5">
        <v>0</v>
      </c>
      <c r="F8" s="5">
        <v>0</v>
      </c>
      <c r="G8" s="69">
        <f t="shared" si="0"/>
        <v>0</v>
      </c>
    </row>
    <row r="9" spans="1:10">
      <c r="A9" s="3">
        <v>44164</v>
      </c>
      <c r="B9" s="4">
        <v>0</v>
      </c>
      <c r="C9" s="5">
        <v>12</v>
      </c>
      <c r="D9" s="5">
        <v>16</v>
      </c>
      <c r="E9" s="5">
        <v>47</v>
      </c>
      <c r="F9" s="5">
        <v>0</v>
      </c>
      <c r="G9" s="69">
        <f t="shared" si="0"/>
        <v>75</v>
      </c>
    </row>
    <row r="10" spans="1:10">
      <c r="A10" s="3">
        <v>44165</v>
      </c>
      <c r="B10" s="4">
        <v>0</v>
      </c>
      <c r="C10" s="5">
        <v>0</v>
      </c>
      <c r="D10" s="5">
        <v>31.28</v>
      </c>
      <c r="E10" s="5">
        <v>59</v>
      </c>
      <c r="F10" s="5">
        <v>0</v>
      </c>
      <c r="G10" s="69">
        <f t="shared" si="0"/>
        <v>90.28</v>
      </c>
    </row>
    <row r="11" spans="1:10">
      <c r="A11" s="3">
        <v>44166</v>
      </c>
      <c r="B11" s="4">
        <v>0</v>
      </c>
      <c r="C11" s="5">
        <v>0</v>
      </c>
      <c r="D11" s="5">
        <v>61.6</v>
      </c>
      <c r="E11" s="5">
        <v>0</v>
      </c>
      <c r="F11" s="5">
        <v>0</v>
      </c>
      <c r="G11" s="69">
        <f t="shared" si="0"/>
        <v>61.6</v>
      </c>
    </row>
    <row r="12" spans="1:10">
      <c r="A12" s="3">
        <v>44167</v>
      </c>
      <c r="B12" s="4">
        <v>0</v>
      </c>
      <c r="C12" s="5">
        <v>0</v>
      </c>
      <c r="D12" s="5">
        <v>0</v>
      </c>
      <c r="E12" s="5">
        <v>58.5</v>
      </c>
      <c r="F12" s="5">
        <v>0</v>
      </c>
      <c r="G12" s="69">
        <f t="shared" si="0"/>
        <v>58.5</v>
      </c>
    </row>
    <row r="13" spans="1:10">
      <c r="A13" s="3">
        <v>44168</v>
      </c>
      <c r="B13" s="4">
        <v>0</v>
      </c>
      <c r="C13" s="5">
        <v>0</v>
      </c>
      <c r="D13" s="5">
        <v>0</v>
      </c>
      <c r="E13" s="5">
        <v>0</v>
      </c>
      <c r="F13" s="5">
        <v>0</v>
      </c>
      <c r="G13" s="69">
        <f t="shared" si="0"/>
        <v>0</v>
      </c>
    </row>
    <row r="14" spans="1:10" ht="22">
      <c r="A14" s="3">
        <v>44169</v>
      </c>
      <c r="B14" s="4">
        <v>0</v>
      </c>
      <c r="C14" s="5">
        <v>0</v>
      </c>
      <c r="D14" s="5">
        <v>41</v>
      </c>
      <c r="E14" s="5">
        <v>64.2</v>
      </c>
      <c r="F14" s="5">
        <v>0</v>
      </c>
      <c r="G14" s="69">
        <f t="shared" si="0"/>
        <v>105.2</v>
      </c>
      <c r="H14" s="5" t="s">
        <v>116</v>
      </c>
    </row>
    <row r="15" spans="1:10">
      <c r="A15" s="3">
        <v>44170</v>
      </c>
      <c r="B15" s="4">
        <v>0</v>
      </c>
      <c r="C15" s="5">
        <v>0</v>
      </c>
      <c r="D15" s="5">
        <v>0</v>
      </c>
      <c r="E15" s="5">
        <v>66.099999999999994</v>
      </c>
      <c r="F15" s="5">
        <v>0</v>
      </c>
      <c r="G15" s="69">
        <f t="shared" si="0"/>
        <v>66.099999999999994</v>
      </c>
    </row>
    <row r="16" spans="1:10">
      <c r="A16" s="3">
        <v>44171</v>
      </c>
      <c r="B16" s="4">
        <v>0</v>
      </c>
      <c r="C16" s="5">
        <v>0</v>
      </c>
      <c r="D16" s="5">
        <v>0</v>
      </c>
      <c r="E16" s="5">
        <v>0</v>
      </c>
      <c r="F16" s="5">
        <v>0</v>
      </c>
      <c r="G16" s="69">
        <f t="shared" si="0"/>
        <v>0</v>
      </c>
    </row>
    <row r="17" spans="1:8">
      <c r="A17" s="3">
        <v>44172</v>
      </c>
      <c r="B17" s="4">
        <v>0</v>
      </c>
      <c r="C17" s="5">
        <v>0</v>
      </c>
      <c r="D17" s="5">
        <v>19</v>
      </c>
      <c r="E17" s="5">
        <v>0</v>
      </c>
      <c r="F17" s="5">
        <v>0</v>
      </c>
      <c r="G17" s="69">
        <f t="shared" si="0"/>
        <v>19</v>
      </c>
    </row>
    <row r="18" spans="1:8">
      <c r="A18" s="3">
        <v>44173</v>
      </c>
      <c r="B18" s="4">
        <v>0</v>
      </c>
      <c r="C18" s="5">
        <v>0</v>
      </c>
      <c r="D18" s="5">
        <v>61</v>
      </c>
      <c r="E18" s="5">
        <v>57</v>
      </c>
      <c r="F18" s="5">
        <v>0</v>
      </c>
      <c r="G18" s="69">
        <f t="shared" si="0"/>
        <v>118</v>
      </c>
    </row>
    <row r="19" spans="1:8">
      <c r="A19" s="3">
        <v>44174</v>
      </c>
      <c r="B19" s="4">
        <v>0</v>
      </c>
      <c r="C19" s="5">
        <v>0</v>
      </c>
      <c r="D19" s="5">
        <v>49.2</v>
      </c>
      <c r="E19" s="5">
        <v>43</v>
      </c>
      <c r="F19" s="5">
        <v>0</v>
      </c>
      <c r="G19" s="69">
        <f t="shared" si="0"/>
        <v>92.2</v>
      </c>
    </row>
    <row r="20" spans="1:8">
      <c r="A20" s="3">
        <v>44175</v>
      </c>
      <c r="B20" s="4">
        <v>20</v>
      </c>
      <c r="C20" s="5">
        <v>0</v>
      </c>
      <c r="D20" s="5">
        <v>17.8</v>
      </c>
      <c r="E20" s="5">
        <v>110.5</v>
      </c>
      <c r="F20" s="5">
        <v>0</v>
      </c>
      <c r="G20" s="69">
        <f t="shared" si="0"/>
        <v>148.30000000000001</v>
      </c>
    </row>
    <row r="21" spans="1:8">
      <c r="A21" s="3">
        <v>44176</v>
      </c>
      <c r="B21" s="4">
        <v>0</v>
      </c>
      <c r="C21" s="5">
        <v>0</v>
      </c>
      <c r="D21" s="5">
        <v>84.65</v>
      </c>
      <c r="E21" s="5">
        <v>52.5</v>
      </c>
      <c r="F21" s="5">
        <v>0</v>
      </c>
      <c r="G21" s="69">
        <f t="shared" si="0"/>
        <v>137.15</v>
      </c>
    </row>
    <row r="22" spans="1:8">
      <c r="A22" s="3">
        <v>44177</v>
      </c>
      <c r="B22" s="4">
        <v>0</v>
      </c>
      <c r="C22" s="5">
        <v>0</v>
      </c>
      <c r="D22" s="5">
        <v>0</v>
      </c>
      <c r="E22" s="5">
        <v>0</v>
      </c>
      <c r="F22" s="5">
        <v>0</v>
      </c>
      <c r="G22" s="69">
        <f t="shared" si="0"/>
        <v>0</v>
      </c>
    </row>
    <row r="23" spans="1:8" ht="22">
      <c r="A23" s="3">
        <v>44178</v>
      </c>
      <c r="B23" s="4">
        <v>0</v>
      </c>
      <c r="C23" s="5">
        <v>0</v>
      </c>
      <c r="D23" s="5">
        <v>18.5</v>
      </c>
      <c r="E23" s="5">
        <v>77.8</v>
      </c>
      <c r="F23" s="5">
        <v>0</v>
      </c>
      <c r="G23" s="69">
        <f t="shared" si="0"/>
        <v>96.3</v>
      </c>
      <c r="H23" s="5" t="s">
        <v>214</v>
      </c>
    </row>
    <row r="24" spans="1:8">
      <c r="A24" s="3">
        <v>44179</v>
      </c>
      <c r="B24" s="4">
        <v>0</v>
      </c>
      <c r="C24" s="5">
        <v>0</v>
      </c>
      <c r="D24" s="5">
        <v>0</v>
      </c>
      <c r="E24" s="5">
        <v>0</v>
      </c>
      <c r="F24" s="5">
        <v>0</v>
      </c>
      <c r="G24" s="69">
        <f t="shared" si="0"/>
        <v>0</v>
      </c>
    </row>
    <row r="25" spans="1:8" ht="22">
      <c r="A25" s="3">
        <v>44180</v>
      </c>
      <c r="B25" s="4">
        <v>0</v>
      </c>
      <c r="C25" s="5">
        <v>0</v>
      </c>
      <c r="D25" s="5">
        <v>63.2</v>
      </c>
      <c r="E25" s="5">
        <v>204</v>
      </c>
      <c r="F25" s="5">
        <v>0</v>
      </c>
      <c r="G25" s="69">
        <f t="shared" si="0"/>
        <v>267.2</v>
      </c>
      <c r="H25" s="5" t="s">
        <v>213</v>
      </c>
    </row>
    <row r="26" spans="1:8">
      <c r="A26" s="3">
        <v>44181</v>
      </c>
      <c r="B26" s="4">
        <v>0</v>
      </c>
      <c r="C26" s="5">
        <v>0</v>
      </c>
      <c r="D26" s="5">
        <f>17.2+43.2</f>
        <v>60.400000000000006</v>
      </c>
      <c r="E26" s="5">
        <v>43</v>
      </c>
      <c r="F26" s="5">
        <v>0</v>
      </c>
      <c r="G26" s="69">
        <f t="shared" si="0"/>
        <v>103.4</v>
      </c>
    </row>
    <row r="27" spans="1:8" ht="22">
      <c r="A27" s="3">
        <v>44182</v>
      </c>
      <c r="B27" s="4">
        <v>0</v>
      </c>
      <c r="C27" s="5">
        <v>0</v>
      </c>
      <c r="D27" s="5">
        <f>20.3</f>
        <v>20.3</v>
      </c>
      <c r="E27" s="5">
        <v>46.9</v>
      </c>
      <c r="F27" s="5">
        <v>24</v>
      </c>
      <c r="G27" s="69">
        <f t="shared" si="0"/>
        <v>91.2</v>
      </c>
      <c r="H27" s="5" t="s">
        <v>219</v>
      </c>
    </row>
    <row r="28" spans="1:8" ht="22">
      <c r="A28" s="3">
        <v>44183</v>
      </c>
      <c r="B28" s="4">
        <v>0</v>
      </c>
      <c r="C28" s="5">
        <v>0</v>
      </c>
      <c r="D28" s="5">
        <v>0</v>
      </c>
      <c r="E28" s="5">
        <v>0</v>
      </c>
      <c r="F28" s="5">
        <v>10.9</v>
      </c>
      <c r="G28" s="69">
        <f t="shared" si="0"/>
        <v>10.9</v>
      </c>
      <c r="H28" s="5" t="s">
        <v>228</v>
      </c>
    </row>
    <row r="29" spans="1:8">
      <c r="A29" s="3">
        <v>44184</v>
      </c>
      <c r="B29" s="4">
        <v>0</v>
      </c>
      <c r="C29" s="5">
        <v>0</v>
      </c>
      <c r="D29" s="5">
        <f>17+38.72</f>
        <v>55.72</v>
      </c>
      <c r="E29" s="5">
        <f>1+11+45</f>
        <v>57</v>
      </c>
      <c r="F29" s="5">
        <v>0</v>
      </c>
      <c r="G29" s="69">
        <f t="shared" si="0"/>
        <v>112.72</v>
      </c>
    </row>
    <row r="30" spans="1:8">
      <c r="A30" s="3">
        <v>44185</v>
      </c>
      <c r="B30" s="4">
        <v>0</v>
      </c>
      <c r="C30" s="5">
        <v>0</v>
      </c>
      <c r="D30" s="5">
        <f>17.2+18.5</f>
        <v>35.700000000000003</v>
      </c>
      <c r="E30" s="5">
        <f>16+50</f>
        <v>66</v>
      </c>
      <c r="F30" s="5">
        <v>0</v>
      </c>
      <c r="G30" s="69">
        <f t="shared" si="0"/>
        <v>101.7</v>
      </c>
    </row>
    <row r="31" spans="1:8">
      <c r="A31" s="3">
        <v>44186</v>
      </c>
      <c r="B31" s="4">
        <v>0</v>
      </c>
      <c r="C31" s="5">
        <v>0</v>
      </c>
      <c r="D31" s="5">
        <f>17.6+48</f>
        <v>65.599999999999994</v>
      </c>
      <c r="E31" s="5">
        <f>5.5+15.5</f>
        <v>21</v>
      </c>
      <c r="F31" s="5">
        <v>0</v>
      </c>
      <c r="G31" s="69">
        <f t="shared" si="0"/>
        <v>86.6</v>
      </c>
    </row>
    <row r="32" spans="1:8">
      <c r="A32" s="3">
        <v>44187</v>
      </c>
      <c r="B32" s="4">
        <v>0</v>
      </c>
      <c r="C32" s="5">
        <v>0</v>
      </c>
      <c r="D32" s="5">
        <v>0</v>
      </c>
      <c r="E32" s="5">
        <v>0</v>
      </c>
      <c r="F32" s="5">
        <v>0</v>
      </c>
      <c r="G32" s="69">
        <f t="shared" si="0"/>
        <v>0</v>
      </c>
    </row>
    <row r="33" spans="1:8" ht="22">
      <c r="A33" s="3">
        <v>44188</v>
      </c>
      <c r="B33" s="4">
        <v>0</v>
      </c>
      <c r="C33" s="5">
        <f>28</f>
        <v>28</v>
      </c>
      <c r="D33" s="5">
        <f>27+35.5</f>
        <v>62.5</v>
      </c>
      <c r="E33" s="5">
        <f>34.9</f>
        <v>34.9</v>
      </c>
      <c r="F33" s="5">
        <v>30</v>
      </c>
      <c r="G33" s="69">
        <f t="shared" si="0"/>
        <v>155.4</v>
      </c>
      <c r="H33" s="5" t="s">
        <v>268</v>
      </c>
    </row>
    <row r="34" spans="1:8">
      <c r="A34" s="3">
        <v>44189</v>
      </c>
      <c r="B34" s="4">
        <v>0</v>
      </c>
      <c r="C34" s="5">
        <v>0</v>
      </c>
      <c r="D34" s="5">
        <f>39.91</f>
        <v>39.909999999999997</v>
      </c>
      <c r="E34" s="5">
        <f>12.3</f>
        <v>12.3</v>
      </c>
      <c r="F34" s="5">
        <v>0</v>
      </c>
      <c r="G34" s="69">
        <f t="shared" si="0"/>
        <v>52.209999999999994</v>
      </c>
    </row>
    <row r="35" spans="1:8">
      <c r="A35" s="3">
        <v>44190</v>
      </c>
      <c r="B35" s="4">
        <v>0</v>
      </c>
      <c r="C35" s="5">
        <v>0</v>
      </c>
      <c r="D35" s="5">
        <f>17.5</f>
        <v>17.5</v>
      </c>
      <c r="E35" s="5">
        <f>1+11+51</f>
        <v>63</v>
      </c>
      <c r="F35" s="5">
        <v>0</v>
      </c>
      <c r="G35" s="69">
        <f t="shared" si="0"/>
        <v>80.5</v>
      </c>
    </row>
    <row r="36" spans="1:8" ht="44">
      <c r="A36" s="3">
        <v>44191</v>
      </c>
      <c r="B36" s="4">
        <v>0</v>
      </c>
      <c r="C36" s="5">
        <f>4</f>
        <v>4</v>
      </c>
      <c r="D36" s="5">
        <v>0</v>
      </c>
      <c r="E36" s="5">
        <f>11.5+34.5</f>
        <v>46</v>
      </c>
      <c r="F36" s="5">
        <f>18.4+269</f>
        <v>287.39999999999998</v>
      </c>
      <c r="G36" s="69">
        <f t="shared" si="0"/>
        <v>337.4</v>
      </c>
      <c r="H36" s="5" t="s">
        <v>269</v>
      </c>
    </row>
    <row r="37" spans="1:8" ht="22">
      <c r="A37" s="3">
        <v>44192</v>
      </c>
      <c r="B37" s="4">
        <v>100</v>
      </c>
      <c r="C37" s="5">
        <v>0</v>
      </c>
      <c r="D37" s="5">
        <v>0</v>
      </c>
      <c r="E37" s="5">
        <v>0</v>
      </c>
      <c r="F37" s="5">
        <v>10</v>
      </c>
      <c r="G37" s="69">
        <f t="shared" si="0"/>
        <v>110</v>
      </c>
      <c r="H37" s="5" t="s">
        <v>288</v>
      </c>
    </row>
    <row r="38" spans="1:8">
      <c r="A38" s="3">
        <v>44193</v>
      </c>
      <c r="B38" s="4">
        <v>0</v>
      </c>
      <c r="C38" s="5">
        <v>0</v>
      </c>
      <c r="D38" s="5">
        <v>19</v>
      </c>
      <c r="E38" s="5">
        <f>1+66</f>
        <v>67</v>
      </c>
      <c r="F38" s="5">
        <v>0</v>
      </c>
      <c r="G38" s="69">
        <f t="shared" si="0"/>
        <v>86</v>
      </c>
    </row>
    <row r="39" spans="1:8" ht="22">
      <c r="A39" s="3">
        <v>44194</v>
      </c>
      <c r="B39" s="4">
        <v>0</v>
      </c>
      <c r="C39" s="5">
        <v>0</v>
      </c>
      <c r="D39" s="5">
        <f>28.8+24.8+15</f>
        <v>68.599999999999994</v>
      </c>
      <c r="E39" s="5">
        <f>63.8</f>
        <v>63.8</v>
      </c>
      <c r="F39" s="5">
        <v>15</v>
      </c>
      <c r="G39" s="69">
        <f t="shared" si="0"/>
        <v>147.39999999999998</v>
      </c>
      <c r="H39" s="5" t="s">
        <v>289</v>
      </c>
    </row>
    <row r="40" spans="1:8">
      <c r="A40" s="3">
        <v>44195</v>
      </c>
      <c r="B40" s="4">
        <v>0</v>
      </c>
      <c r="C40" s="5">
        <v>0</v>
      </c>
      <c r="D40" s="5">
        <f>37.8+49.33</f>
        <v>87.13</v>
      </c>
      <c r="E40" s="5">
        <f>64+1</f>
        <v>65</v>
      </c>
      <c r="F40" s="5">
        <v>0</v>
      </c>
      <c r="G40" s="69">
        <f t="shared" si="0"/>
        <v>152.13</v>
      </c>
    </row>
    <row r="41" spans="1:8">
      <c r="A41" s="3">
        <v>44196</v>
      </c>
      <c r="B41" s="4">
        <v>0</v>
      </c>
      <c r="C41" s="5">
        <v>0</v>
      </c>
      <c r="D41" s="5">
        <f>18+12.4</f>
        <v>30.4</v>
      </c>
      <c r="E41" s="5">
        <f>62+1</f>
        <v>63</v>
      </c>
      <c r="F41" s="5">
        <v>0</v>
      </c>
      <c r="G41" s="69">
        <f t="shared" si="0"/>
        <v>93.4</v>
      </c>
    </row>
    <row r="42" spans="1:8">
      <c r="A42" s="3">
        <v>44197</v>
      </c>
      <c r="B42" s="4">
        <v>0</v>
      </c>
      <c r="C42" s="5">
        <v>0</v>
      </c>
      <c r="D42" s="5">
        <v>0</v>
      </c>
      <c r="E42" s="5">
        <v>0</v>
      </c>
      <c r="F42" s="5">
        <v>0</v>
      </c>
      <c r="G42" s="69">
        <f t="shared" si="0"/>
        <v>0</v>
      </c>
    </row>
    <row r="43" spans="1:8" ht="22">
      <c r="A43" s="3">
        <v>44198</v>
      </c>
      <c r="B43" s="4">
        <v>0</v>
      </c>
      <c r="C43" s="5">
        <v>0</v>
      </c>
      <c r="D43" s="5">
        <v>0</v>
      </c>
      <c r="E43" s="5">
        <v>0</v>
      </c>
      <c r="F43" s="5">
        <v>195</v>
      </c>
      <c r="G43" s="69">
        <f>SUM(B43:F43)</f>
        <v>195</v>
      </c>
      <c r="H43" s="5" t="s">
        <v>293</v>
      </c>
    </row>
    <row r="44" spans="1:8" ht="44">
      <c r="A44" s="3">
        <v>44199</v>
      </c>
      <c r="B44" s="4">
        <v>0</v>
      </c>
      <c r="C44" s="5">
        <v>0</v>
      </c>
      <c r="D44" s="5">
        <v>43</v>
      </c>
      <c r="E44" s="5">
        <f>6+10.9</f>
        <v>16.899999999999999</v>
      </c>
      <c r="F44" s="5">
        <f>50+15+118</f>
        <v>183</v>
      </c>
      <c r="G44" s="69">
        <f t="shared" ref="G44:G54" si="1">SUM(B44:F44)</f>
        <v>242.9</v>
      </c>
      <c r="H44" s="5" t="s">
        <v>292</v>
      </c>
    </row>
    <row r="45" spans="1:8">
      <c r="A45" s="3">
        <v>44200</v>
      </c>
      <c r="B45" s="4">
        <v>0</v>
      </c>
      <c r="C45" s="5">
        <v>0</v>
      </c>
      <c r="D45" s="5">
        <f>40+39.3</f>
        <v>79.3</v>
      </c>
      <c r="E45" s="5">
        <f>57+16.9</f>
        <v>73.900000000000006</v>
      </c>
      <c r="G45" s="69">
        <f t="shared" si="1"/>
        <v>153.19999999999999</v>
      </c>
    </row>
    <row r="46" spans="1:8">
      <c r="A46" s="3">
        <v>44201</v>
      </c>
      <c r="B46" s="4">
        <v>0</v>
      </c>
      <c r="C46" s="5">
        <v>0</v>
      </c>
      <c r="D46" s="5">
        <f>36.9+38+36.74</f>
        <v>111.64000000000001</v>
      </c>
      <c r="E46" s="5">
        <f>7+54</f>
        <v>61</v>
      </c>
      <c r="F46" s="5">
        <v>0</v>
      </c>
      <c r="G46" s="69">
        <f t="shared" si="1"/>
        <v>172.64000000000001</v>
      </c>
    </row>
    <row r="47" spans="1:8">
      <c r="A47" s="3">
        <v>44202</v>
      </c>
      <c r="B47" s="4">
        <v>0</v>
      </c>
      <c r="C47" s="5">
        <v>0</v>
      </c>
      <c r="D47" s="5">
        <v>0</v>
      </c>
      <c r="E47" s="5">
        <v>0</v>
      </c>
      <c r="F47" s="5">
        <v>0</v>
      </c>
      <c r="G47" s="69">
        <f t="shared" si="1"/>
        <v>0</v>
      </c>
    </row>
    <row r="48" spans="1:8">
      <c r="A48" s="3">
        <v>44203</v>
      </c>
      <c r="B48" s="4">
        <v>0</v>
      </c>
      <c r="C48" s="5">
        <v>0</v>
      </c>
      <c r="D48" s="5">
        <f>52.91+46.7</f>
        <v>99.61</v>
      </c>
      <c r="E48" s="5">
        <f>46+11+1</f>
        <v>58</v>
      </c>
      <c r="F48" s="5">
        <v>0</v>
      </c>
      <c r="G48" s="69">
        <f t="shared" si="1"/>
        <v>157.61000000000001</v>
      </c>
    </row>
    <row r="49" spans="1:8">
      <c r="A49" s="3">
        <v>44204</v>
      </c>
      <c r="B49" s="4">
        <v>0</v>
      </c>
      <c r="C49" s="5">
        <v>0</v>
      </c>
      <c r="D49" s="5">
        <f>40+26</f>
        <v>66</v>
      </c>
      <c r="E49" s="5">
        <f>12+54</f>
        <v>66</v>
      </c>
      <c r="F49" s="5">
        <v>0</v>
      </c>
      <c r="G49" s="69">
        <f t="shared" si="1"/>
        <v>132</v>
      </c>
    </row>
    <row r="50" spans="1:8" ht="22">
      <c r="A50" s="3">
        <v>44205</v>
      </c>
      <c r="B50" s="4">
        <v>0</v>
      </c>
      <c r="C50" s="5">
        <v>0</v>
      </c>
      <c r="D50" s="5">
        <f>24.3</f>
        <v>24.3</v>
      </c>
      <c r="E50" s="5">
        <v>0</v>
      </c>
      <c r="F50" s="5">
        <f>42+23.3+698</f>
        <v>763.3</v>
      </c>
      <c r="G50" s="69">
        <f t="shared" si="1"/>
        <v>787.59999999999991</v>
      </c>
      <c r="H50" s="5" t="s">
        <v>325</v>
      </c>
    </row>
    <row r="51" spans="1:8">
      <c r="A51" s="3">
        <v>44206</v>
      </c>
      <c r="B51" s="4">
        <v>0</v>
      </c>
      <c r="C51" s="5">
        <v>0</v>
      </c>
      <c r="D51" s="5">
        <v>0</v>
      </c>
      <c r="E51" s="5">
        <f>36.9</f>
        <v>36.9</v>
      </c>
      <c r="F51" s="5">
        <v>0</v>
      </c>
      <c r="G51" s="69">
        <f t="shared" si="1"/>
        <v>36.9</v>
      </c>
    </row>
    <row r="52" spans="1:8">
      <c r="A52" s="3">
        <v>44207</v>
      </c>
      <c r="B52" s="4">
        <v>0</v>
      </c>
      <c r="C52" s="5">
        <v>0</v>
      </c>
      <c r="D52" s="5">
        <f>17.2+36.5</f>
        <v>53.7</v>
      </c>
      <c r="E52" s="5">
        <v>0</v>
      </c>
      <c r="F52" s="5">
        <v>0</v>
      </c>
      <c r="G52" s="69">
        <f>SUM(B52:F52)</f>
        <v>53.7</v>
      </c>
    </row>
    <row r="53" spans="1:8">
      <c r="A53" s="3">
        <v>44208</v>
      </c>
      <c r="B53" s="4">
        <v>0</v>
      </c>
      <c r="C53" s="5">
        <v>0</v>
      </c>
      <c r="D53" s="5">
        <f>38.1+19+43.8</f>
        <v>100.9</v>
      </c>
      <c r="E53" s="5">
        <f>12.5+42.5</f>
        <v>55</v>
      </c>
      <c r="F53" s="5">
        <v>0</v>
      </c>
      <c r="G53" s="69">
        <f t="shared" si="1"/>
        <v>155.9</v>
      </c>
    </row>
    <row r="54" spans="1:8">
      <c r="A54" s="3">
        <v>44209</v>
      </c>
      <c r="B54" s="4">
        <v>0</v>
      </c>
      <c r="C54" s="5">
        <v>0</v>
      </c>
      <c r="D54" s="5">
        <v>0</v>
      </c>
      <c r="E54" s="5">
        <f>2+60</f>
        <v>62</v>
      </c>
      <c r="F54" s="5">
        <v>0</v>
      </c>
      <c r="G54" s="69">
        <f t="shared" si="1"/>
        <v>62</v>
      </c>
    </row>
    <row r="55" spans="1:8" s="8" customFormat="1" ht="22">
      <c r="A55" s="6" t="s">
        <v>17</v>
      </c>
      <c r="B55" s="7">
        <f>SUM(B2:B54)</f>
        <v>220</v>
      </c>
      <c r="C55" s="7">
        <f>SUM(C2:C54)</f>
        <v>58</v>
      </c>
      <c r="D55" s="7">
        <f>SUM(D2:D54)</f>
        <v>1778.8400000000004</v>
      </c>
      <c r="E55" s="7">
        <f>SUM(E2:E54)</f>
        <v>2087.7000000000003</v>
      </c>
      <c r="F55" s="7">
        <f>SUM(F2:F54)</f>
        <v>1524.6</v>
      </c>
      <c r="G55" s="70">
        <f>SUM(G2:G54)</f>
        <v>5669.14</v>
      </c>
    </row>
    <row r="56" spans="1:8">
      <c r="A56" s="3"/>
    </row>
    <row r="57" spans="1:8">
      <c r="A57" s="3"/>
    </row>
    <row r="58" spans="1:8">
      <c r="A58" s="3"/>
    </row>
    <row r="59" spans="1:8">
      <c r="A59" s="3"/>
    </row>
    <row r="60" spans="1:8">
      <c r="A60" s="3"/>
    </row>
    <row r="61" spans="1:8">
      <c r="A61" s="3"/>
    </row>
    <row r="62" spans="1:8">
      <c r="A62" s="3"/>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B49D-7F4A-134E-A0C6-BDA1D38BDBD2}">
  <dimension ref="A1:G13"/>
  <sheetViews>
    <sheetView workbookViewId="0">
      <pane ySplit="1" topLeftCell="A10" activePane="bottomLeft" state="frozen"/>
      <selection pane="bottomLeft" activeCell="C12" sqref="C12"/>
    </sheetView>
  </sheetViews>
  <sheetFormatPr baseColWidth="10" defaultColWidth="20" defaultRowHeight="21"/>
  <cols>
    <col min="1" max="2" width="20" style="11"/>
    <col min="3" max="3" width="37.5" style="11" customWidth="1"/>
    <col min="4" max="4" width="20" style="25"/>
    <col min="5" max="5" width="41.83203125" style="11" customWidth="1"/>
    <col min="6" max="6" width="60" style="11" customWidth="1"/>
    <col min="7" max="7" width="40.1640625" style="11" customWidth="1"/>
    <col min="8" max="16384" width="20" style="11"/>
  </cols>
  <sheetData>
    <row r="1" spans="1:7" s="1" customFormat="1" ht="22">
      <c r="A1" s="1" t="s">
        <v>0</v>
      </c>
      <c r="B1" s="1" t="s">
        <v>122</v>
      </c>
      <c r="C1" s="1" t="s">
        <v>119</v>
      </c>
      <c r="D1" s="12" t="s">
        <v>125</v>
      </c>
      <c r="E1" s="1" t="s">
        <v>128</v>
      </c>
      <c r="F1" s="1" t="s">
        <v>121</v>
      </c>
      <c r="G1" s="1" t="s">
        <v>120</v>
      </c>
    </row>
    <row r="2" spans="1:7" ht="22">
      <c r="A2" s="11" t="s">
        <v>3</v>
      </c>
      <c r="B2" s="11" t="s">
        <v>123</v>
      </c>
      <c r="C2" s="24">
        <v>44167</v>
      </c>
      <c r="D2" s="25" t="s">
        <v>124</v>
      </c>
      <c r="F2" s="11" t="s">
        <v>126</v>
      </c>
    </row>
    <row r="3" spans="1:7" ht="44">
      <c r="A3" s="11" t="s">
        <v>3</v>
      </c>
      <c r="B3" s="11" t="s">
        <v>127</v>
      </c>
      <c r="C3" s="24" t="s">
        <v>129</v>
      </c>
      <c r="D3" s="25">
        <v>0.33</v>
      </c>
      <c r="E3" s="11" t="s">
        <v>141</v>
      </c>
      <c r="G3" s="11" t="s">
        <v>131</v>
      </c>
    </row>
    <row r="4" spans="1:7" ht="154">
      <c r="A4" s="11" t="s">
        <v>13</v>
      </c>
      <c r="B4" s="11" t="s">
        <v>13</v>
      </c>
      <c r="C4" s="24" t="s">
        <v>155</v>
      </c>
      <c r="D4" s="25">
        <v>5.5</v>
      </c>
      <c r="E4" s="11" t="s">
        <v>162</v>
      </c>
      <c r="F4" s="29" t="s">
        <v>217</v>
      </c>
      <c r="G4" s="11" t="s">
        <v>154</v>
      </c>
    </row>
    <row r="5" spans="1:7" ht="66">
      <c r="A5" s="11" t="s">
        <v>3</v>
      </c>
      <c r="B5" s="11" t="s">
        <v>130</v>
      </c>
      <c r="C5" s="24" t="s">
        <v>157</v>
      </c>
      <c r="D5" s="25">
        <v>2.5</v>
      </c>
      <c r="E5" s="11" t="s">
        <v>158</v>
      </c>
      <c r="F5" s="11" t="s">
        <v>159</v>
      </c>
      <c r="G5" s="11" t="s">
        <v>161</v>
      </c>
    </row>
    <row r="6" spans="1:7" ht="171" customHeight="1">
      <c r="A6" s="11" t="s">
        <v>13</v>
      </c>
      <c r="B6" s="11" t="s">
        <v>189</v>
      </c>
      <c r="C6" s="11" t="s">
        <v>215</v>
      </c>
      <c r="D6" s="25">
        <v>9.5</v>
      </c>
      <c r="E6" s="11" t="s">
        <v>216</v>
      </c>
      <c r="F6" s="11" t="s">
        <v>230</v>
      </c>
      <c r="G6" s="11" t="s">
        <v>190</v>
      </c>
    </row>
    <row r="7" spans="1:7" s="31" customFormat="1" ht="66">
      <c r="A7" s="31" t="s">
        <v>3</v>
      </c>
      <c r="B7" s="31" t="s">
        <v>223</v>
      </c>
      <c r="C7" s="31" t="s">
        <v>224</v>
      </c>
      <c r="D7" s="25">
        <v>2.5</v>
      </c>
      <c r="E7" s="31" t="s">
        <v>225</v>
      </c>
      <c r="F7" s="29" t="s">
        <v>227</v>
      </c>
      <c r="G7" s="31" t="s">
        <v>226</v>
      </c>
    </row>
    <row r="8" spans="1:7" ht="110">
      <c r="A8" s="11" t="s">
        <v>218</v>
      </c>
      <c r="B8" s="11" t="s">
        <v>220</v>
      </c>
      <c r="C8" s="11" t="s">
        <v>229</v>
      </c>
      <c r="D8" s="25">
        <v>5.5</v>
      </c>
      <c r="E8" s="11" t="s">
        <v>221</v>
      </c>
      <c r="F8" s="11" t="s">
        <v>302</v>
      </c>
      <c r="G8" s="11" t="s">
        <v>222</v>
      </c>
    </row>
    <row r="9" spans="1:7" ht="330">
      <c r="A9" s="11" t="s">
        <v>232</v>
      </c>
      <c r="B9" s="11" t="s">
        <v>233</v>
      </c>
      <c r="C9" s="11" t="s">
        <v>271</v>
      </c>
      <c r="D9" s="25">
        <v>10.5</v>
      </c>
      <c r="E9" s="11" t="s">
        <v>260</v>
      </c>
      <c r="F9" s="11" t="s">
        <v>270</v>
      </c>
      <c r="G9" s="11" t="s">
        <v>300</v>
      </c>
    </row>
    <row r="10" spans="1:7" ht="66">
      <c r="A10" s="52" t="s">
        <v>232</v>
      </c>
      <c r="B10" s="11" t="s">
        <v>121</v>
      </c>
      <c r="C10" s="11" t="s">
        <v>272</v>
      </c>
      <c r="D10" s="25">
        <v>6</v>
      </c>
      <c r="E10" s="11" t="s">
        <v>273</v>
      </c>
      <c r="F10" s="29" t="s">
        <v>274</v>
      </c>
      <c r="G10" s="11" t="s">
        <v>298</v>
      </c>
    </row>
    <row r="11" spans="1:7" s="53" customFormat="1" ht="154">
      <c r="A11" s="53" t="s">
        <v>218</v>
      </c>
      <c r="B11" s="53" t="s">
        <v>295</v>
      </c>
      <c r="C11" s="53" t="s">
        <v>296</v>
      </c>
      <c r="D11" s="25">
        <v>13.5</v>
      </c>
      <c r="E11" s="53" t="s">
        <v>297</v>
      </c>
    </row>
    <row r="12" spans="1:7" ht="308">
      <c r="A12" s="11" t="s">
        <v>218</v>
      </c>
      <c r="B12" s="11" t="s">
        <v>294</v>
      </c>
      <c r="C12" s="11" t="s">
        <v>412</v>
      </c>
      <c r="D12" s="25">
        <v>20.5</v>
      </c>
      <c r="E12" s="11" t="s">
        <v>299</v>
      </c>
      <c r="F12" s="73" t="s">
        <v>413</v>
      </c>
      <c r="G12" s="53" t="s">
        <v>414</v>
      </c>
    </row>
    <row r="13" spans="1:7" ht="22">
      <c r="A13" s="11" t="s">
        <v>415</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50F6-DCA8-6F49-85E6-701F85802663}">
  <dimension ref="A1:J7"/>
  <sheetViews>
    <sheetView workbookViewId="0">
      <pane ySplit="1" topLeftCell="A2" activePane="bottomLeft" state="frozen"/>
      <selection pane="bottomLeft" activeCell="B10" sqref="B10"/>
    </sheetView>
  </sheetViews>
  <sheetFormatPr baseColWidth="10" defaultColWidth="18.1640625" defaultRowHeight="21"/>
  <cols>
    <col min="1" max="16384" width="18.1640625" style="27"/>
  </cols>
  <sheetData>
    <row r="1" spans="1:10" s="1" customFormat="1" ht="22">
      <c r="A1" s="1" t="s">
        <v>145</v>
      </c>
      <c r="B1" s="2" t="s">
        <v>147</v>
      </c>
      <c r="C1" s="1" t="s">
        <v>146</v>
      </c>
      <c r="D1" s="1" t="s">
        <v>19</v>
      </c>
      <c r="J1" s="26"/>
    </row>
    <row r="2" spans="1:10" ht="66">
      <c r="A2" s="27" t="s">
        <v>148</v>
      </c>
      <c r="B2" s="27" t="s">
        <v>149</v>
      </c>
      <c r="C2" s="27">
        <v>0</v>
      </c>
      <c r="D2" s="27" t="s">
        <v>150</v>
      </c>
    </row>
    <row r="3" spans="1:10" ht="66">
      <c r="A3" s="27" t="s">
        <v>151</v>
      </c>
      <c r="B3" s="27" t="s">
        <v>152</v>
      </c>
      <c r="C3" s="27">
        <v>100</v>
      </c>
      <c r="D3" s="27" t="s">
        <v>153</v>
      </c>
    </row>
    <row r="4" spans="1:10" ht="44">
      <c r="A4" s="27" t="s">
        <v>254</v>
      </c>
      <c r="B4" s="27" t="s">
        <v>275</v>
      </c>
      <c r="C4" s="27">
        <v>33292.050000000003</v>
      </c>
      <c r="D4" s="57" t="s">
        <v>276</v>
      </c>
    </row>
    <row r="5" spans="1:10" ht="66">
      <c r="A5" s="27" t="s">
        <v>261</v>
      </c>
      <c r="B5" s="27" t="s">
        <v>262</v>
      </c>
      <c r="C5" s="27">
        <v>0</v>
      </c>
      <c r="D5" s="27" t="s">
        <v>301</v>
      </c>
    </row>
    <row r="6" spans="1:10" ht="66">
      <c r="A6" s="27" t="s">
        <v>277</v>
      </c>
      <c r="B6" s="27" t="s">
        <v>278</v>
      </c>
      <c r="C6" s="27">
        <v>80</v>
      </c>
    </row>
    <row r="7" spans="1:10" s="28" customFormat="1" ht="22">
      <c r="A7" s="28" t="s">
        <v>17</v>
      </c>
      <c r="C7" s="28">
        <f>SUM(C2:C6)</f>
        <v>33472.050000000003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硬装费用明细</vt:lpstr>
      <vt:lpstr>主材辅材工具费用明细</vt:lpstr>
      <vt:lpstr>电器家具明细</vt:lpstr>
      <vt:lpstr>商家详细信息</vt:lpstr>
      <vt:lpstr>饮食交通开支</vt:lpstr>
      <vt:lpstr>进度记录</vt:lpstr>
      <vt:lpstr>产权费用明细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HAO</dc:creator>
  <cp:lastModifiedBy>ZHANG HAO</cp:lastModifiedBy>
  <dcterms:created xsi:type="dcterms:W3CDTF">2020-12-02T11:08:53Z</dcterms:created>
  <dcterms:modified xsi:type="dcterms:W3CDTF">2021-01-13T16:36:19Z</dcterms:modified>
</cp:coreProperties>
</file>