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oweissbe_campus_haifa_ac_il/Documents/Documents/thesis/thesis/interaction/recycle model/10cc paper/10cc paper revision/"/>
    </mc:Choice>
  </mc:AlternateContent>
  <xr:revisionPtr revIDLastSave="268" documentId="8_{FE65D9BC-A202-4E0F-90AB-2D7442092E67}" xr6:coauthVersionLast="47" xr6:coauthVersionMax="47" xr10:uidLastSave="{FFA2FA31-75FA-4BFC-A880-B4B28A9EBE87}"/>
  <bookViews>
    <workbookView xWindow="3960" yWindow="3465" windowWidth="21600" windowHeight="12645" firstSheet="1" activeTab="4" xr2:uid="{5667685B-52BA-4288-A612-07958A99663F}"/>
  </bookViews>
  <sheets>
    <sheet name="original FCM measurements" sheetId="1" r:id="rId1"/>
    <sheet name="Reanalyzed FCM" sheetId="4" r:id="rId2"/>
    <sheet name="FCM at start of 280525 exp" sheetId="5" r:id="rId3"/>
    <sheet name="Reagent setup" sheetId="2" r:id="rId4"/>
    <sheet name="Results 280525" sheetId="3" r:id="rId5"/>
    <sheet name="Results 270525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3" l="1"/>
  <c r="K66" i="3"/>
  <c r="K67" i="3"/>
  <c r="K68" i="3"/>
  <c r="K69" i="3"/>
  <c r="K70" i="3"/>
  <c r="K71" i="3"/>
  <c r="K64" i="3"/>
  <c r="J65" i="3"/>
  <c r="J66" i="3"/>
  <c r="J67" i="3"/>
  <c r="J68" i="3"/>
  <c r="J69" i="3"/>
  <c r="J70" i="3"/>
  <c r="J71" i="3"/>
  <c r="J64" i="3"/>
  <c r="A63" i="3" l="1"/>
  <c r="A75" i="3" s="1"/>
  <c r="A86" i="3" s="1"/>
  <c r="B93" i="3"/>
  <c r="B92" i="3"/>
  <c r="A91" i="3"/>
  <c r="B90" i="3"/>
  <c r="A88" i="3"/>
  <c r="B87" i="3"/>
  <c r="B86" i="3"/>
  <c r="C4" i="6"/>
  <c r="C5" i="6"/>
  <c r="C6" i="6"/>
  <c r="C7" i="6"/>
  <c r="C8" i="6"/>
  <c r="C9" i="6"/>
  <c r="C10" i="6"/>
  <c r="C3" i="6"/>
  <c r="I4" i="1"/>
  <c r="I5" i="1"/>
  <c r="I6" i="1"/>
  <c r="I7" i="1"/>
  <c r="I8" i="1"/>
  <c r="I9" i="1"/>
  <c r="I10" i="1"/>
  <c r="I3" i="1"/>
  <c r="G4" i="1"/>
  <c r="G5" i="1"/>
  <c r="G6" i="1"/>
  <c r="G7" i="1"/>
  <c r="G8" i="1"/>
  <c r="G9" i="1"/>
  <c r="G10" i="1"/>
  <c r="G3" i="1"/>
  <c r="H4" i="1"/>
  <c r="H5" i="1"/>
  <c r="H6" i="1"/>
  <c r="H7" i="1"/>
  <c r="H8" i="1"/>
  <c r="H9" i="1"/>
  <c r="H10" i="1"/>
  <c r="H3" i="1"/>
  <c r="K42" i="3"/>
  <c r="L42" i="3" s="1"/>
  <c r="D68" i="3" s="1"/>
  <c r="K40" i="3"/>
  <c r="L40" i="3" s="1"/>
  <c r="D67" i="3" s="1"/>
  <c r="G77" i="3"/>
  <c r="H77" i="3"/>
  <c r="G79" i="3"/>
  <c r="I79" i="3"/>
  <c r="G83" i="3"/>
  <c r="H83" i="3"/>
  <c r="I83" i="3" s="1"/>
  <c r="H69" i="3"/>
  <c r="H54" i="3"/>
  <c r="H55" i="3"/>
  <c r="H56" i="3"/>
  <c r="H57" i="3"/>
  <c r="H58" i="3"/>
  <c r="H59" i="3"/>
  <c r="H60" i="3"/>
  <c r="H53" i="3"/>
  <c r="J74" i="3"/>
  <c r="B75" i="3"/>
  <c r="C75" i="3"/>
  <c r="D75" i="3"/>
  <c r="E75" i="3"/>
  <c r="F75" i="3"/>
  <c r="G75" i="3"/>
  <c r="H75" i="3"/>
  <c r="I75" i="3"/>
  <c r="J75" i="3"/>
  <c r="A76" i="3"/>
  <c r="A87" i="3" s="1"/>
  <c r="B76" i="3"/>
  <c r="C76" i="3"/>
  <c r="H76" i="3" s="1"/>
  <c r="D76" i="3"/>
  <c r="E76" i="3"/>
  <c r="F76" i="3"/>
  <c r="J76" i="3"/>
  <c r="A77" i="3"/>
  <c r="B77" i="3"/>
  <c r="B88" i="3" s="1"/>
  <c r="C77" i="3"/>
  <c r="D77" i="3"/>
  <c r="E77" i="3"/>
  <c r="F77" i="3"/>
  <c r="J77" i="3"/>
  <c r="A78" i="3"/>
  <c r="A89" i="3" s="1"/>
  <c r="B78" i="3"/>
  <c r="B89" i="3" s="1"/>
  <c r="C78" i="3"/>
  <c r="G78" i="3" s="1"/>
  <c r="D78" i="3"/>
  <c r="E78" i="3"/>
  <c r="F78" i="3"/>
  <c r="J78" i="3"/>
  <c r="A79" i="3"/>
  <c r="A90" i="3" s="1"/>
  <c r="B79" i="3"/>
  <c r="C79" i="3"/>
  <c r="E79" i="3"/>
  <c r="J79" i="3"/>
  <c r="A80" i="3"/>
  <c r="B80" i="3"/>
  <c r="B91" i="3" s="1"/>
  <c r="C80" i="3"/>
  <c r="G80" i="3" s="1"/>
  <c r="I80" i="3" s="1"/>
  <c r="E80" i="3"/>
  <c r="J80" i="3"/>
  <c r="A81" i="3"/>
  <c r="A92" i="3" s="1"/>
  <c r="B81" i="3"/>
  <c r="D81" i="3"/>
  <c r="G81" i="3" s="1"/>
  <c r="I81" i="3" s="1"/>
  <c r="F81" i="3"/>
  <c r="J81" i="3"/>
  <c r="A82" i="3"/>
  <c r="A93" i="3" s="1"/>
  <c r="B82" i="3"/>
  <c r="C82" i="3"/>
  <c r="G82" i="3" s="1"/>
  <c r="D82" i="3"/>
  <c r="E82" i="3"/>
  <c r="F82" i="3"/>
  <c r="J82" i="3"/>
  <c r="A83" i="3"/>
  <c r="B83" i="3"/>
  <c r="C83" i="3"/>
  <c r="D83" i="3"/>
  <c r="E83" i="3"/>
  <c r="F83" i="3"/>
  <c r="J83" i="3"/>
  <c r="E69" i="3"/>
  <c r="G69" i="3"/>
  <c r="F69" i="3"/>
  <c r="C69" i="3"/>
  <c r="L35" i="3"/>
  <c r="B63" i="3"/>
  <c r="C63" i="3"/>
  <c r="D63" i="3"/>
  <c r="E63" i="3"/>
  <c r="F63" i="3"/>
  <c r="G63" i="3"/>
  <c r="H63" i="3"/>
  <c r="I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I77" i="3" l="1"/>
  <c r="H82" i="3"/>
  <c r="I82" i="3" s="1"/>
  <c r="G76" i="3"/>
  <c r="I76" i="3" s="1"/>
  <c r="H78" i="3"/>
  <c r="I78" i="3" s="1"/>
  <c r="H68" i="3"/>
  <c r="G68" i="3"/>
  <c r="F68" i="3"/>
  <c r="F67" i="3"/>
  <c r="G67" i="3"/>
  <c r="H67" i="3"/>
  <c r="I68" i="3"/>
  <c r="I67" i="3"/>
  <c r="C28" i="3" l="1"/>
  <c r="F27" i="3"/>
  <c r="F28" i="3" s="1"/>
  <c r="E27" i="3"/>
  <c r="E28" i="3" s="1"/>
  <c r="D27" i="3"/>
  <c r="D28" i="3" s="1"/>
  <c r="T17" i="3" l="1"/>
  <c r="U17" i="3"/>
  <c r="T18" i="3"/>
  <c r="U18" i="3"/>
  <c r="T19" i="3"/>
  <c r="U19" i="3"/>
  <c r="T20" i="3"/>
  <c r="U20" i="3"/>
  <c r="V20" i="3" s="1"/>
  <c r="T21" i="3"/>
  <c r="U21" i="3"/>
  <c r="T22" i="3"/>
  <c r="U22" i="3"/>
  <c r="V22" i="3" s="1"/>
  <c r="T23" i="3"/>
  <c r="U23" i="3"/>
  <c r="V23" i="3" s="1"/>
  <c r="U16" i="3"/>
  <c r="T16" i="3"/>
  <c r="D49" i="3"/>
  <c r="E49" i="3"/>
  <c r="F49" i="3"/>
  <c r="F48" i="3"/>
  <c r="E48" i="3"/>
  <c r="D48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F29" i="3"/>
  <c r="E29" i="3"/>
  <c r="D30" i="3"/>
  <c r="D31" i="3"/>
  <c r="D32" i="3"/>
  <c r="D33" i="3"/>
  <c r="D34" i="3"/>
  <c r="D35" i="3"/>
  <c r="D36" i="3"/>
  <c r="D39" i="3"/>
  <c r="D40" i="3"/>
  <c r="D41" i="3"/>
  <c r="D42" i="3"/>
  <c r="D43" i="3"/>
  <c r="D44" i="3"/>
  <c r="D45" i="3"/>
  <c r="D46" i="3"/>
  <c r="D29" i="3"/>
  <c r="T3" i="3"/>
  <c r="Q12" i="3" s="1"/>
  <c r="R12" i="3" s="1"/>
  <c r="B46" i="3"/>
  <c r="B30" i="3"/>
  <c r="B31" i="3"/>
  <c r="B32" i="3"/>
  <c r="B33" i="3"/>
  <c r="B34" i="3"/>
  <c r="B35" i="3"/>
  <c r="B36" i="3"/>
  <c r="B39" i="3"/>
  <c r="B40" i="3"/>
  <c r="B41" i="3"/>
  <c r="B42" i="3"/>
  <c r="B43" i="3"/>
  <c r="B44" i="3"/>
  <c r="B45" i="3"/>
  <c r="B29" i="3"/>
  <c r="D14" i="3"/>
  <c r="H40" i="3" s="1"/>
  <c r="I40" i="3" s="1"/>
  <c r="D15" i="3"/>
  <c r="H41" i="3" s="1"/>
  <c r="I41" i="3" s="1"/>
  <c r="D16" i="3"/>
  <c r="H42" i="3" s="1"/>
  <c r="I42" i="3" s="1"/>
  <c r="D17" i="3"/>
  <c r="H43" i="3" s="1"/>
  <c r="I43" i="3" s="1"/>
  <c r="D18" i="3"/>
  <c r="H44" i="3" s="1"/>
  <c r="I44" i="3" s="1"/>
  <c r="D19" i="3"/>
  <c r="H45" i="3" s="1"/>
  <c r="I45" i="3" s="1"/>
  <c r="K35" i="3" s="1"/>
  <c r="D20" i="3"/>
  <c r="H46" i="3" s="1"/>
  <c r="I46" i="3" s="1"/>
  <c r="D13" i="3"/>
  <c r="H39" i="3" s="1"/>
  <c r="I39" i="3" s="1"/>
  <c r="D4" i="3"/>
  <c r="H30" i="3" s="1"/>
  <c r="I30" i="3" s="1"/>
  <c r="D5" i="3"/>
  <c r="H31" i="3" s="1"/>
  <c r="I31" i="3" s="1"/>
  <c r="D6" i="3"/>
  <c r="H32" i="3" s="1"/>
  <c r="I32" i="3" s="1"/>
  <c r="D7" i="3"/>
  <c r="H33" i="3" s="1"/>
  <c r="I33" i="3" s="1"/>
  <c r="D8" i="3"/>
  <c r="H34" i="3" s="1"/>
  <c r="I34" i="3" s="1"/>
  <c r="D9" i="3"/>
  <c r="H35" i="3" s="1"/>
  <c r="I35" i="3" s="1"/>
  <c r="D10" i="3"/>
  <c r="H36" i="3" s="1"/>
  <c r="I36" i="3" s="1"/>
  <c r="D3" i="3"/>
  <c r="H29" i="3" s="1"/>
  <c r="I29" i="3" s="1"/>
  <c r="D39" i="5"/>
  <c r="D38" i="5"/>
  <c r="D37" i="5"/>
  <c r="D36" i="5"/>
  <c r="D35" i="5"/>
  <c r="D34" i="5"/>
  <c r="D33" i="5"/>
  <c r="D32" i="5"/>
  <c r="G17" i="5" s="1"/>
  <c r="D31" i="5"/>
  <c r="D30" i="5"/>
  <c r="G16" i="5" s="1"/>
  <c r="D29" i="5"/>
  <c r="D28" i="5"/>
  <c r="G15" i="5" s="1"/>
  <c r="D27" i="5"/>
  <c r="D26" i="5"/>
  <c r="D25" i="5"/>
  <c r="D24" i="5"/>
  <c r="D23" i="5"/>
  <c r="D22" i="5"/>
  <c r="D21" i="5"/>
  <c r="D20" i="5"/>
  <c r="G11" i="5" s="1"/>
  <c r="G19" i="5"/>
  <c r="D19" i="5"/>
  <c r="G18" i="5"/>
  <c r="D18" i="5"/>
  <c r="G10" i="5" s="1"/>
  <c r="D17" i="5"/>
  <c r="D16" i="5"/>
  <c r="D15" i="5"/>
  <c r="G14" i="5"/>
  <c r="D14" i="5"/>
  <c r="G8" i="5" s="1"/>
  <c r="G13" i="5"/>
  <c r="D13" i="5"/>
  <c r="G12" i="5"/>
  <c r="D12" i="5"/>
  <c r="G7" i="5" s="1"/>
  <c r="D11" i="5"/>
  <c r="D10" i="5"/>
  <c r="G9" i="5"/>
  <c r="D9" i="5"/>
  <c r="D8" i="5"/>
  <c r="G5" i="5" s="1"/>
  <c r="D7" i="5"/>
  <c r="G6" i="5"/>
  <c r="D6" i="5"/>
  <c r="G4" i="5" s="1"/>
  <c r="D5" i="5"/>
  <c r="D4" i="5"/>
  <c r="G3" i="5"/>
  <c r="D3" i="5"/>
  <c r="D2" i="5"/>
  <c r="G2" i="5" s="1"/>
  <c r="M41" i="4"/>
  <c r="M40" i="4"/>
  <c r="M39" i="4"/>
  <c r="M38" i="4"/>
  <c r="M37" i="4"/>
  <c r="M36" i="4"/>
  <c r="G8" i="4" s="1"/>
  <c r="M35" i="4"/>
  <c r="M34" i="4"/>
  <c r="M33" i="4"/>
  <c r="M32" i="4"/>
  <c r="G6" i="4" s="1"/>
  <c r="M31" i="4"/>
  <c r="M30" i="4"/>
  <c r="G5" i="4" s="1"/>
  <c r="M29" i="4"/>
  <c r="M28" i="4"/>
  <c r="M27" i="4"/>
  <c r="M26" i="4"/>
  <c r="M25" i="4"/>
  <c r="M24" i="4"/>
  <c r="M19" i="4"/>
  <c r="M18" i="4"/>
  <c r="F10" i="4" s="1"/>
  <c r="M17" i="4"/>
  <c r="M16" i="4"/>
  <c r="M15" i="4"/>
  <c r="M14" i="4"/>
  <c r="F8" i="4" s="1"/>
  <c r="M13" i="4"/>
  <c r="M12" i="4"/>
  <c r="M11" i="4"/>
  <c r="M10" i="4"/>
  <c r="F6" i="4" s="1"/>
  <c r="G10" i="4"/>
  <c r="D10" i="4"/>
  <c r="E10" i="4" s="1"/>
  <c r="M9" i="4"/>
  <c r="F5" i="4" s="1"/>
  <c r="G9" i="4"/>
  <c r="F9" i="4"/>
  <c r="E9" i="4"/>
  <c r="D9" i="4"/>
  <c r="M8" i="4"/>
  <c r="D8" i="4"/>
  <c r="E8" i="4" s="1"/>
  <c r="M7" i="4"/>
  <c r="G7" i="4"/>
  <c r="F7" i="4"/>
  <c r="D7" i="4"/>
  <c r="E7" i="4" s="1"/>
  <c r="M6" i="4"/>
  <c r="D6" i="4"/>
  <c r="E6" i="4" s="1"/>
  <c r="M5" i="4"/>
  <c r="D5" i="4"/>
  <c r="E5" i="4" s="1"/>
  <c r="M4" i="4"/>
  <c r="F3" i="4" s="1"/>
  <c r="G4" i="4"/>
  <c r="F4" i="4"/>
  <c r="D4" i="4"/>
  <c r="E4" i="4" s="1"/>
  <c r="M3" i="4"/>
  <c r="G3" i="4"/>
  <c r="D3" i="4"/>
  <c r="E3" i="4" s="1"/>
  <c r="M2" i="4"/>
  <c r="V19" i="3" l="1"/>
  <c r="V16" i="3"/>
  <c r="V18" i="3"/>
  <c r="V17" i="3"/>
  <c r="V21" i="3"/>
  <c r="C36" i="3"/>
  <c r="C46" i="3"/>
  <c r="G46" i="3" s="1"/>
  <c r="J46" i="3" s="1"/>
  <c r="D54" i="3" s="1"/>
  <c r="C45" i="3"/>
  <c r="G45" i="3" s="1"/>
  <c r="J45" i="3" s="1"/>
  <c r="D58" i="3" s="1"/>
  <c r="C44" i="3"/>
  <c r="G44" i="3" s="1"/>
  <c r="J44" i="3" s="1"/>
  <c r="D59" i="3" s="1"/>
  <c r="C35" i="3"/>
  <c r="G35" i="3" s="1"/>
  <c r="J35" i="3" s="1"/>
  <c r="C58" i="3" s="1"/>
  <c r="C48" i="3"/>
  <c r="G48" i="3" s="1"/>
  <c r="C34" i="3"/>
  <c r="G34" i="3" s="1"/>
  <c r="J34" i="3" s="1"/>
  <c r="C59" i="3" s="1"/>
  <c r="C33" i="3"/>
  <c r="G33" i="3" s="1"/>
  <c r="J33" i="3" s="1"/>
  <c r="C53" i="3" s="1"/>
  <c r="C32" i="3"/>
  <c r="G32" i="3" s="1"/>
  <c r="J32" i="3" s="1"/>
  <c r="C31" i="3"/>
  <c r="G31" i="3" s="1"/>
  <c r="J31" i="3" s="1"/>
  <c r="C60" i="3" s="1"/>
  <c r="C30" i="3"/>
  <c r="G30" i="3" s="1"/>
  <c r="J30" i="3" s="1"/>
  <c r="G36" i="3"/>
  <c r="J36" i="3" s="1"/>
  <c r="C54" i="3" s="1"/>
  <c r="C29" i="3"/>
  <c r="G29" i="3" s="1"/>
  <c r="J29" i="3" s="1"/>
  <c r="C55" i="3" s="1"/>
  <c r="C49" i="3"/>
  <c r="G49" i="3" s="1"/>
  <c r="C43" i="3"/>
  <c r="G43" i="3" s="1"/>
  <c r="J43" i="3" s="1"/>
  <c r="D53" i="3" s="1"/>
  <c r="C42" i="3"/>
  <c r="G42" i="3" s="1"/>
  <c r="J42" i="3" s="1"/>
  <c r="D57" i="3" s="1"/>
  <c r="C41" i="3"/>
  <c r="G41" i="3" s="1"/>
  <c r="J41" i="3" s="1"/>
  <c r="D60" i="3" s="1"/>
  <c r="T4" i="3"/>
  <c r="C40" i="3"/>
  <c r="G40" i="3" s="1"/>
  <c r="J40" i="3" s="1"/>
  <c r="D56" i="3" s="1"/>
  <c r="C39" i="3"/>
  <c r="G39" i="3" s="1"/>
  <c r="J39" i="3" s="1"/>
  <c r="D55" i="3" s="1"/>
  <c r="E58" i="3" l="1"/>
  <c r="F59" i="3"/>
  <c r="F70" i="3" s="1"/>
  <c r="D70" i="3"/>
  <c r="F54" i="3"/>
  <c r="F65" i="3" s="1"/>
  <c r="D65" i="3"/>
  <c r="E54" i="3"/>
  <c r="E65" i="3" s="1"/>
  <c r="C65" i="3"/>
  <c r="E59" i="3"/>
  <c r="E70" i="3" s="1"/>
  <c r="C70" i="3"/>
  <c r="F57" i="3"/>
  <c r="E55" i="3"/>
  <c r="E66" i="3" s="1"/>
  <c r="C66" i="3"/>
  <c r="E60" i="3"/>
  <c r="E71" i="3" s="1"/>
  <c r="C71" i="3"/>
  <c r="F56" i="3"/>
  <c r="F60" i="3"/>
  <c r="F71" i="3" s="1"/>
  <c r="D71" i="3"/>
  <c r="F53" i="3"/>
  <c r="F64" i="3" s="1"/>
  <c r="D64" i="3"/>
  <c r="C56" i="3"/>
  <c r="C57" i="3"/>
  <c r="F58" i="3"/>
  <c r="D69" i="3"/>
  <c r="F55" i="3"/>
  <c r="F66" i="3" s="1"/>
  <c r="D66" i="3"/>
  <c r="E53" i="3"/>
  <c r="E64" i="3" s="1"/>
  <c r="C64" i="3"/>
  <c r="G57" i="3"/>
  <c r="G55" i="3"/>
  <c r="G66" i="3" s="1"/>
  <c r="H66" i="3"/>
  <c r="G53" i="3"/>
  <c r="G64" i="3" s="1"/>
  <c r="H71" i="3"/>
  <c r="G60" i="3"/>
  <c r="G71" i="3" s="1"/>
  <c r="H70" i="3"/>
  <c r="G59" i="3"/>
  <c r="G70" i="3" s="1"/>
  <c r="G54" i="3"/>
  <c r="G65" i="3" s="1"/>
  <c r="G58" i="3"/>
  <c r="G56" i="3"/>
  <c r="Q10" i="3"/>
  <c r="R10" i="3" s="1"/>
  <c r="Q11" i="3"/>
  <c r="R11" i="3" s="1"/>
  <c r="Q7" i="3"/>
  <c r="R7" i="3" s="1"/>
  <c r="Q9" i="3"/>
  <c r="R9" i="3" s="1"/>
  <c r="Q8" i="3"/>
  <c r="R8" i="3" s="1"/>
  <c r="I56" i="3" l="1"/>
  <c r="E56" i="3"/>
  <c r="E67" i="3" s="1"/>
  <c r="C67" i="3"/>
  <c r="H65" i="3"/>
  <c r="E57" i="3"/>
  <c r="E68" i="3" s="1"/>
  <c r="C68" i="3"/>
  <c r="I55" i="3"/>
  <c r="I66" i="3" s="1"/>
  <c r="I57" i="3"/>
  <c r="I59" i="3"/>
  <c r="I70" i="3" s="1"/>
  <c r="I58" i="3"/>
  <c r="I69" i="3" s="1"/>
  <c r="I54" i="3"/>
  <c r="I65" i="3" s="1"/>
  <c r="I60" i="3"/>
  <c r="I71" i="3" s="1"/>
  <c r="I53" i="3" l="1"/>
  <c r="I64" i="3" s="1"/>
  <c r="H64" i="3"/>
  <c r="F10" i="1"/>
  <c r="E5" i="2"/>
  <c r="D5" i="2"/>
  <c r="D2" i="2"/>
  <c r="C2" i="2"/>
  <c r="B2" i="2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D4" i="1"/>
  <c r="E4" i="1" s="1"/>
  <c r="F4" i="1" s="1"/>
  <c r="D3" i="1"/>
  <c r="E3" i="1" s="1"/>
  <c r="F3" i="1" s="1"/>
</calcChain>
</file>

<file path=xl/sharedStrings.xml><?xml version="1.0" encoding="utf-8"?>
<sst xmlns="http://schemas.openxmlformats.org/spreadsheetml/2006/main" count="442" uniqueCount="214">
  <si>
    <t>strain</t>
  </si>
  <si>
    <t>cell/ml</t>
  </si>
  <si>
    <t>DSS-3</t>
  </si>
  <si>
    <t>count1</t>
  </si>
  <si>
    <t>count2</t>
  </si>
  <si>
    <t>Ave</t>
  </si>
  <si>
    <t>nitzch</t>
  </si>
  <si>
    <t>HP15</t>
  </si>
  <si>
    <t>HOT5_F3</t>
  </si>
  <si>
    <t>1A3</t>
  </si>
  <si>
    <t>Pgall</t>
  </si>
  <si>
    <t>HOT5_C3</t>
  </si>
  <si>
    <t>CIP</t>
  </si>
  <si>
    <t>H2O2</t>
  </si>
  <si>
    <t>MW (g/mol)</t>
  </si>
  <si>
    <t>Moles/Kg</t>
  </si>
  <si>
    <t>Moles in 1L 30% w/w in water</t>
  </si>
  <si>
    <t>POHPAA</t>
  </si>
  <si>
    <t>Stock concentration (M)</t>
  </si>
  <si>
    <t>g per 1L 25mM stock</t>
  </si>
  <si>
    <t>g per 5ml stock</t>
  </si>
  <si>
    <t>ul for 20ml at 10^6 cells/ml</t>
  </si>
  <si>
    <t>Replicate</t>
  </si>
  <si>
    <t>Wavelength 1</t>
  </si>
  <si>
    <t>FL 1</t>
  </si>
  <si>
    <t>Wavelength 2</t>
  </si>
  <si>
    <t>FL 2</t>
  </si>
  <si>
    <t>Wavelength 3</t>
  </si>
  <si>
    <t>FL 3</t>
  </si>
  <si>
    <t>* no peak is written as 0</t>
  </si>
  <si>
    <t>1 spin</t>
  </si>
  <si>
    <t>6 spin</t>
  </si>
  <si>
    <t>SW1</t>
  </si>
  <si>
    <t>Blank (wiuth catalse)</t>
  </si>
  <si>
    <t>neg1 (no H2O2)</t>
  </si>
  <si>
    <t>SW1 (with H2O2 no bacteria)</t>
  </si>
  <si>
    <t>SW2 (with H2O2 no bacteria)</t>
  </si>
  <si>
    <t>neg2 (no H2O2)</t>
  </si>
  <si>
    <t>* note 030625 - these are the original FCM measurements used to design the experiments (dilution of bacteria)</t>
  </si>
  <si>
    <t>cytoflex</t>
  </si>
  <si>
    <t>our setup</t>
  </si>
  <si>
    <t>TLK setup</t>
  </si>
  <si>
    <t/>
  </si>
  <si>
    <t>Het | Count</t>
  </si>
  <si>
    <t>Total cell/ml</t>
  </si>
  <si>
    <t>X200</t>
  </si>
  <si>
    <t>cell/ml flowjo</t>
  </si>
  <si>
    <t>SW</t>
  </si>
  <si>
    <t>01-Well-A1.fcs</t>
  </si>
  <si>
    <t>5 UL</t>
  </si>
  <si>
    <t>01-Well-A2.fcs</t>
  </si>
  <si>
    <t>01-Well-A3.fcs</t>
  </si>
  <si>
    <t>01-Well-A4.fcs</t>
  </si>
  <si>
    <t>01-Well-A5.fcs</t>
  </si>
  <si>
    <t>01-Well-A6.fcs</t>
  </si>
  <si>
    <t>01-Well-A7.fcs</t>
  </si>
  <si>
    <t>01-Well-A8.fcs</t>
  </si>
  <si>
    <t>01-Well-A9.fcs</t>
  </si>
  <si>
    <t>01-Well-A10.fcs</t>
  </si>
  <si>
    <t>01-Well-A11.fcs</t>
  </si>
  <si>
    <t>01-Well-A12.fcs</t>
  </si>
  <si>
    <t>01-Well-B1.fcs</t>
  </si>
  <si>
    <t>01-Well-B2.fcs</t>
  </si>
  <si>
    <t>01-Well-B3.fcs</t>
  </si>
  <si>
    <t>01-Well-B4.fcs</t>
  </si>
  <si>
    <t>01-Well-B5.fcs</t>
  </si>
  <si>
    <t>01-Well-B6.fcs</t>
  </si>
  <si>
    <t>** Note 030625 - this is a reanalysis of the FCM data by Dikla, due to the clear differece in test tube turbidity</t>
  </si>
  <si>
    <t>no dilution</t>
  </si>
  <si>
    <t>Hets | Count</t>
  </si>
  <si>
    <t xml:space="preserve">cell/ml </t>
  </si>
  <si>
    <t>sample</t>
  </si>
  <si>
    <t>Ave cell/ml</t>
  </si>
  <si>
    <t>1_1</t>
  </si>
  <si>
    <t>01-Well-C1.fcs</t>
  </si>
  <si>
    <t>01-Well-C2.fcs</t>
  </si>
  <si>
    <t>2_1</t>
  </si>
  <si>
    <t>01-Well-C3.fcs</t>
  </si>
  <si>
    <t>3_1</t>
  </si>
  <si>
    <t>01-Well-C4.fcs</t>
  </si>
  <si>
    <t>4_1</t>
  </si>
  <si>
    <t>01-Well-C5.fcs</t>
  </si>
  <si>
    <t>5_1</t>
  </si>
  <si>
    <t>01-Well-C6.fcs</t>
  </si>
  <si>
    <t>6_1</t>
  </si>
  <si>
    <t>01-Well-C7.fcs</t>
  </si>
  <si>
    <t>7_1</t>
  </si>
  <si>
    <t>01-Well-C8.fcs</t>
  </si>
  <si>
    <t>8_1</t>
  </si>
  <si>
    <t>01-Well-C9.fcs</t>
  </si>
  <si>
    <t>1_2</t>
  </si>
  <si>
    <t>01-Well-C10.fcs</t>
  </si>
  <si>
    <t>2_2</t>
  </si>
  <si>
    <t>01-Well-C11.fcs</t>
  </si>
  <si>
    <t>3_2</t>
  </si>
  <si>
    <t>01-Well-C12.fcs</t>
  </si>
  <si>
    <t>4_2</t>
  </si>
  <si>
    <t>01-Well-D1.fcs</t>
  </si>
  <si>
    <t>5_2</t>
  </si>
  <si>
    <t>01-Well-D2.fcs</t>
  </si>
  <si>
    <t>6_2</t>
  </si>
  <si>
    <t>01-Well-D3.fcs</t>
  </si>
  <si>
    <t>7_2</t>
  </si>
  <si>
    <t>01-Well-D4.fcs</t>
  </si>
  <si>
    <t>8_2</t>
  </si>
  <si>
    <t>01-Well-D5.fcs</t>
  </si>
  <si>
    <t>01-Well-D6.fcs</t>
  </si>
  <si>
    <t>SW2</t>
  </si>
  <si>
    <t>01-Well-D7.fcs</t>
  </si>
  <si>
    <t>01-Well-D8.fcs</t>
  </si>
  <si>
    <t>01-Well-D9.fcs</t>
  </si>
  <si>
    <t>01-Well-D10.fcs</t>
  </si>
  <si>
    <t>01-Well-D11.fcs</t>
  </si>
  <si>
    <t>01-Well-D12.fcs</t>
  </si>
  <si>
    <t>01-Well-E1.fcs</t>
  </si>
  <si>
    <t>01-Well-E2.fcs</t>
  </si>
  <si>
    <t>01-Well-E3.fcs</t>
  </si>
  <si>
    <t>01-Well-E4.fcs</t>
  </si>
  <si>
    <t>01-Well-E5.fcs</t>
  </si>
  <si>
    <t>01-Well-E6.fcs</t>
  </si>
  <si>
    <t>01-Well-E7.fcs</t>
  </si>
  <si>
    <t>01-Well-E8.fcs</t>
  </si>
  <si>
    <t>01-Well-E9.fcs</t>
  </si>
  <si>
    <t>01-Well-E10.fcs</t>
  </si>
  <si>
    <t>01-Well-E11.fcs</t>
  </si>
  <si>
    <t>01-Well-E12.fcs</t>
  </si>
  <si>
    <t>01-Well-F1.fcs</t>
  </si>
  <si>
    <t>SW+sybr</t>
  </si>
  <si>
    <t>01-Well-F2.fcs</t>
  </si>
  <si>
    <t>* note - this is the FCM performed on fixed cells at the start of the second day of expeirments (28/5/25)</t>
  </si>
  <si>
    <t>Should be 1:10 dilution of 7_1</t>
  </si>
  <si>
    <t>start time</t>
  </si>
  <si>
    <t>T1</t>
  </si>
  <si>
    <t>T2</t>
  </si>
  <si>
    <t>T3</t>
  </si>
  <si>
    <t>* measurements took ~15 min for each time point, so can add 15min error bars on X axis</t>
  </si>
  <si>
    <t>*values pasted from FCM at start of exp</t>
  </si>
  <si>
    <t>Sample ID</t>
  </si>
  <si>
    <t>Cells/ml</t>
  </si>
  <si>
    <t>Calibration curve</t>
  </si>
  <si>
    <t>Volume added</t>
  </si>
  <si>
    <t>Wavelength</t>
  </si>
  <si>
    <t>FL</t>
  </si>
  <si>
    <t>High stock</t>
  </si>
  <si>
    <t>Low stock</t>
  </si>
  <si>
    <t>H2O2 Stock</t>
  </si>
  <si>
    <t>M</t>
  </si>
  <si>
    <t>H2O2 concentration (M)</t>
  </si>
  <si>
    <t>H2O2 (nM)</t>
  </si>
  <si>
    <t>Time</t>
  </si>
  <si>
    <t>* t0 data - average of SW 1 and 2 for all strains since first measurement was T=1</t>
  </si>
  <si>
    <t>Sustained</t>
  </si>
  <si>
    <t>Strong</t>
  </si>
  <si>
    <t>Weak</t>
  </si>
  <si>
    <t>Inhibited</t>
  </si>
  <si>
    <t>Values copied without removed point</t>
  </si>
  <si>
    <t>Cell concentration (cells/mL)</t>
  </si>
  <si>
    <t>Cell concentration (cells/L)</t>
  </si>
  <si>
    <t>H2O2 degradation (nmoles/cells*day)</t>
  </si>
  <si>
    <t>Rep1</t>
  </si>
  <si>
    <t>Rep2</t>
  </si>
  <si>
    <t>DSS-3_1</t>
  </si>
  <si>
    <t>nitzch_1</t>
  </si>
  <si>
    <t>HP15_1</t>
  </si>
  <si>
    <t>HOT5_F3_1</t>
  </si>
  <si>
    <t>1A3_1</t>
  </si>
  <si>
    <t>Pgall_1</t>
  </si>
  <si>
    <t>HOT5_C3_1</t>
  </si>
  <si>
    <t>CIP_1</t>
  </si>
  <si>
    <t>Avg</t>
  </si>
  <si>
    <t>SD</t>
  </si>
  <si>
    <t>average</t>
  </si>
  <si>
    <t>stdev</t>
  </si>
  <si>
    <t>cov</t>
  </si>
  <si>
    <t>COV</t>
  </si>
  <si>
    <t>Rep 1 abs</t>
  </si>
  <si>
    <t>Rep 2 abs</t>
  </si>
  <si>
    <t>Initial curves</t>
  </si>
  <si>
    <t>Curves using only relevant data points</t>
  </si>
  <si>
    <t>*Note very high COV in cell numbers. One replicate had much higher cell counts. 040625 - use replicate with higher cell counts</t>
  </si>
  <si>
    <t xml:space="preserve">* note two dilutions - use numbers from higher dilution (7-2) and back-calculate </t>
  </si>
  <si>
    <t>Original rates</t>
  </si>
  <si>
    <t>Corrected cell concentration 110625</t>
  </si>
  <si>
    <t>*based on viewing FCM data with Dikla - seems like a technical problem</t>
  </si>
  <si>
    <t>* based on viewing FCM data with Dikla - seems like this measurement was saturated so used cell number from the 10x diluted one</t>
  </si>
  <si>
    <t>Corrected H2O2 degradation rates 110625</t>
  </si>
  <si>
    <t>*corrected cell density in red above (110625)</t>
  </si>
  <si>
    <t>Rates modified to take into account problems with FCM (110625, red signals changed cells)</t>
  </si>
  <si>
    <t>Rates without samples where FCM was unclear</t>
  </si>
  <si>
    <t>Actual cell concentration</t>
  </si>
  <si>
    <t>ul for 20ml at 10^7 cells/ml</t>
  </si>
  <si>
    <t>Actual stock cell concentration (from re-analysis of stocks - samples from 270528, re-analyzed following day using FloJo)</t>
  </si>
  <si>
    <t>T0</t>
  </si>
  <si>
    <t>no peak</t>
  </si>
  <si>
    <t>Negative</t>
  </si>
  <si>
    <t>T0 remeasurement after ~1h</t>
  </si>
  <si>
    <t>Seawater</t>
  </si>
  <si>
    <t>Slope (nmole/L*hour)</t>
  </si>
  <si>
    <t>avg fmoles cell-1 h-1</t>
  </si>
  <si>
    <t>sd</t>
  </si>
  <si>
    <t>Phenotype</t>
  </si>
  <si>
    <t>Strain</t>
  </si>
  <si>
    <t>Total ROS enzymes</t>
  </si>
  <si>
    <t>Predicted extracellular ROS enzymes</t>
  </si>
  <si>
    <t>H2O2 degradation rate (fmoles cell-1 h-1)</t>
  </si>
  <si>
    <t>Alteromonas macleodii HOT1A3</t>
  </si>
  <si>
    <t>Pseudoalteromonas haloplanktis CIP</t>
  </si>
  <si>
    <t>Ruegeria pomeroyi DSS-3</t>
  </si>
  <si>
    <t>Sulfitobacter pseudonitzschiae nitzch</t>
  </si>
  <si>
    <t>Marinovum HOT5_F3</t>
  </si>
  <si>
    <t>Roseovarius HOT5_C3</t>
  </si>
  <si>
    <t>Phaeobacter gallaeciensis Pgall_1</t>
  </si>
  <si>
    <t>Marinobacter adhaerens HP15_1</t>
  </si>
  <si>
    <t>Summary table, including bioinformatic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</si>
</sst>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0000"/>
      <name val="Calibri"/>
      <family val="2"/>
      <charset val="177"/>
    </font>
    <font>
      <b/>
      <sz val="11"/>
      <color theme="1"/>
      <name val="Calibri"/>
      <family val="2"/>
      <charset val="177"/>
    </font>
    <font>
      <b/>
      <sz val="11"/>
      <color theme="1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20" fontId="0" fillId="0" borderId="0" xfId="0" applyNumberFormat="1"/>
    <xf numFmtId="0" fontId="0" fillId="0" borderId="3" xfId="0" applyBorder="1"/>
    <xf numFmtId="2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11" fontId="2" fillId="0" borderId="6" xfId="0" applyNumberFormat="1" applyFont="1" applyBorder="1"/>
    <xf numFmtId="11" fontId="2" fillId="0" borderId="0" xfId="0" applyNumberFormat="1" applyFont="1"/>
    <xf numFmtId="2" fontId="2" fillId="0" borderId="0" xfId="0" applyNumberFormat="1" applyFont="1"/>
    <xf numFmtId="11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5" fillId="0" borderId="0" xfId="0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6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[1]Sheet1!$B$14</c:f>
              <c:strCache>
                <c:ptCount val="1"/>
                <c:pt idx="0">
                  <c:v>cytoflex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[1]Sheet1!$A$15:$A$22</c:f>
              <c:strCache>
                <c:ptCount val="8"/>
                <c:pt idx="0">
                  <c:v>DSS-3</c:v>
                </c:pt>
                <c:pt idx="1">
                  <c:v>nitzch</c:v>
                </c:pt>
                <c:pt idx="2">
                  <c:v>HP15</c:v>
                </c:pt>
                <c:pt idx="3">
                  <c:v>HOT5_F3</c:v>
                </c:pt>
                <c:pt idx="4">
                  <c:v>1A3</c:v>
                </c:pt>
                <c:pt idx="5">
                  <c:v>Pgall</c:v>
                </c:pt>
                <c:pt idx="6">
                  <c:v>HOT5_C3</c:v>
                </c:pt>
                <c:pt idx="7">
                  <c:v>CIP</c:v>
                </c:pt>
              </c:strCache>
            </c:strRef>
          </c:cat>
          <c:val>
            <c:numRef>
              <c:f>[1]Sheet1!$B$15:$B$22</c:f>
              <c:numCache>
                <c:formatCode>General</c:formatCode>
                <c:ptCount val="8"/>
                <c:pt idx="0">
                  <c:v>195600000</c:v>
                </c:pt>
                <c:pt idx="1">
                  <c:v>769720000</c:v>
                </c:pt>
                <c:pt idx="2">
                  <c:v>402480000</c:v>
                </c:pt>
                <c:pt idx="3">
                  <c:v>1543940000</c:v>
                </c:pt>
                <c:pt idx="4">
                  <c:v>789220000</c:v>
                </c:pt>
                <c:pt idx="5">
                  <c:v>179020000</c:v>
                </c:pt>
                <c:pt idx="6">
                  <c:v>53020000</c:v>
                </c:pt>
                <c:pt idx="7">
                  <c:v>195960000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0-4C8E-85F8-664A8E2B0FBC}"/>
            </c:ext>
          </c:extLst>
        </c:ser>
        <c:ser>
          <c:idx val="1"/>
          <c:order val="1"/>
          <c:tx>
            <c:strRef>
              <c:f>[1]Sheet1!$C$14</c:f>
              <c:strCache>
                <c:ptCount val="1"/>
                <c:pt idx="0">
                  <c:v>our setup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[1]Sheet1!$A$15:$A$22</c:f>
              <c:strCache>
                <c:ptCount val="8"/>
                <c:pt idx="0">
                  <c:v>DSS-3</c:v>
                </c:pt>
                <c:pt idx="1">
                  <c:v>nitzch</c:v>
                </c:pt>
                <c:pt idx="2">
                  <c:v>HP15</c:v>
                </c:pt>
                <c:pt idx="3">
                  <c:v>HOT5_F3</c:v>
                </c:pt>
                <c:pt idx="4">
                  <c:v>1A3</c:v>
                </c:pt>
                <c:pt idx="5">
                  <c:v>Pgall</c:v>
                </c:pt>
                <c:pt idx="6">
                  <c:v>HOT5_C3</c:v>
                </c:pt>
                <c:pt idx="7">
                  <c:v>CIP</c:v>
                </c:pt>
              </c:strCache>
            </c:strRef>
          </c:cat>
          <c:val>
            <c:numRef>
              <c:f>[1]Sheet1!$C$15:$C$22</c:f>
              <c:numCache>
                <c:formatCode>General</c:formatCode>
                <c:ptCount val="8"/>
                <c:pt idx="0">
                  <c:v>3418640000</c:v>
                </c:pt>
                <c:pt idx="1">
                  <c:v>3498620000</c:v>
                </c:pt>
                <c:pt idx="2">
                  <c:v>2163600000</c:v>
                </c:pt>
                <c:pt idx="3">
                  <c:v>1602560000</c:v>
                </c:pt>
                <c:pt idx="4">
                  <c:v>695620000</c:v>
                </c:pt>
                <c:pt idx="5">
                  <c:v>276140000</c:v>
                </c:pt>
                <c:pt idx="6">
                  <c:v>2661000000</c:v>
                </c:pt>
                <c:pt idx="7">
                  <c:v>323980000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0-4C8E-85F8-664A8E2B0FBC}"/>
            </c:ext>
          </c:extLst>
        </c:ser>
        <c:ser>
          <c:idx val="2"/>
          <c:order val="2"/>
          <c:tx>
            <c:strRef>
              <c:f>[1]Sheet1!$D$14</c:f>
              <c:strCache>
                <c:ptCount val="1"/>
                <c:pt idx="0">
                  <c:v>TLK setup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[1]Sheet1!$A$15:$A$22</c:f>
              <c:strCache>
                <c:ptCount val="8"/>
                <c:pt idx="0">
                  <c:v>DSS-3</c:v>
                </c:pt>
                <c:pt idx="1">
                  <c:v>nitzch</c:v>
                </c:pt>
                <c:pt idx="2">
                  <c:v>HP15</c:v>
                </c:pt>
                <c:pt idx="3">
                  <c:v>HOT5_F3</c:v>
                </c:pt>
                <c:pt idx="4">
                  <c:v>1A3</c:v>
                </c:pt>
                <c:pt idx="5">
                  <c:v>Pgall</c:v>
                </c:pt>
                <c:pt idx="6">
                  <c:v>HOT5_C3</c:v>
                </c:pt>
                <c:pt idx="7">
                  <c:v>CIP</c:v>
                </c:pt>
              </c:strCache>
            </c:strRef>
          </c:cat>
          <c:val>
            <c:numRef>
              <c:f>[1]Sheet1!$D$15:$D$22</c:f>
              <c:numCache>
                <c:formatCode>General</c:formatCode>
                <c:ptCount val="8"/>
                <c:pt idx="0">
                  <c:v>3402620000</c:v>
                </c:pt>
                <c:pt idx="1">
                  <c:v>3480820000</c:v>
                </c:pt>
                <c:pt idx="2">
                  <c:v>2161080000</c:v>
                </c:pt>
                <c:pt idx="3">
                  <c:v>1588260000</c:v>
                </c:pt>
                <c:pt idx="4">
                  <c:v>697260000</c:v>
                </c:pt>
                <c:pt idx="5">
                  <c:v>263420000</c:v>
                </c:pt>
                <c:pt idx="6">
                  <c:v>2652560000</c:v>
                </c:pt>
                <c:pt idx="7">
                  <c:v>321680000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0-4C8E-85F8-664A8E2B0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189711"/>
        <c:axId val="956326703"/>
      </c:barChart>
      <c:catAx>
        <c:axId val="64318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56326703"/>
        <c:crosses val="autoZero"/>
        <c:auto val="1"/>
        <c:lblAlgn val="ctr"/>
        <c:lblOffset val="100"/>
        <c:noMultiLvlLbl val="0"/>
      </c:catAx>
      <c:valAx>
        <c:axId val="9563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4318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Sustained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'Results 280525'!$B$29</c:f>
              <c:strCache>
                <c:ptCount val="1"/>
                <c:pt idx="0">
                  <c:v>DSS-3_1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280525'!$C$29:$F$29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180.69306930693071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9-4EAF-B890-3CAE2F0E77FA}"/>
            </c:ext>
          </c:extLst>
        </c:ser>
        <c:ser>
          <c:idx val="2"/>
          <c:order val="1"/>
          <c:tx>
            <c:strRef>
              <c:f>'Results 280525'!$B$39</c:f>
              <c:strCache>
                <c:ptCount val="1"/>
                <c:pt idx="0">
                  <c:v>DSS-3_2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280525'!$C$39:$F$39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160.8910891089109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9-4EAF-B890-3CAE2F0E77FA}"/>
            </c:ext>
          </c:extLst>
        </c:ser>
        <c:ser>
          <c:idx val="0"/>
          <c:order val="2"/>
          <c:tx>
            <c:strRef>
              <c:f>'Results 280525'!$B$30</c:f>
              <c:strCache>
                <c:ptCount val="1"/>
                <c:pt idx="0">
                  <c:v>nitzch_1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280525'!$C$30:$F$30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457.92079207920796</c:v>
                </c:pt>
                <c:pt idx="2">
                  <c:v>351.48514851485146</c:v>
                </c:pt>
                <c:pt idx="3">
                  <c:v>247.52475247524754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39-4EAF-B890-3CAE2F0E77FA}"/>
            </c:ext>
          </c:extLst>
        </c:ser>
        <c:ser>
          <c:idx val="3"/>
          <c:order val="3"/>
          <c:tx>
            <c:strRef>
              <c:f>'Results 280525'!$B$40</c:f>
              <c:strCache>
                <c:ptCount val="1"/>
                <c:pt idx="0">
                  <c:v>nitzch_2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280525'!$C$40:$F$40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418.31683168316829</c:v>
                </c:pt>
                <c:pt idx="2">
                  <c:v>341.58415841584161</c:v>
                </c:pt>
                <c:pt idx="3">
                  <c:v>277.22772277227722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39-4EAF-B890-3CAE2F0E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0720"/>
        <c:axId val="808011200"/>
      </c:scatterChart>
      <c:valAx>
        <c:axId val="808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1200"/>
        <c:crosses val="autoZero"/>
        <c:crossBetween val="midCat"/>
      </c:valAx>
      <c:valAx>
        <c:axId val="808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[H2O2]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'Results 280525'!$B$33</c:f>
              <c:strCache>
                <c:ptCount val="1"/>
                <c:pt idx="0">
                  <c:v>1A3_1</c:v>
                </c:pt>
              </c:strCache>
            </c:strRef>
          </c:tx>
          <c:spPr>
            <a:ln w="19050" cap="rnd">
              <a:solidFill>
                <a:srgbClr val="6600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280525'!$C$33:$F$33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349.00990099009903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E-4D18-BE90-A572E17BE364}"/>
            </c:ext>
          </c:extLst>
        </c:ser>
        <c:ser>
          <c:idx val="2"/>
          <c:order val="1"/>
          <c:tx>
            <c:strRef>
              <c:f>'Results 280525'!$B$43</c:f>
              <c:strCache>
                <c:ptCount val="1"/>
                <c:pt idx="0">
                  <c:v>1A3_2</c:v>
                </c:pt>
              </c:strCache>
            </c:strRef>
          </c:tx>
          <c:spPr>
            <a:ln w="19050" cap="rnd">
              <a:solidFill>
                <a:srgbClr val="66003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6003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'Results 280525'!$C$28:$E$28</c:f>
              <c:numCache>
                <c:formatCode>0.00</c:formatCode>
                <c:ptCount val="3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</c:numCache>
            </c:numRef>
          </c:xVal>
          <c:yVal>
            <c:numRef>
              <c:f>'Results 280525'!$C$43:$E$43</c:f>
              <c:numCache>
                <c:formatCode>General</c:formatCode>
                <c:ptCount val="3"/>
                <c:pt idx="0">
                  <c:v>445.13201320132015</c:v>
                </c:pt>
                <c:pt idx="1">
                  <c:v>316.83168316831689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1E-4D18-BE90-A572E17BE364}"/>
            </c:ext>
          </c:extLst>
        </c:ser>
        <c:ser>
          <c:idx val="0"/>
          <c:order val="2"/>
          <c:tx>
            <c:strRef>
              <c:f>'Results 280525'!$B$36</c:f>
              <c:strCache>
                <c:ptCount val="1"/>
                <c:pt idx="0">
                  <c:v>CIP_1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280525'!$C$36:$F$36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0</c:v>
                </c:pt>
                <c:pt idx="2">
                  <c:v>136.13861386138615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1E-4D18-BE90-A572E17BE364}"/>
            </c:ext>
          </c:extLst>
        </c:ser>
        <c:ser>
          <c:idx val="3"/>
          <c:order val="3"/>
          <c:tx>
            <c:strRef>
              <c:f>'Results 280525'!$B$46</c:f>
              <c:strCache>
                <c:ptCount val="1"/>
                <c:pt idx="0">
                  <c:v>CIP_2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280525'!$C$46:$F$46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306.93069306930693</c:v>
                </c:pt>
                <c:pt idx="2">
                  <c:v>136.13861386138615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1E-4D18-BE90-A572E17BE364}"/>
            </c:ext>
          </c:extLst>
        </c:ser>
        <c:ser>
          <c:idx val="4"/>
          <c:order val="4"/>
          <c:tx>
            <c:strRef>
              <c:f>'Results 280525'!$B$48</c:f>
              <c:strCache>
                <c:ptCount val="1"/>
                <c:pt idx="0">
                  <c:v>SW1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280525'!$C$48:$F$48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445.54455445544556</c:v>
                </c:pt>
                <c:pt idx="2">
                  <c:v>452.97029702970303</c:v>
                </c:pt>
                <c:pt idx="3">
                  <c:v>448.01980198019805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1E-4D18-BE90-A572E17BE364}"/>
            </c:ext>
          </c:extLst>
        </c:ser>
        <c:ser>
          <c:idx val="5"/>
          <c:order val="5"/>
          <c:tx>
            <c:strRef>
              <c:f>'Results 280525'!$B$49</c:f>
              <c:strCache>
                <c:ptCount val="1"/>
                <c:pt idx="0">
                  <c:v>SW2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280525'!$C$49:$F$49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455.44554455445541</c:v>
                </c:pt>
                <c:pt idx="2">
                  <c:v>423.26732673267333</c:v>
                </c:pt>
                <c:pt idx="3">
                  <c:v>445.54455445544556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1E-4D18-BE90-A572E17BE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0720"/>
        <c:axId val="808011200"/>
      </c:scatterChart>
      <c:valAx>
        <c:axId val="808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1200"/>
        <c:crosses val="autoZero"/>
        <c:crossBetween val="midCat"/>
      </c:valAx>
      <c:valAx>
        <c:axId val="808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[H2O2]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916563061196297E-2"/>
              <c:y val="0.36066445641663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5452164346E-2"/>
          <c:y val="0.88020778652668419"/>
          <c:w val="0.89999989122785273"/>
          <c:h val="7.7909132549567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'Results 280525'!$B$32</c:f>
              <c:strCache>
                <c:ptCount val="1"/>
                <c:pt idx="0">
                  <c:v>HOT5_F3_1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280525'!$C$32:$F$32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452.97029702970303</c:v>
                </c:pt>
                <c:pt idx="2">
                  <c:v>403.46534653465352</c:v>
                </c:pt>
                <c:pt idx="3">
                  <c:v>341.58415841584161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2-433F-A3AE-BBCDB802EE75}"/>
            </c:ext>
          </c:extLst>
        </c:ser>
        <c:ser>
          <c:idx val="2"/>
          <c:order val="1"/>
          <c:tx>
            <c:strRef>
              <c:f>'Results 280525'!$B$42</c:f>
              <c:strCache>
                <c:ptCount val="1"/>
                <c:pt idx="0">
                  <c:v>HOT5_F3_2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280525'!$C$42:$F$42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415.84158415841586</c:v>
                </c:pt>
                <c:pt idx="2">
                  <c:v>378.71287128712873</c:v>
                </c:pt>
                <c:pt idx="3">
                  <c:v>363.86138613861385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2-433F-A3AE-BBCDB802EE75}"/>
            </c:ext>
          </c:extLst>
        </c:ser>
        <c:ser>
          <c:idx val="0"/>
          <c:order val="2"/>
          <c:tx>
            <c:strRef>
              <c:f>'Results 280525'!$B$35</c:f>
              <c:strCache>
                <c:ptCount val="1"/>
                <c:pt idx="0">
                  <c:v>HOT5_C3_1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280525'!$C$35:$F$35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92-433F-A3AE-BBCDB802EE75}"/>
            </c:ext>
          </c:extLst>
        </c:ser>
        <c:ser>
          <c:idx val="3"/>
          <c:order val="3"/>
          <c:tx>
            <c:strRef>
              <c:f>'Results 280525'!$B$45</c:f>
              <c:strCache>
                <c:ptCount val="1"/>
                <c:pt idx="0">
                  <c:v>HOT5_C3_2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280525'!$C$45:$F$45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405.9405940594059</c:v>
                </c:pt>
                <c:pt idx="2">
                  <c:v>277.22772277227722</c:v>
                </c:pt>
                <c:pt idx="3">
                  <c:v>195.54455445544556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92-433F-A3AE-BBCDB802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0720"/>
        <c:axId val="808011200"/>
      </c:scatterChart>
      <c:valAx>
        <c:axId val="808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1200"/>
        <c:crosses val="autoZero"/>
        <c:crossBetween val="midCat"/>
      </c:valAx>
      <c:valAx>
        <c:axId val="808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[H2O2]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Inhibitory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'Results 280525'!$B$31</c:f>
              <c:strCache>
                <c:ptCount val="1"/>
                <c:pt idx="0">
                  <c:v>HP15_1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280525'!$C$31:$F$31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467.8217821782178</c:v>
                </c:pt>
                <c:pt idx="2">
                  <c:v>334.15841584158414</c:v>
                </c:pt>
                <c:pt idx="3">
                  <c:v>227.7227722772277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6-4A12-AB12-12D606FC5370}"/>
            </c:ext>
          </c:extLst>
        </c:ser>
        <c:ser>
          <c:idx val="2"/>
          <c:order val="1"/>
          <c:tx>
            <c:strRef>
              <c:f>'Results 280525'!$B$41</c:f>
              <c:strCache>
                <c:ptCount val="1"/>
                <c:pt idx="0">
                  <c:v>HP15_2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280525'!$C$41:$F$41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430.69306930693068</c:v>
                </c:pt>
                <c:pt idx="2">
                  <c:v>309.40594059405942</c:v>
                </c:pt>
                <c:pt idx="3">
                  <c:v>205.44554455445547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6-4A12-AB12-12D606FC5370}"/>
            </c:ext>
          </c:extLst>
        </c:ser>
        <c:ser>
          <c:idx val="0"/>
          <c:order val="2"/>
          <c:tx>
            <c:strRef>
              <c:f>'Results 280525'!$B$34</c:f>
              <c:strCache>
                <c:ptCount val="1"/>
                <c:pt idx="0">
                  <c:v>Pgall_1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280525'!$C$34:$F$34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267.32673267326737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6-4A12-AB12-12D606FC5370}"/>
            </c:ext>
          </c:extLst>
        </c:ser>
        <c:ser>
          <c:idx val="3"/>
          <c:order val="3"/>
          <c:tx>
            <c:strRef>
              <c:f>'Results 280525'!$B$44</c:f>
              <c:strCache>
                <c:ptCount val="1"/>
                <c:pt idx="0">
                  <c:v>Pgall_2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280525'!$C$44:$F$44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235.14851485148515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56-4A12-AB12-12D606FC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0720"/>
        <c:axId val="808011200"/>
      </c:scatterChart>
      <c:valAx>
        <c:axId val="808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1200"/>
        <c:crosses val="autoZero"/>
        <c:crossBetween val="midCat"/>
      </c:valAx>
      <c:valAx>
        <c:axId val="808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[H2O2]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H2O2 detoxification</a:t>
            </a:r>
            <a:r>
              <a:rPr lang="en-US" baseline="0"/>
              <a:t> activity assuming corrected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280525'!$H$64:$H$71</c:f>
                <c:numCache>
                  <c:formatCode>General</c:formatCode>
                  <c:ptCount val="8"/>
                  <c:pt idx="0">
                    <c:v>1.573483763934111E-8</c:v>
                  </c:pt>
                  <c:pt idx="1">
                    <c:v>1.4557440219031812E-8</c:v>
                  </c:pt>
                  <c:pt idx="2">
                    <c:v>1.0850501180349473E-9</c:v>
                  </c:pt>
                  <c:pt idx="3">
                    <c:v>1.1518824864409308E-9</c:v>
                  </c:pt>
                  <c:pt idx="4">
                    <c:v>3.7891303861830599E-9</c:v>
                  </c:pt>
                  <c:pt idx="5">
                    <c:v>3.3494684566364526E-9</c:v>
                  </c:pt>
                  <c:pt idx="6">
                    <c:v>1.7414716749147881E-8</c:v>
                  </c:pt>
                  <c:pt idx="7">
                    <c:v>6.1673909822324345E-12</c:v>
                  </c:pt>
                </c:numCache>
              </c:numRef>
            </c:plus>
            <c:minus>
              <c:numRef>
                <c:f>'Results 280525'!$H$64:$H$71</c:f>
                <c:numCache>
                  <c:formatCode>General</c:formatCode>
                  <c:ptCount val="8"/>
                  <c:pt idx="0">
                    <c:v>1.573483763934111E-8</c:v>
                  </c:pt>
                  <c:pt idx="1">
                    <c:v>1.4557440219031812E-8</c:v>
                  </c:pt>
                  <c:pt idx="2">
                    <c:v>1.0850501180349473E-9</c:v>
                  </c:pt>
                  <c:pt idx="3">
                    <c:v>1.1518824864409308E-9</c:v>
                  </c:pt>
                  <c:pt idx="4">
                    <c:v>3.7891303861830599E-9</c:v>
                  </c:pt>
                  <c:pt idx="5">
                    <c:v>3.3494684566364526E-9</c:v>
                  </c:pt>
                  <c:pt idx="6">
                    <c:v>1.7414716749147881E-8</c:v>
                  </c:pt>
                  <c:pt idx="7">
                    <c:v>6.1673909822324345E-12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280525'!$B$64:$B$71</c:f>
              <c:strCache>
                <c:ptCount val="8"/>
                <c:pt idx="0">
                  <c:v>1A3_1</c:v>
                </c:pt>
                <c:pt idx="1">
                  <c:v>CIP_1</c:v>
                </c:pt>
                <c:pt idx="2">
                  <c:v>DSS-3_1</c:v>
                </c:pt>
                <c:pt idx="3">
                  <c:v>nitzch_1</c:v>
                </c:pt>
                <c:pt idx="4">
                  <c:v>HOT5_F3_1</c:v>
                </c:pt>
                <c:pt idx="5">
                  <c:v>HOT5_C3_1</c:v>
                </c:pt>
                <c:pt idx="6">
                  <c:v>Pgall_1</c:v>
                </c:pt>
                <c:pt idx="7">
                  <c:v>HP15_1</c:v>
                </c:pt>
              </c:strCache>
            </c:strRef>
          </c:cat>
          <c:val>
            <c:numRef>
              <c:f>'Results 280525'!$G$64:$G$71</c:f>
              <c:numCache>
                <c:formatCode>0.00E+00</c:formatCode>
                <c:ptCount val="8"/>
                <c:pt idx="0">
                  <c:v>7.4066477535460142E-8</c:v>
                </c:pt>
                <c:pt idx="1">
                  <c:v>5.9935364161345652E-8</c:v>
                </c:pt>
                <c:pt idx="2">
                  <c:v>7.1947232999222818E-9</c:v>
                </c:pt>
                <c:pt idx="3">
                  <c:v>9.7559379777271478E-9</c:v>
                </c:pt>
                <c:pt idx="4">
                  <c:v>2.6032850400480636E-8</c:v>
                </c:pt>
                <c:pt idx="5">
                  <c:v>5.9008144378159966E-9</c:v>
                </c:pt>
                <c:pt idx="6">
                  <c:v>1.6029511061439294E-7</c:v>
                </c:pt>
                <c:pt idx="7">
                  <c:v>9.4526882991303836E-9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C-4E5A-8241-08A793EF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021280"/>
        <c:axId val="808016480"/>
      </c:barChart>
      <c:catAx>
        <c:axId val="8080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6480"/>
        <c:crossesAt val="1.0000000000000006E-10"/>
        <c:auto val="1"/>
        <c:lblAlgn val="ctr"/>
        <c:lblOffset val="100"/>
        <c:noMultiLvlLbl val="0"/>
      </c:catAx>
      <c:valAx>
        <c:axId val="808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nmoles</a:t>
                </a:r>
                <a:r>
                  <a:rPr lang="en-US" baseline="0"/>
                  <a:t> cell-1 hour 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74504806774298E-2"/>
              <c:y val="0.401192918462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21280"/>
        <c:crosses val="autoZero"/>
        <c:crossBetween val="between"/>
        <c:majorUnit val="5.0000000000000024E-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H2O2 detoxification</a:t>
            </a:r>
            <a:r>
              <a:rPr lang="en-US" baseline="0"/>
              <a:t> activity removing samples with problematic cell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280525'!$H$76:$H$83</c:f>
                <c:numCache>
                  <c:formatCode>General</c:formatCode>
                  <c:ptCount val="8"/>
                  <c:pt idx="0">
                    <c:v>1.573483763934111E-8</c:v>
                  </c:pt>
                  <c:pt idx="1">
                    <c:v>1.4557440219031812E-8</c:v>
                  </c:pt>
                  <c:pt idx="2">
                    <c:v>1.0850501180349473E-9</c:v>
                  </c:pt>
                  <c:pt idx="6">
                    <c:v>1.7414716749147881E-8</c:v>
                  </c:pt>
                  <c:pt idx="7">
                    <c:v>6.1673909822324345E-12</c:v>
                  </c:pt>
                </c:numCache>
              </c:numRef>
            </c:plus>
            <c:minus>
              <c:numRef>
                <c:f>'Results 280525'!$H$76:$H$83</c:f>
                <c:numCache>
                  <c:formatCode>General</c:formatCode>
                  <c:ptCount val="8"/>
                  <c:pt idx="0">
                    <c:v>1.573483763934111E-8</c:v>
                  </c:pt>
                  <c:pt idx="1">
                    <c:v>1.4557440219031812E-8</c:v>
                  </c:pt>
                  <c:pt idx="2">
                    <c:v>1.0850501180349473E-9</c:v>
                  </c:pt>
                  <c:pt idx="6">
                    <c:v>1.7414716749147881E-8</c:v>
                  </c:pt>
                  <c:pt idx="7">
                    <c:v>6.1673909822324345E-12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280525'!$B$76:$B$83</c:f>
              <c:strCache>
                <c:ptCount val="8"/>
                <c:pt idx="0">
                  <c:v>1A3_1</c:v>
                </c:pt>
                <c:pt idx="1">
                  <c:v>CIP_1</c:v>
                </c:pt>
                <c:pt idx="2">
                  <c:v>DSS-3_1</c:v>
                </c:pt>
                <c:pt idx="3">
                  <c:v>nitzch_1</c:v>
                </c:pt>
                <c:pt idx="4">
                  <c:v>HOT5_F3_1</c:v>
                </c:pt>
                <c:pt idx="5">
                  <c:v>HOT5_C3_1</c:v>
                </c:pt>
                <c:pt idx="6">
                  <c:v>Pgall_1</c:v>
                </c:pt>
                <c:pt idx="7">
                  <c:v>HP15_1</c:v>
                </c:pt>
              </c:strCache>
            </c:strRef>
          </c:cat>
          <c:val>
            <c:numRef>
              <c:f>'Results 280525'!$G$76:$G$83</c:f>
              <c:numCache>
                <c:formatCode>0.00E+00</c:formatCode>
                <c:ptCount val="8"/>
                <c:pt idx="0">
                  <c:v>7.4066477535460142E-8</c:v>
                </c:pt>
                <c:pt idx="1">
                  <c:v>5.9935364161345652E-8</c:v>
                </c:pt>
                <c:pt idx="2">
                  <c:v>7.1947232999222818E-9</c:v>
                </c:pt>
                <c:pt idx="3">
                  <c:v>1.0570441895019552E-8</c:v>
                </c:pt>
                <c:pt idx="4">
                  <c:v>2.8712170191350679E-8</c:v>
                </c:pt>
                <c:pt idx="5">
                  <c:v>8.2692462968740715E-9</c:v>
                </c:pt>
                <c:pt idx="6">
                  <c:v>1.6029511061439294E-7</c:v>
                </c:pt>
                <c:pt idx="7">
                  <c:v>9.4526882991303836E-9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B-496F-8D41-3E330FE3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021280"/>
        <c:axId val="808016480"/>
      </c:barChart>
      <c:catAx>
        <c:axId val="8080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6480"/>
        <c:crossesAt val="1.0000000000000006E-10"/>
        <c:auto val="1"/>
        <c:lblAlgn val="ctr"/>
        <c:lblOffset val="100"/>
        <c:noMultiLvlLbl val="0"/>
      </c:catAx>
      <c:valAx>
        <c:axId val="808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nmoles</a:t>
                </a:r>
                <a:r>
                  <a:rPr lang="en-US" baseline="0"/>
                  <a:t> cell-1 hour-1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21280"/>
        <c:crosses val="autoZero"/>
        <c:crossBetween val="between"/>
        <c:majorUnit val="5.0000000000000024E-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9"/>
              <c:spPr>
                <a:solidFill>
                  <a:srgbClr val="C00000"/>
                </a:solidFill>
                <a:ln w="9525">
                  <a:solidFill>
                    <a:srgbClr val="66003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66003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87-4D5A-A362-378863CACFDD}"/>
              </c:ext>
            </c:extLst>
          </c:dPt>
          <c:dPt>
            <c:idx val="1"/>
            <c:marker>
              <c:symbol val="circle"/>
              <c:size val="9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587-4D5A-A362-378863CACFDD}"/>
              </c:ext>
            </c:extLst>
          </c:dPt>
          <c:dPt>
            <c:idx val="2"/>
            <c:marker>
              <c:symbol val="circle"/>
              <c:size val="9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587-4D5A-A362-378863CACFDD}"/>
              </c:ext>
            </c:extLst>
          </c:dPt>
          <c:dPt>
            <c:idx val="3"/>
            <c:marker>
              <c:symbol val="circle"/>
              <c:size val="9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587-4D5A-A362-378863CACFDD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rgbClr val="92D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587-4D5A-A362-378863CACFDD}"/>
              </c:ext>
            </c:extLst>
          </c:dPt>
          <c:dPt>
            <c:idx val="5"/>
            <c:marker>
              <c:symbol val="circle"/>
              <c:size val="9"/>
              <c:spPr>
                <a:solidFill>
                  <a:srgbClr val="92D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587-4D5A-A362-378863CACFDD}"/>
              </c:ext>
            </c:extLst>
          </c:dPt>
          <c:xVal>
            <c:numRef>
              <c:f>'Results 280525'!$D$98:$D$105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'Results 280525'!$E$98:$E$105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0.06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2.5999999999999999E-2</c:v>
                </c:pt>
                <c:pt idx="5">
                  <c:v>6.0000000000000001E-3</c:v>
                </c:pt>
                <c:pt idx="6">
                  <c:v>0.16</c:v>
                </c:pt>
                <c:pt idx="7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7-4D5A-A362-378863CA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6559"/>
        <c:axId val="959807519"/>
      </c:scatterChart>
      <c:valAx>
        <c:axId val="9598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predicted</a:t>
                </a:r>
                <a:r>
                  <a:rPr lang="en-US" baseline="0"/>
                  <a:t> extracellular ROS-detoxifying enzymes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9807519"/>
        <c:crosses val="autoZero"/>
        <c:crossBetween val="midCat"/>
      </c:valAx>
      <c:valAx>
        <c:axId val="9598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H2O2 degradation, fmole cell-1 h-1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98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curve with 1.2uM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280525'!$R$7:$R$12</c:f>
              <c:numCache>
                <c:formatCode>General</c:formatCode>
                <c:ptCount val="6"/>
                <c:pt idx="0">
                  <c:v>0</c:v>
                </c:pt>
                <c:pt idx="1">
                  <c:v>166.73066666666671</c:v>
                </c:pt>
                <c:pt idx="2">
                  <c:v>333.46133333333341</c:v>
                </c:pt>
                <c:pt idx="3">
                  <c:v>500.19200000000018</c:v>
                </c:pt>
                <c:pt idx="4">
                  <c:v>666.92266666666683</c:v>
                </c:pt>
                <c:pt idx="5">
                  <c:v>1232.0000000000002</c:v>
                </c:pt>
              </c:numCache>
            </c:numRef>
          </c:xVal>
          <c:yVal>
            <c:numRef>
              <c:f>'Results 280525'!$T$7:$T$12</c:f>
              <c:numCache>
                <c:formatCode>General</c:formatCode>
                <c:ptCount val="6"/>
                <c:pt idx="0">
                  <c:v>0</c:v>
                </c:pt>
                <c:pt idx="1">
                  <c:v>7.5</c:v>
                </c:pt>
                <c:pt idx="2">
                  <c:v>14.4</c:v>
                </c:pt>
                <c:pt idx="3">
                  <c:v>20.5</c:v>
                </c:pt>
                <c:pt idx="4">
                  <c:v>26.1</c:v>
                </c:pt>
                <c:pt idx="5">
                  <c:v>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3-436F-89C0-4006EEF7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93376"/>
        <c:axId val="2022394816"/>
      </c:scatterChart>
      <c:valAx>
        <c:axId val="20223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H2O2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2394816"/>
        <c:crosses val="autoZero"/>
        <c:crossBetween val="midCat"/>
      </c:valAx>
      <c:valAx>
        <c:axId val="20223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23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curve up to 600nM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9153614332762945"/>
                  <c:y val="-5.0427943557714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'Results 280525'!$R$7:$R$11</c:f>
              <c:numCache>
                <c:formatCode>General</c:formatCode>
                <c:ptCount val="5"/>
                <c:pt idx="0">
                  <c:v>0</c:v>
                </c:pt>
                <c:pt idx="1">
                  <c:v>166.73066666666671</c:v>
                </c:pt>
                <c:pt idx="2">
                  <c:v>333.46133333333341</c:v>
                </c:pt>
                <c:pt idx="3">
                  <c:v>500.19200000000018</c:v>
                </c:pt>
                <c:pt idx="4">
                  <c:v>666.92266666666683</c:v>
                </c:pt>
              </c:numCache>
            </c:numRef>
          </c:xVal>
          <c:yVal>
            <c:numRef>
              <c:f>'Results 280525'!$T$7:$T$11</c:f>
              <c:numCache>
                <c:formatCode>General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14.4</c:v>
                </c:pt>
                <c:pt idx="3">
                  <c:v>20.5</c:v>
                </c:pt>
                <c:pt idx="4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3-42FF-ADBD-A584BCF9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93376"/>
        <c:axId val="2022394816"/>
      </c:scatterChart>
      <c:valAx>
        <c:axId val="20223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H2O2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2394816"/>
        <c:crosses val="autoZero"/>
        <c:crossBetween val="midCat"/>
      </c:valAx>
      <c:valAx>
        <c:axId val="20223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23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Sustained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'Results 280525'!$B$29</c:f>
              <c:strCache>
                <c:ptCount val="1"/>
                <c:pt idx="0">
                  <c:v>DSS-3_1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280525'!$C$29:$F$29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180.69306930693071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0C-4D1E-A329-2D42DB2F5229}"/>
            </c:ext>
          </c:extLst>
        </c:ser>
        <c:ser>
          <c:idx val="2"/>
          <c:order val="1"/>
          <c:tx>
            <c:strRef>
              <c:f>'Results 280525'!$B$39</c:f>
              <c:strCache>
                <c:ptCount val="1"/>
                <c:pt idx="0">
                  <c:v>DSS-3_2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280525'!$C$39:$F$39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160.8910891089109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0C-4D1E-A329-2D42DB2F5229}"/>
            </c:ext>
          </c:extLst>
        </c:ser>
        <c:ser>
          <c:idx val="0"/>
          <c:order val="2"/>
          <c:tx>
            <c:strRef>
              <c:f>'Results 280525'!$B$30</c:f>
              <c:strCache>
                <c:ptCount val="1"/>
                <c:pt idx="0">
                  <c:v>nitzch_1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280525'!$C$30:$F$30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457.92079207920796</c:v>
                </c:pt>
                <c:pt idx="2">
                  <c:v>351.48514851485146</c:v>
                </c:pt>
                <c:pt idx="3">
                  <c:v>247.52475247524754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0C-4D1E-A329-2D42DB2F5229}"/>
            </c:ext>
          </c:extLst>
        </c:ser>
        <c:ser>
          <c:idx val="3"/>
          <c:order val="3"/>
          <c:tx>
            <c:strRef>
              <c:f>'Results 280525'!$B$40</c:f>
              <c:strCache>
                <c:ptCount val="1"/>
                <c:pt idx="0">
                  <c:v>nitzch_2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176920312346849"/>
                  <c:y val="-0.23837284963335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09008832402173"/>
                  <c:y val="-0.11449272183595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280525'!$C$40:$F$40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418.31683168316829</c:v>
                </c:pt>
                <c:pt idx="2">
                  <c:v>341.58415841584161</c:v>
                </c:pt>
                <c:pt idx="3">
                  <c:v>277.22772277227722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0C-4D1E-A329-2D42DB2F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0720"/>
        <c:axId val="808011200"/>
      </c:scatterChart>
      <c:valAx>
        <c:axId val="808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1200"/>
        <c:crosses val="autoZero"/>
        <c:crossBetween val="midCat"/>
      </c:valAx>
      <c:valAx>
        <c:axId val="808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[H2O2]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'Results 280525'!$B$33</c:f>
              <c:strCache>
                <c:ptCount val="1"/>
                <c:pt idx="0">
                  <c:v>1A3_1</c:v>
                </c:pt>
              </c:strCache>
            </c:strRef>
          </c:tx>
          <c:spPr>
            <a:ln w="19050" cap="rnd">
              <a:solidFill>
                <a:srgbClr val="6600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'Results 280525'!$C$28:$E$28</c:f>
              <c:numCache>
                <c:formatCode>0.00</c:formatCode>
                <c:ptCount val="3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</c:numCache>
            </c:numRef>
          </c:xVal>
          <c:yVal>
            <c:numRef>
              <c:f>'Results 280525'!$C$33:$E$33</c:f>
              <c:numCache>
                <c:formatCode>General</c:formatCode>
                <c:ptCount val="3"/>
                <c:pt idx="0">
                  <c:v>445.13201320132015</c:v>
                </c:pt>
                <c:pt idx="1">
                  <c:v>349.00990099009903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2-4F2C-9CD8-3D6B114AC789}"/>
            </c:ext>
          </c:extLst>
        </c:ser>
        <c:ser>
          <c:idx val="2"/>
          <c:order val="1"/>
          <c:tx>
            <c:strRef>
              <c:f>'Results 280525'!$B$43</c:f>
              <c:strCache>
                <c:ptCount val="1"/>
                <c:pt idx="0">
                  <c:v>1A3_2</c:v>
                </c:pt>
              </c:strCache>
            </c:strRef>
          </c:tx>
          <c:spPr>
            <a:ln w="19050" cap="rnd">
              <a:solidFill>
                <a:srgbClr val="66003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6003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'Results 280525'!$C$28:$E$28</c:f>
              <c:numCache>
                <c:formatCode>0.00</c:formatCode>
                <c:ptCount val="3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</c:numCache>
            </c:numRef>
          </c:xVal>
          <c:yVal>
            <c:numRef>
              <c:f>'Results 280525'!$C$43:$E$43</c:f>
              <c:numCache>
                <c:formatCode>General</c:formatCode>
                <c:ptCount val="3"/>
                <c:pt idx="0">
                  <c:v>445.13201320132015</c:v>
                </c:pt>
                <c:pt idx="1">
                  <c:v>316.83168316831689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2-4F2C-9CD8-3D6B114AC789}"/>
            </c:ext>
          </c:extLst>
        </c:ser>
        <c:ser>
          <c:idx val="0"/>
          <c:order val="2"/>
          <c:tx>
            <c:strRef>
              <c:f>'Results 280525'!$B$36</c:f>
              <c:strCache>
                <c:ptCount val="1"/>
                <c:pt idx="0">
                  <c:v>CIP_1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280525'!$C$36:$F$36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0</c:v>
                </c:pt>
                <c:pt idx="2">
                  <c:v>136.13861386138615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62-4F2C-9CD8-3D6B114AC789}"/>
            </c:ext>
          </c:extLst>
        </c:ser>
        <c:ser>
          <c:idx val="3"/>
          <c:order val="3"/>
          <c:tx>
            <c:strRef>
              <c:f>'Results 280525'!$B$46</c:f>
              <c:strCache>
                <c:ptCount val="1"/>
                <c:pt idx="0">
                  <c:v>CIP_2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280525'!$C$46:$F$46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306.93069306930693</c:v>
                </c:pt>
                <c:pt idx="2">
                  <c:v>136.13861386138615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62-4F2C-9CD8-3D6B114AC789}"/>
            </c:ext>
          </c:extLst>
        </c:ser>
        <c:ser>
          <c:idx val="4"/>
          <c:order val="4"/>
          <c:tx>
            <c:strRef>
              <c:f>'Results 280525'!$B$48</c:f>
              <c:strCache>
                <c:ptCount val="1"/>
                <c:pt idx="0">
                  <c:v>SW1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280525'!$C$48:$F$48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445.54455445544556</c:v>
                </c:pt>
                <c:pt idx="2">
                  <c:v>452.97029702970303</c:v>
                </c:pt>
                <c:pt idx="3">
                  <c:v>448.01980198019805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62-4F2C-9CD8-3D6B114AC789}"/>
            </c:ext>
          </c:extLst>
        </c:ser>
        <c:ser>
          <c:idx val="5"/>
          <c:order val="5"/>
          <c:tx>
            <c:strRef>
              <c:f>'Results 280525'!$B$49</c:f>
              <c:strCache>
                <c:ptCount val="1"/>
                <c:pt idx="0">
                  <c:v>SW2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280525'!$C$49:$F$49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455.44554455445541</c:v>
                </c:pt>
                <c:pt idx="2">
                  <c:v>423.26732673267333</c:v>
                </c:pt>
                <c:pt idx="3">
                  <c:v>445.54455445544556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62-4F2C-9CD8-3D6B114A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0720"/>
        <c:axId val="808011200"/>
      </c:scatterChart>
      <c:valAx>
        <c:axId val="808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1200"/>
        <c:crosses val="autoZero"/>
        <c:crossBetween val="midCat"/>
      </c:valAx>
      <c:valAx>
        <c:axId val="808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[H2O2]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916563061196297E-2"/>
              <c:y val="0.36066445641663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5452164346E-2"/>
          <c:y val="0.88020778652668419"/>
          <c:w val="0.89999991301503801"/>
          <c:h val="7.7909132549567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'Results 280525'!$B$32</c:f>
              <c:strCache>
                <c:ptCount val="1"/>
                <c:pt idx="0">
                  <c:v>HOT5_F3_1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280525'!$C$32:$F$32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452.97029702970303</c:v>
                </c:pt>
                <c:pt idx="2">
                  <c:v>403.46534653465352</c:v>
                </c:pt>
                <c:pt idx="3">
                  <c:v>341.58415841584161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3-468F-A5A8-975852CCED9D}"/>
            </c:ext>
          </c:extLst>
        </c:ser>
        <c:ser>
          <c:idx val="2"/>
          <c:order val="1"/>
          <c:tx>
            <c:strRef>
              <c:f>'Results 280525'!$B$42</c:f>
              <c:strCache>
                <c:ptCount val="1"/>
                <c:pt idx="0">
                  <c:v>HOT5_F3_2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280525'!$C$42:$F$42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415.84158415841586</c:v>
                </c:pt>
                <c:pt idx="2">
                  <c:v>378.71287128712873</c:v>
                </c:pt>
                <c:pt idx="3">
                  <c:v>363.86138613861385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3-468F-A5A8-975852CCED9D}"/>
            </c:ext>
          </c:extLst>
        </c:ser>
        <c:ser>
          <c:idx val="0"/>
          <c:order val="2"/>
          <c:tx>
            <c:strRef>
              <c:f>'Results 280525'!$B$35</c:f>
              <c:strCache>
                <c:ptCount val="1"/>
                <c:pt idx="0">
                  <c:v>HOT5_C3_1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280525'!$C$35:$F$35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3-468F-A5A8-975852CCED9D}"/>
            </c:ext>
          </c:extLst>
        </c:ser>
        <c:ser>
          <c:idx val="3"/>
          <c:order val="3"/>
          <c:tx>
            <c:strRef>
              <c:f>'Results 280525'!$B$45</c:f>
              <c:strCache>
                <c:ptCount val="1"/>
                <c:pt idx="0">
                  <c:v>HOT5_C3_2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436303264105409"/>
                  <c:y val="-0.26742526975794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015721608624426"/>
                  <c:y val="-0.15400298920968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280525'!$C$45:$F$45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405.9405940594059</c:v>
                </c:pt>
                <c:pt idx="2">
                  <c:v>277.22772277227722</c:v>
                </c:pt>
                <c:pt idx="3">
                  <c:v>195.54455445544556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B3-468F-A5A8-975852CC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0720"/>
        <c:axId val="808011200"/>
      </c:scatterChart>
      <c:valAx>
        <c:axId val="808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1200"/>
        <c:crosses val="autoZero"/>
        <c:crossBetween val="midCat"/>
      </c:valAx>
      <c:valAx>
        <c:axId val="808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[H2O2]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Inhibitory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'Results 280525'!$B$31</c:f>
              <c:strCache>
                <c:ptCount val="1"/>
                <c:pt idx="0">
                  <c:v>HP15_1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280525'!$C$31:$F$31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467.8217821782178</c:v>
                </c:pt>
                <c:pt idx="2">
                  <c:v>334.15841584158414</c:v>
                </c:pt>
                <c:pt idx="3">
                  <c:v>227.7227722772277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6-4A23-B126-8C8602C9020F}"/>
            </c:ext>
          </c:extLst>
        </c:ser>
        <c:ser>
          <c:idx val="2"/>
          <c:order val="1"/>
          <c:tx>
            <c:strRef>
              <c:f>'Results 280525'!$B$41</c:f>
              <c:strCache>
                <c:ptCount val="1"/>
                <c:pt idx="0">
                  <c:v>HP15_2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404581647510668"/>
                  <c:y val="-0.28848779636617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21188145705614"/>
                  <c:y val="-0.15819392035829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280525'!$C$41:$F$41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430.69306930693068</c:v>
                </c:pt>
                <c:pt idx="2">
                  <c:v>309.40594059405942</c:v>
                </c:pt>
                <c:pt idx="3">
                  <c:v>205.44554455445547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6-4A23-B126-8C8602C9020F}"/>
            </c:ext>
          </c:extLst>
        </c:ser>
        <c:ser>
          <c:idx val="0"/>
          <c:order val="2"/>
          <c:tx>
            <c:strRef>
              <c:f>'Results 280525'!$B$34</c:f>
              <c:strCache>
                <c:ptCount val="1"/>
                <c:pt idx="0">
                  <c:v>Pgall_1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280525'!$C$34:$F$34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267.32673267326737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6-4A23-B126-8C8602C9020F}"/>
            </c:ext>
          </c:extLst>
        </c:ser>
        <c:ser>
          <c:idx val="3"/>
          <c:order val="3"/>
          <c:tx>
            <c:strRef>
              <c:f>'Results 280525'!$B$44</c:f>
              <c:strCache>
                <c:ptCount val="1"/>
                <c:pt idx="0">
                  <c:v>Pgall_2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280525'!$C$28:$F$28</c:f>
              <c:numCache>
                <c:formatCode>0.00</c:formatCode>
                <c:ptCount val="4"/>
                <c:pt idx="0">
                  <c:v>0</c:v>
                </c:pt>
                <c:pt idx="1">
                  <c:v>0.96666666666666723</c:v>
                </c:pt>
                <c:pt idx="2">
                  <c:v>1.7166666666666672</c:v>
                </c:pt>
                <c:pt idx="3">
                  <c:v>2.4166666666666661</c:v>
                </c:pt>
              </c:numCache>
            </c:numRef>
          </c:xVal>
          <c:yVal>
            <c:numRef>
              <c:f>'Results 280525'!$C$44:$F$44</c:f>
              <c:numCache>
                <c:formatCode>General</c:formatCode>
                <c:ptCount val="4"/>
                <c:pt idx="0">
                  <c:v>445.13201320132015</c:v>
                </c:pt>
                <c:pt idx="1">
                  <c:v>235.14851485148515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6-4A23-B126-8C8602C9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0720"/>
        <c:axId val="808011200"/>
      </c:scatterChart>
      <c:valAx>
        <c:axId val="8080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1200"/>
        <c:crosses val="autoZero"/>
        <c:crossBetween val="midCat"/>
      </c:valAx>
      <c:valAx>
        <c:axId val="808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[H2O2]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280525'!$B$53:$B$60</c:f>
              <c:strCache>
                <c:ptCount val="8"/>
                <c:pt idx="0">
                  <c:v>1A3_1</c:v>
                </c:pt>
                <c:pt idx="1">
                  <c:v>CIP_1</c:v>
                </c:pt>
                <c:pt idx="2">
                  <c:v>DSS-3_1</c:v>
                </c:pt>
                <c:pt idx="3">
                  <c:v>nitzch_1</c:v>
                </c:pt>
                <c:pt idx="4">
                  <c:v>HOT5_F3_1</c:v>
                </c:pt>
                <c:pt idx="5">
                  <c:v>HOT5_C3_1</c:v>
                </c:pt>
                <c:pt idx="6">
                  <c:v>Pgall_1</c:v>
                </c:pt>
                <c:pt idx="7">
                  <c:v>HP15_1</c:v>
                </c:pt>
              </c:strCache>
            </c:strRef>
          </c:cat>
          <c:val>
            <c:numRef>
              <c:f>'Results 280525'!$G$53:$G$60</c:f>
              <c:numCache>
                <c:formatCode>0.00E+00</c:formatCode>
                <c:ptCount val="8"/>
                <c:pt idx="0">
                  <c:v>7.4066477535460142E-8</c:v>
                </c:pt>
                <c:pt idx="1">
                  <c:v>5.9935364161345652E-8</c:v>
                </c:pt>
                <c:pt idx="2">
                  <c:v>7.1947232999222818E-9</c:v>
                </c:pt>
                <c:pt idx="3">
                  <c:v>3.0691654261545938E-7</c:v>
                </c:pt>
                <c:pt idx="4">
                  <c:v>4.158366384614666E-7</c:v>
                </c:pt>
                <c:pt idx="5">
                  <c:v>8.7507928555854471E-9</c:v>
                </c:pt>
                <c:pt idx="6">
                  <c:v>1.6029511061439294E-7</c:v>
                </c:pt>
                <c:pt idx="7">
                  <c:v>9.4526882991303836E-9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5-4AF1-BF02-E82EB0B55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021280"/>
        <c:axId val="808016480"/>
      </c:barChart>
      <c:catAx>
        <c:axId val="8080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16480"/>
        <c:crosses val="autoZero"/>
        <c:auto val="1"/>
        <c:lblAlgn val="ctr"/>
        <c:lblOffset val="100"/>
        <c:noMultiLvlLbl val="0"/>
      </c:catAx>
      <c:valAx>
        <c:axId val="808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280525'!$E$53:$E$60</c:f>
              <c:numCache>
                <c:formatCode>0.00E+00</c:formatCode>
                <c:ptCount val="8"/>
                <c:pt idx="0">
                  <c:v>8.5192687931107575E-8</c:v>
                </c:pt>
                <c:pt idx="1">
                  <c:v>7.0229028856940819E-8</c:v>
                </c:pt>
                <c:pt idx="2">
                  <c:v>6.4274770035325072E-9</c:v>
                </c:pt>
                <c:pt idx="3">
                  <c:v>1.0570441895019552E-8</c:v>
                </c:pt>
                <c:pt idx="4">
                  <c:v>2.8712170191350679E-8</c:v>
                </c:pt>
                <c:pt idx="5">
                  <c:v>9.2323394142968228E-9</c:v>
                </c:pt>
                <c:pt idx="6">
                  <c:v>1.4798104630862753E-7</c:v>
                </c:pt>
                <c:pt idx="7">
                  <c:v>9.4483272951446183E-9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7-4FC7-9C21-CD0AAE9EE0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280525'!$F$53:$F$60</c:f>
              <c:numCache>
                <c:formatCode>0.00E+00</c:formatCode>
                <c:ptCount val="8"/>
                <c:pt idx="0">
                  <c:v>6.2940267139812723E-8</c:v>
                </c:pt>
                <c:pt idx="1">
                  <c:v>4.9641699465750472E-8</c:v>
                </c:pt>
                <c:pt idx="2">
                  <c:v>7.9619695963120573E-9</c:v>
                </c:pt>
                <c:pt idx="3">
                  <c:v>6.032626433358992E-7</c:v>
                </c:pt>
                <c:pt idx="4">
                  <c:v>8.0296110673158249E-7</c:v>
                </c:pt>
                <c:pt idx="5">
                  <c:v>8.2692462968740715E-9</c:v>
                </c:pt>
                <c:pt idx="6">
                  <c:v>1.7260917492015836E-7</c:v>
                </c:pt>
                <c:pt idx="7">
                  <c:v>9.4570493031161489E-9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7-4FC7-9C21-CD0AAE9E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038208"/>
        <c:axId val="808036768"/>
      </c:barChart>
      <c:catAx>
        <c:axId val="80803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36768"/>
        <c:crosses val="autoZero"/>
        <c:auto val="1"/>
        <c:lblAlgn val="ctr"/>
        <c:lblOffset val="100"/>
        <c:noMultiLvlLbl val="0"/>
      </c:catAx>
      <c:valAx>
        <c:axId val="8080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08038208"/>
        <c:crosses val="autoZero"/>
        <c:crossBetween val="between"/>
        <c:minorUnit val="2.000000000000001E-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23</xdr:row>
      <xdr:rowOff>152400</xdr:rowOff>
    </xdr:from>
    <xdr:to>
      <xdr:col>8</xdr:col>
      <xdr:colOff>38100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5E9DD-2374-4BF5-80D0-ABF927E4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198120</xdr:colOff>
      <xdr:row>0</xdr:row>
      <xdr:rowOff>49530</xdr:rowOff>
    </xdr:from>
    <xdr:to>
      <xdr:col>29</xdr:col>
      <xdr:colOff>525780</xdr:colOff>
      <xdr:row>15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AA1F0-CAF6-1353-D00E-A61D4C378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16</xdr:row>
      <xdr:rowOff>74295</xdr:rowOff>
    </xdr:from>
    <xdr:to>
      <xdr:col>29</xdr:col>
      <xdr:colOff>447675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D3B5F-A0C9-47F6-B365-3C452756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971550</xdr:colOff>
      <xdr:row>47</xdr:row>
      <xdr:rowOff>156210</xdr:rowOff>
    </xdr:from>
    <xdr:to>
      <xdr:col>20</xdr:col>
      <xdr:colOff>438150</xdr:colOff>
      <xdr:row>63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013DB-BD3C-47B3-6578-7BC4C9D61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977265</xdr:colOff>
      <xdr:row>33</xdr:row>
      <xdr:rowOff>20955</xdr:rowOff>
    </xdr:from>
    <xdr:to>
      <xdr:col>20</xdr:col>
      <xdr:colOff>449580</xdr:colOff>
      <xdr:row>47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E99593-F543-4870-BA81-B2DB59C8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544830</xdr:colOff>
      <xdr:row>32</xdr:row>
      <xdr:rowOff>173182</xdr:rowOff>
    </xdr:from>
    <xdr:to>
      <xdr:col>28</xdr:col>
      <xdr:colOff>9525</xdr:colOff>
      <xdr:row>47</xdr:row>
      <xdr:rowOff>58882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AAFED6-E819-485A-A8CC-DE42EEBF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489585</xdr:colOff>
      <xdr:row>47</xdr:row>
      <xdr:rowOff>104775</xdr:rowOff>
    </xdr:from>
    <xdr:to>
      <xdr:col>28</xdr:col>
      <xdr:colOff>161925</xdr:colOff>
      <xdr:row>62</xdr:row>
      <xdr:rowOff>188595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956856-4CC0-4222-8734-5DF476B1D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411652</xdr:colOff>
      <xdr:row>84</xdr:row>
      <xdr:rowOff>144434</xdr:rowOff>
    </xdr:from>
    <xdr:to>
      <xdr:col>16</xdr:col>
      <xdr:colOff>99925</xdr:colOff>
      <xdr:row>99</xdr:row>
      <xdr:rowOff>38793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50A857-269F-33F3-7F19-F500664E1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236394</xdr:colOff>
      <xdr:row>85</xdr:row>
      <xdr:rowOff>104950</xdr:rowOff>
    </xdr:from>
    <xdr:to>
      <xdr:col>15</xdr:col>
      <xdr:colOff>1032164</xdr:colOff>
      <xdr:row>99</xdr:row>
      <xdr:rowOff>181149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B1EB73-5F84-8BFA-2070-DE293A7BB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41910</xdr:colOff>
      <xdr:row>82</xdr:row>
      <xdr:rowOff>156210</xdr:rowOff>
    </xdr:from>
    <xdr:to>
      <xdr:col>20</xdr:col>
      <xdr:colOff>575310</xdr:colOff>
      <xdr:row>97</xdr:row>
      <xdr:rowOff>34290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1838C0-5A4F-4DE5-86BC-AAD34B582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68</xdr:row>
      <xdr:rowOff>20955</xdr:rowOff>
    </xdr:from>
    <xdr:to>
      <xdr:col>20</xdr:col>
      <xdr:colOff>539115</xdr:colOff>
      <xdr:row>82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D612BF8-91D8-4320-B7F2-05FC16A73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681990</xdr:colOff>
      <xdr:row>68</xdr:row>
      <xdr:rowOff>0</xdr:rowOff>
    </xdr:from>
    <xdr:to>
      <xdr:col>28</xdr:col>
      <xdr:colOff>146685</xdr:colOff>
      <xdr:row>82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368C8C8-B50C-4373-B164-2EFF32455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626745</xdr:colOff>
      <xdr:row>82</xdr:row>
      <xdr:rowOff>104775</xdr:rowOff>
    </xdr:from>
    <xdr:to>
      <xdr:col>28</xdr:col>
      <xdr:colOff>299085</xdr:colOff>
      <xdr:row>96</xdr:row>
      <xdr:rowOff>188595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26159F-9712-43B3-88A2-1ECF62E52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684068</xdr:colOff>
      <xdr:row>90</xdr:row>
      <xdr:rowOff>51955</xdr:rowOff>
    </xdr:from>
    <xdr:to>
      <xdr:col>14</xdr:col>
      <xdr:colOff>538769</xdr:colOff>
      <xdr:row>104</xdr:row>
      <xdr:rowOff>128155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BBAA001-966A-4397-A64E-19C8BC93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138546</xdr:colOff>
      <xdr:row>87</xdr:row>
      <xdr:rowOff>121228</xdr:rowOff>
    </xdr:from>
    <xdr:to>
      <xdr:col>10</xdr:col>
      <xdr:colOff>125037</xdr:colOff>
      <xdr:row>102</xdr:row>
      <xdr:rowOff>32905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70885E-3594-4346-87AC-F05088B14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192925</xdr:colOff>
      <xdr:row>103</xdr:row>
      <xdr:rowOff>32213</xdr:rowOff>
    </xdr:from>
    <xdr:to>
      <xdr:col>10</xdr:col>
      <xdr:colOff>61133</xdr:colOff>
      <xdr:row>118</xdr:row>
      <xdr:rowOff>38101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B9D0A8-A597-5C76-A36D-1E4E6642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sher\AppData\Local\Microsoft\Windows\INetCache\Content.Outlook\60TRSCV8\Hets_FCM_27052025%20(002).xlsx" TargetMode="External"/><Relationship Id="rId1" Type="http://schemas.openxmlformats.org/officeDocument/2006/relationships/externalLinkPath" Target="file:///C:\Users\dsher\AppData\Local\Microsoft\Windows\INetCache\Content.Outlook\60TRSCV8\Hets_FCM_27052025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fter exp"/>
    </sheetNames>
    <sheetDataSet>
      <sheetData sheetId="0">
        <row r="14">
          <cell r="B14" t="str">
            <v>cytoflex</v>
          </cell>
          <cell r="C14" t="str">
            <v>our setup</v>
          </cell>
          <cell r="D14" t="str">
            <v>TLK setup</v>
          </cell>
        </row>
        <row r="15">
          <cell r="A15" t="str">
            <v>DSS-3</v>
          </cell>
          <cell r="B15">
            <v>195600000</v>
          </cell>
          <cell r="C15">
            <v>3418640000</v>
          </cell>
          <cell r="D15">
            <v>3402620000</v>
          </cell>
        </row>
        <row r="16">
          <cell r="A16" t="str">
            <v>nitzch</v>
          </cell>
          <cell r="B16">
            <v>769720000</v>
          </cell>
          <cell r="C16">
            <v>3498620000</v>
          </cell>
          <cell r="D16">
            <v>3480820000</v>
          </cell>
        </row>
        <row r="17">
          <cell r="A17" t="str">
            <v>HP15</v>
          </cell>
          <cell r="B17">
            <v>402480000</v>
          </cell>
          <cell r="C17">
            <v>2163600000</v>
          </cell>
          <cell r="D17">
            <v>2161080000</v>
          </cell>
        </row>
        <row r="18">
          <cell r="A18" t="str">
            <v>HOT5_F3</v>
          </cell>
          <cell r="B18">
            <v>1543940000</v>
          </cell>
          <cell r="C18">
            <v>1602560000</v>
          </cell>
          <cell r="D18">
            <v>1588260000</v>
          </cell>
        </row>
        <row r="19">
          <cell r="A19" t="str">
            <v>1A3</v>
          </cell>
          <cell r="B19">
            <v>789220000</v>
          </cell>
          <cell r="C19">
            <v>695620000</v>
          </cell>
          <cell r="D19">
            <v>697260000</v>
          </cell>
        </row>
        <row r="20">
          <cell r="A20" t="str">
            <v>Pgall</v>
          </cell>
          <cell r="B20">
            <v>179020000</v>
          </cell>
          <cell r="C20">
            <v>276140000</v>
          </cell>
          <cell r="D20">
            <v>263420000</v>
          </cell>
        </row>
        <row r="21">
          <cell r="A21" t="str">
            <v>HOT5_C3</v>
          </cell>
          <cell r="B21">
            <v>53020000</v>
          </cell>
          <cell r="C21">
            <v>2661000000</v>
          </cell>
          <cell r="D21">
            <v>2652560000</v>
          </cell>
        </row>
        <row r="22">
          <cell r="A22" t="str">
            <v>CIP</v>
          </cell>
          <cell r="B22">
            <v>195960000</v>
          </cell>
          <cell r="C22">
            <v>323980000</v>
          </cell>
          <cell r="D22">
            <v>321680000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8D55-5D08-4EF7-9B8C-C57B49DA045F}">
  <dimension ref="A1:I10"/>
  <sheetViews>
    <sheetView workbookViewId="0">
      <selection activeCell="I19" sqref="I19"/>
    </sheetView>
  </sheetViews>
  <sheetFormatPr defaultRowHeight="15" x14ac:dyDescent="0.25"/>
  <cols>
    <col min="5" max="5" width="16.5703125" customWidth="1"/>
    <col min="6" max="7" width="29.5703125" customWidth="1"/>
    <col min="8" max="8" width="29.28515625" customWidth="1"/>
    <col min="9" max="9" width="19.42578125" customWidth="1"/>
  </cols>
  <sheetData>
    <row r="1" spans="1:9" x14ac:dyDescent="0.25">
      <c r="I1" t="s">
        <v>38</v>
      </c>
    </row>
    <row r="2" spans="1:9" s="33" customFormat="1" ht="75" x14ac:dyDescent="0.25">
      <c r="A2" s="31" t="s">
        <v>0</v>
      </c>
      <c r="B2" s="31" t="s">
        <v>3</v>
      </c>
      <c r="C2" s="31" t="s">
        <v>4</v>
      </c>
      <c r="D2" s="31" t="s">
        <v>5</v>
      </c>
      <c r="E2" s="31" t="s">
        <v>1</v>
      </c>
      <c r="F2" s="32" t="s">
        <v>21</v>
      </c>
      <c r="G2" s="32" t="s">
        <v>190</v>
      </c>
      <c r="H2" s="32" t="s">
        <v>191</v>
      </c>
      <c r="I2" s="32" t="s">
        <v>189</v>
      </c>
    </row>
    <row r="3" spans="1:9" x14ac:dyDescent="0.25">
      <c r="A3" s="2" t="s">
        <v>2</v>
      </c>
      <c r="B3" s="2">
        <v>4691</v>
      </c>
      <c r="C3" s="2">
        <v>5089</v>
      </c>
      <c r="D3" s="2">
        <f>AVERAGE(B3:C3)</f>
        <v>4890</v>
      </c>
      <c r="E3" s="3">
        <f>D3*200/0.005</f>
        <v>195600000</v>
      </c>
      <c r="F3" s="5">
        <f>20*1000000000/E3</f>
        <v>102.24948875255623</v>
      </c>
      <c r="G3" s="5">
        <f>20*10000000000/E3</f>
        <v>1022.4948875255624</v>
      </c>
      <c r="H3" s="4">
        <f>'Reanalyzed FCM'!F3</f>
        <v>3418640000</v>
      </c>
      <c r="I3" s="4">
        <f>G3*H3/20000</f>
        <v>174777096.11451945</v>
      </c>
    </row>
    <row r="4" spans="1:9" x14ac:dyDescent="0.25">
      <c r="A4" s="2" t="s">
        <v>6</v>
      </c>
      <c r="B4" s="2">
        <v>18953</v>
      </c>
      <c r="C4" s="2">
        <v>19533</v>
      </c>
      <c r="D4" s="2">
        <f>AVERAGE(B4:C4)</f>
        <v>19243</v>
      </c>
      <c r="E4" s="3">
        <f t="shared" ref="E4:E10" si="0">D4*200/0.005</f>
        <v>769720000</v>
      </c>
      <c r="F4" s="5">
        <f t="shared" ref="F4:F10" si="1">20*1000000000/E4</f>
        <v>25.983474510211504</v>
      </c>
      <c r="G4" s="5">
        <f t="shared" ref="G4:G10" si="2">20*10000000000/E4</f>
        <v>259.83474510211505</v>
      </c>
      <c r="H4" s="4">
        <f>'Reanalyzed FCM'!F4</f>
        <v>3498620000</v>
      </c>
      <c r="I4" s="4">
        <f t="shared" ref="I4:I10" si="3">G4*H4/20000</f>
        <v>45453151.795458086</v>
      </c>
    </row>
    <row r="5" spans="1:9" x14ac:dyDescent="0.25">
      <c r="A5" s="2" t="s">
        <v>7</v>
      </c>
      <c r="B5" s="2">
        <v>10053</v>
      </c>
      <c r="C5" s="2">
        <v>10071</v>
      </c>
      <c r="D5" s="2">
        <f t="shared" ref="D5:D10" si="4">AVERAGE(B5:C5)</f>
        <v>10062</v>
      </c>
      <c r="E5" s="3">
        <f t="shared" si="0"/>
        <v>402480000</v>
      </c>
      <c r="F5" s="5">
        <f t="shared" si="1"/>
        <v>49.691910157026435</v>
      </c>
      <c r="G5" s="5">
        <f t="shared" si="2"/>
        <v>496.91910157026439</v>
      </c>
      <c r="H5" s="4">
        <f>'Reanalyzed FCM'!F5</f>
        <v>2163600000</v>
      </c>
      <c r="I5" s="4">
        <f t="shared" si="3"/>
        <v>53756708.407871202</v>
      </c>
    </row>
    <row r="6" spans="1:9" x14ac:dyDescent="0.25">
      <c r="A6" s="2" t="s">
        <v>8</v>
      </c>
      <c r="B6" s="2">
        <v>38206</v>
      </c>
      <c r="C6" s="2">
        <v>38991</v>
      </c>
      <c r="D6" s="2">
        <f t="shared" si="4"/>
        <v>38598.5</v>
      </c>
      <c r="E6" s="3">
        <f t="shared" si="0"/>
        <v>1543940000</v>
      </c>
      <c r="F6" s="5">
        <f t="shared" si="1"/>
        <v>12.953871264427374</v>
      </c>
      <c r="G6" s="5">
        <f t="shared" si="2"/>
        <v>129.53871264427374</v>
      </c>
      <c r="H6" s="4">
        <f>'Reanalyzed FCM'!F6</f>
        <v>1602560000</v>
      </c>
      <c r="I6" s="4">
        <f t="shared" si="3"/>
        <v>10379677.966760367</v>
      </c>
    </row>
    <row r="7" spans="1:9" x14ac:dyDescent="0.25">
      <c r="A7" s="2" t="s">
        <v>9</v>
      </c>
      <c r="B7" s="2">
        <v>19329</v>
      </c>
      <c r="C7" s="2">
        <v>20132</v>
      </c>
      <c r="D7" s="2">
        <f t="shared" si="4"/>
        <v>19730.5</v>
      </c>
      <c r="E7" s="3">
        <f t="shared" si="0"/>
        <v>789220000</v>
      </c>
      <c r="F7" s="5">
        <f t="shared" si="1"/>
        <v>25.341476394414737</v>
      </c>
      <c r="G7" s="5">
        <f t="shared" si="2"/>
        <v>253.41476394414738</v>
      </c>
      <c r="H7" s="4">
        <f>'Reanalyzed FCM'!F7</f>
        <v>695620000</v>
      </c>
      <c r="I7" s="4">
        <f t="shared" si="3"/>
        <v>8814018.9047413897</v>
      </c>
    </row>
    <row r="8" spans="1:9" x14ac:dyDescent="0.25">
      <c r="A8" s="2" t="s">
        <v>10</v>
      </c>
      <c r="B8" s="2">
        <v>4489</v>
      </c>
      <c r="C8" s="2">
        <v>4462</v>
      </c>
      <c r="D8" s="2">
        <f t="shared" si="4"/>
        <v>4475.5</v>
      </c>
      <c r="E8" s="3">
        <f t="shared" si="0"/>
        <v>179020000</v>
      </c>
      <c r="F8" s="5">
        <f t="shared" si="1"/>
        <v>111.71936096525528</v>
      </c>
      <c r="G8" s="5">
        <f t="shared" si="2"/>
        <v>1117.1936096525528</v>
      </c>
      <c r="H8" s="4">
        <f>'Reanalyzed FCM'!F8</f>
        <v>276140000</v>
      </c>
      <c r="I8" s="4">
        <f t="shared" si="3"/>
        <v>15425092.168472797</v>
      </c>
    </row>
    <row r="9" spans="1:9" x14ac:dyDescent="0.25">
      <c r="A9" s="2" t="s">
        <v>11</v>
      </c>
      <c r="B9" s="2">
        <v>1313</v>
      </c>
      <c r="C9" s="2">
        <v>1338</v>
      </c>
      <c r="D9" s="2">
        <f t="shared" si="4"/>
        <v>1325.5</v>
      </c>
      <c r="E9" s="3">
        <f t="shared" si="0"/>
        <v>53020000</v>
      </c>
      <c r="F9" s="5">
        <f t="shared" si="1"/>
        <v>377.21614485099963</v>
      </c>
      <c r="G9" s="5">
        <f t="shared" si="2"/>
        <v>3772.1614485099963</v>
      </c>
      <c r="H9" s="4">
        <f>'Reanalyzed FCM'!F9</f>
        <v>2661000000</v>
      </c>
      <c r="I9" s="4">
        <f t="shared" si="3"/>
        <v>501886080.72425497</v>
      </c>
    </row>
    <row r="10" spans="1:9" x14ac:dyDescent="0.25">
      <c r="A10" s="2" t="s">
        <v>12</v>
      </c>
      <c r="B10" s="2">
        <v>4848</v>
      </c>
      <c r="C10" s="2">
        <v>4950</v>
      </c>
      <c r="D10" s="2">
        <f t="shared" si="4"/>
        <v>4899</v>
      </c>
      <c r="E10" s="3">
        <f t="shared" si="0"/>
        <v>195960000</v>
      </c>
      <c r="F10" s="5">
        <f t="shared" si="1"/>
        <v>102.06164523372117</v>
      </c>
      <c r="G10" s="5">
        <f t="shared" si="2"/>
        <v>1020.6164523372116</v>
      </c>
      <c r="H10" s="4">
        <f>'Reanalyzed FCM'!F10</f>
        <v>323980000</v>
      </c>
      <c r="I10" s="4">
        <f t="shared" si="3"/>
        <v>16532965.911410492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F20-F6C0-4B44-964A-146456199940}">
  <dimension ref="A1:P41"/>
  <sheetViews>
    <sheetView workbookViewId="0">
      <selection activeCell="I40" sqref="I40"/>
    </sheetView>
  </sheetViews>
  <sheetFormatPr defaultRowHeight="15" x14ac:dyDescent="0.25"/>
  <cols>
    <col min="5" max="5" width="9.85546875" bestFit="1" customWidth="1"/>
    <col min="6" max="6" width="12.28515625" bestFit="1" customWidth="1"/>
    <col min="7" max="8" width="9.85546875" customWidth="1"/>
    <col min="11" max="11" width="14" bestFit="1" customWidth="1"/>
    <col min="12" max="12" width="9.85546875" bestFit="1" customWidth="1"/>
    <col min="13" max="13" width="10.85546875" bestFit="1" customWidth="1"/>
  </cols>
  <sheetData>
    <row r="1" spans="1:16" x14ac:dyDescent="0.25">
      <c r="E1" s="6" t="s">
        <v>39</v>
      </c>
      <c r="F1" s="6" t="s">
        <v>40</v>
      </c>
      <c r="G1" s="6" t="s">
        <v>41</v>
      </c>
      <c r="J1" t="s">
        <v>40</v>
      </c>
      <c r="K1" t="s">
        <v>42</v>
      </c>
      <c r="L1" t="s">
        <v>43</v>
      </c>
      <c r="M1" t="s">
        <v>44</v>
      </c>
      <c r="O1" t="s">
        <v>45</v>
      </c>
      <c r="P1" t="s">
        <v>67</v>
      </c>
    </row>
    <row r="2" spans="1:16" x14ac:dyDescent="0.25">
      <c r="A2" s="1" t="s">
        <v>0</v>
      </c>
      <c r="B2" s="1" t="s">
        <v>3</v>
      </c>
      <c r="C2" s="1" t="s">
        <v>4</v>
      </c>
      <c r="D2" s="1" t="s">
        <v>5</v>
      </c>
      <c r="E2" s="1" t="s">
        <v>1</v>
      </c>
      <c r="F2" s="1" t="s">
        <v>46</v>
      </c>
      <c r="G2" s="1" t="s">
        <v>46</v>
      </c>
      <c r="H2" s="7"/>
      <c r="J2" s="8" t="s">
        <v>47</v>
      </c>
      <c r="K2" s="2" t="s">
        <v>48</v>
      </c>
      <c r="L2" s="9">
        <v>109</v>
      </c>
      <c r="M2" s="3">
        <f>L2*200/0.005</f>
        <v>4360000</v>
      </c>
      <c r="O2" t="s">
        <v>49</v>
      </c>
    </row>
    <row r="3" spans="1:16" x14ac:dyDescent="0.25">
      <c r="A3" s="2" t="s">
        <v>2</v>
      </c>
      <c r="B3" s="2">
        <v>4691</v>
      </c>
      <c r="C3" s="2">
        <v>5089</v>
      </c>
      <c r="D3" s="2">
        <f>AVERAGE(B3:C3)</f>
        <v>4890</v>
      </c>
      <c r="E3" s="3">
        <f>D3*200/0.005</f>
        <v>195600000</v>
      </c>
      <c r="F3" s="3">
        <f>AVERAGE(M4:M5)</f>
        <v>3418640000</v>
      </c>
      <c r="G3" s="3">
        <f>AVERAGE(M26:M27)</f>
        <v>3402620000</v>
      </c>
      <c r="H3" s="4"/>
      <c r="J3" s="8" t="s">
        <v>47</v>
      </c>
      <c r="K3" s="2" t="s">
        <v>50</v>
      </c>
      <c r="L3" s="9">
        <v>195</v>
      </c>
      <c r="M3" s="3">
        <f t="shared" ref="M3:M19" si="0">L3*200/0.005</f>
        <v>7800000</v>
      </c>
    </row>
    <row r="4" spans="1:16" x14ac:dyDescent="0.25">
      <c r="A4" s="2" t="s">
        <v>6</v>
      </c>
      <c r="B4" s="2">
        <v>18953</v>
      </c>
      <c r="C4" s="2">
        <v>19533</v>
      </c>
      <c r="D4" s="2">
        <f>AVERAGE(B4:C4)</f>
        <v>19243</v>
      </c>
      <c r="E4" s="3">
        <f t="shared" ref="E4:E10" si="1">D4*200/0.005</f>
        <v>769720000</v>
      </c>
      <c r="F4" s="3">
        <f>AVERAGE(M6:M7)</f>
        <v>3498620000</v>
      </c>
      <c r="G4" s="3">
        <f>AVERAGE(M28:M29)</f>
        <v>3480820000</v>
      </c>
      <c r="H4" s="4"/>
      <c r="J4" s="2" t="s">
        <v>2</v>
      </c>
      <c r="K4" s="2" t="s">
        <v>51</v>
      </c>
      <c r="L4" s="9">
        <v>88601</v>
      </c>
      <c r="M4" s="3">
        <f>L4*200/0.005</f>
        <v>3544040000</v>
      </c>
    </row>
    <row r="5" spans="1:16" x14ac:dyDescent="0.25">
      <c r="A5" s="2" t="s">
        <v>7</v>
      </c>
      <c r="B5" s="2">
        <v>10053</v>
      </c>
      <c r="C5" s="2">
        <v>10071</v>
      </c>
      <c r="D5" s="2">
        <f t="shared" ref="D5:D10" si="2">AVERAGE(B5:C5)</f>
        <v>10062</v>
      </c>
      <c r="E5" s="3">
        <f t="shared" si="1"/>
        <v>402480000</v>
      </c>
      <c r="F5" s="3">
        <f>AVERAGE(M8:M9)</f>
        <v>2163600000</v>
      </c>
      <c r="G5" s="3">
        <f>AVERAGE(M30:M31)</f>
        <v>2161080000</v>
      </c>
      <c r="H5" s="4"/>
      <c r="J5" s="2" t="s">
        <v>2</v>
      </c>
      <c r="K5" s="2" t="s">
        <v>52</v>
      </c>
      <c r="L5" s="9">
        <v>82331</v>
      </c>
      <c r="M5" s="3">
        <f t="shared" si="0"/>
        <v>3293240000</v>
      </c>
    </row>
    <row r="6" spans="1:16" x14ac:dyDescent="0.25">
      <c r="A6" s="2" t="s">
        <v>8</v>
      </c>
      <c r="B6" s="2">
        <v>38206</v>
      </c>
      <c r="C6" s="2">
        <v>38991</v>
      </c>
      <c r="D6" s="2">
        <f t="shared" si="2"/>
        <v>38598.5</v>
      </c>
      <c r="E6" s="3">
        <f t="shared" si="1"/>
        <v>1543940000</v>
      </c>
      <c r="F6" s="3">
        <f>AVERAGE(M10:M11)</f>
        <v>1602560000</v>
      </c>
      <c r="G6" s="3">
        <f>AVERAGE(M32:M33)</f>
        <v>1588260000</v>
      </c>
      <c r="H6" s="4"/>
      <c r="J6" s="2" t="s">
        <v>6</v>
      </c>
      <c r="K6" s="2" t="s">
        <v>53</v>
      </c>
      <c r="L6" s="9">
        <v>87543</v>
      </c>
      <c r="M6" s="3">
        <f t="shared" si="0"/>
        <v>3501720000</v>
      </c>
    </row>
    <row r="7" spans="1:16" x14ac:dyDescent="0.25">
      <c r="A7" s="2" t="s">
        <v>9</v>
      </c>
      <c r="B7" s="2">
        <v>19329</v>
      </c>
      <c r="C7" s="2">
        <v>20132</v>
      </c>
      <c r="D7" s="2">
        <f t="shared" si="2"/>
        <v>19730.5</v>
      </c>
      <c r="E7" s="3">
        <f t="shared" si="1"/>
        <v>789220000</v>
      </c>
      <c r="F7" s="3">
        <f>AVERAGE(M12:M13)</f>
        <v>695620000</v>
      </c>
      <c r="G7" s="3">
        <f>AVERAGE(M34:M35)</f>
        <v>697260000</v>
      </c>
      <c r="H7" s="4"/>
      <c r="J7" s="2" t="s">
        <v>6</v>
      </c>
      <c r="K7" s="2" t="s">
        <v>54</v>
      </c>
      <c r="L7" s="9">
        <v>87388</v>
      </c>
      <c r="M7" s="3">
        <f t="shared" si="0"/>
        <v>3495520000</v>
      </c>
    </row>
    <row r="8" spans="1:16" x14ac:dyDescent="0.25">
      <c r="A8" s="2" t="s">
        <v>10</v>
      </c>
      <c r="B8" s="2">
        <v>4489</v>
      </c>
      <c r="C8" s="2">
        <v>4462</v>
      </c>
      <c r="D8" s="2">
        <f t="shared" si="2"/>
        <v>4475.5</v>
      </c>
      <c r="E8" s="3">
        <f t="shared" si="1"/>
        <v>179020000</v>
      </c>
      <c r="F8" s="3">
        <f>AVERAGE(M14:M15)</f>
        <v>276140000</v>
      </c>
      <c r="G8" s="3">
        <f>AVERAGE(M36:M37)</f>
        <v>263420000</v>
      </c>
      <c r="H8" s="4"/>
      <c r="J8" s="2" t="s">
        <v>7</v>
      </c>
      <c r="K8" s="2" t="s">
        <v>55</v>
      </c>
      <c r="L8" s="9">
        <v>54229</v>
      </c>
      <c r="M8" s="3">
        <f t="shared" si="0"/>
        <v>2169160000</v>
      </c>
    </row>
    <row r="9" spans="1:16" x14ac:dyDescent="0.25">
      <c r="A9" s="2" t="s">
        <v>11</v>
      </c>
      <c r="B9" s="2">
        <v>1313</v>
      </c>
      <c r="C9" s="2">
        <v>1338</v>
      </c>
      <c r="D9" s="2">
        <f t="shared" si="2"/>
        <v>1325.5</v>
      </c>
      <c r="E9" s="3">
        <f t="shared" si="1"/>
        <v>53020000</v>
      </c>
      <c r="F9" s="3">
        <f>AVERAGE(M16:M17)</f>
        <v>2661000000</v>
      </c>
      <c r="G9" s="3">
        <f>AVERAGE(M38:M39)</f>
        <v>2652560000</v>
      </c>
      <c r="H9" s="4"/>
      <c r="J9" s="2" t="s">
        <v>7</v>
      </c>
      <c r="K9" s="2" t="s">
        <v>56</v>
      </c>
      <c r="L9" s="9">
        <v>53951</v>
      </c>
      <c r="M9" s="3">
        <f t="shared" si="0"/>
        <v>2158040000</v>
      </c>
    </row>
    <row r="10" spans="1:16" x14ac:dyDescent="0.25">
      <c r="A10" s="2" t="s">
        <v>12</v>
      </c>
      <c r="B10" s="2">
        <v>4848</v>
      </c>
      <c r="C10" s="2">
        <v>4950</v>
      </c>
      <c r="D10" s="2">
        <f t="shared" si="2"/>
        <v>4899</v>
      </c>
      <c r="E10" s="3">
        <f t="shared" si="1"/>
        <v>195960000</v>
      </c>
      <c r="F10" s="3">
        <f>AVERAGE(M18:M19)</f>
        <v>323980000</v>
      </c>
      <c r="G10" s="3">
        <f>AVERAGE(M40:M41)</f>
        <v>321680000</v>
      </c>
      <c r="H10" s="4"/>
      <c r="J10" s="2" t="s">
        <v>8</v>
      </c>
      <c r="K10" s="2" t="s">
        <v>57</v>
      </c>
      <c r="L10" s="9">
        <v>40862</v>
      </c>
      <c r="M10" s="3">
        <f t="shared" si="0"/>
        <v>1634480000</v>
      </c>
    </row>
    <row r="11" spans="1:16" x14ac:dyDescent="0.25">
      <c r="J11" s="2" t="s">
        <v>8</v>
      </c>
      <c r="K11" s="2" t="s">
        <v>58</v>
      </c>
      <c r="L11" s="9">
        <v>39266</v>
      </c>
      <c r="M11" s="3">
        <f t="shared" si="0"/>
        <v>1570640000</v>
      </c>
    </row>
    <row r="12" spans="1:16" x14ac:dyDescent="0.25">
      <c r="J12" s="2" t="s">
        <v>9</v>
      </c>
      <c r="K12" s="2" t="s">
        <v>59</v>
      </c>
      <c r="L12" s="9">
        <v>17653</v>
      </c>
      <c r="M12" s="3">
        <f t="shared" si="0"/>
        <v>706120000</v>
      </c>
    </row>
    <row r="13" spans="1:16" x14ac:dyDescent="0.25">
      <c r="B13" t="s">
        <v>1</v>
      </c>
      <c r="C13" t="s">
        <v>46</v>
      </c>
      <c r="D13" t="s">
        <v>46</v>
      </c>
      <c r="J13" s="2" t="s">
        <v>9</v>
      </c>
      <c r="K13" s="2" t="s">
        <v>60</v>
      </c>
      <c r="L13" s="9">
        <v>17128</v>
      </c>
      <c r="M13" s="3">
        <f t="shared" si="0"/>
        <v>685120000</v>
      </c>
    </row>
    <row r="14" spans="1:16" x14ac:dyDescent="0.25">
      <c r="A14" s="1" t="s">
        <v>0</v>
      </c>
      <c r="B14" s="2" t="s">
        <v>39</v>
      </c>
      <c r="C14" s="2" t="s">
        <v>40</v>
      </c>
      <c r="D14" s="2" t="s">
        <v>41</v>
      </c>
      <c r="J14" s="2" t="s">
        <v>10</v>
      </c>
      <c r="K14" s="2" t="s">
        <v>61</v>
      </c>
      <c r="L14" s="9">
        <v>6830</v>
      </c>
      <c r="M14" s="3">
        <f t="shared" si="0"/>
        <v>273200000</v>
      </c>
    </row>
    <row r="15" spans="1:16" x14ac:dyDescent="0.25">
      <c r="A15" s="2" t="s">
        <v>2</v>
      </c>
      <c r="B15" s="2">
        <v>195600000</v>
      </c>
      <c r="C15" s="2">
        <v>3418640000</v>
      </c>
      <c r="D15" s="2">
        <v>3402620000</v>
      </c>
      <c r="J15" s="2" t="s">
        <v>10</v>
      </c>
      <c r="K15" s="2" t="s">
        <v>62</v>
      </c>
      <c r="L15" s="9">
        <v>6977</v>
      </c>
      <c r="M15" s="3">
        <f t="shared" si="0"/>
        <v>279080000</v>
      </c>
    </row>
    <row r="16" spans="1:16" x14ac:dyDescent="0.25">
      <c r="A16" s="2" t="s">
        <v>6</v>
      </c>
      <c r="B16" s="2">
        <v>769720000</v>
      </c>
      <c r="C16" s="2">
        <v>3498620000</v>
      </c>
      <c r="D16" s="2">
        <v>3480820000</v>
      </c>
      <c r="J16" s="2" t="s">
        <v>11</v>
      </c>
      <c r="K16" s="2" t="s">
        <v>63</v>
      </c>
      <c r="L16" s="9">
        <v>67283</v>
      </c>
      <c r="M16" s="3">
        <f t="shared" si="0"/>
        <v>2691320000</v>
      </c>
    </row>
    <row r="17" spans="1:13" x14ac:dyDescent="0.25">
      <c r="A17" s="2" t="s">
        <v>7</v>
      </c>
      <c r="B17" s="2">
        <v>402480000</v>
      </c>
      <c r="C17" s="2">
        <v>2163600000</v>
      </c>
      <c r="D17" s="2">
        <v>2161080000</v>
      </c>
      <c r="J17" s="2" t="s">
        <v>11</v>
      </c>
      <c r="K17" s="2" t="s">
        <v>64</v>
      </c>
      <c r="L17" s="9">
        <v>65767</v>
      </c>
      <c r="M17" s="3">
        <f t="shared" si="0"/>
        <v>2630680000</v>
      </c>
    </row>
    <row r="18" spans="1:13" x14ac:dyDescent="0.25">
      <c r="A18" s="2" t="s">
        <v>8</v>
      </c>
      <c r="B18" s="2">
        <v>1543940000</v>
      </c>
      <c r="C18" s="2">
        <v>1602560000</v>
      </c>
      <c r="D18" s="2">
        <v>1588260000</v>
      </c>
      <c r="J18" s="2" t="s">
        <v>12</v>
      </c>
      <c r="K18" s="2" t="s">
        <v>65</v>
      </c>
      <c r="L18" s="9">
        <v>8591</v>
      </c>
      <c r="M18" s="3">
        <f t="shared" si="0"/>
        <v>343640000</v>
      </c>
    </row>
    <row r="19" spans="1:13" x14ac:dyDescent="0.25">
      <c r="A19" s="2" t="s">
        <v>9</v>
      </c>
      <c r="B19" s="2">
        <v>789220000</v>
      </c>
      <c r="C19" s="2">
        <v>695620000</v>
      </c>
      <c r="D19" s="2">
        <v>697260000</v>
      </c>
      <c r="J19" s="2" t="s">
        <v>12</v>
      </c>
      <c r="K19" s="2" t="s">
        <v>66</v>
      </c>
      <c r="L19" s="9">
        <v>7608</v>
      </c>
      <c r="M19" s="3">
        <f t="shared" si="0"/>
        <v>304320000</v>
      </c>
    </row>
    <row r="20" spans="1:13" x14ac:dyDescent="0.25">
      <c r="A20" s="2" t="s">
        <v>10</v>
      </c>
      <c r="B20" s="2">
        <v>179020000</v>
      </c>
      <c r="C20" s="2">
        <v>276140000</v>
      </c>
      <c r="D20" s="2">
        <v>263420000</v>
      </c>
    </row>
    <row r="21" spans="1:13" x14ac:dyDescent="0.25">
      <c r="A21" s="2" t="s">
        <v>11</v>
      </c>
      <c r="B21" s="2">
        <v>53020000</v>
      </c>
      <c r="C21" s="2">
        <v>2661000000</v>
      </c>
      <c r="D21" s="2">
        <v>2652560000</v>
      </c>
    </row>
    <row r="22" spans="1:13" x14ac:dyDescent="0.25">
      <c r="A22" s="2" t="s">
        <v>12</v>
      </c>
      <c r="B22" s="2">
        <v>195960000</v>
      </c>
      <c r="C22" s="2">
        <v>323980000</v>
      </c>
      <c r="D22" s="2">
        <v>321680000</v>
      </c>
    </row>
    <row r="23" spans="1:13" x14ac:dyDescent="0.25">
      <c r="J23" t="s">
        <v>41</v>
      </c>
      <c r="K23" t="s">
        <v>42</v>
      </c>
      <c r="L23" t="s">
        <v>43</v>
      </c>
      <c r="M23" t="s">
        <v>44</v>
      </c>
    </row>
    <row r="24" spans="1:13" x14ac:dyDescent="0.25">
      <c r="J24" s="8" t="s">
        <v>47</v>
      </c>
      <c r="K24" s="2" t="s">
        <v>48</v>
      </c>
      <c r="L24" s="2">
        <v>43</v>
      </c>
      <c r="M24" s="3">
        <f>L24*200/0.005</f>
        <v>1720000</v>
      </c>
    </row>
    <row r="25" spans="1:13" x14ac:dyDescent="0.25">
      <c r="J25" s="8" t="s">
        <v>47</v>
      </c>
      <c r="K25" s="2" t="s">
        <v>50</v>
      </c>
      <c r="L25" s="2">
        <v>108</v>
      </c>
      <c r="M25" s="3">
        <f t="shared" ref="M25:M41" si="3">L25*200/0.005</f>
        <v>4320000</v>
      </c>
    </row>
    <row r="26" spans="1:13" x14ac:dyDescent="0.25">
      <c r="J26" s="2" t="s">
        <v>2</v>
      </c>
      <c r="K26" s="2" t="s">
        <v>51</v>
      </c>
      <c r="L26" s="2">
        <v>88199</v>
      </c>
      <c r="M26" s="3">
        <f>L26*200/0.005</f>
        <v>3527960000</v>
      </c>
    </row>
    <row r="27" spans="1:13" x14ac:dyDescent="0.25">
      <c r="J27" s="2" t="s">
        <v>2</v>
      </c>
      <c r="K27" s="2" t="s">
        <v>52</v>
      </c>
      <c r="L27" s="2">
        <v>81932</v>
      </c>
      <c r="M27" s="3">
        <f t="shared" si="3"/>
        <v>3277280000</v>
      </c>
    </row>
    <row r="28" spans="1:13" x14ac:dyDescent="0.25">
      <c r="J28" s="2" t="s">
        <v>6</v>
      </c>
      <c r="K28" s="2" t="s">
        <v>53</v>
      </c>
      <c r="L28" s="2">
        <v>87110</v>
      </c>
      <c r="M28" s="3">
        <f t="shared" si="3"/>
        <v>3484400000</v>
      </c>
    </row>
    <row r="29" spans="1:13" x14ac:dyDescent="0.25">
      <c r="J29" s="2" t="s">
        <v>6</v>
      </c>
      <c r="K29" s="2" t="s">
        <v>54</v>
      </c>
      <c r="L29" s="2">
        <v>86931</v>
      </c>
      <c r="M29" s="3">
        <f t="shared" si="3"/>
        <v>3477240000</v>
      </c>
    </row>
    <row r="30" spans="1:13" x14ac:dyDescent="0.25">
      <c r="J30" s="2" t="s">
        <v>7</v>
      </c>
      <c r="K30" s="2" t="s">
        <v>55</v>
      </c>
      <c r="L30" s="2">
        <v>54176</v>
      </c>
      <c r="M30" s="3">
        <f t="shared" si="3"/>
        <v>2167040000</v>
      </c>
    </row>
    <row r="31" spans="1:13" x14ac:dyDescent="0.25">
      <c r="J31" s="2" t="s">
        <v>7</v>
      </c>
      <c r="K31" s="2" t="s">
        <v>56</v>
      </c>
      <c r="L31" s="2">
        <v>53878</v>
      </c>
      <c r="M31" s="3">
        <f t="shared" si="3"/>
        <v>2155120000</v>
      </c>
    </row>
    <row r="32" spans="1:13" x14ac:dyDescent="0.25">
      <c r="J32" s="2" t="s">
        <v>8</v>
      </c>
      <c r="K32" s="2" t="s">
        <v>57</v>
      </c>
      <c r="L32" s="2">
        <v>40495</v>
      </c>
      <c r="M32" s="3">
        <f t="shared" si="3"/>
        <v>1619800000</v>
      </c>
    </row>
    <row r="33" spans="10:13" x14ac:dyDescent="0.25">
      <c r="J33" s="2" t="s">
        <v>8</v>
      </c>
      <c r="K33" s="2" t="s">
        <v>58</v>
      </c>
      <c r="L33" s="2">
        <v>38918</v>
      </c>
      <c r="M33" s="3">
        <f t="shared" si="3"/>
        <v>1556720000</v>
      </c>
    </row>
    <row r="34" spans="10:13" x14ac:dyDescent="0.25">
      <c r="J34" s="2" t="s">
        <v>9</v>
      </c>
      <c r="K34" s="2" t="s">
        <v>59</v>
      </c>
      <c r="L34" s="2">
        <v>17661</v>
      </c>
      <c r="M34" s="3">
        <f t="shared" si="3"/>
        <v>706440000</v>
      </c>
    </row>
    <row r="35" spans="10:13" x14ac:dyDescent="0.25">
      <c r="J35" s="2" t="s">
        <v>9</v>
      </c>
      <c r="K35" s="2" t="s">
        <v>60</v>
      </c>
      <c r="L35" s="2">
        <v>17202</v>
      </c>
      <c r="M35" s="3">
        <f t="shared" si="3"/>
        <v>688080000</v>
      </c>
    </row>
    <row r="36" spans="10:13" x14ac:dyDescent="0.25">
      <c r="J36" s="2" t="s">
        <v>10</v>
      </c>
      <c r="K36" s="2" t="s">
        <v>61</v>
      </c>
      <c r="L36" s="2">
        <v>6512</v>
      </c>
      <c r="M36" s="3">
        <f t="shared" si="3"/>
        <v>260480000</v>
      </c>
    </row>
    <row r="37" spans="10:13" x14ac:dyDescent="0.25">
      <c r="J37" s="2" t="s">
        <v>10</v>
      </c>
      <c r="K37" s="2" t="s">
        <v>62</v>
      </c>
      <c r="L37" s="2">
        <v>6659</v>
      </c>
      <c r="M37" s="3">
        <f t="shared" si="3"/>
        <v>266360000</v>
      </c>
    </row>
    <row r="38" spans="10:13" x14ac:dyDescent="0.25">
      <c r="J38" s="2" t="s">
        <v>11</v>
      </c>
      <c r="K38" s="2" t="s">
        <v>63</v>
      </c>
      <c r="L38" s="2">
        <v>67120</v>
      </c>
      <c r="M38" s="3">
        <f t="shared" si="3"/>
        <v>2684800000</v>
      </c>
    </row>
    <row r="39" spans="10:13" x14ac:dyDescent="0.25">
      <c r="J39" s="2" t="s">
        <v>11</v>
      </c>
      <c r="K39" s="2" t="s">
        <v>64</v>
      </c>
      <c r="L39" s="2">
        <v>65508</v>
      </c>
      <c r="M39" s="3">
        <f t="shared" si="3"/>
        <v>2620320000</v>
      </c>
    </row>
    <row r="40" spans="10:13" x14ac:dyDescent="0.25">
      <c r="J40" s="2" t="s">
        <v>12</v>
      </c>
      <c r="K40" s="2" t="s">
        <v>65</v>
      </c>
      <c r="L40" s="2">
        <v>8514</v>
      </c>
      <c r="M40" s="3">
        <f t="shared" si="3"/>
        <v>340560000</v>
      </c>
    </row>
    <row r="41" spans="10:13" x14ac:dyDescent="0.25">
      <c r="J41" s="2" t="s">
        <v>12</v>
      </c>
      <c r="K41" s="2" t="s">
        <v>66</v>
      </c>
      <c r="L41" s="2">
        <v>7570</v>
      </c>
      <c r="M41" s="3">
        <f t="shared" si="3"/>
        <v>302800000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FFE0-E2F4-4753-8115-F14A1A8F5698}">
  <dimension ref="A1:I39"/>
  <sheetViews>
    <sheetView workbookViewId="0">
      <selection activeCell="G2" sqref="G2"/>
    </sheetView>
  </sheetViews>
  <sheetFormatPr defaultRowHeight="15" x14ac:dyDescent="0.25"/>
  <cols>
    <col min="1" max="2" width="14.28515625" bestFit="1" customWidth="1"/>
    <col min="3" max="3" width="12.140625" customWidth="1"/>
    <col min="4" max="4" width="10.5703125" customWidth="1"/>
    <col min="7" max="7" width="13.28515625" customWidth="1"/>
  </cols>
  <sheetData>
    <row r="1" spans="1:9" x14ac:dyDescent="0.25">
      <c r="A1" t="s">
        <v>68</v>
      </c>
      <c r="B1" t="s">
        <v>42</v>
      </c>
      <c r="C1" t="s">
        <v>69</v>
      </c>
      <c r="D1" t="s">
        <v>70</v>
      </c>
      <c r="F1" s="10" t="s">
        <v>71</v>
      </c>
      <c r="G1" s="1" t="s">
        <v>72</v>
      </c>
      <c r="I1" t="s">
        <v>129</v>
      </c>
    </row>
    <row r="2" spans="1:9" x14ac:dyDescent="0.25">
      <c r="A2" s="11" t="s">
        <v>73</v>
      </c>
      <c r="B2" t="s">
        <v>74</v>
      </c>
      <c r="C2">
        <v>99429</v>
      </c>
      <c r="D2" s="4">
        <f>C2/0.002</f>
        <v>49714500</v>
      </c>
      <c r="F2" s="12" t="s">
        <v>73</v>
      </c>
      <c r="G2" s="13">
        <f>AVERAGE(D2:D3)</f>
        <v>40447000</v>
      </c>
    </row>
    <row r="3" spans="1:9" x14ac:dyDescent="0.25">
      <c r="A3" s="11" t="s">
        <v>73</v>
      </c>
      <c r="B3" t="s">
        <v>75</v>
      </c>
      <c r="C3">
        <v>62359</v>
      </c>
      <c r="D3" s="4">
        <f t="shared" ref="D3:D39" si="0">C3/0.002</f>
        <v>31179500</v>
      </c>
      <c r="F3" s="10" t="s">
        <v>76</v>
      </c>
      <c r="G3" s="13">
        <f>AVERAGE(D4:D5)</f>
        <v>7961250</v>
      </c>
    </row>
    <row r="4" spans="1:9" x14ac:dyDescent="0.25">
      <c r="A4" t="s">
        <v>76</v>
      </c>
      <c r="B4" t="s">
        <v>77</v>
      </c>
      <c r="C4">
        <v>13796</v>
      </c>
      <c r="D4" s="4">
        <f t="shared" si="0"/>
        <v>6898000</v>
      </c>
      <c r="F4" s="10" t="s">
        <v>78</v>
      </c>
      <c r="G4" s="13">
        <f>AVERAGE(D6:D7)</f>
        <v>10002000</v>
      </c>
    </row>
    <row r="5" spans="1:9" x14ac:dyDescent="0.25">
      <c r="A5" t="s">
        <v>76</v>
      </c>
      <c r="B5" t="s">
        <v>79</v>
      </c>
      <c r="C5">
        <v>18049</v>
      </c>
      <c r="D5" s="4">
        <f t="shared" si="0"/>
        <v>9024500</v>
      </c>
      <c r="F5" s="10" t="s">
        <v>80</v>
      </c>
      <c r="G5" s="13">
        <f>AVERAGE(D8:D9)</f>
        <v>1504250</v>
      </c>
    </row>
    <row r="6" spans="1:9" x14ac:dyDescent="0.25">
      <c r="A6" t="s">
        <v>78</v>
      </c>
      <c r="B6" t="s">
        <v>81</v>
      </c>
      <c r="C6">
        <v>17810</v>
      </c>
      <c r="D6" s="4">
        <f t="shared" si="0"/>
        <v>8905000</v>
      </c>
      <c r="F6" s="10" t="s">
        <v>82</v>
      </c>
      <c r="G6" s="13">
        <f>AVERAGE(D10:D11)</f>
        <v>2955250</v>
      </c>
    </row>
    <row r="7" spans="1:9" x14ac:dyDescent="0.25">
      <c r="A7" t="s">
        <v>78</v>
      </c>
      <c r="B7" t="s">
        <v>83</v>
      </c>
      <c r="C7">
        <v>22198</v>
      </c>
      <c r="D7" s="4">
        <f t="shared" si="0"/>
        <v>11099000</v>
      </c>
      <c r="F7" s="10" t="s">
        <v>84</v>
      </c>
      <c r="G7" s="13">
        <f>AVERAGE(D12:D13)</f>
        <v>1728250</v>
      </c>
    </row>
    <row r="8" spans="1:9" x14ac:dyDescent="0.25">
      <c r="A8" t="s">
        <v>80</v>
      </c>
      <c r="B8" t="s">
        <v>85</v>
      </c>
      <c r="C8">
        <v>2766</v>
      </c>
      <c r="D8" s="4">
        <f t="shared" si="0"/>
        <v>1383000</v>
      </c>
      <c r="F8" s="10" t="s">
        <v>86</v>
      </c>
      <c r="G8" s="13">
        <f>AVERAGE(D14:D15)</f>
        <v>49877000</v>
      </c>
    </row>
    <row r="9" spans="1:9" x14ac:dyDescent="0.25">
      <c r="A9" t="s">
        <v>80</v>
      </c>
      <c r="B9" t="s">
        <v>87</v>
      </c>
      <c r="C9">
        <v>3251</v>
      </c>
      <c r="D9" s="4">
        <f t="shared" si="0"/>
        <v>1625500</v>
      </c>
      <c r="F9" s="10" t="s">
        <v>88</v>
      </c>
      <c r="G9" s="13">
        <f>AVERAGE(D16:D17)</f>
        <v>2611500</v>
      </c>
    </row>
    <row r="10" spans="1:9" x14ac:dyDescent="0.25">
      <c r="A10" t="s">
        <v>82</v>
      </c>
      <c r="B10" t="s">
        <v>89</v>
      </c>
      <c r="C10">
        <v>5440</v>
      </c>
      <c r="D10" s="4">
        <f t="shared" si="0"/>
        <v>2720000</v>
      </c>
      <c r="F10" s="12" t="s">
        <v>90</v>
      </c>
      <c r="G10" s="13">
        <f>AVERAGE(D18:D19)</f>
        <v>32773000</v>
      </c>
    </row>
    <row r="11" spans="1:9" x14ac:dyDescent="0.25">
      <c r="A11" t="s">
        <v>82</v>
      </c>
      <c r="B11" t="s">
        <v>91</v>
      </c>
      <c r="C11">
        <v>6381</v>
      </c>
      <c r="D11" s="4">
        <f t="shared" si="0"/>
        <v>3190500</v>
      </c>
      <c r="F11" s="10" t="s">
        <v>92</v>
      </c>
      <c r="G11" s="13">
        <f>AVERAGE(D20:D21)</f>
        <v>118000</v>
      </c>
    </row>
    <row r="12" spans="1:9" x14ac:dyDescent="0.25">
      <c r="A12" t="s">
        <v>84</v>
      </c>
      <c r="B12" t="s">
        <v>93</v>
      </c>
      <c r="C12">
        <v>3445</v>
      </c>
      <c r="D12" s="4">
        <f t="shared" si="0"/>
        <v>1722500</v>
      </c>
      <c r="F12" s="10" t="s">
        <v>94</v>
      </c>
      <c r="G12" s="13">
        <f>AVERAGE(D22:D23)</f>
        <v>10811250</v>
      </c>
    </row>
    <row r="13" spans="1:9" x14ac:dyDescent="0.25">
      <c r="A13" t="s">
        <v>84</v>
      </c>
      <c r="B13" t="s">
        <v>95</v>
      </c>
      <c r="C13">
        <v>3468</v>
      </c>
      <c r="D13" s="4">
        <f t="shared" si="0"/>
        <v>1734000</v>
      </c>
      <c r="F13" s="10" t="s">
        <v>96</v>
      </c>
      <c r="G13" s="13">
        <f>AVERAGE(D24:D25)</f>
        <v>43750</v>
      </c>
    </row>
    <row r="14" spans="1:9" x14ac:dyDescent="0.25">
      <c r="A14" t="s">
        <v>86</v>
      </c>
      <c r="B14" t="s">
        <v>97</v>
      </c>
      <c r="C14">
        <v>99752</v>
      </c>
      <c r="D14" s="4">
        <f t="shared" si="0"/>
        <v>49876000</v>
      </c>
      <c r="F14" s="10" t="s">
        <v>98</v>
      </c>
      <c r="G14" s="13">
        <f>AVERAGE(D26:D27)</f>
        <v>4025000</v>
      </c>
    </row>
    <row r="15" spans="1:9" x14ac:dyDescent="0.25">
      <c r="A15" t="s">
        <v>86</v>
      </c>
      <c r="B15" t="s">
        <v>99</v>
      </c>
      <c r="C15">
        <v>99756</v>
      </c>
      <c r="D15" s="4">
        <f t="shared" si="0"/>
        <v>49878000</v>
      </c>
      <c r="F15" s="10" t="s">
        <v>100</v>
      </c>
      <c r="G15" s="13">
        <f>AVERAGE(D28:D29)</f>
        <v>1490750</v>
      </c>
    </row>
    <row r="16" spans="1:9" x14ac:dyDescent="0.25">
      <c r="A16" t="s">
        <v>88</v>
      </c>
      <c r="B16" t="s">
        <v>101</v>
      </c>
      <c r="C16">
        <v>4243</v>
      </c>
      <c r="D16" s="4">
        <f t="shared" si="0"/>
        <v>2121500</v>
      </c>
      <c r="F16" s="10" t="s">
        <v>102</v>
      </c>
      <c r="G16" s="13">
        <f>AVERAGE(D30:D31)</f>
        <v>13036000</v>
      </c>
      <c r="H16" t="s">
        <v>130</v>
      </c>
    </row>
    <row r="17" spans="1:7" x14ac:dyDescent="0.25">
      <c r="A17" t="s">
        <v>88</v>
      </c>
      <c r="B17" t="s">
        <v>103</v>
      </c>
      <c r="C17">
        <v>6203</v>
      </c>
      <c r="D17" s="4">
        <f t="shared" si="0"/>
        <v>3101500</v>
      </c>
      <c r="F17" s="10" t="s">
        <v>104</v>
      </c>
      <c r="G17" s="13">
        <f>AVERAGE(D32:D33)</f>
        <v>3590750</v>
      </c>
    </row>
    <row r="18" spans="1:7" x14ac:dyDescent="0.25">
      <c r="A18" s="11" t="s">
        <v>90</v>
      </c>
      <c r="B18" t="s">
        <v>105</v>
      </c>
      <c r="C18">
        <v>69761</v>
      </c>
      <c r="D18" s="4">
        <f t="shared" si="0"/>
        <v>34880500</v>
      </c>
      <c r="F18" s="10" t="s">
        <v>32</v>
      </c>
      <c r="G18" s="13">
        <f>AVERAGE(D34:D35)</f>
        <v>24000</v>
      </c>
    </row>
    <row r="19" spans="1:7" x14ac:dyDescent="0.25">
      <c r="A19" s="11" t="s">
        <v>90</v>
      </c>
      <c r="B19" t="s">
        <v>106</v>
      </c>
      <c r="C19">
        <v>61331</v>
      </c>
      <c r="D19" s="4">
        <f t="shared" si="0"/>
        <v>30665500</v>
      </c>
      <c r="F19" s="10" t="s">
        <v>107</v>
      </c>
      <c r="G19" s="13">
        <f>AVERAGE(D36:D37)</f>
        <v>15000</v>
      </c>
    </row>
    <row r="20" spans="1:7" x14ac:dyDescent="0.25">
      <c r="A20" t="s">
        <v>92</v>
      </c>
      <c r="B20" t="s">
        <v>108</v>
      </c>
      <c r="C20">
        <v>352</v>
      </c>
      <c r="D20" s="4">
        <f t="shared" si="0"/>
        <v>176000</v>
      </c>
    </row>
    <row r="21" spans="1:7" x14ac:dyDescent="0.25">
      <c r="A21" t="s">
        <v>92</v>
      </c>
      <c r="B21" t="s">
        <v>109</v>
      </c>
      <c r="C21">
        <v>120</v>
      </c>
      <c r="D21" s="4">
        <f t="shared" si="0"/>
        <v>60000</v>
      </c>
    </row>
    <row r="22" spans="1:7" x14ac:dyDescent="0.25">
      <c r="A22" t="s">
        <v>94</v>
      </c>
      <c r="B22" t="s">
        <v>110</v>
      </c>
      <c r="C22">
        <v>20145</v>
      </c>
      <c r="D22" s="4">
        <f t="shared" si="0"/>
        <v>10072500</v>
      </c>
    </row>
    <row r="23" spans="1:7" x14ac:dyDescent="0.25">
      <c r="A23" t="s">
        <v>94</v>
      </c>
      <c r="B23" t="s">
        <v>111</v>
      </c>
      <c r="C23">
        <v>23100</v>
      </c>
      <c r="D23" s="4">
        <f t="shared" si="0"/>
        <v>11550000</v>
      </c>
    </row>
    <row r="24" spans="1:7" x14ac:dyDescent="0.25">
      <c r="A24" t="s">
        <v>96</v>
      </c>
      <c r="B24" t="s">
        <v>112</v>
      </c>
      <c r="C24">
        <v>81</v>
      </c>
      <c r="D24" s="4">
        <f t="shared" si="0"/>
        <v>40500</v>
      </c>
    </row>
    <row r="25" spans="1:7" x14ac:dyDescent="0.25">
      <c r="A25" t="s">
        <v>96</v>
      </c>
      <c r="B25" t="s">
        <v>113</v>
      </c>
      <c r="C25">
        <v>94</v>
      </c>
      <c r="D25" s="4">
        <f t="shared" si="0"/>
        <v>47000</v>
      </c>
    </row>
    <row r="26" spans="1:7" x14ac:dyDescent="0.25">
      <c r="A26" t="s">
        <v>98</v>
      </c>
      <c r="B26" t="s">
        <v>114</v>
      </c>
      <c r="C26">
        <v>9283</v>
      </c>
      <c r="D26" s="4">
        <f t="shared" si="0"/>
        <v>4641500</v>
      </c>
    </row>
    <row r="27" spans="1:7" x14ac:dyDescent="0.25">
      <c r="A27" t="s">
        <v>98</v>
      </c>
      <c r="B27" t="s">
        <v>115</v>
      </c>
      <c r="C27">
        <v>6817</v>
      </c>
      <c r="D27" s="4">
        <f t="shared" si="0"/>
        <v>3408500</v>
      </c>
    </row>
    <row r="28" spans="1:7" x14ac:dyDescent="0.25">
      <c r="A28" t="s">
        <v>100</v>
      </c>
      <c r="B28" t="s">
        <v>116</v>
      </c>
      <c r="C28">
        <v>3247</v>
      </c>
      <c r="D28" s="4">
        <f t="shared" si="0"/>
        <v>1623500</v>
      </c>
    </row>
    <row r="29" spans="1:7" x14ac:dyDescent="0.25">
      <c r="A29" t="s">
        <v>100</v>
      </c>
      <c r="B29" t="s">
        <v>117</v>
      </c>
      <c r="C29">
        <v>2716</v>
      </c>
      <c r="D29" s="4">
        <f t="shared" si="0"/>
        <v>1358000</v>
      </c>
    </row>
    <row r="30" spans="1:7" x14ac:dyDescent="0.25">
      <c r="A30" t="s">
        <v>102</v>
      </c>
      <c r="B30" t="s">
        <v>118</v>
      </c>
      <c r="C30">
        <v>27222</v>
      </c>
      <c r="D30" s="4">
        <f t="shared" si="0"/>
        <v>13611000</v>
      </c>
    </row>
    <row r="31" spans="1:7" x14ac:dyDescent="0.25">
      <c r="A31" t="s">
        <v>102</v>
      </c>
      <c r="B31" t="s">
        <v>119</v>
      </c>
      <c r="C31">
        <v>24922</v>
      </c>
      <c r="D31" s="4">
        <f t="shared" si="0"/>
        <v>12461000</v>
      </c>
    </row>
    <row r="32" spans="1:7" x14ac:dyDescent="0.25">
      <c r="A32" t="s">
        <v>104</v>
      </c>
      <c r="B32" t="s">
        <v>120</v>
      </c>
      <c r="C32">
        <v>6729</v>
      </c>
      <c r="D32" s="4">
        <f t="shared" si="0"/>
        <v>3364500</v>
      </c>
    </row>
    <row r="33" spans="1:4" x14ac:dyDescent="0.25">
      <c r="A33" t="s">
        <v>104</v>
      </c>
      <c r="B33" t="s">
        <v>121</v>
      </c>
      <c r="C33">
        <v>7634</v>
      </c>
      <c r="D33" s="4">
        <f t="shared" si="0"/>
        <v>3817000</v>
      </c>
    </row>
    <row r="34" spans="1:4" x14ac:dyDescent="0.25">
      <c r="A34" t="s">
        <v>32</v>
      </c>
      <c r="B34" t="s">
        <v>122</v>
      </c>
      <c r="C34">
        <v>62</v>
      </c>
      <c r="D34" s="4">
        <f t="shared" si="0"/>
        <v>31000</v>
      </c>
    </row>
    <row r="35" spans="1:4" x14ac:dyDescent="0.25">
      <c r="A35" t="s">
        <v>32</v>
      </c>
      <c r="B35" t="s">
        <v>123</v>
      </c>
      <c r="C35">
        <v>34</v>
      </c>
      <c r="D35" s="4">
        <f t="shared" si="0"/>
        <v>17000</v>
      </c>
    </row>
    <row r="36" spans="1:4" x14ac:dyDescent="0.25">
      <c r="A36" t="s">
        <v>107</v>
      </c>
      <c r="B36" t="s">
        <v>124</v>
      </c>
      <c r="C36">
        <v>26</v>
      </c>
      <c r="D36" s="4">
        <f t="shared" si="0"/>
        <v>13000</v>
      </c>
    </row>
    <row r="37" spans="1:4" x14ac:dyDescent="0.25">
      <c r="A37" t="s">
        <v>107</v>
      </c>
      <c r="B37" t="s">
        <v>125</v>
      </c>
      <c r="C37">
        <v>34</v>
      </c>
      <c r="D37" s="4">
        <f t="shared" si="0"/>
        <v>17000</v>
      </c>
    </row>
    <row r="38" spans="1:4" x14ac:dyDescent="0.25">
      <c r="A38" t="s">
        <v>47</v>
      </c>
      <c r="B38" t="s">
        <v>126</v>
      </c>
      <c r="C38">
        <v>23</v>
      </c>
      <c r="D38" s="4">
        <f t="shared" si="0"/>
        <v>11500</v>
      </c>
    </row>
    <row r="39" spans="1:4" x14ac:dyDescent="0.25">
      <c r="A39" t="s">
        <v>127</v>
      </c>
      <c r="B39" t="s">
        <v>128</v>
      </c>
      <c r="C39">
        <v>47</v>
      </c>
      <c r="D39" s="4">
        <f t="shared" si="0"/>
        <v>23500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FB92-E1C9-4576-9F21-6F8B40AB3281}">
  <dimension ref="A1:E5"/>
  <sheetViews>
    <sheetView workbookViewId="0">
      <selection activeCell="D5" sqref="D5"/>
    </sheetView>
  </sheetViews>
  <sheetFormatPr defaultRowHeight="15" x14ac:dyDescent="0.25"/>
  <cols>
    <col min="2" max="2" width="15.140625" customWidth="1"/>
    <col min="3" max="3" width="22" customWidth="1"/>
    <col min="4" max="4" width="26.140625" customWidth="1"/>
  </cols>
  <sheetData>
    <row r="1" spans="1:5" x14ac:dyDescent="0.25">
      <c r="B1" t="s">
        <v>14</v>
      </c>
      <c r="C1" t="s">
        <v>15</v>
      </c>
      <c r="D1" t="s">
        <v>16</v>
      </c>
    </row>
    <row r="2" spans="1:5" x14ac:dyDescent="0.25">
      <c r="A2" t="s">
        <v>13</v>
      </c>
      <c r="B2">
        <f>18+16</f>
        <v>34</v>
      </c>
      <c r="C2">
        <f>1000/B2</f>
        <v>29.411764705882351</v>
      </c>
      <c r="D2">
        <f>C2*0.3</f>
        <v>8.8235294117647047</v>
      </c>
    </row>
    <row r="4" spans="1:5" x14ac:dyDescent="0.25">
      <c r="B4" t="s">
        <v>14</v>
      </c>
      <c r="C4" t="s">
        <v>18</v>
      </c>
      <c r="D4" t="s">
        <v>19</v>
      </c>
      <c r="E4" t="s">
        <v>20</v>
      </c>
    </row>
    <row r="5" spans="1:5" x14ac:dyDescent="0.25">
      <c r="A5" t="s">
        <v>17</v>
      </c>
      <c r="B5">
        <v>152.1</v>
      </c>
      <c r="C5">
        <v>2.5000000000000001E-2</v>
      </c>
      <c r="D5">
        <f>C5*B5</f>
        <v>3.8025000000000002</v>
      </c>
      <c r="E5">
        <f>D5/200</f>
        <v>1.9012500000000002E-2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F0E5-CDCB-438C-A54B-89BEA9A7DAA6}">
  <dimension ref="A1:V105"/>
  <sheetViews>
    <sheetView tabSelected="1" topLeftCell="A90" zoomScale="110" zoomScaleNormal="110" workbookViewId="0">
      <selection activeCell="E97" sqref="E97"/>
    </sheetView>
  </sheetViews>
  <sheetFormatPr defaultRowHeight="15" x14ac:dyDescent="0.25"/>
  <cols>
    <col min="1" max="2" width="21.42578125" customWidth="1"/>
    <col min="3" max="3" width="11" customWidth="1"/>
    <col min="4" max="4" width="12" customWidth="1"/>
    <col min="5" max="5" width="14" customWidth="1"/>
    <col min="6" max="6" width="12.42578125" customWidth="1"/>
    <col min="7" max="7" width="22.42578125" customWidth="1"/>
    <col min="8" max="8" width="12" customWidth="1"/>
    <col min="9" max="9" width="22.5703125" customWidth="1"/>
    <col min="10" max="10" width="11.7109375" customWidth="1"/>
    <col min="16" max="16" width="16" customWidth="1"/>
    <col min="17" max="17" width="21.7109375" customWidth="1"/>
    <col min="18" max="18" width="17.28515625" customWidth="1"/>
    <col min="19" max="19" width="9.28515625" bestFit="1" customWidth="1"/>
    <col min="20" max="20" width="12.5703125" bestFit="1" customWidth="1"/>
    <col min="21" max="21" width="12" bestFit="1" customWidth="1"/>
    <col min="22" max="22" width="9.28515625" bestFit="1" customWidth="1"/>
  </cols>
  <sheetData>
    <row r="1" spans="1:22" x14ac:dyDescent="0.25">
      <c r="A1" s="15" t="s">
        <v>131</v>
      </c>
      <c r="B1" s="16">
        <v>0.40763888888888888</v>
      </c>
      <c r="D1" s="16"/>
      <c r="E1" s="15" t="s">
        <v>132</v>
      </c>
      <c r="F1" s="16">
        <v>0.44791666666666669</v>
      </c>
      <c r="G1" s="15" t="s">
        <v>133</v>
      </c>
      <c r="H1" s="16">
        <v>0.47916666666666669</v>
      </c>
      <c r="I1" s="15" t="s">
        <v>134</v>
      </c>
      <c r="J1" s="16">
        <v>0.5083333333333333</v>
      </c>
      <c r="K1" s="15"/>
      <c r="L1" s="15"/>
      <c r="M1" s="15" t="s">
        <v>135</v>
      </c>
      <c r="N1" s="17"/>
      <c r="T1" t="s">
        <v>146</v>
      </c>
    </row>
    <row r="2" spans="1:22" x14ac:dyDescent="0.25">
      <c r="A2" s="18" t="s">
        <v>137</v>
      </c>
      <c r="B2" t="s">
        <v>0</v>
      </c>
      <c r="C2" t="s">
        <v>22</v>
      </c>
      <c r="D2" t="s">
        <v>138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M2" t="s">
        <v>29</v>
      </c>
      <c r="N2" s="19"/>
      <c r="S2" t="s">
        <v>145</v>
      </c>
      <c r="T2">
        <v>8.8000000000000007</v>
      </c>
    </row>
    <row r="3" spans="1:22" x14ac:dyDescent="0.25">
      <c r="A3" s="18">
        <v>1</v>
      </c>
      <c r="B3" t="s">
        <v>2</v>
      </c>
      <c r="C3">
        <v>1</v>
      </c>
      <c r="D3" s="4">
        <f>N4</f>
        <v>40447000</v>
      </c>
      <c r="E3">
        <v>403</v>
      </c>
      <c r="F3">
        <v>7.3</v>
      </c>
      <c r="G3">
        <v>0</v>
      </c>
      <c r="H3">
        <v>0</v>
      </c>
      <c r="I3">
        <v>0</v>
      </c>
      <c r="J3">
        <v>0</v>
      </c>
      <c r="M3" t="s">
        <v>71</v>
      </c>
      <c r="N3" s="19" t="s">
        <v>72</v>
      </c>
      <c r="P3" t="s">
        <v>136</v>
      </c>
      <c r="S3" t="s">
        <v>143</v>
      </c>
      <c r="T3">
        <f>7*T2/50000</f>
        <v>1.2320000000000002E-3</v>
      </c>
    </row>
    <row r="4" spans="1:22" x14ac:dyDescent="0.25">
      <c r="A4" s="18">
        <v>2</v>
      </c>
      <c r="B4" t="s">
        <v>6</v>
      </c>
      <c r="C4">
        <v>1</v>
      </c>
      <c r="D4" s="4">
        <f t="shared" ref="D4:D10" si="0">N5</f>
        <v>7961250</v>
      </c>
      <c r="E4">
        <v>410</v>
      </c>
      <c r="F4">
        <v>18.5</v>
      </c>
      <c r="G4">
        <v>406</v>
      </c>
      <c r="H4">
        <v>14.2</v>
      </c>
      <c r="I4">
        <v>408</v>
      </c>
      <c r="J4">
        <v>10</v>
      </c>
      <c r="M4" s="11" t="s">
        <v>73</v>
      </c>
      <c r="N4" s="20">
        <v>40447000</v>
      </c>
      <c r="S4" t="s">
        <v>144</v>
      </c>
      <c r="T4">
        <f>1015*T3/50000</f>
        <v>2.5009600000000005E-5</v>
      </c>
    </row>
    <row r="5" spans="1:22" x14ac:dyDescent="0.25">
      <c r="A5" s="18">
        <v>3</v>
      </c>
      <c r="B5" t="s">
        <v>7</v>
      </c>
      <c r="C5">
        <v>1</v>
      </c>
      <c r="D5" s="4">
        <f t="shared" si="0"/>
        <v>10002000</v>
      </c>
      <c r="E5">
        <v>411</v>
      </c>
      <c r="F5">
        <v>18.899999999999999</v>
      </c>
      <c r="G5">
        <v>410</v>
      </c>
      <c r="H5">
        <v>13.5</v>
      </c>
      <c r="I5">
        <v>413</v>
      </c>
      <c r="J5">
        <v>9.1999999999999993</v>
      </c>
      <c r="M5" t="s">
        <v>76</v>
      </c>
      <c r="N5" s="20">
        <v>7961250</v>
      </c>
      <c r="P5" t="s">
        <v>139</v>
      </c>
    </row>
    <row r="6" spans="1:22" x14ac:dyDescent="0.25">
      <c r="A6" s="18">
        <v>4</v>
      </c>
      <c r="B6" t="s">
        <v>8</v>
      </c>
      <c r="C6">
        <v>1</v>
      </c>
      <c r="D6" s="4">
        <f t="shared" si="0"/>
        <v>1504250</v>
      </c>
      <c r="E6">
        <v>408</v>
      </c>
      <c r="F6">
        <v>18.3</v>
      </c>
      <c r="G6">
        <v>413</v>
      </c>
      <c r="H6">
        <v>16.3</v>
      </c>
      <c r="I6">
        <v>413</v>
      </c>
      <c r="J6">
        <v>13.8</v>
      </c>
      <c r="M6" t="s">
        <v>78</v>
      </c>
      <c r="N6" s="20">
        <v>10002000</v>
      </c>
      <c r="P6" t="s">
        <v>140</v>
      </c>
      <c r="Q6" t="s">
        <v>147</v>
      </c>
      <c r="R6" t="s">
        <v>148</v>
      </c>
      <c r="S6" t="s">
        <v>141</v>
      </c>
      <c r="T6" t="s">
        <v>142</v>
      </c>
    </row>
    <row r="7" spans="1:22" x14ac:dyDescent="0.25">
      <c r="A7" s="18">
        <v>5</v>
      </c>
      <c r="B7" t="s">
        <v>9</v>
      </c>
      <c r="C7">
        <v>1</v>
      </c>
      <c r="D7" s="4">
        <f t="shared" si="0"/>
        <v>2955250</v>
      </c>
      <c r="E7">
        <v>403</v>
      </c>
      <c r="F7">
        <v>14.1</v>
      </c>
      <c r="G7">
        <v>0</v>
      </c>
      <c r="H7">
        <v>0</v>
      </c>
      <c r="I7">
        <v>0</v>
      </c>
      <c r="J7">
        <v>0</v>
      </c>
      <c r="M7" t="s">
        <v>80</v>
      </c>
      <c r="N7" s="20">
        <v>1504250</v>
      </c>
      <c r="P7">
        <v>0</v>
      </c>
      <c r="Q7">
        <f>P7*$T$4/3000</f>
        <v>0</v>
      </c>
      <c r="R7">
        <f>Q7*1000000000</f>
        <v>0</v>
      </c>
      <c r="S7">
        <v>0</v>
      </c>
      <c r="T7">
        <v>0</v>
      </c>
    </row>
    <row r="8" spans="1:22" x14ac:dyDescent="0.25">
      <c r="A8" s="18">
        <v>6</v>
      </c>
      <c r="B8" t="s">
        <v>10</v>
      </c>
      <c r="C8">
        <v>1</v>
      </c>
      <c r="D8" s="4">
        <f t="shared" si="0"/>
        <v>1728250</v>
      </c>
      <c r="E8">
        <v>401</v>
      </c>
      <c r="F8">
        <v>10.8</v>
      </c>
      <c r="G8">
        <v>0</v>
      </c>
      <c r="H8">
        <v>0</v>
      </c>
      <c r="I8">
        <v>0</v>
      </c>
      <c r="J8">
        <v>0</v>
      </c>
      <c r="M8" t="s">
        <v>82</v>
      </c>
      <c r="N8" s="20">
        <v>2955250</v>
      </c>
      <c r="P8">
        <v>20</v>
      </c>
      <c r="Q8">
        <f t="shared" ref="Q8:Q11" si="1">P8*$T$4/3000</f>
        <v>1.667306666666667E-7</v>
      </c>
      <c r="R8">
        <f t="shared" ref="R8:R12" si="2">Q8*1000000000</f>
        <v>166.73066666666671</v>
      </c>
      <c r="S8">
        <v>413</v>
      </c>
      <c r="T8">
        <v>7.5</v>
      </c>
    </row>
    <row r="9" spans="1:22" x14ac:dyDescent="0.25">
      <c r="A9" s="18">
        <v>7</v>
      </c>
      <c r="B9" t="s">
        <v>11</v>
      </c>
      <c r="C9">
        <v>1</v>
      </c>
      <c r="D9" s="4">
        <f t="shared" si="0"/>
        <v>49877000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M9" t="s">
        <v>84</v>
      </c>
      <c r="N9" s="20">
        <v>1728250</v>
      </c>
      <c r="P9">
        <v>40</v>
      </c>
      <c r="Q9">
        <f t="shared" si="1"/>
        <v>3.3346133333333339E-7</v>
      </c>
      <c r="R9">
        <f t="shared" si="2"/>
        <v>333.46133333333341</v>
      </c>
      <c r="S9">
        <v>408</v>
      </c>
      <c r="T9">
        <v>14.4</v>
      </c>
    </row>
    <row r="10" spans="1:22" x14ac:dyDescent="0.25">
      <c r="A10" s="18">
        <v>8</v>
      </c>
      <c r="B10" t="s">
        <v>12</v>
      </c>
      <c r="C10">
        <v>1</v>
      </c>
      <c r="D10" s="4">
        <f t="shared" si="0"/>
        <v>2611500</v>
      </c>
      <c r="E10">
        <v>0</v>
      </c>
      <c r="F10">
        <v>0</v>
      </c>
      <c r="G10">
        <v>405</v>
      </c>
      <c r="H10">
        <v>5.5</v>
      </c>
      <c r="I10">
        <v>0</v>
      </c>
      <c r="J10">
        <v>0</v>
      </c>
      <c r="M10" t="s">
        <v>86</v>
      </c>
      <c r="N10" s="20">
        <v>49877000</v>
      </c>
      <c r="P10">
        <v>60</v>
      </c>
      <c r="Q10">
        <f t="shared" si="1"/>
        <v>5.001920000000002E-7</v>
      </c>
      <c r="R10">
        <f t="shared" si="2"/>
        <v>500.19200000000018</v>
      </c>
      <c r="S10">
        <v>403</v>
      </c>
      <c r="T10">
        <v>20.5</v>
      </c>
    </row>
    <row r="11" spans="1:22" x14ac:dyDescent="0.25">
      <c r="A11" s="18" t="s">
        <v>30</v>
      </c>
      <c r="E11">
        <v>410</v>
      </c>
      <c r="F11">
        <v>15.8</v>
      </c>
      <c r="G11">
        <v>0</v>
      </c>
      <c r="H11">
        <v>0</v>
      </c>
      <c r="M11" t="s">
        <v>88</v>
      </c>
      <c r="N11" s="20">
        <v>2611500</v>
      </c>
      <c r="P11">
        <v>80</v>
      </c>
      <c r="Q11">
        <f t="shared" si="1"/>
        <v>6.6692266666666679E-7</v>
      </c>
      <c r="R11">
        <f t="shared" si="2"/>
        <v>666.92266666666683</v>
      </c>
      <c r="S11">
        <v>403</v>
      </c>
      <c r="T11">
        <v>26.1</v>
      </c>
    </row>
    <row r="12" spans="1:22" x14ac:dyDescent="0.25">
      <c r="A12" s="18" t="s">
        <v>31</v>
      </c>
      <c r="E12">
        <v>406</v>
      </c>
      <c r="F12">
        <v>16</v>
      </c>
      <c r="G12">
        <v>0</v>
      </c>
      <c r="H12">
        <v>0</v>
      </c>
      <c r="M12" s="11" t="s">
        <v>90</v>
      </c>
      <c r="N12" s="20">
        <v>32773000</v>
      </c>
      <c r="P12">
        <v>3</v>
      </c>
      <c r="Q12">
        <f>P12*$T$3/3000</f>
        <v>1.2320000000000002E-6</v>
      </c>
      <c r="R12">
        <f t="shared" si="2"/>
        <v>1232.0000000000002</v>
      </c>
      <c r="S12">
        <v>410</v>
      </c>
      <c r="T12">
        <v>37.4</v>
      </c>
    </row>
    <row r="13" spans="1:22" x14ac:dyDescent="0.25">
      <c r="A13" s="18">
        <v>1</v>
      </c>
      <c r="B13" t="s">
        <v>2</v>
      </c>
      <c r="C13">
        <v>2</v>
      </c>
      <c r="D13" s="4">
        <f>N12</f>
        <v>32773000</v>
      </c>
      <c r="E13">
        <v>411</v>
      </c>
      <c r="F13">
        <v>6.5</v>
      </c>
      <c r="G13">
        <v>0</v>
      </c>
      <c r="H13">
        <v>0</v>
      </c>
      <c r="I13">
        <v>0</v>
      </c>
      <c r="J13">
        <v>0</v>
      </c>
      <c r="M13" t="s">
        <v>92</v>
      </c>
      <c r="N13" s="20">
        <v>118000</v>
      </c>
    </row>
    <row r="14" spans="1:22" x14ac:dyDescent="0.25">
      <c r="A14" s="18">
        <v>2</v>
      </c>
      <c r="B14" t="s">
        <v>6</v>
      </c>
      <c r="C14">
        <v>2</v>
      </c>
      <c r="D14" s="4">
        <f t="shared" ref="D14:D20" si="3">N13</f>
        <v>118000</v>
      </c>
      <c r="E14">
        <v>406</v>
      </c>
      <c r="F14">
        <v>16.899999999999999</v>
      </c>
      <c r="G14">
        <v>408</v>
      </c>
      <c r="H14">
        <v>13.8</v>
      </c>
      <c r="I14">
        <v>410</v>
      </c>
      <c r="J14">
        <v>11.2</v>
      </c>
      <c r="M14" t="s">
        <v>94</v>
      </c>
      <c r="N14" s="20">
        <v>10811250</v>
      </c>
    </row>
    <row r="15" spans="1:22" x14ac:dyDescent="0.25">
      <c r="A15" s="18">
        <v>3</v>
      </c>
      <c r="B15" t="s">
        <v>7</v>
      </c>
      <c r="C15">
        <v>2</v>
      </c>
      <c r="D15" s="4">
        <f t="shared" si="3"/>
        <v>10811250</v>
      </c>
      <c r="E15">
        <v>409</v>
      </c>
      <c r="F15">
        <v>17.399999999999999</v>
      </c>
      <c r="G15">
        <v>405</v>
      </c>
      <c r="H15">
        <v>12.5</v>
      </c>
      <c r="I15">
        <v>410</v>
      </c>
      <c r="J15">
        <v>8.3000000000000007</v>
      </c>
      <c r="M15" t="s">
        <v>96</v>
      </c>
      <c r="N15" s="20">
        <v>43750</v>
      </c>
      <c r="P15" t="s">
        <v>71</v>
      </c>
      <c r="Q15" s="19" t="s">
        <v>72</v>
      </c>
      <c r="T15" t="s">
        <v>171</v>
      </c>
      <c r="U15" t="s">
        <v>172</v>
      </c>
      <c r="V15" t="s">
        <v>173</v>
      </c>
    </row>
    <row r="16" spans="1:22" x14ac:dyDescent="0.25">
      <c r="A16" s="18">
        <v>4</v>
      </c>
      <c r="B16" t="s">
        <v>8</v>
      </c>
      <c r="C16">
        <v>2</v>
      </c>
      <c r="D16" s="4">
        <f t="shared" si="3"/>
        <v>43750</v>
      </c>
      <c r="E16">
        <v>408</v>
      </c>
      <c r="F16">
        <v>16.8</v>
      </c>
      <c r="G16">
        <v>405</v>
      </c>
      <c r="H16">
        <v>15.3</v>
      </c>
      <c r="I16">
        <v>408</v>
      </c>
      <c r="J16">
        <v>14.7</v>
      </c>
      <c r="M16" t="s">
        <v>98</v>
      </c>
      <c r="N16" s="20">
        <v>4025000</v>
      </c>
      <c r="P16" s="11" t="s">
        <v>73</v>
      </c>
      <c r="Q16" s="20">
        <v>40447000</v>
      </c>
      <c r="R16" s="11" t="s">
        <v>90</v>
      </c>
      <c r="S16" s="20">
        <v>32773000</v>
      </c>
      <c r="T16" s="4">
        <f>AVERAGE(Q16,S16)</f>
        <v>36610000</v>
      </c>
      <c r="U16">
        <f>STDEV(Q16,S16)</f>
        <v>5426337.4388255654</v>
      </c>
      <c r="V16" s="5">
        <f>U16/T16</f>
        <v>0.14822008846833012</v>
      </c>
    </row>
    <row r="17" spans="1:22" x14ac:dyDescent="0.25">
      <c r="A17" s="18">
        <v>5</v>
      </c>
      <c r="B17" t="s">
        <v>9</v>
      </c>
      <c r="C17">
        <v>2</v>
      </c>
      <c r="D17" s="4">
        <f t="shared" si="3"/>
        <v>4025000</v>
      </c>
      <c r="E17">
        <v>408</v>
      </c>
      <c r="F17">
        <v>12.8</v>
      </c>
      <c r="G17">
        <v>0</v>
      </c>
      <c r="H17">
        <v>0</v>
      </c>
      <c r="I17">
        <v>0</v>
      </c>
      <c r="J17">
        <v>0</v>
      </c>
      <c r="M17" t="s">
        <v>100</v>
      </c>
      <c r="N17" s="20">
        <v>1490750</v>
      </c>
      <c r="P17" s="24" t="s">
        <v>76</v>
      </c>
      <c r="Q17" s="25">
        <v>7961250</v>
      </c>
      <c r="R17" s="24" t="s">
        <v>92</v>
      </c>
      <c r="S17" s="25">
        <v>118000</v>
      </c>
      <c r="T17" s="26">
        <f t="shared" ref="T17:T23" si="4">AVERAGE(Q17,S17)</f>
        <v>4039625</v>
      </c>
      <c r="U17" s="24">
        <f t="shared" ref="U17:U23" si="5">STDEV(Q17,S17)</f>
        <v>5546015.2615413889</v>
      </c>
      <c r="V17" s="27">
        <f t="shared" ref="V17:V23" si="6">U17/T17</f>
        <v>1.3729034901856951</v>
      </c>
    </row>
    <row r="18" spans="1:22" x14ac:dyDescent="0.25">
      <c r="A18" s="18">
        <v>6</v>
      </c>
      <c r="B18" t="s">
        <v>10</v>
      </c>
      <c r="C18">
        <v>2</v>
      </c>
      <c r="D18" s="4">
        <f t="shared" si="3"/>
        <v>1490750</v>
      </c>
      <c r="E18">
        <v>411</v>
      </c>
      <c r="F18">
        <v>9.5</v>
      </c>
      <c r="G18">
        <v>0</v>
      </c>
      <c r="H18">
        <v>0</v>
      </c>
      <c r="I18">
        <v>0</v>
      </c>
      <c r="J18">
        <v>0</v>
      </c>
      <c r="M18" t="s">
        <v>102</v>
      </c>
      <c r="N18" s="20">
        <v>13036000</v>
      </c>
      <c r="P18" t="s">
        <v>78</v>
      </c>
      <c r="Q18" s="20">
        <v>10002000</v>
      </c>
      <c r="R18" t="s">
        <v>94</v>
      </c>
      <c r="S18" s="20">
        <v>10811250</v>
      </c>
      <c r="T18" s="4">
        <f t="shared" si="4"/>
        <v>10406625</v>
      </c>
      <c r="U18">
        <f t="shared" si="5"/>
        <v>572226.16267521353</v>
      </c>
      <c r="V18" s="5">
        <f t="shared" si="6"/>
        <v>5.4986718813756962E-2</v>
      </c>
    </row>
    <row r="19" spans="1:22" x14ac:dyDescent="0.25">
      <c r="A19" s="18">
        <v>7</v>
      </c>
      <c r="B19" t="s">
        <v>11</v>
      </c>
      <c r="C19">
        <v>2</v>
      </c>
      <c r="D19" s="4">
        <f t="shared" si="3"/>
        <v>13036000</v>
      </c>
      <c r="E19">
        <v>408</v>
      </c>
      <c r="F19">
        <v>16.399999999999999</v>
      </c>
      <c r="G19">
        <v>405</v>
      </c>
      <c r="H19">
        <v>11.2</v>
      </c>
      <c r="I19">
        <v>409</v>
      </c>
      <c r="J19">
        <v>7.9</v>
      </c>
      <c r="M19" t="s">
        <v>104</v>
      </c>
      <c r="N19" s="20">
        <v>3590750</v>
      </c>
      <c r="P19" s="24" t="s">
        <v>80</v>
      </c>
      <c r="Q19" s="25">
        <v>1504250</v>
      </c>
      <c r="R19" s="24" t="s">
        <v>96</v>
      </c>
      <c r="S19" s="25">
        <v>43750</v>
      </c>
      <c r="T19" s="26">
        <f t="shared" si="4"/>
        <v>774000</v>
      </c>
      <c r="U19" s="24">
        <f t="shared" si="5"/>
        <v>1032729.4539229526</v>
      </c>
      <c r="V19" s="27">
        <f t="shared" si="6"/>
        <v>1.3342757802622127</v>
      </c>
    </row>
    <row r="20" spans="1:22" x14ac:dyDescent="0.25">
      <c r="A20" s="18">
        <v>8</v>
      </c>
      <c r="B20" t="s">
        <v>12</v>
      </c>
      <c r="C20">
        <v>2</v>
      </c>
      <c r="D20" s="4">
        <f t="shared" si="3"/>
        <v>3590750</v>
      </c>
      <c r="E20">
        <v>413</v>
      </c>
      <c r="F20">
        <v>12.4</v>
      </c>
      <c r="G20">
        <v>408</v>
      </c>
      <c r="H20">
        <v>5.5</v>
      </c>
      <c r="I20">
        <v>0</v>
      </c>
      <c r="J20">
        <v>0</v>
      </c>
      <c r="M20" t="s">
        <v>32</v>
      </c>
      <c r="N20" s="20">
        <v>24000</v>
      </c>
      <c r="P20" t="s">
        <v>82</v>
      </c>
      <c r="Q20" s="20">
        <v>2955250</v>
      </c>
      <c r="R20" t="s">
        <v>98</v>
      </c>
      <c r="S20" s="20">
        <v>4025000</v>
      </c>
      <c r="T20" s="4">
        <f t="shared" si="4"/>
        <v>3490125</v>
      </c>
      <c r="U20">
        <f t="shared" si="5"/>
        <v>756427.47917430918</v>
      </c>
      <c r="V20" s="5">
        <f t="shared" si="6"/>
        <v>0.2167336353781911</v>
      </c>
    </row>
    <row r="21" spans="1:22" x14ac:dyDescent="0.25">
      <c r="A21" s="18" t="s">
        <v>36</v>
      </c>
      <c r="E21">
        <v>403</v>
      </c>
      <c r="F21">
        <v>18</v>
      </c>
      <c r="G21">
        <v>406</v>
      </c>
      <c r="H21">
        <v>18.3</v>
      </c>
      <c r="I21">
        <v>411</v>
      </c>
      <c r="J21">
        <v>18.100000000000001</v>
      </c>
      <c r="M21" t="s">
        <v>107</v>
      </c>
      <c r="N21" s="20">
        <v>15000</v>
      </c>
      <c r="P21" t="s">
        <v>84</v>
      </c>
      <c r="Q21" s="20">
        <v>1728250</v>
      </c>
      <c r="R21" t="s">
        <v>100</v>
      </c>
      <c r="S21" s="20">
        <v>1490750</v>
      </c>
      <c r="T21" s="4">
        <f t="shared" si="4"/>
        <v>1609500</v>
      </c>
      <c r="U21">
        <f t="shared" si="5"/>
        <v>167937.86053180502</v>
      </c>
      <c r="V21" s="5">
        <f t="shared" si="6"/>
        <v>0.10434163437825723</v>
      </c>
    </row>
    <row r="22" spans="1:22" x14ac:dyDescent="0.25">
      <c r="A22" s="18" t="s">
        <v>35</v>
      </c>
      <c r="E22">
        <v>408</v>
      </c>
      <c r="F22">
        <v>18.399999999999999</v>
      </c>
      <c r="G22">
        <v>411</v>
      </c>
      <c r="H22">
        <v>17.100000000000001</v>
      </c>
      <c r="I22">
        <v>408</v>
      </c>
      <c r="J22">
        <v>18</v>
      </c>
      <c r="N22" s="19"/>
      <c r="P22" s="24" t="s">
        <v>86</v>
      </c>
      <c r="Q22" s="25">
        <v>49877000</v>
      </c>
      <c r="R22" s="24" t="s">
        <v>102</v>
      </c>
      <c r="S22" s="25">
        <v>13036000</v>
      </c>
      <c r="T22" s="26">
        <f t="shared" si="4"/>
        <v>31456500</v>
      </c>
      <c r="U22" s="24">
        <f t="shared" si="5"/>
        <v>26050520.925693598</v>
      </c>
      <c r="V22" s="27">
        <f t="shared" si="6"/>
        <v>0.82814429213973573</v>
      </c>
    </row>
    <row r="23" spans="1:22" x14ac:dyDescent="0.25">
      <c r="A23" s="18" t="s">
        <v>33</v>
      </c>
      <c r="E23">
        <v>0</v>
      </c>
      <c r="F23">
        <v>0</v>
      </c>
      <c r="N23" s="19"/>
      <c r="P23" t="s">
        <v>88</v>
      </c>
      <c r="Q23" s="20">
        <v>2611500</v>
      </c>
      <c r="R23" t="s">
        <v>104</v>
      </c>
      <c r="S23" s="20">
        <v>3590750</v>
      </c>
      <c r="T23" s="4">
        <f t="shared" si="4"/>
        <v>3101125</v>
      </c>
      <c r="U23">
        <f t="shared" si="5"/>
        <v>692434.31547692663</v>
      </c>
      <c r="V23" s="5">
        <f t="shared" si="6"/>
        <v>0.22328487741607533</v>
      </c>
    </row>
    <row r="24" spans="1:22" x14ac:dyDescent="0.25">
      <c r="A24" s="18" t="s">
        <v>34</v>
      </c>
      <c r="E24">
        <v>0</v>
      </c>
      <c r="F24">
        <v>0</v>
      </c>
      <c r="N24" s="19"/>
    </row>
    <row r="25" spans="1:22" ht="15.75" thickBot="1" x14ac:dyDescent="0.3">
      <c r="A25" s="21" t="s">
        <v>37</v>
      </c>
      <c r="B25" s="22"/>
      <c r="C25" s="22"/>
      <c r="D25" s="22"/>
      <c r="E25" s="22">
        <v>0</v>
      </c>
      <c r="F25" s="22">
        <v>0</v>
      </c>
      <c r="G25" s="22"/>
      <c r="H25" s="22"/>
      <c r="I25" s="22"/>
      <c r="J25" s="22"/>
      <c r="K25" s="22"/>
      <c r="L25" s="22"/>
      <c r="M25" s="22"/>
      <c r="N25" s="23"/>
    </row>
    <row r="26" spans="1:22" x14ac:dyDescent="0.25">
      <c r="C26" t="s">
        <v>149</v>
      </c>
      <c r="D26" t="s">
        <v>150</v>
      </c>
    </row>
    <row r="27" spans="1:22" x14ac:dyDescent="0.25">
      <c r="C27">
        <v>0</v>
      </c>
      <c r="D27" s="14">
        <f>(F1-$B$1)</f>
        <v>4.0277777777777801E-2</v>
      </c>
      <c r="E27" s="14">
        <f>H1-$B$1</f>
        <v>7.1527777777777801E-2</v>
      </c>
      <c r="F27" s="14">
        <f>J1-$B$1</f>
        <v>0.10069444444444442</v>
      </c>
    </row>
    <row r="28" spans="1:22" x14ac:dyDescent="0.25">
      <c r="C28" s="5">
        <f>C27*24</f>
        <v>0</v>
      </c>
      <c r="D28" s="5">
        <f t="shared" ref="D28:F28" si="7">D27*24</f>
        <v>0.96666666666666723</v>
      </c>
      <c r="E28" s="5">
        <f t="shared" si="7"/>
        <v>1.7166666666666672</v>
      </c>
      <c r="F28" s="5">
        <f t="shared" si="7"/>
        <v>2.4166666666666661</v>
      </c>
      <c r="G28" t="s">
        <v>197</v>
      </c>
      <c r="H28" t="s">
        <v>156</v>
      </c>
      <c r="I28" t="s">
        <v>157</v>
      </c>
      <c r="J28" t="s">
        <v>158</v>
      </c>
      <c r="K28" s="24" t="s">
        <v>182</v>
      </c>
      <c r="L28" s="24" t="s">
        <v>185</v>
      </c>
    </row>
    <row r="29" spans="1:22" x14ac:dyDescent="0.25">
      <c r="A29" t="s">
        <v>151</v>
      </c>
      <c r="B29" t="str">
        <f t="shared" ref="B29:B36" si="8">B3&amp;"_"&amp;C3</f>
        <v>DSS-3_1</v>
      </c>
      <c r="C29">
        <f>AVERAGE($D$48:$F$49)</f>
        <v>445.13201320132015</v>
      </c>
      <c r="D29">
        <f t="shared" ref="D29:D36" si="9">F3/0.0404</f>
        <v>180.69306930693071</v>
      </c>
      <c r="E29">
        <f t="shared" ref="E29:E36" si="10">H3/0.0404</f>
        <v>0</v>
      </c>
      <c r="F29" s="24">
        <f t="shared" ref="F29:F36" si="11">J3/0.0404</f>
        <v>0</v>
      </c>
      <c r="G29">
        <f>SLOPE(C29:E29,$C$28:$E$28)</f>
        <v>-259.97216236187933</v>
      </c>
      <c r="H29" s="4">
        <f t="shared" ref="H29:H36" si="12">D3</f>
        <v>40447000</v>
      </c>
      <c r="I29" s="4">
        <f>H29*1000</f>
        <v>40447000000</v>
      </c>
      <c r="J29" s="4">
        <f>G29/I29</f>
        <v>-6.4274770035325072E-9</v>
      </c>
      <c r="K29" s="4"/>
      <c r="L29" s="4"/>
      <c r="M29" s="4"/>
    </row>
    <row r="30" spans="1:22" x14ac:dyDescent="0.25">
      <c r="A30" t="s">
        <v>151</v>
      </c>
      <c r="B30" t="str">
        <f t="shared" si="8"/>
        <v>nitzch_1</v>
      </c>
      <c r="C30">
        <f t="shared" ref="C30:C49" si="13">AVERAGE($D$48:$F$49)</f>
        <v>445.13201320132015</v>
      </c>
      <c r="D30">
        <f t="shared" si="9"/>
        <v>457.92079207920796</v>
      </c>
      <c r="E30">
        <f t="shared" si="10"/>
        <v>351.48514851485146</v>
      </c>
      <c r="F30">
        <f t="shared" si="11"/>
        <v>247.52475247524754</v>
      </c>
      <c r="G30">
        <f>SLOPE(C30:F30,$C$28:$F$28)</f>
        <v>-84.153930536724403</v>
      </c>
      <c r="H30" s="4">
        <f t="shared" si="12"/>
        <v>7961250</v>
      </c>
      <c r="I30" s="4">
        <f t="shared" ref="I30:I46" si="14">H30*1000</f>
        <v>7961250000</v>
      </c>
      <c r="J30" s="4">
        <f t="shared" ref="J30:J46" si="15">G30/I30</f>
        <v>-1.0570441895019552E-8</v>
      </c>
      <c r="K30" s="4"/>
      <c r="L30" s="4"/>
      <c r="M30" s="4"/>
    </row>
    <row r="31" spans="1:22" x14ac:dyDescent="0.25">
      <c r="A31" t="s">
        <v>154</v>
      </c>
      <c r="B31" t="str">
        <f t="shared" si="8"/>
        <v>HP15_1</v>
      </c>
      <c r="C31">
        <f t="shared" si="13"/>
        <v>445.13201320132015</v>
      </c>
      <c r="D31">
        <f t="shared" si="9"/>
        <v>467.8217821782178</v>
      </c>
      <c r="E31">
        <f t="shared" si="10"/>
        <v>334.15841584158414</v>
      </c>
      <c r="F31">
        <f t="shared" si="11"/>
        <v>227.7227722772277</v>
      </c>
      <c r="G31">
        <f t="shared" ref="G31:G32" si="16">SLOPE(C31:F31,$C$28:$F$28)</f>
        <v>-94.502169606036475</v>
      </c>
      <c r="H31" s="4">
        <f t="shared" si="12"/>
        <v>10002000</v>
      </c>
      <c r="I31" s="4">
        <f t="shared" si="14"/>
        <v>10002000000</v>
      </c>
      <c r="J31" s="4">
        <f t="shared" si="15"/>
        <v>-9.4483272951446183E-9</v>
      </c>
      <c r="K31" s="4"/>
      <c r="L31" s="4"/>
      <c r="M31" s="4"/>
    </row>
    <row r="32" spans="1:22" x14ac:dyDescent="0.25">
      <c r="A32" t="s">
        <v>153</v>
      </c>
      <c r="B32" t="str">
        <f t="shared" si="8"/>
        <v>HOT5_F3_1</v>
      </c>
      <c r="C32">
        <f t="shared" si="13"/>
        <v>445.13201320132015</v>
      </c>
      <c r="D32">
        <f t="shared" si="9"/>
        <v>452.97029702970303</v>
      </c>
      <c r="E32">
        <f t="shared" si="10"/>
        <v>403.46534653465352</v>
      </c>
      <c r="F32">
        <f t="shared" si="11"/>
        <v>341.58415841584161</v>
      </c>
      <c r="G32">
        <f t="shared" si="16"/>
        <v>-43.19028201033926</v>
      </c>
      <c r="H32" s="4">
        <f t="shared" si="12"/>
        <v>1504250</v>
      </c>
      <c r="I32" s="4">
        <f t="shared" si="14"/>
        <v>1504250000</v>
      </c>
      <c r="J32" s="4">
        <f t="shared" si="15"/>
        <v>-2.8712170191350679E-8</v>
      </c>
      <c r="K32" s="4"/>
      <c r="L32" s="4"/>
      <c r="M32" s="4"/>
    </row>
    <row r="33" spans="1:20" x14ac:dyDescent="0.25">
      <c r="A33" t="s">
        <v>152</v>
      </c>
      <c r="B33" t="str">
        <f t="shared" si="8"/>
        <v>1A3_1</v>
      </c>
      <c r="C33">
        <f t="shared" si="13"/>
        <v>445.13201320132015</v>
      </c>
      <c r="D33">
        <f t="shared" si="9"/>
        <v>349.00990099009903</v>
      </c>
      <c r="E33">
        <f t="shared" si="10"/>
        <v>0</v>
      </c>
      <c r="F33" s="24">
        <f t="shared" si="11"/>
        <v>0</v>
      </c>
      <c r="G33">
        <f t="shared" ref="G33:G49" si="17">SLOPE(C33:E33,$C$28:$E$28)</f>
        <v>-251.76569100840567</v>
      </c>
      <c r="H33" s="4">
        <f t="shared" si="12"/>
        <v>2955250</v>
      </c>
      <c r="I33" s="4">
        <f t="shared" si="14"/>
        <v>2955250000</v>
      </c>
      <c r="J33" s="4">
        <f t="shared" si="15"/>
        <v>-8.5192687931107575E-8</v>
      </c>
      <c r="K33" s="4"/>
      <c r="L33" s="4"/>
      <c r="M33" s="4"/>
      <c r="T33" t="s">
        <v>177</v>
      </c>
    </row>
    <row r="34" spans="1:20" x14ac:dyDescent="0.25">
      <c r="A34" t="s">
        <v>154</v>
      </c>
      <c r="B34" t="str">
        <f t="shared" si="8"/>
        <v>Pgall_1</v>
      </c>
      <c r="C34">
        <f t="shared" si="13"/>
        <v>445.13201320132015</v>
      </c>
      <c r="D34">
        <f t="shared" si="9"/>
        <v>267.32673267326737</v>
      </c>
      <c r="E34">
        <f t="shared" si="10"/>
        <v>0</v>
      </c>
      <c r="F34" s="24">
        <f t="shared" si="11"/>
        <v>0</v>
      </c>
      <c r="G34">
        <f t="shared" si="17"/>
        <v>-255.74824328288554</v>
      </c>
      <c r="H34" s="4">
        <f t="shared" si="12"/>
        <v>1728250</v>
      </c>
      <c r="I34" s="4">
        <f t="shared" si="14"/>
        <v>1728250000</v>
      </c>
      <c r="J34" s="4">
        <f t="shared" si="15"/>
        <v>-1.4798104630862753E-7</v>
      </c>
      <c r="K34" s="4"/>
      <c r="L34" s="4"/>
      <c r="M34" s="4"/>
    </row>
    <row r="35" spans="1:20" x14ac:dyDescent="0.25">
      <c r="A35" t="s">
        <v>153</v>
      </c>
      <c r="B35" t="str">
        <f t="shared" si="8"/>
        <v>HOT5_C3_1</v>
      </c>
      <c r="C35">
        <f t="shared" si="13"/>
        <v>445.13201320132015</v>
      </c>
      <c r="D35">
        <f t="shared" si="9"/>
        <v>0</v>
      </c>
      <c r="E35" s="24">
        <f t="shared" si="10"/>
        <v>0</v>
      </c>
      <c r="F35" s="24">
        <f t="shared" si="11"/>
        <v>0</v>
      </c>
      <c r="G35">
        <f>SLOPE(C35:D35,$C$28:$D$28)</f>
        <v>-460.48139296688265</v>
      </c>
      <c r="H35" s="4">
        <f t="shared" si="12"/>
        <v>49877000</v>
      </c>
      <c r="I35" s="4">
        <f t="shared" si="14"/>
        <v>49877000000</v>
      </c>
      <c r="J35" s="4">
        <f t="shared" si="15"/>
        <v>-9.2323394142968228E-9</v>
      </c>
      <c r="K35" s="26">
        <f>I45*10</f>
        <v>130360000000</v>
      </c>
      <c r="L35" s="26">
        <f>G35/K35</f>
        <v>-3.5323825787579214E-9</v>
      </c>
      <c r="M35" s="26" t="s">
        <v>184</v>
      </c>
    </row>
    <row r="36" spans="1:20" x14ac:dyDescent="0.25">
      <c r="A36" t="s">
        <v>152</v>
      </c>
      <c r="B36" t="str">
        <f t="shared" si="8"/>
        <v>CIP_1</v>
      </c>
      <c r="C36">
        <f t="shared" si="13"/>
        <v>445.13201320132015</v>
      </c>
      <c r="D36" s="24">
        <f t="shared" si="9"/>
        <v>0</v>
      </c>
      <c r="E36">
        <f t="shared" si="10"/>
        <v>136.13861386138615</v>
      </c>
      <c r="F36">
        <f t="shared" si="11"/>
        <v>0</v>
      </c>
      <c r="G36">
        <f>SLOPE(O36:R36,$C$28:$F$28)</f>
        <v>-183.40310885990095</v>
      </c>
      <c r="H36" s="4">
        <f t="shared" si="12"/>
        <v>2611500</v>
      </c>
      <c r="I36" s="4">
        <f t="shared" si="14"/>
        <v>2611500000</v>
      </c>
      <c r="J36" s="4">
        <f t="shared" si="15"/>
        <v>-7.0229028856940819E-8</v>
      </c>
      <c r="K36" s="4"/>
      <c r="L36" s="4"/>
      <c r="M36" s="4"/>
      <c r="N36" t="s">
        <v>155</v>
      </c>
      <c r="O36">
        <v>445.13201320132015</v>
      </c>
      <c r="P36" s="24"/>
      <c r="Q36">
        <v>136.13861386138615</v>
      </c>
      <c r="R36">
        <v>0</v>
      </c>
    </row>
    <row r="37" spans="1:20" x14ac:dyDescent="0.25">
      <c r="I37" s="4"/>
      <c r="J37" s="4"/>
      <c r="K37" s="4"/>
      <c r="L37" s="4"/>
      <c r="M37" s="4"/>
    </row>
    <row r="38" spans="1:20" x14ac:dyDescent="0.25">
      <c r="I38" s="4"/>
      <c r="J38" s="4"/>
      <c r="K38" s="4"/>
      <c r="L38" s="4"/>
      <c r="M38" s="4"/>
    </row>
    <row r="39" spans="1:20" x14ac:dyDescent="0.25">
      <c r="B39" t="str">
        <f t="shared" ref="B39:B46" si="18">B13&amp;"_"&amp;C13</f>
        <v>DSS-3_2</v>
      </c>
      <c r="C39">
        <f t="shared" si="13"/>
        <v>445.13201320132015</v>
      </c>
      <c r="D39">
        <f t="shared" ref="D39:D46" si="19">F13/0.0404</f>
        <v>160.8910891089109</v>
      </c>
      <c r="E39">
        <f t="shared" ref="E39:E46" si="20">H13/0.0404</f>
        <v>0</v>
      </c>
      <c r="F39" s="24">
        <f t="shared" ref="F39:F46" si="21">J13/0.0404</f>
        <v>0</v>
      </c>
      <c r="G39">
        <f t="shared" si="17"/>
        <v>-260.93762957993505</v>
      </c>
      <c r="H39" s="4">
        <f t="shared" ref="H39:H46" si="22">D13</f>
        <v>32773000</v>
      </c>
      <c r="I39" s="4">
        <f t="shared" si="14"/>
        <v>32773000000</v>
      </c>
      <c r="J39" s="4">
        <f t="shared" si="15"/>
        <v>-7.9619695963120573E-9</v>
      </c>
      <c r="K39" s="4"/>
      <c r="L39" s="4"/>
      <c r="M39" s="4"/>
    </row>
    <row r="40" spans="1:20" x14ac:dyDescent="0.25">
      <c r="B40" t="str">
        <f t="shared" si="18"/>
        <v>nitzch_2</v>
      </c>
      <c r="C40">
        <f t="shared" si="13"/>
        <v>445.13201320132015</v>
      </c>
      <c r="D40">
        <f t="shared" si="19"/>
        <v>418.31683168316829</v>
      </c>
      <c r="E40">
        <f t="shared" si="20"/>
        <v>341.58415841584161</v>
      </c>
      <c r="F40">
        <f t="shared" si="21"/>
        <v>277.22772277227722</v>
      </c>
      <c r="G40">
        <f>SLOPE(C40:F40,$C$28:$F$28)</f>
        <v>-71.184991913636111</v>
      </c>
      <c r="H40" s="4">
        <f t="shared" si="22"/>
        <v>118000</v>
      </c>
      <c r="I40" s="4">
        <f t="shared" si="14"/>
        <v>118000000</v>
      </c>
      <c r="J40" s="4">
        <f t="shared" si="15"/>
        <v>-6.032626433358992E-7</v>
      </c>
      <c r="K40" s="26">
        <f>I30</f>
        <v>7961250000</v>
      </c>
      <c r="L40" s="26">
        <f>G40/K40</f>
        <v>-8.9414340604347451E-9</v>
      </c>
      <c r="M40" s="26" t="s">
        <v>183</v>
      </c>
    </row>
    <row r="41" spans="1:20" x14ac:dyDescent="0.25">
      <c r="B41" t="str">
        <f t="shared" si="18"/>
        <v>HP15_2</v>
      </c>
      <c r="C41">
        <f t="shared" si="13"/>
        <v>445.13201320132015</v>
      </c>
      <c r="D41">
        <f t="shared" si="19"/>
        <v>430.69306930693068</v>
      </c>
      <c r="E41">
        <f t="shared" si="20"/>
        <v>309.40594059405942</v>
      </c>
      <c r="F41">
        <f t="shared" si="21"/>
        <v>205.44554455445547</v>
      </c>
      <c r="G41">
        <f t="shared" ref="G41:G42" si="23">SLOPE(C41:F41,$C$28:$F$28)</f>
        <v>-102.24252427831446</v>
      </c>
      <c r="H41" s="4">
        <f t="shared" si="22"/>
        <v>10811250</v>
      </c>
      <c r="I41" s="4">
        <f t="shared" si="14"/>
        <v>10811250000</v>
      </c>
      <c r="J41" s="4">
        <f t="shared" si="15"/>
        <v>-9.4570493031161489E-9</v>
      </c>
      <c r="K41" s="4"/>
      <c r="L41" s="4"/>
      <c r="M41" s="4"/>
    </row>
    <row r="42" spans="1:20" x14ac:dyDescent="0.25">
      <c r="B42" t="str">
        <f t="shared" si="18"/>
        <v>HOT5_F3_2</v>
      </c>
      <c r="C42">
        <f t="shared" si="13"/>
        <v>445.13201320132015</v>
      </c>
      <c r="D42">
        <f t="shared" si="19"/>
        <v>415.84158415841586</v>
      </c>
      <c r="E42">
        <f t="shared" si="20"/>
        <v>378.71287128712873</v>
      </c>
      <c r="F42">
        <f t="shared" si="21"/>
        <v>363.86138613861385</v>
      </c>
      <c r="G42">
        <f t="shared" si="23"/>
        <v>-35.129548419506733</v>
      </c>
      <c r="H42" s="4">
        <f t="shared" si="22"/>
        <v>43750</v>
      </c>
      <c r="I42" s="4">
        <f t="shared" si="14"/>
        <v>43750000</v>
      </c>
      <c r="J42" s="4">
        <f t="shared" si="15"/>
        <v>-8.0296110673158249E-7</v>
      </c>
      <c r="K42" s="26">
        <f>I32</f>
        <v>1504250000</v>
      </c>
      <c r="L42" s="26">
        <f>G42/K42</f>
        <v>-2.3353530609610592E-8</v>
      </c>
      <c r="M42" s="26" t="s">
        <v>183</v>
      </c>
    </row>
    <row r="43" spans="1:20" x14ac:dyDescent="0.25">
      <c r="B43" t="str">
        <f t="shared" si="18"/>
        <v>1A3_2</v>
      </c>
      <c r="C43">
        <f t="shared" si="13"/>
        <v>445.13201320132015</v>
      </c>
      <c r="D43">
        <f t="shared" si="19"/>
        <v>316.83168316831689</v>
      </c>
      <c r="E43">
        <f t="shared" si="20"/>
        <v>0</v>
      </c>
      <c r="F43" s="24">
        <f t="shared" si="21"/>
        <v>0</v>
      </c>
      <c r="G43">
        <f t="shared" si="17"/>
        <v>-253.33457523774624</v>
      </c>
      <c r="H43" s="4">
        <f t="shared" si="22"/>
        <v>4025000</v>
      </c>
      <c r="I43" s="4">
        <f t="shared" si="14"/>
        <v>4025000000</v>
      </c>
      <c r="J43" s="4">
        <f t="shared" si="15"/>
        <v>-6.2940267139812723E-8</v>
      </c>
      <c r="K43" s="4"/>
      <c r="L43" s="4"/>
      <c r="M43" s="4"/>
    </row>
    <row r="44" spans="1:20" x14ac:dyDescent="0.25">
      <c r="B44" t="str">
        <f t="shared" si="18"/>
        <v>Pgall_2</v>
      </c>
      <c r="C44">
        <f t="shared" si="13"/>
        <v>445.13201320132015</v>
      </c>
      <c r="D44">
        <f t="shared" si="19"/>
        <v>235.14851485148515</v>
      </c>
      <c r="E44">
        <f t="shared" si="20"/>
        <v>0</v>
      </c>
      <c r="F44" s="24">
        <f t="shared" si="21"/>
        <v>0</v>
      </c>
      <c r="G44">
        <f t="shared" si="17"/>
        <v>-257.31712751222608</v>
      </c>
      <c r="H44" s="4">
        <f t="shared" si="22"/>
        <v>1490750</v>
      </c>
      <c r="I44" s="4">
        <f t="shared" si="14"/>
        <v>1490750000</v>
      </c>
      <c r="J44" s="4">
        <f t="shared" si="15"/>
        <v>-1.7260917492015836E-7</v>
      </c>
      <c r="K44" s="4"/>
      <c r="L44" s="4"/>
      <c r="M44" s="4"/>
    </row>
    <row r="45" spans="1:20" x14ac:dyDescent="0.25">
      <c r="B45" t="str">
        <f t="shared" si="18"/>
        <v>HOT5_C3_2</v>
      </c>
      <c r="C45">
        <f t="shared" si="13"/>
        <v>445.13201320132015</v>
      </c>
      <c r="D45">
        <f t="shared" si="19"/>
        <v>405.9405940594059</v>
      </c>
      <c r="E45">
        <f t="shared" si="20"/>
        <v>277.22772277227722</v>
      </c>
      <c r="F45">
        <f t="shared" si="21"/>
        <v>195.54455445544556</v>
      </c>
      <c r="G45">
        <f>SLOPE(C45:F45,$C$28:$F$28)</f>
        <v>-107.7978947260504</v>
      </c>
      <c r="H45" s="4">
        <f t="shared" si="22"/>
        <v>13036000</v>
      </c>
      <c r="I45" s="4">
        <f t="shared" si="14"/>
        <v>13036000000</v>
      </c>
      <c r="J45" s="4">
        <f t="shared" si="15"/>
        <v>-8.2692462968740715E-9</v>
      </c>
      <c r="K45" s="4"/>
      <c r="L45" s="4"/>
      <c r="M45" s="4"/>
    </row>
    <row r="46" spans="1:20" x14ac:dyDescent="0.25">
      <c r="B46" t="str">
        <f t="shared" si="18"/>
        <v>CIP_2</v>
      </c>
      <c r="C46">
        <f t="shared" si="13"/>
        <v>445.13201320132015</v>
      </c>
      <c r="D46">
        <f t="shared" si="19"/>
        <v>306.93069306930693</v>
      </c>
      <c r="E46">
        <f t="shared" si="20"/>
        <v>136.13861386138615</v>
      </c>
      <c r="F46">
        <f t="shared" si="21"/>
        <v>0</v>
      </c>
      <c r="G46">
        <f t="shared" si="17"/>
        <v>-178.25093235664352</v>
      </c>
      <c r="H46" s="4">
        <f t="shared" si="22"/>
        <v>3590750</v>
      </c>
      <c r="I46" s="4">
        <f t="shared" si="14"/>
        <v>3590750000</v>
      </c>
      <c r="J46" s="4">
        <f t="shared" si="15"/>
        <v>-4.9641699465750472E-8</v>
      </c>
      <c r="K46" s="4"/>
      <c r="L46" s="4"/>
      <c r="M46" s="4"/>
    </row>
    <row r="48" spans="1:20" x14ac:dyDescent="0.25">
      <c r="B48" t="s">
        <v>32</v>
      </c>
      <c r="C48">
        <f t="shared" si="13"/>
        <v>445.13201320132015</v>
      </c>
      <c r="D48">
        <f>F21/0.0404</f>
        <v>445.54455445544556</v>
      </c>
      <c r="E48">
        <f>H21/0.0404</f>
        <v>452.97029702970303</v>
      </c>
      <c r="F48">
        <f>J21/0.0404</f>
        <v>448.01980198019805</v>
      </c>
      <c r="G48">
        <f t="shared" si="17"/>
        <v>4.3709052740503695</v>
      </c>
    </row>
    <row r="49" spans="1:11" x14ac:dyDescent="0.25">
      <c r="B49" t="s">
        <v>107</v>
      </c>
      <c r="C49">
        <f t="shared" si="13"/>
        <v>445.13201320132015</v>
      </c>
      <c r="D49">
        <f>F22/0.0404</f>
        <v>455.44554455445541</v>
      </c>
      <c r="E49">
        <f>H22/0.0404</f>
        <v>423.26732673267333</v>
      </c>
      <c r="F49">
        <f>J22/0.0404</f>
        <v>445.54455445544556</v>
      </c>
      <c r="G49">
        <f t="shared" si="17"/>
        <v>-11.633570532950257</v>
      </c>
    </row>
    <row r="51" spans="1:11" x14ac:dyDescent="0.25">
      <c r="A51" t="s">
        <v>181</v>
      </c>
    </row>
    <row r="52" spans="1:11" x14ac:dyDescent="0.25">
      <c r="C52" t="s">
        <v>159</v>
      </c>
      <c r="D52" t="s">
        <v>160</v>
      </c>
      <c r="E52" t="s">
        <v>175</v>
      </c>
      <c r="F52" t="s">
        <v>176</v>
      </c>
      <c r="G52" t="s">
        <v>169</v>
      </c>
      <c r="H52" t="s">
        <v>170</v>
      </c>
      <c r="I52" t="s">
        <v>174</v>
      </c>
    </row>
    <row r="53" spans="1:11" x14ac:dyDescent="0.25">
      <c r="A53" t="s">
        <v>152</v>
      </c>
      <c r="B53" t="s">
        <v>165</v>
      </c>
      <c r="C53" s="4">
        <f>J33</f>
        <v>-8.5192687931107575E-8</v>
      </c>
      <c r="D53" s="4">
        <f>J43</f>
        <v>-6.2940267139812723E-8</v>
      </c>
      <c r="E53" s="4">
        <f>ABS(C53)</f>
        <v>8.5192687931107575E-8</v>
      </c>
      <c r="F53" s="4">
        <f>ABS(D53)</f>
        <v>6.2940267139812723E-8</v>
      </c>
      <c r="G53" s="4">
        <f t="shared" ref="G53:G60" si="24">ABS(AVERAGE(C53:D53))</f>
        <v>7.4066477535460142E-8</v>
      </c>
      <c r="H53">
        <f>STDEV(C53:D53)</f>
        <v>1.573483763934111E-8</v>
      </c>
      <c r="I53" s="5">
        <f>H53/G53</f>
        <v>0.2124420947628822</v>
      </c>
    </row>
    <row r="54" spans="1:11" x14ac:dyDescent="0.25">
      <c r="A54" t="s">
        <v>152</v>
      </c>
      <c r="B54" t="s">
        <v>168</v>
      </c>
      <c r="C54" s="4">
        <f>J36</f>
        <v>-7.0229028856940819E-8</v>
      </c>
      <c r="D54" s="4">
        <f>J46</f>
        <v>-4.9641699465750472E-8</v>
      </c>
      <c r="E54" s="4">
        <f t="shared" ref="E54:E60" si="25">ABS(C54)</f>
        <v>7.0229028856940819E-8</v>
      </c>
      <c r="F54" s="4">
        <f t="shared" ref="F54:F60" si="26">ABS(D54)</f>
        <v>4.9641699465750472E-8</v>
      </c>
      <c r="G54" s="4">
        <f t="shared" si="24"/>
        <v>5.9935364161345652E-8</v>
      </c>
      <c r="H54">
        <f t="shared" ref="H54:H60" si="27">STDEV(C54:D54)</f>
        <v>1.4557440219031812E-8</v>
      </c>
      <c r="I54" s="5">
        <f t="shared" ref="I54:I60" si="28">H54/G54</f>
        <v>0.24288565561799655</v>
      </c>
    </row>
    <row r="55" spans="1:11" x14ac:dyDescent="0.25">
      <c r="A55" s="24" t="s">
        <v>151</v>
      </c>
      <c r="B55" s="24" t="s">
        <v>161</v>
      </c>
      <c r="C55" s="26">
        <f>J29</f>
        <v>-6.4274770035325072E-9</v>
      </c>
      <c r="D55" s="26">
        <f>J39</f>
        <v>-7.9619695963120573E-9</v>
      </c>
      <c r="E55" s="4">
        <f t="shared" si="25"/>
        <v>6.4274770035325072E-9</v>
      </c>
      <c r="F55" s="4">
        <f t="shared" si="26"/>
        <v>7.9619695963120573E-9</v>
      </c>
      <c r="G55" s="26">
        <f t="shared" si="24"/>
        <v>7.1947232999222818E-9</v>
      </c>
      <c r="H55">
        <f t="shared" si="27"/>
        <v>1.0850501180349473E-9</v>
      </c>
      <c r="I55" s="27">
        <f t="shared" si="28"/>
        <v>0.15081193157861514</v>
      </c>
    </row>
    <row r="56" spans="1:11" x14ac:dyDescent="0.25">
      <c r="A56" t="s">
        <v>151</v>
      </c>
      <c r="B56" t="s">
        <v>162</v>
      </c>
      <c r="C56" s="4">
        <f t="shared" ref="C56" si="29">J30</f>
        <v>-1.0570441895019552E-8</v>
      </c>
      <c r="D56" s="4">
        <f t="shared" ref="D56" si="30">J40</f>
        <v>-6.032626433358992E-7</v>
      </c>
      <c r="E56" s="4">
        <f t="shared" si="25"/>
        <v>1.0570441895019552E-8</v>
      </c>
      <c r="F56" s="4">
        <f t="shared" si="26"/>
        <v>6.032626433358992E-7</v>
      </c>
      <c r="G56" s="4">
        <f t="shared" si="24"/>
        <v>3.0691654261545938E-7</v>
      </c>
      <c r="H56">
        <f t="shared" si="27"/>
        <v>4.190966747952292E-7</v>
      </c>
      <c r="I56" s="5">
        <f t="shared" si="28"/>
        <v>1.3655069590703752</v>
      </c>
      <c r="J56" s="24" t="s">
        <v>179</v>
      </c>
    </row>
    <row r="57" spans="1:11" x14ac:dyDescent="0.25">
      <c r="A57" t="s">
        <v>153</v>
      </c>
      <c r="B57" t="s">
        <v>164</v>
      </c>
      <c r="C57" s="4">
        <f>J32</f>
        <v>-2.8712170191350679E-8</v>
      </c>
      <c r="D57" s="4">
        <f>J42</f>
        <v>-8.0296110673158249E-7</v>
      </c>
      <c r="E57" s="4">
        <f t="shared" si="25"/>
        <v>2.8712170191350679E-8</v>
      </c>
      <c r="F57" s="4">
        <f t="shared" si="26"/>
        <v>8.0296110673158249E-7</v>
      </c>
      <c r="G57" s="4">
        <f t="shared" si="24"/>
        <v>4.158366384614666E-7</v>
      </c>
      <c r="H57">
        <f t="shared" si="27"/>
        <v>5.4747667335407081E-7</v>
      </c>
      <c r="I57" s="5">
        <f t="shared" si="28"/>
        <v>1.3165667060498869</v>
      </c>
      <c r="J57" s="24" t="s">
        <v>179</v>
      </c>
    </row>
    <row r="58" spans="1:11" x14ac:dyDescent="0.25">
      <c r="A58" t="s">
        <v>153</v>
      </c>
      <c r="B58" t="s">
        <v>167</v>
      </c>
      <c r="C58" s="4">
        <f>J35</f>
        <v>-9.2323394142968228E-9</v>
      </c>
      <c r="D58" s="4">
        <f>J45</f>
        <v>-8.2692462968740715E-9</v>
      </c>
      <c r="E58" s="4">
        <f t="shared" si="25"/>
        <v>9.2323394142968228E-9</v>
      </c>
      <c r="F58" s="4">
        <f t="shared" si="26"/>
        <v>8.2692462968740715E-9</v>
      </c>
      <c r="G58" s="4">
        <f t="shared" si="24"/>
        <v>8.7507928555854471E-9</v>
      </c>
      <c r="H58">
        <f t="shared" si="27"/>
        <v>6.8100967424371942E-10</v>
      </c>
      <c r="I58" s="5">
        <f t="shared" si="28"/>
        <v>7.7822625387486494E-2</v>
      </c>
      <c r="J58" s="24" t="s">
        <v>180</v>
      </c>
    </row>
    <row r="59" spans="1:11" x14ac:dyDescent="0.25">
      <c r="A59" t="s">
        <v>154</v>
      </c>
      <c r="B59" t="s">
        <v>166</v>
      </c>
      <c r="C59" s="4">
        <f>J34</f>
        <v>-1.4798104630862753E-7</v>
      </c>
      <c r="D59" s="4">
        <f>J44</f>
        <v>-1.7260917492015836E-7</v>
      </c>
      <c r="E59" s="4">
        <f t="shared" si="25"/>
        <v>1.4798104630862753E-7</v>
      </c>
      <c r="F59" s="4">
        <f t="shared" si="26"/>
        <v>1.7260917492015836E-7</v>
      </c>
      <c r="G59" s="4">
        <f t="shared" si="24"/>
        <v>1.6029511061439294E-7</v>
      </c>
      <c r="H59">
        <f t="shared" si="27"/>
        <v>1.7414716749147881E-8</v>
      </c>
      <c r="I59" s="5">
        <f t="shared" si="28"/>
        <v>0.10864159663011087</v>
      </c>
    </row>
    <row r="60" spans="1:11" x14ac:dyDescent="0.25">
      <c r="A60" t="s">
        <v>154</v>
      </c>
      <c r="B60" t="s">
        <v>163</v>
      </c>
      <c r="C60" s="26">
        <f>J31</f>
        <v>-9.4483272951446183E-9</v>
      </c>
      <c r="D60" s="26">
        <f>J41</f>
        <v>-9.4570493031161489E-9</v>
      </c>
      <c r="E60" s="4">
        <f t="shared" si="25"/>
        <v>9.4483272951446183E-9</v>
      </c>
      <c r="F60" s="4">
        <f t="shared" si="26"/>
        <v>9.4570493031161489E-9</v>
      </c>
      <c r="G60" s="26">
        <f t="shared" si="24"/>
        <v>9.4526882991303836E-9</v>
      </c>
      <c r="H60">
        <f t="shared" si="27"/>
        <v>6.1673909822324345E-12</v>
      </c>
      <c r="I60" s="27">
        <f t="shared" si="28"/>
        <v>6.5244836040979101E-4</v>
      </c>
    </row>
    <row r="62" spans="1:11" x14ac:dyDescent="0.25">
      <c r="A62" t="s">
        <v>187</v>
      </c>
    </row>
    <row r="63" spans="1:11" x14ac:dyDescent="0.25">
      <c r="A63">
        <f t="shared" ref="A63:I63" si="31">A52</f>
        <v>0</v>
      </c>
      <c r="B63">
        <f t="shared" si="31"/>
        <v>0</v>
      </c>
      <c r="C63" t="str">
        <f t="shared" si="31"/>
        <v>Rep1</v>
      </c>
      <c r="D63" t="str">
        <f t="shared" si="31"/>
        <v>Rep2</v>
      </c>
      <c r="E63" t="str">
        <f t="shared" si="31"/>
        <v>Rep 1 abs</v>
      </c>
      <c r="F63" t="str">
        <f t="shared" si="31"/>
        <v>Rep 2 abs</v>
      </c>
      <c r="G63" t="str">
        <f t="shared" si="31"/>
        <v>Avg</v>
      </c>
      <c r="H63" t="str">
        <f t="shared" si="31"/>
        <v>SD</v>
      </c>
      <c r="I63" t="str">
        <f t="shared" si="31"/>
        <v>COV</v>
      </c>
      <c r="J63" t="s">
        <v>198</v>
      </c>
      <c r="K63" t="s">
        <v>199</v>
      </c>
    </row>
    <row r="64" spans="1:11" x14ac:dyDescent="0.25">
      <c r="A64" t="str">
        <f t="shared" ref="A64:I64" si="32">A53</f>
        <v>Strong</v>
      </c>
      <c r="B64" t="str">
        <f t="shared" si="32"/>
        <v>1A3_1</v>
      </c>
      <c r="C64" s="4">
        <f t="shared" si="32"/>
        <v>-8.5192687931107575E-8</v>
      </c>
      <c r="D64" s="4">
        <f t="shared" si="32"/>
        <v>-6.2940267139812723E-8</v>
      </c>
      <c r="E64" s="4">
        <f t="shared" si="32"/>
        <v>8.5192687931107575E-8</v>
      </c>
      <c r="F64" s="4">
        <f t="shared" si="32"/>
        <v>6.2940267139812723E-8</v>
      </c>
      <c r="G64" s="4">
        <f t="shared" si="32"/>
        <v>7.4066477535460142E-8</v>
      </c>
      <c r="H64">
        <f t="shared" si="32"/>
        <v>1.573483763934111E-8</v>
      </c>
      <c r="I64" s="5">
        <f t="shared" si="32"/>
        <v>0.2124420947628822</v>
      </c>
      <c r="J64" s="34">
        <f>G64*1000000</f>
        <v>7.406647753546014E-2</v>
      </c>
      <c r="K64" s="34">
        <f>H64*1000000</f>
        <v>1.5734837639341109E-2</v>
      </c>
    </row>
    <row r="65" spans="1:17" x14ac:dyDescent="0.25">
      <c r="A65" t="str">
        <f t="shared" ref="A65:I65" si="33">A54</f>
        <v>Strong</v>
      </c>
      <c r="B65" t="str">
        <f t="shared" si="33"/>
        <v>CIP_1</v>
      </c>
      <c r="C65" s="4">
        <f t="shared" si="33"/>
        <v>-7.0229028856940819E-8</v>
      </c>
      <c r="D65" s="4">
        <f t="shared" si="33"/>
        <v>-4.9641699465750472E-8</v>
      </c>
      <c r="E65" s="4">
        <f t="shared" si="33"/>
        <v>7.0229028856940819E-8</v>
      </c>
      <c r="F65" s="4">
        <f t="shared" si="33"/>
        <v>4.9641699465750472E-8</v>
      </c>
      <c r="G65" s="4">
        <f t="shared" si="33"/>
        <v>5.9935364161345652E-8</v>
      </c>
      <c r="H65">
        <f t="shared" si="33"/>
        <v>1.4557440219031812E-8</v>
      </c>
      <c r="I65" s="5">
        <f t="shared" si="33"/>
        <v>0.24288565561799655</v>
      </c>
      <c r="J65" s="34">
        <f t="shared" ref="J65:J71" si="34">G65*1000000</f>
        <v>5.993536416134565E-2</v>
      </c>
      <c r="K65" s="34">
        <f t="shared" ref="K65:K71" si="35">H65*1000000</f>
        <v>1.4557440219031811E-2</v>
      </c>
    </row>
    <row r="66" spans="1:17" x14ac:dyDescent="0.25">
      <c r="A66" t="str">
        <f t="shared" ref="A66:I66" si="36">A55</f>
        <v>Sustained</v>
      </c>
      <c r="B66" t="str">
        <f t="shared" si="36"/>
        <v>DSS-3_1</v>
      </c>
      <c r="C66" s="4">
        <f t="shared" si="36"/>
        <v>-6.4274770035325072E-9</v>
      </c>
      <c r="D66" s="4">
        <f t="shared" si="36"/>
        <v>-7.9619695963120573E-9</v>
      </c>
      <c r="E66" s="4">
        <f t="shared" si="36"/>
        <v>6.4274770035325072E-9</v>
      </c>
      <c r="F66" s="4">
        <f t="shared" si="36"/>
        <v>7.9619695963120573E-9</v>
      </c>
      <c r="G66" s="4">
        <f t="shared" si="36"/>
        <v>7.1947232999222818E-9</v>
      </c>
      <c r="H66">
        <f t="shared" si="36"/>
        <v>1.0850501180349473E-9</v>
      </c>
      <c r="I66" s="5">
        <f t="shared" si="36"/>
        <v>0.15081193157861514</v>
      </c>
      <c r="J66" s="34">
        <f t="shared" si="34"/>
        <v>7.1947232999222815E-3</v>
      </c>
      <c r="K66" s="34">
        <f t="shared" si="35"/>
        <v>1.0850501180349472E-3</v>
      </c>
    </row>
    <row r="67" spans="1:17" x14ac:dyDescent="0.25">
      <c r="A67" t="str">
        <f t="shared" ref="A67:E67" si="37">A56</f>
        <v>Sustained</v>
      </c>
      <c r="B67" t="str">
        <f t="shared" si="37"/>
        <v>nitzch_1</v>
      </c>
      <c r="C67" s="4">
        <f t="shared" si="37"/>
        <v>-1.0570441895019552E-8</v>
      </c>
      <c r="D67" s="26">
        <f>L40</f>
        <v>-8.9414340604347451E-9</v>
      </c>
      <c r="E67" s="4">
        <f t="shared" si="37"/>
        <v>1.0570441895019552E-8</v>
      </c>
      <c r="F67" s="26">
        <f>ABS(D67)</f>
        <v>8.9414340604347451E-9</v>
      </c>
      <c r="G67" s="26">
        <f>ABS(AVERAGE(C67:D67))</f>
        <v>9.7559379777271478E-9</v>
      </c>
      <c r="H67" s="24">
        <f>STDEV(C67:D67)</f>
        <v>1.1518824864409308E-9</v>
      </c>
      <c r="I67" s="27">
        <f t="shared" ref="I67" si="38">H67/G67</f>
        <v>0.1180698861627333</v>
      </c>
      <c r="J67" s="34">
        <f t="shared" si="34"/>
        <v>9.7559379777271485E-3</v>
      </c>
      <c r="K67" s="34">
        <f t="shared" si="35"/>
        <v>1.1518824864409308E-3</v>
      </c>
      <c r="L67" s="24" t="s">
        <v>186</v>
      </c>
      <c r="Q67" t="s">
        <v>178</v>
      </c>
    </row>
    <row r="68" spans="1:17" x14ac:dyDescent="0.25">
      <c r="A68" t="str">
        <f t="shared" ref="A68:E68" si="39">A57</f>
        <v>Weak</v>
      </c>
      <c r="B68" t="str">
        <f t="shared" si="39"/>
        <v>HOT5_F3_1</v>
      </c>
      <c r="C68" s="4">
        <f t="shared" si="39"/>
        <v>-2.8712170191350679E-8</v>
      </c>
      <c r="D68" s="26">
        <f>L42</f>
        <v>-2.3353530609610592E-8</v>
      </c>
      <c r="E68" s="4">
        <f t="shared" si="39"/>
        <v>2.8712170191350679E-8</v>
      </c>
      <c r="F68" s="26">
        <f>ABS(D68)</f>
        <v>2.3353530609610592E-8</v>
      </c>
      <c r="G68" s="26">
        <f>ABS(AVERAGE(C68:D68))</f>
        <v>2.6032850400480636E-8</v>
      </c>
      <c r="H68" s="24">
        <f t="shared" ref="H68:H69" si="40">STDEV(C68:D68)</f>
        <v>3.7891303861830599E-9</v>
      </c>
      <c r="I68" s="27">
        <f t="shared" ref="I68" si="41">H68/G68</f>
        <v>0.14555188263645161</v>
      </c>
      <c r="J68" s="34">
        <f t="shared" si="34"/>
        <v>2.6032850400480635E-2</v>
      </c>
      <c r="K68" s="34">
        <f t="shared" si="35"/>
        <v>3.7891303861830599E-3</v>
      </c>
      <c r="L68" s="24" t="s">
        <v>186</v>
      </c>
    </row>
    <row r="69" spans="1:17" x14ac:dyDescent="0.25">
      <c r="A69" t="str">
        <f t="shared" ref="A69:I69" si="42">A58</f>
        <v>Weak</v>
      </c>
      <c r="B69" t="str">
        <f t="shared" si="42"/>
        <v>HOT5_C3_1</v>
      </c>
      <c r="C69" s="26">
        <f>L35</f>
        <v>-3.5323825787579214E-9</v>
      </c>
      <c r="D69" s="4">
        <f t="shared" si="42"/>
        <v>-8.2692462968740715E-9</v>
      </c>
      <c r="E69" s="26">
        <f>ABS(D69)</f>
        <v>8.2692462968740715E-9</v>
      </c>
      <c r="F69" s="4">
        <f t="shared" si="42"/>
        <v>8.2692462968740715E-9</v>
      </c>
      <c r="G69" s="26">
        <f>ABS(AVERAGE(C69:D69))</f>
        <v>5.9008144378159966E-9</v>
      </c>
      <c r="H69" s="24">
        <f t="shared" si="40"/>
        <v>3.3494684566364526E-9</v>
      </c>
      <c r="I69" s="5">
        <f t="shared" si="42"/>
        <v>7.7822625387486494E-2</v>
      </c>
      <c r="J69" s="34">
        <f t="shared" si="34"/>
        <v>5.9008144378159969E-3</v>
      </c>
      <c r="K69" s="34">
        <f t="shared" si="35"/>
        <v>3.3494684566364526E-3</v>
      </c>
      <c r="L69" s="24" t="s">
        <v>186</v>
      </c>
    </row>
    <row r="70" spans="1:17" x14ac:dyDescent="0.25">
      <c r="A70" t="str">
        <f t="shared" ref="A70:I70" si="43">A59</f>
        <v>Inhibited</v>
      </c>
      <c r="B70" t="str">
        <f t="shared" si="43"/>
        <v>Pgall_1</v>
      </c>
      <c r="C70" s="4">
        <f t="shared" si="43"/>
        <v>-1.4798104630862753E-7</v>
      </c>
      <c r="D70" s="4">
        <f t="shared" si="43"/>
        <v>-1.7260917492015836E-7</v>
      </c>
      <c r="E70" s="4">
        <f t="shared" si="43"/>
        <v>1.4798104630862753E-7</v>
      </c>
      <c r="F70" s="4">
        <f t="shared" si="43"/>
        <v>1.7260917492015836E-7</v>
      </c>
      <c r="G70" s="4">
        <f t="shared" si="43"/>
        <v>1.6029511061439294E-7</v>
      </c>
      <c r="H70">
        <f t="shared" si="43"/>
        <v>1.7414716749147881E-8</v>
      </c>
      <c r="I70" s="5">
        <f t="shared" si="43"/>
        <v>0.10864159663011087</v>
      </c>
      <c r="J70" s="34">
        <f t="shared" si="34"/>
        <v>0.16029511061439294</v>
      </c>
      <c r="K70" s="34">
        <f t="shared" si="35"/>
        <v>1.7414716749147879E-2</v>
      </c>
    </row>
    <row r="71" spans="1:17" x14ac:dyDescent="0.25">
      <c r="A71" t="str">
        <f t="shared" ref="A71:I71" si="44">A60</f>
        <v>Inhibited</v>
      </c>
      <c r="B71" t="str">
        <f t="shared" si="44"/>
        <v>HP15_1</v>
      </c>
      <c r="C71" s="28">
        <f t="shared" si="44"/>
        <v>-9.4483272951446183E-9</v>
      </c>
      <c r="D71" s="28">
        <f t="shared" si="44"/>
        <v>-9.4570493031161489E-9</v>
      </c>
      <c r="E71" s="28">
        <f t="shared" si="44"/>
        <v>9.4483272951446183E-9</v>
      </c>
      <c r="F71" s="28">
        <f t="shared" si="44"/>
        <v>9.4570493031161489E-9</v>
      </c>
      <c r="G71" s="28">
        <f t="shared" si="44"/>
        <v>9.4526882991303836E-9</v>
      </c>
      <c r="H71" s="29">
        <f t="shared" si="44"/>
        <v>6.1673909822324345E-12</v>
      </c>
      <c r="I71" s="30">
        <f t="shared" si="44"/>
        <v>6.5244836040979101E-4</v>
      </c>
      <c r="J71" s="34">
        <f t="shared" si="34"/>
        <v>9.4526882991303844E-3</v>
      </c>
      <c r="K71" s="34">
        <f t="shared" si="35"/>
        <v>6.1673909822324344E-6</v>
      </c>
    </row>
    <row r="74" spans="1:17" x14ac:dyDescent="0.25">
      <c r="A74" t="s">
        <v>188</v>
      </c>
      <c r="J74">
        <f t="shared" ref="J74" si="45">J62</f>
        <v>0</v>
      </c>
    </row>
    <row r="75" spans="1:17" x14ac:dyDescent="0.25">
      <c r="A75">
        <f t="shared" ref="A75:J75" si="46">A63</f>
        <v>0</v>
      </c>
      <c r="B75">
        <f t="shared" si="46"/>
        <v>0</v>
      </c>
      <c r="C75" t="str">
        <f t="shared" si="46"/>
        <v>Rep1</v>
      </c>
      <c r="D75" t="str">
        <f t="shared" si="46"/>
        <v>Rep2</v>
      </c>
      <c r="E75" t="str">
        <f t="shared" si="46"/>
        <v>Rep 1 abs</v>
      </c>
      <c r="F75" t="str">
        <f t="shared" si="46"/>
        <v>Rep 2 abs</v>
      </c>
      <c r="G75" t="str">
        <f t="shared" si="46"/>
        <v>Avg</v>
      </c>
      <c r="H75" t="str">
        <f t="shared" si="46"/>
        <v>SD</v>
      </c>
      <c r="I75" t="str">
        <f t="shared" si="46"/>
        <v>COV</v>
      </c>
      <c r="J75" t="str">
        <f t="shared" si="46"/>
        <v>avg fmoles cell-1 h-1</v>
      </c>
    </row>
    <row r="76" spans="1:17" x14ac:dyDescent="0.25">
      <c r="A76" t="str">
        <f t="shared" ref="A76:F76" si="47">A64</f>
        <v>Strong</v>
      </c>
      <c r="B76" t="str">
        <f t="shared" si="47"/>
        <v>1A3_1</v>
      </c>
      <c r="C76">
        <f t="shared" si="47"/>
        <v>-8.5192687931107575E-8</v>
      </c>
      <c r="D76">
        <f t="shared" si="47"/>
        <v>-6.2940267139812723E-8</v>
      </c>
      <c r="E76">
        <f t="shared" si="47"/>
        <v>8.5192687931107575E-8</v>
      </c>
      <c r="F76">
        <f t="shared" si="47"/>
        <v>6.2940267139812723E-8</v>
      </c>
      <c r="G76" s="26">
        <f>ABS(AVERAGE(C76:D76))</f>
        <v>7.4066477535460142E-8</v>
      </c>
      <c r="H76">
        <f t="shared" ref="H76" si="48">STDEV(C76:D76)</f>
        <v>1.573483763934111E-8</v>
      </c>
      <c r="I76" s="5">
        <f>H76/G76</f>
        <v>0.2124420947628822</v>
      </c>
      <c r="J76">
        <f t="shared" ref="J76:J83" si="49">L64</f>
        <v>0</v>
      </c>
    </row>
    <row r="77" spans="1:17" x14ac:dyDescent="0.25">
      <c r="A77" t="str">
        <f t="shared" ref="A77:F77" si="50">A65</f>
        <v>Strong</v>
      </c>
      <c r="B77" t="str">
        <f t="shared" si="50"/>
        <v>CIP_1</v>
      </c>
      <c r="C77">
        <f t="shared" si="50"/>
        <v>-7.0229028856940819E-8</v>
      </c>
      <c r="D77">
        <f t="shared" si="50"/>
        <v>-4.9641699465750472E-8</v>
      </c>
      <c r="E77">
        <f t="shared" si="50"/>
        <v>7.0229028856940819E-8</v>
      </c>
      <c r="F77">
        <f t="shared" si="50"/>
        <v>4.9641699465750472E-8</v>
      </c>
      <c r="G77" s="26">
        <f t="shared" ref="G77:G83" si="51">ABS(AVERAGE(C77:D77))</f>
        <v>5.9935364161345652E-8</v>
      </c>
      <c r="H77">
        <f t="shared" ref="H77:H83" si="52">STDEV(C77:D77)</f>
        <v>1.4557440219031812E-8</v>
      </c>
      <c r="I77" s="5">
        <f t="shared" ref="I77:I83" si="53">H77/G77</f>
        <v>0.24288565561799655</v>
      </c>
      <c r="J77">
        <f t="shared" si="49"/>
        <v>0</v>
      </c>
    </row>
    <row r="78" spans="1:17" x14ac:dyDescent="0.25">
      <c r="A78" t="str">
        <f t="shared" ref="A78:F78" si="54">A66</f>
        <v>Sustained</v>
      </c>
      <c r="B78" t="str">
        <f t="shared" si="54"/>
        <v>DSS-3_1</v>
      </c>
      <c r="C78">
        <f t="shared" si="54"/>
        <v>-6.4274770035325072E-9</v>
      </c>
      <c r="D78">
        <f t="shared" si="54"/>
        <v>-7.9619695963120573E-9</v>
      </c>
      <c r="E78">
        <f t="shared" si="54"/>
        <v>6.4274770035325072E-9</v>
      </c>
      <c r="F78">
        <f t="shared" si="54"/>
        <v>7.9619695963120573E-9</v>
      </c>
      <c r="G78" s="26">
        <f t="shared" si="51"/>
        <v>7.1947232999222818E-9</v>
      </c>
      <c r="H78">
        <f t="shared" si="52"/>
        <v>1.0850501180349473E-9</v>
      </c>
      <c r="I78" s="5">
        <f t="shared" si="53"/>
        <v>0.15081193157861514</v>
      </c>
      <c r="J78">
        <f t="shared" si="49"/>
        <v>0</v>
      </c>
    </row>
    <row r="79" spans="1:17" x14ac:dyDescent="0.25">
      <c r="A79" t="str">
        <f t="shared" ref="A79:E79" si="55">A67</f>
        <v>Sustained</v>
      </c>
      <c r="B79" t="str">
        <f t="shared" si="55"/>
        <v>nitzch_1</v>
      </c>
      <c r="C79">
        <f t="shared" si="55"/>
        <v>-1.0570441895019552E-8</v>
      </c>
      <c r="E79">
        <f t="shared" si="55"/>
        <v>1.0570441895019552E-8</v>
      </c>
      <c r="G79" s="26">
        <f t="shared" si="51"/>
        <v>1.0570441895019552E-8</v>
      </c>
      <c r="I79" s="5">
        <f t="shared" si="53"/>
        <v>0</v>
      </c>
      <c r="J79" t="str">
        <f t="shared" si="49"/>
        <v>*corrected cell density in red above (110625)</v>
      </c>
    </row>
    <row r="80" spans="1:17" x14ac:dyDescent="0.25">
      <c r="A80" t="str">
        <f t="shared" ref="A80:E80" si="56">A68</f>
        <v>Weak</v>
      </c>
      <c r="B80" t="str">
        <f t="shared" si="56"/>
        <v>HOT5_F3_1</v>
      </c>
      <c r="C80">
        <f t="shared" si="56"/>
        <v>-2.8712170191350679E-8</v>
      </c>
      <c r="E80">
        <f t="shared" si="56"/>
        <v>2.8712170191350679E-8</v>
      </c>
      <c r="G80" s="26">
        <f t="shared" si="51"/>
        <v>2.8712170191350679E-8</v>
      </c>
      <c r="I80" s="5">
        <f t="shared" si="53"/>
        <v>0</v>
      </c>
      <c r="J80" t="str">
        <f t="shared" si="49"/>
        <v>*corrected cell density in red above (110625)</v>
      </c>
    </row>
    <row r="81" spans="1:10" x14ac:dyDescent="0.25">
      <c r="A81" t="str">
        <f t="shared" ref="A81:F81" si="57">A69</f>
        <v>Weak</v>
      </c>
      <c r="B81" t="str">
        <f t="shared" si="57"/>
        <v>HOT5_C3_1</v>
      </c>
      <c r="D81">
        <f t="shared" si="57"/>
        <v>-8.2692462968740715E-9</v>
      </c>
      <c r="F81">
        <f t="shared" si="57"/>
        <v>8.2692462968740715E-9</v>
      </c>
      <c r="G81" s="26">
        <f t="shared" si="51"/>
        <v>8.2692462968740715E-9</v>
      </c>
      <c r="I81" s="5">
        <f t="shared" si="53"/>
        <v>0</v>
      </c>
      <c r="J81" t="str">
        <f t="shared" si="49"/>
        <v>*corrected cell density in red above (110625)</v>
      </c>
    </row>
    <row r="82" spans="1:10" x14ac:dyDescent="0.25">
      <c r="A82" t="str">
        <f t="shared" ref="A82:F82" si="58">A70</f>
        <v>Inhibited</v>
      </c>
      <c r="B82" t="str">
        <f t="shared" si="58"/>
        <v>Pgall_1</v>
      </c>
      <c r="C82">
        <f t="shared" si="58"/>
        <v>-1.4798104630862753E-7</v>
      </c>
      <c r="D82">
        <f t="shared" si="58"/>
        <v>-1.7260917492015836E-7</v>
      </c>
      <c r="E82">
        <f t="shared" si="58"/>
        <v>1.4798104630862753E-7</v>
      </c>
      <c r="F82">
        <f t="shared" si="58"/>
        <v>1.7260917492015836E-7</v>
      </c>
      <c r="G82" s="26">
        <f t="shared" si="51"/>
        <v>1.6029511061439294E-7</v>
      </c>
      <c r="H82">
        <f t="shared" si="52"/>
        <v>1.7414716749147881E-8</v>
      </c>
      <c r="I82" s="5">
        <f t="shared" si="53"/>
        <v>0.10864159663011087</v>
      </c>
      <c r="J82">
        <f t="shared" si="49"/>
        <v>0</v>
      </c>
    </row>
    <row r="83" spans="1:10" x14ac:dyDescent="0.25">
      <c r="A83" t="str">
        <f t="shared" ref="A83:F83" si="59">A71</f>
        <v>Inhibited</v>
      </c>
      <c r="B83" t="str">
        <f t="shared" si="59"/>
        <v>HP15_1</v>
      </c>
      <c r="C83">
        <f t="shared" si="59"/>
        <v>-9.4483272951446183E-9</v>
      </c>
      <c r="D83">
        <f t="shared" si="59"/>
        <v>-9.4570493031161489E-9</v>
      </c>
      <c r="E83">
        <f t="shared" si="59"/>
        <v>9.4483272951446183E-9</v>
      </c>
      <c r="F83">
        <f t="shared" si="59"/>
        <v>9.4570493031161489E-9</v>
      </c>
      <c r="G83" s="26">
        <f t="shared" si="51"/>
        <v>9.4526882991303836E-9</v>
      </c>
      <c r="H83">
        <f t="shared" si="52"/>
        <v>6.1673909822324345E-12</v>
      </c>
      <c r="I83" s="5">
        <f t="shared" si="53"/>
        <v>6.5244836040979101E-4</v>
      </c>
      <c r="J83">
        <f t="shared" si="49"/>
        <v>0</v>
      </c>
    </row>
    <row r="86" spans="1:10" x14ac:dyDescent="0.25">
      <c r="A86">
        <f t="shared" ref="A86:B86" si="60">A75</f>
        <v>0</v>
      </c>
      <c r="B86">
        <f t="shared" si="60"/>
        <v>0</v>
      </c>
    </row>
    <row r="87" spans="1:10" x14ac:dyDescent="0.25">
      <c r="A87" t="str">
        <f t="shared" ref="A87:B87" si="61">A76</f>
        <v>Strong</v>
      </c>
      <c r="B87" t="str">
        <f t="shared" si="61"/>
        <v>1A3_1</v>
      </c>
    </row>
    <row r="88" spans="1:10" x14ac:dyDescent="0.25">
      <c r="A88" t="str">
        <f t="shared" ref="A88:B88" si="62">A77</f>
        <v>Strong</v>
      </c>
      <c r="B88" t="str">
        <f t="shared" si="62"/>
        <v>CIP_1</v>
      </c>
    </row>
    <row r="89" spans="1:10" x14ac:dyDescent="0.25">
      <c r="A89" t="str">
        <f t="shared" ref="A89:B89" si="63">A78</f>
        <v>Sustained</v>
      </c>
      <c r="B89" t="str">
        <f t="shared" si="63"/>
        <v>DSS-3_1</v>
      </c>
    </row>
    <row r="90" spans="1:10" x14ac:dyDescent="0.25">
      <c r="A90" t="str">
        <f t="shared" ref="A90:B90" si="64">A79</f>
        <v>Sustained</v>
      </c>
      <c r="B90" t="str">
        <f t="shared" si="64"/>
        <v>nitzch_1</v>
      </c>
    </row>
    <row r="91" spans="1:10" x14ac:dyDescent="0.25">
      <c r="A91" t="str">
        <f t="shared" ref="A91:B91" si="65">A80</f>
        <v>Weak</v>
      </c>
      <c r="B91" t="str">
        <f t="shared" si="65"/>
        <v>HOT5_F3_1</v>
      </c>
    </row>
    <row r="92" spans="1:10" x14ac:dyDescent="0.25">
      <c r="A92" t="str">
        <f t="shared" ref="A92:B92" si="66">A81</f>
        <v>Weak</v>
      </c>
      <c r="B92" t="str">
        <f t="shared" si="66"/>
        <v>HOT5_C3_1</v>
      </c>
    </row>
    <row r="93" spans="1:10" x14ac:dyDescent="0.25">
      <c r="A93" t="str">
        <f t="shared" ref="A93:B93" si="67">A82</f>
        <v>Inhibited</v>
      </c>
      <c r="B93" t="str">
        <f t="shared" si="67"/>
        <v>Pgall_1</v>
      </c>
    </row>
    <row r="96" spans="1:10" ht="15.75" thickBot="1" x14ac:dyDescent="0.3">
      <c r="A96" s="35" t="s">
        <v>213</v>
      </c>
      <c r="B96" s="35"/>
      <c r="C96" s="35"/>
      <c r="D96" s="35"/>
      <c r="E96" s="35"/>
      <c r="F96" s="35"/>
    </row>
    <row r="97" spans="1:6" ht="60.75" thickBot="1" x14ac:dyDescent="0.3">
      <c r="A97" s="36" t="s">
        <v>200</v>
      </c>
      <c r="B97" s="37" t="s">
        <v>201</v>
      </c>
      <c r="C97" s="38" t="s">
        <v>202</v>
      </c>
      <c r="D97" s="38" t="s">
        <v>203</v>
      </c>
      <c r="E97" s="37" t="s">
        <v>204</v>
      </c>
      <c r="F97" s="37" t="s">
        <v>170</v>
      </c>
    </row>
    <row r="98" spans="1:6" ht="15.75" thickBot="1" x14ac:dyDescent="0.3">
      <c r="A98" s="39" t="s">
        <v>152</v>
      </c>
      <c r="B98" s="40" t="s">
        <v>205</v>
      </c>
      <c r="C98" s="41">
        <v>16</v>
      </c>
      <c r="D98" s="41">
        <v>5</v>
      </c>
      <c r="E98" s="42">
        <v>7.3999999999999996E-2</v>
      </c>
      <c r="F98" s="42">
        <v>1.6E-2</v>
      </c>
    </row>
    <row r="99" spans="1:6" ht="15.75" thickBot="1" x14ac:dyDescent="0.3">
      <c r="A99" s="39" t="s">
        <v>152</v>
      </c>
      <c r="B99" s="40" t="s">
        <v>206</v>
      </c>
      <c r="C99" s="41">
        <v>16</v>
      </c>
      <c r="D99" s="41">
        <v>4</v>
      </c>
      <c r="E99" s="42">
        <v>0.06</v>
      </c>
      <c r="F99" s="42">
        <v>1.4999999999999999E-2</v>
      </c>
    </row>
    <row r="100" spans="1:6" ht="15.75" thickBot="1" x14ac:dyDescent="0.3">
      <c r="A100" s="39" t="s">
        <v>151</v>
      </c>
      <c r="B100" s="40" t="s">
        <v>207</v>
      </c>
      <c r="C100" s="41">
        <v>13</v>
      </c>
      <c r="D100" s="41">
        <v>5</v>
      </c>
      <c r="E100" s="42">
        <v>7.0000000000000001E-3</v>
      </c>
      <c r="F100" s="42">
        <v>1E-3</v>
      </c>
    </row>
    <row r="101" spans="1:6" ht="15.75" thickBot="1" x14ac:dyDescent="0.3">
      <c r="A101" s="39" t="s">
        <v>151</v>
      </c>
      <c r="B101" s="40" t="s">
        <v>208</v>
      </c>
      <c r="C101" s="41">
        <v>10</v>
      </c>
      <c r="D101" s="41">
        <v>3</v>
      </c>
      <c r="E101" s="42">
        <v>0.01</v>
      </c>
      <c r="F101" s="42">
        <v>1E-3</v>
      </c>
    </row>
    <row r="102" spans="1:6" ht="15.75" thickBot="1" x14ac:dyDescent="0.3">
      <c r="A102" s="39" t="s">
        <v>153</v>
      </c>
      <c r="B102" s="40" t="s">
        <v>209</v>
      </c>
      <c r="C102" s="41">
        <v>9</v>
      </c>
      <c r="D102" s="41">
        <v>1</v>
      </c>
      <c r="E102" s="42">
        <v>2.5999999999999999E-2</v>
      </c>
      <c r="F102" s="42">
        <v>4.0000000000000001E-3</v>
      </c>
    </row>
    <row r="103" spans="1:6" ht="15.75" thickBot="1" x14ac:dyDescent="0.3">
      <c r="A103" s="39" t="s">
        <v>153</v>
      </c>
      <c r="B103" s="40" t="s">
        <v>210</v>
      </c>
      <c r="C103" s="41">
        <v>12</v>
      </c>
      <c r="D103" s="41">
        <v>3</v>
      </c>
      <c r="E103" s="42">
        <v>6.0000000000000001E-3</v>
      </c>
      <c r="F103" s="42">
        <v>3.0000000000000001E-3</v>
      </c>
    </row>
    <row r="104" spans="1:6" ht="15.75" thickBot="1" x14ac:dyDescent="0.3">
      <c r="A104" s="39" t="s">
        <v>154</v>
      </c>
      <c r="B104" s="40" t="s">
        <v>211</v>
      </c>
      <c r="C104" s="41">
        <v>14</v>
      </c>
      <c r="D104" s="41">
        <v>4</v>
      </c>
      <c r="E104" s="42">
        <v>0.16</v>
      </c>
      <c r="F104" s="42">
        <v>1.7000000000000001E-2</v>
      </c>
    </row>
    <row r="105" spans="1:6" ht="15.75" thickBot="1" x14ac:dyDescent="0.3">
      <c r="A105" s="43" t="s">
        <v>154</v>
      </c>
      <c r="B105" s="44" t="s">
        <v>212</v>
      </c>
      <c r="C105" s="41">
        <v>13</v>
      </c>
      <c r="D105" s="41">
        <v>2</v>
      </c>
      <c r="E105" s="42">
        <v>8.9999999999999993E-3</v>
      </c>
      <c r="F105" s="4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DFDF-934D-4BDD-B663-C9F4424A1703}">
  <dimension ref="A1:I12"/>
  <sheetViews>
    <sheetView workbookViewId="0">
      <selection activeCell="E9" sqref="E9"/>
    </sheetView>
  </sheetViews>
  <sheetFormatPr defaultRowHeight="15" x14ac:dyDescent="0.25"/>
  <cols>
    <col min="7" max="7" width="16.28515625" customWidth="1"/>
  </cols>
  <sheetData>
    <row r="1" spans="1:9" x14ac:dyDescent="0.25">
      <c r="A1" s="15" t="s">
        <v>131</v>
      </c>
      <c r="C1" s="16"/>
      <c r="D1" s="15" t="s">
        <v>192</v>
      </c>
      <c r="E1" s="16">
        <v>0.82222222222222219</v>
      </c>
      <c r="F1" s="15" t="s">
        <v>132</v>
      </c>
      <c r="G1" s="16">
        <v>0.84513888888888888</v>
      </c>
      <c r="H1" s="15" t="s">
        <v>195</v>
      </c>
      <c r="I1" s="16">
        <v>0.86111111111111116</v>
      </c>
    </row>
    <row r="2" spans="1:9" x14ac:dyDescent="0.25">
      <c r="A2" s="18" t="s">
        <v>137</v>
      </c>
      <c r="B2" t="s">
        <v>0</v>
      </c>
      <c r="C2" t="s">
        <v>138</v>
      </c>
      <c r="D2" t="s">
        <v>23</v>
      </c>
      <c r="E2" t="s">
        <v>142</v>
      </c>
      <c r="F2" t="s">
        <v>25</v>
      </c>
      <c r="G2" t="s">
        <v>142</v>
      </c>
      <c r="H2" t="s">
        <v>27</v>
      </c>
      <c r="I2" t="s">
        <v>142</v>
      </c>
    </row>
    <row r="3" spans="1:9" x14ac:dyDescent="0.25">
      <c r="A3" s="18">
        <v>1</v>
      </c>
      <c r="B3" t="s">
        <v>2</v>
      </c>
      <c r="C3" s="4">
        <f>'original FCM measurements'!I3</f>
        <v>174777096.11451945</v>
      </c>
      <c r="D3">
        <v>406</v>
      </c>
      <c r="E3">
        <v>3.5</v>
      </c>
      <c r="F3">
        <v>410</v>
      </c>
      <c r="G3">
        <v>3.3</v>
      </c>
      <c r="H3">
        <v>405</v>
      </c>
      <c r="I3">
        <v>3.5</v>
      </c>
    </row>
    <row r="4" spans="1:9" x14ac:dyDescent="0.25">
      <c r="A4" s="18">
        <v>2</v>
      </c>
      <c r="B4" t="s">
        <v>6</v>
      </c>
      <c r="C4" s="4">
        <f>'original FCM measurements'!I4</f>
        <v>45453151.795458086</v>
      </c>
      <c r="D4">
        <v>405</v>
      </c>
      <c r="E4">
        <v>14</v>
      </c>
      <c r="F4">
        <v>398</v>
      </c>
      <c r="G4">
        <v>3.7</v>
      </c>
      <c r="H4">
        <v>408</v>
      </c>
      <c r="I4">
        <v>12</v>
      </c>
    </row>
    <row r="5" spans="1:9" x14ac:dyDescent="0.25">
      <c r="A5" s="18">
        <v>3</v>
      </c>
      <c r="B5" t="s">
        <v>7</v>
      </c>
      <c r="C5" s="4">
        <f>'original FCM measurements'!I5</f>
        <v>53756708.407871202</v>
      </c>
      <c r="D5">
        <v>405</v>
      </c>
      <c r="E5">
        <v>6.5</v>
      </c>
      <c r="F5">
        <v>399</v>
      </c>
      <c r="G5">
        <v>3.1</v>
      </c>
      <c r="H5">
        <v>408</v>
      </c>
      <c r="I5">
        <v>6.4</v>
      </c>
    </row>
    <row r="6" spans="1:9" x14ac:dyDescent="0.25">
      <c r="A6" s="18">
        <v>4</v>
      </c>
      <c r="B6" t="s">
        <v>8</v>
      </c>
      <c r="C6" s="4">
        <f>'original FCM measurements'!I6</f>
        <v>10379677.966760367</v>
      </c>
      <c r="D6">
        <v>408</v>
      </c>
      <c r="E6">
        <v>17</v>
      </c>
      <c r="F6">
        <v>403</v>
      </c>
      <c r="G6">
        <v>5.4</v>
      </c>
      <c r="H6">
        <v>408</v>
      </c>
      <c r="I6">
        <v>16</v>
      </c>
    </row>
    <row r="7" spans="1:9" x14ac:dyDescent="0.25">
      <c r="A7" s="18">
        <v>5</v>
      </c>
      <c r="B7" t="s">
        <v>9</v>
      </c>
      <c r="C7" s="4">
        <f>'original FCM measurements'!I7</f>
        <v>8814018.9047413897</v>
      </c>
      <c r="D7">
        <v>406</v>
      </c>
      <c r="E7">
        <v>5.7</v>
      </c>
      <c r="F7" t="s">
        <v>193</v>
      </c>
      <c r="G7" t="s">
        <v>193</v>
      </c>
      <c r="H7">
        <v>403</v>
      </c>
      <c r="I7">
        <v>5.4</v>
      </c>
    </row>
    <row r="8" spans="1:9" x14ac:dyDescent="0.25">
      <c r="A8" s="18">
        <v>6</v>
      </c>
      <c r="B8" t="s">
        <v>10</v>
      </c>
      <c r="C8" s="4">
        <f>'original FCM measurements'!I8</f>
        <v>15425092.168472797</v>
      </c>
      <c r="D8">
        <v>405</v>
      </c>
      <c r="E8">
        <v>4</v>
      </c>
      <c r="F8">
        <v>400</v>
      </c>
      <c r="G8">
        <v>3.8</v>
      </c>
      <c r="H8">
        <v>403</v>
      </c>
      <c r="I8">
        <v>3.9</v>
      </c>
    </row>
    <row r="9" spans="1:9" x14ac:dyDescent="0.25">
      <c r="A9" s="18">
        <v>7</v>
      </c>
      <c r="B9" t="s">
        <v>11</v>
      </c>
      <c r="C9" s="4">
        <f>'original FCM measurements'!I9</f>
        <v>501886080.72425497</v>
      </c>
      <c r="D9">
        <v>400</v>
      </c>
      <c r="E9">
        <v>3.9</v>
      </c>
      <c r="F9">
        <v>401</v>
      </c>
      <c r="G9">
        <v>3.9</v>
      </c>
      <c r="H9">
        <v>399</v>
      </c>
      <c r="I9">
        <v>4.2</v>
      </c>
    </row>
    <row r="10" spans="1:9" x14ac:dyDescent="0.25">
      <c r="A10" s="18">
        <v>8</v>
      </c>
      <c r="B10" t="s">
        <v>12</v>
      </c>
      <c r="C10" s="4">
        <f>'original FCM measurements'!I10</f>
        <v>16532965.911410492</v>
      </c>
      <c r="D10">
        <v>406</v>
      </c>
      <c r="E10">
        <v>5.7</v>
      </c>
      <c r="F10">
        <v>403</v>
      </c>
      <c r="G10">
        <v>4.2</v>
      </c>
      <c r="H10">
        <v>405</v>
      </c>
      <c r="I10">
        <v>5.3</v>
      </c>
    </row>
    <row r="11" spans="1:9" x14ac:dyDescent="0.25">
      <c r="B11" t="s">
        <v>196</v>
      </c>
      <c r="F11">
        <v>408</v>
      </c>
      <c r="G11">
        <v>24</v>
      </c>
    </row>
    <row r="12" spans="1:9" x14ac:dyDescent="0.25">
      <c r="B12" t="s">
        <v>194</v>
      </c>
      <c r="F12">
        <v>400</v>
      </c>
      <c r="G12">
        <v>3.1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12426AA334340BD72864E6411DFDE" ma:contentTypeVersion="18" ma:contentTypeDescription="Create a new document." ma:contentTypeScope="" ma:versionID="a0e91de1de1f65f0a3085ea10cfa08c1">
  <xsd:schema xmlns:xsd="http://www.w3.org/2001/XMLSchema" xmlns:xs="http://www.w3.org/2001/XMLSchema" xmlns:p="http://schemas.microsoft.com/office/2006/metadata/properties" xmlns:ns3="a07e918a-536f-4f5c-bd9e-7bff6eca0d20" xmlns:ns4="88f9a50e-68f8-45a8-9c11-417e0fb267ba" targetNamespace="http://schemas.microsoft.com/office/2006/metadata/properties" ma:root="true" ma:fieldsID="3caade8a9bd854102b7508478cc6ab60" ns3:_="" ns4:_="">
    <xsd:import namespace="a07e918a-536f-4f5c-bd9e-7bff6eca0d20"/>
    <xsd:import namespace="88f9a50e-68f8-45a8-9c11-417e0fb267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ObjectDetectorVersions" minOccurs="0"/>
                <xsd:element ref="ns4:_activity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e918a-536f-4f5c-bd9e-7bff6eca0d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9a50e-68f8-45a8-9c11-417e0fb267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f9a50e-68f8-45a8-9c11-417e0fb267ba" xsi:nil="true"/>
  </documentManagement>
</p:properties>
</file>

<file path=customXml/itemProps1.xml><?xml version="1.0" encoding="utf-8"?>
<ds:datastoreItem xmlns:ds="http://schemas.openxmlformats.org/officeDocument/2006/customXml" ds:itemID="{14DFA0ED-7D9B-47CF-8DF2-1FD976BBF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7e918a-536f-4f5c-bd9e-7bff6eca0d20"/>
    <ds:schemaRef ds:uri="88f9a50e-68f8-45a8-9c11-417e0fb267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3F9091-F893-455E-8F2D-4EF303A532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BD9701-44EF-4072-A4BB-ABF0B049AD06}">
  <ds:schemaRefs>
    <ds:schemaRef ds:uri="http://purl.org/dc/terms/"/>
    <ds:schemaRef ds:uri="a07e918a-536f-4f5c-bd9e-7bff6eca0d20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8f9a50e-68f8-45a8-9c11-417e0fb267b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FCM measurements</vt:lpstr>
      <vt:lpstr>Reanalyzed FCM</vt:lpstr>
      <vt:lpstr>FCM at start of 280525 exp</vt:lpstr>
      <vt:lpstr>Reagent setup</vt:lpstr>
      <vt:lpstr>Results 280525</vt:lpstr>
      <vt:lpstr>Results 270525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דקלה אהרונוביץ</dc:creator>
  <cp:lastModifiedBy>אסנת ויסברג</cp:lastModifiedBy>
  <cp:lastPrinted>2025-05-27T15:34:16Z</cp:lastPrinted>
  <dcterms:created xsi:type="dcterms:W3CDTF">2025-05-27T07:07:51Z</dcterms:created>
  <dcterms:modified xsi:type="dcterms:W3CDTF">2025-07-16T06:19:52Z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0x01010087012426AA334340BD72864E6411DFDE</vt:lpwstr>
  </property>
</Properties>
</file>