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i2019" sheetId="1" r:id="rId1"/>
    <sheet name="Juni2019" sheetId="2" r:id="rId2"/>
  </sheets>
  <definedNames>
    <definedName name="_xlnm._FilterDatabase" localSheetId="0" hidden="1">'Mai2019'!$E$23:$F$23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16" i="2"/>
  <c r="F2" i="2"/>
  <c r="F3" i="2"/>
  <c r="F1" i="1"/>
  <c r="J22" i="1" l="1"/>
  <c r="F4" i="2"/>
  <c r="Q3" i="1" l="1"/>
  <c r="O3" i="2"/>
  <c r="F3" i="1"/>
  <c r="F18" i="1" l="1"/>
  <c r="C15" i="2" l="1"/>
  <c r="J20" i="2"/>
  <c r="F5" i="1"/>
  <c r="C62" i="1"/>
  <c r="C86" i="1" s="1"/>
  <c r="F15" i="2" l="1"/>
  <c r="F1" i="2"/>
  <c r="F9" i="2" s="1"/>
  <c r="F4" i="1"/>
  <c r="V15" i="1" l="1"/>
  <c r="V22" i="1"/>
  <c r="T15" i="1" s="1"/>
  <c r="S15" i="1" l="1"/>
  <c r="R15" i="1"/>
  <c r="P15" i="1"/>
  <c r="F16" i="1" l="1"/>
  <c r="O15" i="1" l="1"/>
  <c r="N1" i="1" l="1"/>
  <c r="F2" i="1" l="1"/>
  <c r="F9" i="1"/>
  <c r="F15" i="1" l="1"/>
  <c r="F10" i="1" l="1"/>
  <c r="F11" i="1" s="1"/>
  <c r="F10" i="2"/>
  <c r="F11" i="2" s="1"/>
  <c r="C1" i="2" l="1"/>
  <c r="O9" i="1"/>
  <c r="O8" i="1"/>
  <c r="C1" i="1"/>
</calcChain>
</file>

<file path=xl/sharedStrings.xml><?xml version="1.0" encoding="utf-8"?>
<sst xmlns="http://schemas.openxmlformats.org/spreadsheetml/2006/main" count="186" uniqueCount="114">
  <si>
    <t>Konto Wowa</t>
  </si>
  <si>
    <t>Konto Nastja</t>
  </si>
  <si>
    <t>KK Wowa</t>
  </si>
  <si>
    <t>KK Nastja</t>
  </si>
  <si>
    <t>Tagesgeld</t>
  </si>
  <si>
    <t>T.Emma -&gt; Handy</t>
  </si>
  <si>
    <t>T.Emma -&gt; Fahrrad</t>
  </si>
  <si>
    <t>Fixe Kosten</t>
  </si>
  <si>
    <t>Variable Kosten</t>
  </si>
  <si>
    <t>Betrag</t>
  </si>
  <si>
    <t>HanseMerkur</t>
  </si>
  <si>
    <t>Ergebnis</t>
  </si>
  <si>
    <t>Telefonica
Kd-Nr.:6037766457</t>
  </si>
  <si>
    <t>Gesammtsumme</t>
  </si>
  <si>
    <t>LBS Nord</t>
  </si>
  <si>
    <t>Telefonica
Kd-Nr.: 6015259386</t>
  </si>
  <si>
    <t>Umbuchung Visacard</t>
  </si>
  <si>
    <t xml:space="preserve">Essen NETTO </t>
  </si>
  <si>
    <t>Kleidung Karstadt</t>
  </si>
  <si>
    <t>Essen Lidl</t>
  </si>
  <si>
    <t>Essen Real</t>
  </si>
  <si>
    <t>Essen Aldi</t>
  </si>
  <si>
    <t>Haus MediaMarkt</t>
  </si>
  <si>
    <t>Haus Globus</t>
  </si>
  <si>
    <t>Auto Reifenwechsel</t>
  </si>
  <si>
    <t>Freizeit McDonnalds</t>
  </si>
  <si>
    <t>Haus Bauhaus</t>
  </si>
  <si>
    <t>Freizeit Sportbar</t>
  </si>
  <si>
    <t>Freizeit App Laufen</t>
  </si>
  <si>
    <t>MTV Turnen</t>
  </si>
  <si>
    <t xml:space="preserve">Handy </t>
  </si>
  <si>
    <t>Teremok</t>
  </si>
  <si>
    <t>Solnischko</t>
  </si>
  <si>
    <t>Kindergarten</t>
  </si>
  <si>
    <t>Rauchen Smoce</t>
  </si>
  <si>
    <t>Rauchen</t>
  </si>
  <si>
    <t>Bausparkasse</t>
  </si>
  <si>
    <t>Kreditkarte 1</t>
  </si>
  <si>
    <t>Kreditkarte 2</t>
  </si>
  <si>
    <t>Minus</t>
  </si>
  <si>
    <t>Umbuchung Tageskonto</t>
  </si>
  <si>
    <t>Echtstand</t>
  </si>
  <si>
    <t>Geschenk T.Emma</t>
  </si>
  <si>
    <t>Kredit Haus</t>
  </si>
  <si>
    <t>Summe</t>
  </si>
  <si>
    <t>Uljana Ansparplan</t>
  </si>
  <si>
    <t>Haus Ikea</t>
  </si>
  <si>
    <t>Geschenk Blumen</t>
  </si>
  <si>
    <t>Kleidung ErstingsFamily</t>
  </si>
  <si>
    <t>25 Minutes / Sport</t>
  </si>
  <si>
    <t>Benzin Aral</t>
  </si>
  <si>
    <t>Pflege Rossmann</t>
  </si>
  <si>
    <t>Ausgaben</t>
  </si>
  <si>
    <t>Einkommen</t>
  </si>
  <si>
    <t>pro Woche</t>
  </si>
  <si>
    <t>Richtlinie</t>
  </si>
  <si>
    <t xml:space="preserve">Urlaub </t>
  </si>
  <si>
    <t>Bremen</t>
  </si>
  <si>
    <t>Nastja</t>
  </si>
  <si>
    <t>Mama</t>
  </si>
  <si>
    <t>t.Maria</t>
  </si>
  <si>
    <t>Sascha</t>
  </si>
  <si>
    <t>Olja Borger</t>
  </si>
  <si>
    <t>Gesamtkosten</t>
  </si>
  <si>
    <t>Mamas Geschenk</t>
  </si>
  <si>
    <t>Ola Auto</t>
  </si>
  <si>
    <t>Olja Borger Geburtstag</t>
  </si>
  <si>
    <t>bezahlt</t>
  </si>
  <si>
    <t>T.Marias Geschenk</t>
  </si>
  <si>
    <t>Sascha / Olja Borger</t>
  </si>
  <si>
    <t>Nastja / Ola</t>
  </si>
  <si>
    <t>Ola</t>
  </si>
  <si>
    <t>SKY</t>
  </si>
  <si>
    <t>2. Woche</t>
  </si>
  <si>
    <t>1. Woche</t>
  </si>
  <si>
    <t>3.Woche</t>
  </si>
  <si>
    <t>4. Woche</t>
  </si>
  <si>
    <t>Netflix</t>
  </si>
  <si>
    <t>Kleidung Primark</t>
  </si>
  <si>
    <t>Haus Hornbach</t>
  </si>
  <si>
    <t>Eseen Lidl</t>
  </si>
  <si>
    <t>Freizeit Sonnenstudio</t>
  </si>
  <si>
    <t>Kleidung Deichmann</t>
  </si>
  <si>
    <t>Freizeit Nägel</t>
  </si>
  <si>
    <t>Grundbesitzabgaben</t>
  </si>
  <si>
    <t>Freizeit ?</t>
  </si>
  <si>
    <t>Umbuchung auf Wowa</t>
  </si>
  <si>
    <t>Gutschrift von Nastja</t>
  </si>
  <si>
    <t>Umbuchung Tagesgeld</t>
  </si>
  <si>
    <t>Haushalt Vorwerk</t>
  </si>
  <si>
    <t>Essen Penny</t>
  </si>
  <si>
    <t>Hund TEDi</t>
  </si>
  <si>
    <t>Gutschrift</t>
  </si>
  <si>
    <t>HansaMercur</t>
  </si>
  <si>
    <t>Haus Pristawka</t>
  </si>
  <si>
    <t>Telefonica
Kd-Nr.: 6037784221</t>
  </si>
  <si>
    <t>Kleidung H+M</t>
  </si>
  <si>
    <t>Wowa</t>
  </si>
  <si>
    <t>Rechner</t>
  </si>
  <si>
    <t>Essen NETTO</t>
  </si>
  <si>
    <t>Essenn NETTO</t>
  </si>
  <si>
    <t>Essen</t>
  </si>
  <si>
    <t>Haus</t>
  </si>
  <si>
    <t>Freizeit Amazon</t>
  </si>
  <si>
    <t>Freizeit Fahrrad Uljana</t>
  </si>
  <si>
    <t>Kleidung</t>
  </si>
  <si>
    <t>Benzin</t>
  </si>
  <si>
    <t>BS / Energy</t>
  </si>
  <si>
    <t>Kleidung TK Maxx</t>
  </si>
  <si>
    <t>Zigaretten</t>
  </si>
  <si>
    <t>Freizeit</t>
  </si>
  <si>
    <t>Gesundheit Brille Uljana</t>
  </si>
  <si>
    <t>Freizeit Block House Restaurant</t>
  </si>
  <si>
    <t>Gesundheit Apotheke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</si>
</sst>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5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1" quotePrefix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44" fontId="0" fillId="0" borderId="2" xfId="0" applyNumberFormat="1" applyBorder="1"/>
    <xf numFmtId="14" fontId="0" fillId="4" borderId="0" xfId="0" applyNumberFormat="1" applyFill="1" applyAlignment="1">
      <alignment horizontal="left"/>
    </xf>
    <xf numFmtId="44" fontId="2" fillId="5" borderId="0" xfId="2" applyNumberFormat="1"/>
    <xf numFmtId="0" fontId="0" fillId="0" borderId="0" xfId="0" applyBorder="1"/>
    <xf numFmtId="0" fontId="3" fillId="0" borderId="0" xfId="0" applyFont="1" applyBorder="1"/>
    <xf numFmtId="0" fontId="0" fillId="6" borderId="0" xfId="0" applyFill="1"/>
    <xf numFmtId="44" fontId="4" fillId="6" borderId="0" xfId="1" applyFont="1" applyFill="1"/>
    <xf numFmtId="44" fontId="0" fillId="6" borderId="0" xfId="1" applyFont="1" applyFill="1"/>
    <xf numFmtId="0" fontId="0" fillId="0" borderId="0" xfId="0" applyBorder="1" applyAlignment="1">
      <alignment wrapText="1"/>
    </xf>
    <xf numFmtId="44" fontId="2" fillId="5" borderId="0" xfId="2" applyNumberFormat="1" applyBorder="1"/>
    <xf numFmtId="44" fontId="0" fillId="0" borderId="0" xfId="1" applyFont="1" applyBorder="1"/>
    <xf numFmtId="44" fontId="0" fillId="0" borderId="0" xfId="0" applyNumberFormat="1" applyBorder="1"/>
    <xf numFmtId="44" fontId="0" fillId="0" borderId="0" xfId="1" applyNumberFormat="1" applyFont="1" applyBorder="1"/>
    <xf numFmtId="0" fontId="2" fillId="5" borderId="0" xfId="2" applyBorder="1"/>
    <xf numFmtId="44" fontId="2" fillId="0" borderId="0" xfId="1" applyFont="1" applyFill="1" applyBorder="1" applyAlignment="1">
      <alignment horizontal="left"/>
    </xf>
    <xf numFmtId="44" fontId="3" fillId="0" borderId="0" xfId="0" applyNumberFormat="1" applyFont="1" applyBorder="1"/>
    <xf numFmtId="0" fontId="0" fillId="0" borderId="0" xfId="0" applyNumberFormat="1" applyBorder="1"/>
    <xf numFmtId="44" fontId="0" fillId="0" borderId="0" xfId="1" applyFont="1" applyFill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wrapText="1"/>
    </xf>
    <xf numFmtId="0" fontId="2" fillId="0" borderId="0" xfId="2" applyFill="1" applyBorder="1"/>
    <xf numFmtId="44" fontId="2" fillId="0" borderId="0" xfId="2" applyNumberFormat="1" applyFill="1" applyBorder="1"/>
    <xf numFmtId="44" fontId="0" fillId="0" borderId="0" xfId="1" applyFont="1" applyFill="1" applyBorder="1"/>
    <xf numFmtId="44" fontId="0" fillId="0" borderId="0" xfId="0" applyNumberFormat="1" applyFill="1" applyBorder="1"/>
    <xf numFmtId="44" fontId="0" fillId="0" borderId="0" xfId="1" applyNumberFormat="1" applyFont="1" applyFill="1" applyBorder="1"/>
    <xf numFmtId="0" fontId="0" fillId="0" borderId="0" xfId="0" applyNumberFormat="1" applyFill="1" applyBorder="1"/>
    <xf numFmtId="44" fontId="0" fillId="0" borderId="0" xfId="1" applyFont="1" applyAlignment="1">
      <alignment horizontal="left"/>
    </xf>
    <xf numFmtId="0" fontId="2" fillId="5" borderId="0" xfId="2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2" borderId="6" xfId="0" applyFill="1" applyBorder="1"/>
    <xf numFmtId="0" fontId="0" fillId="3" borderId="7" xfId="0" applyFill="1" applyBorder="1"/>
    <xf numFmtId="44" fontId="0" fillId="2" borderId="6" xfId="1" applyFont="1" applyFill="1" applyBorder="1"/>
    <xf numFmtId="44" fontId="0" fillId="3" borderId="7" xfId="1" applyFont="1" applyFill="1" applyBorder="1"/>
    <xf numFmtId="0" fontId="0" fillId="7" borderId="5" xfId="0" applyFill="1" applyBorder="1"/>
    <xf numFmtId="44" fontId="5" fillId="0" borderId="8" xfId="1" applyFont="1" applyFill="1" applyBorder="1"/>
    <xf numFmtId="44" fontId="5" fillId="0" borderId="0" xfId="1" applyFont="1" applyFill="1" applyBorder="1"/>
    <xf numFmtId="44" fontId="5" fillId="0" borderId="0" xfId="1" applyFont="1" applyFill="1" applyBorder="1" applyAlignment="1">
      <alignment horizontal="left"/>
    </xf>
    <xf numFmtId="0" fontId="6" fillId="0" borderId="0" xfId="0" applyFont="1" applyBorder="1"/>
    <xf numFmtId="44" fontId="2" fillId="5" borderId="0" xfId="1" applyFont="1" applyFill="1"/>
  </cellXfs>
  <cellStyles count="3">
    <cellStyle name="Gut" xfId="2" builtinId="26"/>
    <cellStyle name="Standard" xfId="0" builtinId="0"/>
    <cellStyle name="Währung" xfId="1" builtinId="4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 outline="0">
        <left/>
        <right/>
        <top/>
        <bottom/>
      </border>
    </dxf>
    <dxf>
      <numFmt numFmtId="34" formatCode="_-* #,##0.00\ &quot;€&quot;_-;\-* #,##0.00\ &quot;€&quot;_-;_-* &quot;-&quot;??\ &quot;€&quot;_-;_-@_-"/>
      <border diagonalUp="0" diagonalDown="0" outline="0">
        <left/>
        <right/>
        <top/>
        <bottom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  <border diagonalUp="0" diagonalDown="0" outline="0">
        <left/>
        <right/>
        <top/>
        <bottom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  <border diagonalUp="0" diagonalDown="0" outline="0">
        <left/>
        <right/>
        <top/>
        <bottom/>
      </border>
    </dxf>
    <dxf>
      <numFmt numFmtId="34" formatCode="_-* #,##0.00\ &quot;€&quot;_-;\-* #,##0.00\ &quot;€&quot;_-;_-* &quot;-&quot;??\ &quot;€&quot;_-;_-@_-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34" formatCode="_-* #,##0.00\ &quot;€&quot;_-;\-* #,##0.00\ &quot;€&quot;_-;_-* &quot;-&quot;??\ &quot;€&quot;_-;_-@_-"/>
      <border diagonalUp="0" diagonalDown="0" outline="0">
        <left/>
        <right/>
        <top/>
        <bottom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  <border diagonalUp="0" diagonalDown="0" outline="0">
        <left/>
        <right/>
        <top/>
        <bottom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  <border diagonalUp="0" diagonalDown="0" outline="0">
        <left/>
        <right/>
        <top/>
        <bottom/>
      </border>
    </dxf>
    <dxf>
      <numFmt numFmtId="34" formatCode="_-* #,##0.00\ &quot;€&quot;_-;\-* #,##0.00\ &quot;€&quot;_-;_-* &quot;-&quot;??\ &quot;€&quot;_-;_-@_-"/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2" displayName="Tabelle2" ref="A7:C86" totalsRowCount="1">
  <autoFilter ref="A7:C85"/>
  <tableColumns count="3">
    <tableColumn id="1" name="Fixe Kosten" totalsRowLabel="Ergebnis"/>
    <tableColumn id="2" name="Variable Kosten"/>
    <tableColumn id="3" name="Betrag" totalsRowFunction="sum" totalsRowDxfId="16" dataCellStyle="Währu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24" displayName="Tabelle24" ref="H7:J22" totalsRowCount="1">
  <autoFilter ref="H7:J21"/>
  <tableColumns count="3">
    <tableColumn id="1" name="Fixe Kosten" totalsRowLabel="Ergebnis"/>
    <tableColumn id="2" name="Variable Kosten"/>
    <tableColumn id="3" name="Betrag" totalsRowFunction="sum" totalsRowDxfId="37" dataCellStyle="Währu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N14:T17" totalsRowCount="1">
  <autoFilter ref="N14:T16"/>
  <tableColumns count="7">
    <tableColumn id="7" name="Gesamtkosten" totalsRowDxfId="36"/>
    <tableColumn id="1" name="Nastja" dataDxfId="35" totalsRowDxfId="34">
      <calculatedColumnFormula>Tabelle1[[#This Row],[Gesamtkosten]]/6+V15/2+90+25</calculatedColumnFormula>
    </tableColumn>
    <tableColumn id="2" name="Ola" dataDxfId="33" totalsRowDxfId="32">
      <calculatedColumnFormula>Tabelle1[[#This Row],[Gesamtkosten]]/6+V15/2-V17+25</calculatedColumnFormula>
    </tableColumn>
    <tableColumn id="3" name="Mama" dataDxfId="31" totalsRowDxfId="30">
      <calculatedColumnFormula>Tabelle1[[#This Row],[Gesamtkosten]]/6</calculatedColumnFormula>
    </tableColumn>
    <tableColumn id="4" name="t.Maria" dataDxfId="29" totalsRowDxfId="28">
      <calculatedColumnFormula>Tabelle1[[#This Row],[Gesamtkosten]]/6-V22</calculatedColumnFormula>
    </tableColumn>
    <tableColumn id="5" name="Sascha" dataDxfId="27" totalsRowDxfId="26">
      <calculatedColumnFormula>Tabelle1[[#This Row],[Gesamtkosten]]/6+V20+V22/2</calculatedColumnFormula>
    </tableColumn>
    <tableColumn id="6" name="Olja Borger" dataDxfId="25" totalsRowDxfId="24">
      <calculatedColumnFormula>Tabelle1[[#This Row],[Gesamtkosten]]/6-V19-V20+V22/2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6" name="Tabelle6" displayName="Tabelle6" ref="E24:F30" headerRowCount="0" totalsRowShown="0">
  <tableColumns count="2">
    <tableColumn id="1" name="Spalte1" headerRowDxfId="23" dataDxfId="22" totalsRowDxfId="21"/>
    <tableColumn id="2" name="Spalte2" headerRowDxfId="20" dataDxfId="19" totalsRowDxfId="18" headerRowCellStyle="Währung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4" name="Tabelle25" displayName="Tabelle25" ref="A7:C15" totalsRowCount="1">
  <autoFilter ref="A7:C14"/>
  <tableColumns count="3">
    <tableColumn id="1" name="Fixe Kosten" totalsRowLabel="Ergebnis"/>
    <tableColumn id="2" name="Variable Kosten"/>
    <tableColumn id="3" name="Betrag" totalsRowFunction="sum" totalsRowDxfId="15" dataCellStyle="Währung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elle246" displayName="Tabelle246" ref="H7:J20" totalsRowCount="1">
  <autoFilter ref="H7:J19"/>
  <tableColumns count="3">
    <tableColumn id="1" name="Fixe Kosten" totalsRowLabel="Ergebnis"/>
    <tableColumn id="2" name="Variable Kosten"/>
    <tableColumn id="3" name="Betrag" totalsRowFunction="sum" totalsRowDxfId="17" dataCellStyle="Währu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23.7109375" customWidth="1"/>
    <col min="2" max="2" width="31.5703125" customWidth="1"/>
    <col min="3" max="3" width="12.85546875" style="1" customWidth="1"/>
    <col min="5" max="5" width="14.85546875" customWidth="1"/>
    <col min="6" max="6" width="11" bestFit="1" customWidth="1"/>
    <col min="8" max="8" width="21.42578125" customWidth="1"/>
    <col min="9" max="9" width="20.7109375" customWidth="1"/>
    <col min="10" max="10" width="15.42578125" customWidth="1"/>
    <col min="14" max="14" width="9.7109375" customWidth="1"/>
    <col min="15" max="15" width="13.42578125" customWidth="1"/>
    <col min="16" max="16" width="10.5703125" bestFit="1" customWidth="1"/>
    <col min="17" max="17" width="11" bestFit="1" customWidth="1"/>
    <col min="18" max="18" width="9.7109375" customWidth="1"/>
    <col min="19" max="19" width="9.42578125" bestFit="1" customWidth="1"/>
    <col min="20" max="20" width="8.28515625" customWidth="1"/>
    <col min="22" max="22" width="20.5703125" customWidth="1"/>
  </cols>
  <sheetData>
    <row r="1" spans="1:24" ht="15.75" thickBot="1" x14ac:dyDescent="0.3">
      <c r="A1" t="s">
        <v>13</v>
      </c>
      <c r="B1" s="10">
        <v>43611</v>
      </c>
      <c r="C1" s="9">
        <f>F5+F11</f>
        <v>2613.3799999999997</v>
      </c>
      <c r="E1" s="6" t="s">
        <v>0</v>
      </c>
      <c r="F1" s="4">
        <f>5022.44-Tabelle2[[#Totals],[Betrag]]-B2-1000+F18</f>
        <v>-5.1999999999997044</v>
      </c>
      <c r="I1" t="s">
        <v>5</v>
      </c>
      <c r="J1" s="1">
        <v>550</v>
      </c>
      <c r="L1">
        <v>578.99</v>
      </c>
      <c r="M1" t="s">
        <v>30</v>
      </c>
      <c r="N1" s="11">
        <f>L1-J1</f>
        <v>28.990000000000009</v>
      </c>
      <c r="P1" s="38" t="s">
        <v>97</v>
      </c>
      <c r="Q1" s="44">
        <v>168.06</v>
      </c>
    </row>
    <row r="2" spans="1:24" x14ac:dyDescent="0.25">
      <c r="A2" t="s">
        <v>39</v>
      </c>
      <c r="B2" s="2">
        <v>331.55999999999926</v>
      </c>
      <c r="C2"/>
      <c r="E2" s="7" t="s">
        <v>1</v>
      </c>
      <c r="F2" s="4">
        <f>1516.32-Tabelle24[[#Totals],[Betrag]]+194</f>
        <v>24.539999999999736</v>
      </c>
      <c r="I2" t="s">
        <v>6</v>
      </c>
      <c r="J2" s="1"/>
      <c r="P2" s="39" t="s">
        <v>58</v>
      </c>
      <c r="Q2" s="45">
        <v>211.49</v>
      </c>
    </row>
    <row r="3" spans="1:24" ht="15.75" thickBot="1" x14ac:dyDescent="0.3">
      <c r="B3" s="2"/>
      <c r="C3"/>
      <c r="E3" s="3" t="s">
        <v>2</v>
      </c>
      <c r="F3" s="5">
        <f>0-150+C16-57.99-50-50</f>
        <v>-257.99</v>
      </c>
      <c r="P3" s="46" t="s">
        <v>98</v>
      </c>
      <c r="Q3" s="47">
        <f>SUM(Q1:Q2)</f>
        <v>379.55</v>
      </c>
    </row>
    <row r="4" spans="1:24" x14ac:dyDescent="0.25">
      <c r="C4"/>
      <c r="E4" s="3" t="s">
        <v>3</v>
      </c>
      <c r="F4" s="4">
        <f>0-50-200</f>
        <v>-250</v>
      </c>
    </row>
    <row r="5" spans="1:24" x14ac:dyDescent="0.25">
      <c r="C5"/>
      <c r="E5" s="3" t="s">
        <v>4</v>
      </c>
      <c r="F5" s="4">
        <f>2002.03+1000+100</f>
        <v>3102.0299999999997</v>
      </c>
      <c r="N5" t="s">
        <v>55</v>
      </c>
      <c r="O5" s="16"/>
      <c r="P5" s="14" t="s">
        <v>54</v>
      </c>
    </row>
    <row r="6" spans="1:24" x14ac:dyDescent="0.25">
      <c r="A6" t="s">
        <v>0</v>
      </c>
      <c r="C6"/>
      <c r="N6" t="s">
        <v>74</v>
      </c>
      <c r="O6" s="26"/>
    </row>
    <row r="7" spans="1:24" x14ac:dyDescent="0.25">
      <c r="A7" t="s">
        <v>7</v>
      </c>
      <c r="B7" t="s">
        <v>8</v>
      </c>
      <c r="C7" t="s">
        <v>9</v>
      </c>
      <c r="H7" t="s">
        <v>7</v>
      </c>
      <c r="I7" t="s">
        <v>8</v>
      </c>
      <c r="J7" t="s">
        <v>9</v>
      </c>
      <c r="N7" t="s">
        <v>73</v>
      </c>
      <c r="O7" s="1"/>
    </row>
    <row r="8" spans="1:24" ht="30" x14ac:dyDescent="0.25">
      <c r="B8" t="s">
        <v>26</v>
      </c>
      <c r="C8" s="1">
        <v>7.63</v>
      </c>
      <c r="E8" t="s">
        <v>41</v>
      </c>
      <c r="H8" s="8" t="s">
        <v>12</v>
      </c>
      <c r="J8" s="1">
        <v>30</v>
      </c>
      <c r="N8" t="s">
        <v>75</v>
      </c>
      <c r="O8" s="1">
        <f>O5</f>
        <v>0</v>
      </c>
    </row>
    <row r="9" spans="1:24" x14ac:dyDescent="0.25">
      <c r="B9" t="s">
        <v>27</v>
      </c>
      <c r="C9" s="1">
        <v>14.2</v>
      </c>
      <c r="E9" s="6" t="s">
        <v>0</v>
      </c>
      <c r="F9" s="2">
        <f>F1+F3+F4</f>
        <v>-513.18999999999971</v>
      </c>
      <c r="I9" t="s">
        <v>28</v>
      </c>
      <c r="J9" s="1">
        <v>43.99</v>
      </c>
      <c r="N9" t="s">
        <v>76</v>
      </c>
      <c r="O9" s="1">
        <f>O5</f>
        <v>0</v>
      </c>
    </row>
    <row r="10" spans="1:24" ht="15.75" thickBot="1" x14ac:dyDescent="0.3">
      <c r="B10" t="s">
        <v>23</v>
      </c>
      <c r="C10" s="1">
        <v>6.54</v>
      </c>
      <c r="E10" s="7" t="s">
        <v>1</v>
      </c>
      <c r="F10" s="2">
        <f>F2</f>
        <v>24.539999999999736</v>
      </c>
      <c r="H10" t="s">
        <v>29</v>
      </c>
      <c r="J10" s="1">
        <v>13</v>
      </c>
    </row>
    <row r="11" spans="1:24" ht="15.75" thickBot="1" x14ac:dyDescent="0.3">
      <c r="B11" t="s">
        <v>23</v>
      </c>
      <c r="C11" s="1">
        <v>6.94</v>
      </c>
      <c r="E11" s="13" t="s">
        <v>44</v>
      </c>
      <c r="F11" s="9">
        <f>F9+F10</f>
        <v>-488.65</v>
      </c>
      <c r="H11" t="s">
        <v>43</v>
      </c>
      <c r="J11" s="1">
        <v>683.33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x14ac:dyDescent="0.25">
      <c r="A12" t="s">
        <v>10</v>
      </c>
      <c r="C12" s="1">
        <v>522.62</v>
      </c>
      <c r="E12" s="50" t="s">
        <v>4</v>
      </c>
      <c r="F12" s="51">
        <v>1600</v>
      </c>
      <c r="H12" t="s">
        <v>43</v>
      </c>
      <c r="J12" s="1">
        <v>170.83</v>
      </c>
      <c r="M12" s="12"/>
      <c r="N12" s="12" t="s">
        <v>56</v>
      </c>
      <c r="O12" s="12" t="s">
        <v>57</v>
      </c>
      <c r="P12" s="12"/>
      <c r="Q12" s="12"/>
      <c r="R12" s="12"/>
      <c r="S12" s="12"/>
      <c r="T12" s="12"/>
      <c r="U12" s="12"/>
      <c r="V12" s="12"/>
      <c r="W12" s="12"/>
      <c r="X12" s="12"/>
    </row>
    <row r="13" spans="1:24" x14ac:dyDescent="0.25">
      <c r="A13" t="s">
        <v>14</v>
      </c>
      <c r="C13" s="1">
        <v>161</v>
      </c>
      <c r="E13" s="12"/>
      <c r="H13" t="s">
        <v>43</v>
      </c>
      <c r="J13" s="1">
        <v>259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30" x14ac:dyDescent="0.25">
      <c r="A14" s="8" t="s">
        <v>15</v>
      </c>
      <c r="C14" s="1">
        <v>21.98</v>
      </c>
      <c r="I14" t="s">
        <v>100</v>
      </c>
      <c r="J14" s="1">
        <v>14.75</v>
      </c>
      <c r="M14" s="12"/>
      <c r="N14" s="17" t="s">
        <v>63</v>
      </c>
      <c r="O14" s="12" t="s">
        <v>58</v>
      </c>
      <c r="P14" s="12" t="s">
        <v>71</v>
      </c>
      <c r="Q14" s="12" t="s">
        <v>59</v>
      </c>
      <c r="R14" s="12" t="s">
        <v>60</v>
      </c>
      <c r="S14" s="12" t="s">
        <v>61</v>
      </c>
      <c r="T14" s="12" t="s">
        <v>62</v>
      </c>
      <c r="U14" s="12"/>
      <c r="V14" s="22" t="s">
        <v>64</v>
      </c>
      <c r="W14" s="12"/>
      <c r="X14" s="12"/>
    </row>
    <row r="15" spans="1:24" x14ac:dyDescent="0.25">
      <c r="A15" s="8"/>
      <c r="B15" t="s">
        <v>51</v>
      </c>
      <c r="C15" s="1">
        <v>18.53</v>
      </c>
      <c r="E15" s="14" t="s">
        <v>52</v>
      </c>
      <c r="F15" s="15">
        <f>Tabelle2[[#Totals],[Betrag]]+Tabelle24[[#Totals],[Betrag]]</f>
        <v>5805.49</v>
      </c>
      <c r="I15" t="s">
        <v>104</v>
      </c>
      <c r="J15" s="1">
        <v>149.69</v>
      </c>
      <c r="M15" s="12" t="s">
        <v>67</v>
      </c>
      <c r="N15" s="18">
        <v>511.86</v>
      </c>
      <c r="O15" s="19">
        <f>Tabelle1[[#This Row],[Gesamtkosten]]/6+V15/2+90+25</f>
        <v>242.965</v>
      </c>
      <c r="P15" s="19">
        <f>Tabelle1[[#This Row],[Gesamtkosten]]/6+V15/2-V17+25</f>
        <v>62.965000000000003</v>
      </c>
      <c r="Q15" s="19">
        <v>0</v>
      </c>
      <c r="R15" s="19">
        <f>Tabelle1[[#This Row],[Gesamtkosten]]/6-V22</f>
        <v>0</v>
      </c>
      <c r="S15" s="19">
        <f>Tabelle1[[#This Row],[Gesamtkosten]]/6+V20+V22/2</f>
        <v>163.27500000000001</v>
      </c>
      <c r="T15" s="19">
        <f>Tabelle1[[#This Row],[Gesamtkosten]]/6-V19-V20+V22/2</f>
        <v>42.655000000000001</v>
      </c>
      <c r="U15" s="12"/>
      <c r="V15" s="23">
        <f>Tabelle1[[#This Row],[Gesamtkosten]]/6</f>
        <v>85.31</v>
      </c>
      <c r="W15" s="12" t="s">
        <v>70</v>
      </c>
      <c r="X15" s="12"/>
    </row>
    <row r="16" spans="1:24" x14ac:dyDescent="0.25">
      <c r="A16" s="8" t="s">
        <v>16</v>
      </c>
      <c r="C16" s="1">
        <v>50</v>
      </c>
      <c r="E16" t="s">
        <v>53</v>
      </c>
      <c r="F16" s="1">
        <f>5022.44+1594.85+194</f>
        <v>6811.2899999999991</v>
      </c>
      <c r="I16" t="s">
        <v>103</v>
      </c>
      <c r="J16" s="1">
        <v>17.809999999999999</v>
      </c>
      <c r="O16" s="20"/>
      <c r="P16" s="21"/>
      <c r="Q16" s="12"/>
      <c r="R16" s="20"/>
      <c r="S16" s="20"/>
      <c r="T16" s="20"/>
      <c r="U16" s="12"/>
      <c r="V16" s="22" t="s">
        <v>65</v>
      </c>
      <c r="W16" s="12"/>
      <c r="X16" s="12"/>
    </row>
    <row r="17" spans="1:24" x14ac:dyDescent="0.25">
      <c r="A17" s="8"/>
      <c r="B17" t="s">
        <v>17</v>
      </c>
      <c r="C17" s="1">
        <v>18.7</v>
      </c>
      <c r="I17" t="s">
        <v>78</v>
      </c>
      <c r="J17" s="1">
        <v>34.5</v>
      </c>
      <c r="M17" s="12"/>
      <c r="N17" s="20"/>
      <c r="O17" s="20"/>
      <c r="P17" s="20"/>
      <c r="Q17" s="25"/>
      <c r="R17" s="20"/>
      <c r="S17" s="20"/>
      <c r="T17" s="20"/>
      <c r="U17" s="12"/>
      <c r="V17" s="23">
        <v>90</v>
      </c>
      <c r="W17" s="12" t="s">
        <v>58</v>
      </c>
      <c r="X17" s="12"/>
    </row>
    <row r="18" spans="1:24" x14ac:dyDescent="0.25">
      <c r="A18" s="8"/>
      <c r="B18" t="s">
        <v>24</v>
      </c>
      <c r="C18" s="1">
        <v>100</v>
      </c>
      <c r="E18" s="37" t="s">
        <v>92</v>
      </c>
      <c r="F18" s="11">
        <f>F19+F20</f>
        <v>423.63</v>
      </c>
      <c r="I18" t="s">
        <v>99</v>
      </c>
      <c r="J18" s="1">
        <v>24.45</v>
      </c>
      <c r="M18" s="12"/>
      <c r="N18" s="12"/>
      <c r="O18" s="12"/>
      <c r="P18" s="12"/>
      <c r="Q18" s="12"/>
      <c r="R18" s="12"/>
      <c r="S18" s="12"/>
      <c r="T18" s="12"/>
      <c r="U18" s="12"/>
      <c r="V18" s="22" t="s">
        <v>66</v>
      </c>
      <c r="W18" s="12"/>
      <c r="X18" s="12"/>
    </row>
    <row r="19" spans="1:24" x14ac:dyDescent="0.25">
      <c r="A19" s="8"/>
      <c r="B19" t="s">
        <v>18</v>
      </c>
      <c r="C19" s="1">
        <v>25.04</v>
      </c>
      <c r="E19" s="12" t="s">
        <v>61</v>
      </c>
      <c r="F19" s="36">
        <v>163.28</v>
      </c>
      <c r="I19" t="s">
        <v>86</v>
      </c>
      <c r="J19" s="1">
        <v>200</v>
      </c>
      <c r="M19" s="12"/>
      <c r="N19" s="12"/>
      <c r="O19" s="12"/>
      <c r="P19" s="12"/>
      <c r="Q19" s="12"/>
      <c r="R19" s="12"/>
      <c r="S19" s="12"/>
      <c r="T19" s="12"/>
      <c r="U19" s="12"/>
      <c r="V19" s="23">
        <v>50</v>
      </c>
      <c r="W19" s="12" t="s">
        <v>70</v>
      </c>
      <c r="X19" s="12"/>
    </row>
    <row r="20" spans="1:24" x14ac:dyDescent="0.25">
      <c r="A20" s="8"/>
      <c r="B20" t="s">
        <v>19</v>
      </c>
      <c r="C20" s="1">
        <v>6.74</v>
      </c>
      <c r="E20" s="27" t="s">
        <v>93</v>
      </c>
      <c r="F20" s="36">
        <v>260.35000000000002</v>
      </c>
      <c r="I20" t="s">
        <v>96</v>
      </c>
      <c r="J20" s="1">
        <v>38.130000000000003</v>
      </c>
      <c r="M20" s="12"/>
      <c r="N20" s="12"/>
      <c r="O20" s="12"/>
      <c r="P20" s="12"/>
      <c r="Q20" s="12"/>
      <c r="R20" s="12"/>
      <c r="S20" s="12"/>
      <c r="T20" s="12"/>
      <c r="U20" s="12"/>
      <c r="V20" s="23">
        <v>35.31</v>
      </c>
      <c r="W20" s="12" t="s">
        <v>61</v>
      </c>
      <c r="X20" s="12"/>
    </row>
    <row r="21" spans="1:24" x14ac:dyDescent="0.25">
      <c r="A21" s="8"/>
      <c r="B21" t="s">
        <v>20</v>
      </c>
      <c r="C21" s="1">
        <v>15.87</v>
      </c>
      <c r="F21" s="1"/>
      <c r="I21" t="s">
        <v>109</v>
      </c>
      <c r="J21" s="1">
        <v>6.3</v>
      </c>
      <c r="V21" s="22" t="s">
        <v>68</v>
      </c>
    </row>
    <row r="22" spans="1:24" x14ac:dyDescent="0.25">
      <c r="A22" s="8"/>
      <c r="B22" t="s">
        <v>21</v>
      </c>
      <c r="C22" s="1">
        <v>16.53</v>
      </c>
      <c r="H22" t="s">
        <v>11</v>
      </c>
      <c r="J22" s="2">
        <f>SUBTOTAL(109,Tabelle24[Betrag])</f>
        <v>1685.7800000000002</v>
      </c>
      <c r="V22" s="23">
        <f>N15/6</f>
        <v>85.31</v>
      </c>
      <c r="W22" t="s">
        <v>69</v>
      </c>
    </row>
    <row r="23" spans="1:24" x14ac:dyDescent="0.25">
      <c r="A23" s="8"/>
      <c r="B23" t="s">
        <v>25</v>
      </c>
      <c r="C23" s="1">
        <v>12.33</v>
      </c>
    </row>
    <row r="24" spans="1:24" x14ac:dyDescent="0.25">
      <c r="A24" s="8"/>
      <c r="B24" t="s">
        <v>22</v>
      </c>
      <c r="C24" s="1">
        <v>129</v>
      </c>
      <c r="E24" s="12" t="s">
        <v>8</v>
      </c>
      <c r="F24" s="48">
        <v>3086.69</v>
      </c>
    </row>
    <row r="25" spans="1:24" x14ac:dyDescent="0.25">
      <c r="A25" s="8"/>
      <c r="B25" t="s">
        <v>17</v>
      </c>
      <c r="C25" s="1">
        <v>8.2899999999999991</v>
      </c>
      <c r="E25" s="12" t="s">
        <v>7</v>
      </c>
      <c r="F25" s="48">
        <v>2718.8</v>
      </c>
      <c r="H25" s="2"/>
      <c r="L25" s="2"/>
    </row>
    <row r="26" spans="1:24" x14ac:dyDescent="0.25">
      <c r="A26" s="8"/>
      <c r="E26" s="27" t="s">
        <v>101</v>
      </c>
      <c r="F26" s="49">
        <v>445.29999999999995</v>
      </c>
    </row>
    <row r="27" spans="1:24" x14ac:dyDescent="0.25">
      <c r="A27" s="8"/>
      <c r="B27" t="s">
        <v>21</v>
      </c>
      <c r="C27" s="1">
        <v>30.55</v>
      </c>
      <c r="E27" s="27" t="s">
        <v>102</v>
      </c>
      <c r="F27" s="33">
        <v>493.80999999999995</v>
      </c>
      <c r="H27" s="2"/>
      <c r="J27" s="2"/>
    </row>
    <row r="28" spans="1:24" x14ac:dyDescent="0.25">
      <c r="A28" s="8" t="s">
        <v>31</v>
      </c>
      <c r="C28" s="1">
        <v>27</v>
      </c>
      <c r="E28" s="27" t="s">
        <v>105</v>
      </c>
      <c r="F28" s="33">
        <v>341.65999999999997</v>
      </c>
      <c r="H28" s="2"/>
      <c r="I28" s="2"/>
    </row>
    <row r="29" spans="1:24" x14ac:dyDescent="0.25">
      <c r="A29" s="8" t="s">
        <v>32</v>
      </c>
      <c r="C29" s="1">
        <v>20</v>
      </c>
      <c r="E29" s="27" t="s">
        <v>106</v>
      </c>
      <c r="F29" s="33">
        <v>176.72</v>
      </c>
      <c r="I29" s="2"/>
    </row>
    <row r="30" spans="1:24" x14ac:dyDescent="0.25">
      <c r="A30" s="8" t="s">
        <v>33</v>
      </c>
      <c r="C30" s="1">
        <v>62.5</v>
      </c>
      <c r="E30" s="27" t="s">
        <v>110</v>
      </c>
      <c r="F30" s="33">
        <v>379.55</v>
      </c>
    </row>
    <row r="31" spans="1:24" x14ac:dyDescent="0.25">
      <c r="A31" s="8"/>
      <c r="B31" t="s">
        <v>21</v>
      </c>
      <c r="C31" s="1">
        <v>37.21</v>
      </c>
    </row>
    <row r="32" spans="1:24" x14ac:dyDescent="0.25">
      <c r="A32" s="8"/>
      <c r="B32" t="s">
        <v>34</v>
      </c>
      <c r="C32" s="1">
        <v>14.93</v>
      </c>
    </row>
    <row r="33" spans="1:3" x14ac:dyDescent="0.25">
      <c r="A33" s="8"/>
      <c r="B33" t="s">
        <v>35</v>
      </c>
      <c r="C33" s="1">
        <v>6.98</v>
      </c>
    </row>
    <row r="34" spans="1:3" x14ac:dyDescent="0.25">
      <c r="A34" s="8" t="s">
        <v>36</v>
      </c>
      <c r="C34" s="1">
        <v>91</v>
      </c>
    </row>
    <row r="35" spans="1:3" x14ac:dyDescent="0.25">
      <c r="A35" s="8"/>
      <c r="B35" t="s">
        <v>37</v>
      </c>
      <c r="C35" s="1">
        <v>248</v>
      </c>
    </row>
    <row r="36" spans="1:3" x14ac:dyDescent="0.25">
      <c r="A36" s="8"/>
      <c r="B36" t="s">
        <v>38</v>
      </c>
      <c r="C36" s="1">
        <v>250</v>
      </c>
    </row>
    <row r="37" spans="1:3" x14ac:dyDescent="0.25">
      <c r="A37" s="8"/>
      <c r="B37" t="s">
        <v>40</v>
      </c>
      <c r="C37" s="1">
        <v>400</v>
      </c>
    </row>
    <row r="38" spans="1:3" x14ac:dyDescent="0.25">
      <c r="A38" s="8"/>
      <c r="B38" t="s">
        <v>42</v>
      </c>
      <c r="C38" s="1">
        <v>28.99</v>
      </c>
    </row>
    <row r="39" spans="1:3" x14ac:dyDescent="0.25">
      <c r="A39" s="8" t="s">
        <v>45</v>
      </c>
      <c r="C39" s="1">
        <v>100</v>
      </c>
    </row>
    <row r="40" spans="1:3" x14ac:dyDescent="0.25">
      <c r="A40" s="8"/>
      <c r="B40" t="s">
        <v>46</v>
      </c>
      <c r="C40" s="1">
        <v>66.010000000000005</v>
      </c>
    </row>
    <row r="41" spans="1:3" x14ac:dyDescent="0.25">
      <c r="A41" s="8"/>
      <c r="B41" t="s">
        <v>47</v>
      </c>
      <c r="C41" s="1">
        <v>17.5</v>
      </c>
    </row>
    <row r="42" spans="1:3" x14ac:dyDescent="0.25">
      <c r="A42" s="8"/>
      <c r="B42" t="s">
        <v>17</v>
      </c>
      <c r="C42" s="1">
        <v>1.74</v>
      </c>
    </row>
    <row r="43" spans="1:3" x14ac:dyDescent="0.25">
      <c r="A43" s="8"/>
      <c r="B43" t="s">
        <v>48</v>
      </c>
      <c r="C43" s="1">
        <v>44.03</v>
      </c>
    </row>
    <row r="44" spans="1:3" x14ac:dyDescent="0.25">
      <c r="A44" s="8" t="s">
        <v>49</v>
      </c>
      <c r="C44" s="1">
        <v>69.900000000000006</v>
      </c>
    </row>
    <row r="45" spans="1:3" x14ac:dyDescent="0.25">
      <c r="A45" s="8"/>
      <c r="B45" t="s">
        <v>50</v>
      </c>
      <c r="C45" s="1">
        <v>57.46</v>
      </c>
    </row>
    <row r="46" spans="1:3" x14ac:dyDescent="0.25">
      <c r="A46" s="8" t="s">
        <v>72</v>
      </c>
      <c r="C46" s="1">
        <v>24.99</v>
      </c>
    </row>
    <row r="47" spans="1:3" x14ac:dyDescent="0.25">
      <c r="A47" s="8"/>
      <c r="B47" t="s">
        <v>17</v>
      </c>
      <c r="C47" s="1">
        <v>51.88</v>
      </c>
    </row>
    <row r="48" spans="1:3" x14ac:dyDescent="0.25">
      <c r="A48" s="8"/>
      <c r="B48" t="s">
        <v>17</v>
      </c>
      <c r="C48" s="1">
        <v>34.409999999999997</v>
      </c>
    </row>
    <row r="49" spans="1:3" x14ac:dyDescent="0.25">
      <c r="A49" s="8" t="s">
        <v>77</v>
      </c>
      <c r="C49" s="1">
        <v>3</v>
      </c>
    </row>
    <row r="50" spans="1:3" x14ac:dyDescent="0.25">
      <c r="A50" s="8"/>
      <c r="B50" t="s">
        <v>79</v>
      </c>
      <c r="C50" s="1">
        <v>4.9000000000000004</v>
      </c>
    </row>
    <row r="51" spans="1:3" x14ac:dyDescent="0.25">
      <c r="A51" s="8"/>
      <c r="B51" t="s">
        <v>80</v>
      </c>
      <c r="C51" s="1">
        <v>42.98</v>
      </c>
    </row>
    <row r="52" spans="1:3" x14ac:dyDescent="0.25">
      <c r="A52" s="8"/>
      <c r="B52" t="s">
        <v>50</v>
      </c>
      <c r="C52" s="1">
        <v>60.52</v>
      </c>
    </row>
    <row r="53" spans="1:3" x14ac:dyDescent="0.25">
      <c r="A53" s="8"/>
      <c r="B53" t="s">
        <v>81</v>
      </c>
      <c r="C53" s="1">
        <v>8.3000000000000007</v>
      </c>
    </row>
    <row r="54" spans="1:3" x14ac:dyDescent="0.25">
      <c r="A54" s="8"/>
      <c r="B54" t="s">
        <v>25</v>
      </c>
      <c r="C54" s="1">
        <v>13.58</v>
      </c>
    </row>
    <row r="55" spans="1:3" x14ac:dyDescent="0.25">
      <c r="A55" s="8"/>
      <c r="B55" t="s">
        <v>80</v>
      </c>
      <c r="C55" s="1">
        <v>45.53</v>
      </c>
    </row>
    <row r="56" spans="1:3" x14ac:dyDescent="0.25">
      <c r="A56" s="8"/>
      <c r="B56" t="s">
        <v>82</v>
      </c>
      <c r="C56" s="1">
        <v>20.5</v>
      </c>
    </row>
    <row r="57" spans="1:3" x14ac:dyDescent="0.25">
      <c r="A57" s="8"/>
      <c r="B57" t="s">
        <v>21</v>
      </c>
      <c r="C57" s="1">
        <v>25.95</v>
      </c>
    </row>
    <row r="58" spans="1:3" x14ac:dyDescent="0.25">
      <c r="A58" s="8"/>
      <c r="B58" t="s">
        <v>83</v>
      </c>
      <c r="C58" s="1">
        <v>30</v>
      </c>
    </row>
    <row r="59" spans="1:3" x14ac:dyDescent="0.25">
      <c r="A59" s="8" t="s">
        <v>84</v>
      </c>
      <c r="C59" s="1">
        <v>136.99</v>
      </c>
    </row>
    <row r="60" spans="1:3" x14ac:dyDescent="0.25">
      <c r="A60" s="8" t="s">
        <v>88</v>
      </c>
      <c r="C60" s="1">
        <v>100</v>
      </c>
    </row>
    <row r="61" spans="1:3" x14ac:dyDescent="0.25">
      <c r="A61" s="8"/>
      <c r="B61" t="s">
        <v>85</v>
      </c>
      <c r="C61" s="1">
        <v>17.95</v>
      </c>
    </row>
    <row r="62" spans="1:3" x14ac:dyDescent="0.25">
      <c r="B62" s="8" t="s">
        <v>87</v>
      </c>
      <c r="C62" s="1">
        <f>0-200</f>
        <v>-200</v>
      </c>
    </row>
    <row r="63" spans="1:3" x14ac:dyDescent="0.25">
      <c r="A63" s="8"/>
      <c r="B63" t="s">
        <v>89</v>
      </c>
      <c r="C63" s="1">
        <v>80</v>
      </c>
    </row>
    <row r="64" spans="1:3" x14ac:dyDescent="0.25">
      <c r="A64" s="8"/>
      <c r="B64" t="s">
        <v>90</v>
      </c>
      <c r="C64" s="1">
        <v>14.81</v>
      </c>
    </row>
    <row r="65" spans="1:3" x14ac:dyDescent="0.25">
      <c r="A65" s="8"/>
      <c r="B65" t="s">
        <v>50</v>
      </c>
      <c r="C65" s="1">
        <v>58.74</v>
      </c>
    </row>
    <row r="66" spans="1:3" x14ac:dyDescent="0.25">
      <c r="A66" s="8"/>
      <c r="B66" t="s">
        <v>91</v>
      </c>
      <c r="C66" s="1">
        <v>16.25</v>
      </c>
    </row>
    <row r="67" spans="1:3" x14ac:dyDescent="0.25">
      <c r="A67" s="8"/>
      <c r="B67" t="s">
        <v>94</v>
      </c>
      <c r="C67" s="1">
        <v>176.89</v>
      </c>
    </row>
    <row r="68" spans="1:3" x14ac:dyDescent="0.25">
      <c r="A68" s="8"/>
      <c r="B68" t="s">
        <v>94</v>
      </c>
      <c r="C68" s="1">
        <v>15.9</v>
      </c>
    </row>
    <row r="69" spans="1:3" x14ac:dyDescent="0.25">
      <c r="A69" s="8"/>
      <c r="B69" t="s">
        <v>19</v>
      </c>
      <c r="C69" s="1">
        <v>78.900000000000006</v>
      </c>
    </row>
    <row r="70" spans="1:3" ht="30" x14ac:dyDescent="0.25">
      <c r="A70" s="8" t="s">
        <v>95</v>
      </c>
      <c r="C70" s="1">
        <v>17.66</v>
      </c>
    </row>
    <row r="71" spans="1:3" x14ac:dyDescent="0.25">
      <c r="A71" s="8" t="s">
        <v>107</v>
      </c>
      <c r="C71" s="1">
        <v>137</v>
      </c>
    </row>
    <row r="72" spans="1:3" x14ac:dyDescent="0.25">
      <c r="A72" s="8" t="s">
        <v>107</v>
      </c>
      <c r="C72" s="1">
        <v>17</v>
      </c>
    </row>
    <row r="73" spans="1:3" x14ac:dyDescent="0.25">
      <c r="A73" s="8"/>
      <c r="B73" t="s">
        <v>108</v>
      </c>
      <c r="C73" s="1">
        <v>89.96</v>
      </c>
    </row>
    <row r="74" spans="1:3" x14ac:dyDescent="0.25">
      <c r="A74" s="8"/>
      <c r="B74" t="s">
        <v>19</v>
      </c>
      <c r="C74" s="1">
        <v>10.87</v>
      </c>
    </row>
    <row r="75" spans="1:3" x14ac:dyDescent="0.25">
      <c r="A75" s="8"/>
      <c r="B75" t="s">
        <v>17</v>
      </c>
      <c r="C75" s="1">
        <v>4.63</v>
      </c>
    </row>
    <row r="76" spans="1:3" x14ac:dyDescent="0.25">
      <c r="A76" s="8"/>
      <c r="B76" t="s">
        <v>109</v>
      </c>
      <c r="C76" s="1">
        <v>6.3</v>
      </c>
    </row>
    <row r="77" spans="1:3" x14ac:dyDescent="0.25">
      <c r="A77" s="8"/>
      <c r="B77" t="s">
        <v>20</v>
      </c>
      <c r="C77" s="1">
        <v>20.99</v>
      </c>
    </row>
    <row r="78" spans="1:3" x14ac:dyDescent="0.25">
      <c r="A78" s="8"/>
      <c r="B78" t="s">
        <v>78</v>
      </c>
      <c r="C78" s="1">
        <v>89.5</v>
      </c>
    </row>
    <row r="79" spans="1:3" x14ac:dyDescent="0.25">
      <c r="A79" s="8"/>
      <c r="B79" t="s">
        <v>17</v>
      </c>
      <c r="C79" s="1">
        <v>10.36</v>
      </c>
    </row>
    <row r="80" spans="1:3" x14ac:dyDescent="0.25">
      <c r="A80" s="8"/>
      <c r="B80" t="s">
        <v>27</v>
      </c>
      <c r="C80" s="1">
        <v>11.7</v>
      </c>
    </row>
    <row r="81" spans="1:3" x14ac:dyDescent="0.25">
      <c r="A81" s="8"/>
      <c r="B81" t="s">
        <v>111</v>
      </c>
      <c r="C81" s="1">
        <v>30.45</v>
      </c>
    </row>
    <row r="82" spans="1:3" x14ac:dyDescent="0.25">
      <c r="A82" s="8"/>
      <c r="B82" t="s">
        <v>112</v>
      </c>
      <c r="C82" s="1">
        <v>60</v>
      </c>
    </row>
    <row r="83" spans="1:3" x14ac:dyDescent="0.25">
      <c r="A83" s="8"/>
      <c r="B83" t="s">
        <v>109</v>
      </c>
      <c r="C83" s="1">
        <v>16.91</v>
      </c>
    </row>
    <row r="84" spans="1:3" x14ac:dyDescent="0.25">
      <c r="A84" s="8"/>
      <c r="B84" t="s">
        <v>17</v>
      </c>
      <c r="C84" s="1">
        <v>17.670000000000002</v>
      </c>
    </row>
    <row r="85" spans="1:3" x14ac:dyDescent="0.25">
      <c r="A85" s="8"/>
    </row>
    <row r="86" spans="1:3" x14ac:dyDescent="0.25">
      <c r="A86" t="s">
        <v>11</v>
      </c>
      <c r="C86" s="2">
        <f>SUBTOTAL(109,Tabelle2[Betrag])</f>
        <v>4119.71</v>
      </c>
    </row>
  </sheetData>
  <conditionalFormatting sqref="F1:F5 F12:F18 F27:F1048576 F20:F22">
    <cfRule type="cellIs" dxfId="14" priority="8" operator="lessThan">
      <formula>0</formula>
    </cfRule>
  </conditionalFormatting>
  <conditionalFormatting sqref="F1:F10">
    <cfRule type="cellIs" dxfId="13" priority="7" operator="lessThan">
      <formula>0</formula>
    </cfRule>
  </conditionalFormatting>
  <conditionalFormatting sqref="C1">
    <cfRule type="cellIs" dxfId="12" priority="5" operator="lessThan">
      <formula>0</formula>
    </cfRule>
    <cfRule type="cellIs" dxfId="11" priority="6" operator="greaterThan">
      <formula>0</formula>
    </cfRule>
  </conditionalFormatting>
  <conditionalFormatting sqref="F11">
    <cfRule type="cellIs" dxfId="10" priority="3" operator="lessThan">
      <formula>0</formula>
    </cfRule>
    <cfRule type="cellIs" dxfId="9" priority="4" operator="greaterThan">
      <formula>0</formula>
    </cfRule>
  </conditionalFormatting>
  <conditionalFormatting sqref="C8:C85">
    <cfRule type="duplicateValues" dxfId="8" priority="12"/>
  </conditionalFormatting>
  <conditionalFormatting sqref="F19">
    <cfRule type="cellIs" dxfId="7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D26" sqref="D26"/>
    </sheetView>
  </sheetViews>
  <sheetFormatPr baseColWidth="10" defaultColWidth="9.140625" defaultRowHeight="15" x14ac:dyDescent="0.25"/>
  <cols>
    <col min="1" max="1" width="23.7109375" customWidth="1"/>
    <col min="2" max="2" width="31.5703125" customWidth="1"/>
    <col min="3" max="3" width="12.85546875" style="1" customWidth="1"/>
    <col min="5" max="5" width="14.85546875" customWidth="1"/>
    <col min="6" max="6" width="11" bestFit="1" customWidth="1"/>
    <col min="8" max="8" width="21.42578125" customWidth="1"/>
    <col min="9" max="9" width="20.7109375" customWidth="1"/>
    <col min="10" max="10" width="15.42578125" customWidth="1"/>
    <col min="14" max="14" width="9.7109375" customWidth="1"/>
    <col min="15" max="15" width="13.42578125" customWidth="1"/>
    <col min="16" max="16" width="10.5703125" bestFit="1" customWidth="1"/>
    <col min="17" max="17" width="8.85546875" bestFit="1" customWidth="1"/>
    <col min="18" max="18" width="9.7109375" customWidth="1"/>
    <col min="19" max="19" width="9.42578125" bestFit="1" customWidth="1"/>
    <col min="20" max="20" width="8.28515625" customWidth="1"/>
    <col min="22" max="22" width="20.5703125" customWidth="1"/>
  </cols>
  <sheetData>
    <row r="1" spans="1:25" ht="15.75" thickBot="1" x14ac:dyDescent="0.3">
      <c r="A1" t="s">
        <v>13</v>
      </c>
      <c r="B1" s="10">
        <v>43612</v>
      </c>
      <c r="C1" s="9">
        <f>F5+F11</f>
        <v>4095.0999999999995</v>
      </c>
      <c r="E1" s="6" t="s">
        <v>0</v>
      </c>
      <c r="F1" s="4">
        <f>'Mai2019'!F9-Tabelle25[[#Totals],[Betrag]]</f>
        <v>-526.62999999999977</v>
      </c>
      <c r="J1" s="26"/>
      <c r="K1" s="28"/>
      <c r="L1" s="28"/>
      <c r="M1" s="28"/>
      <c r="N1" s="38" t="s">
        <v>97</v>
      </c>
      <c r="O1" s="42"/>
    </row>
    <row r="2" spans="1:25" x14ac:dyDescent="0.25">
      <c r="B2" s="2"/>
      <c r="C2"/>
      <c r="E2" s="7" t="s">
        <v>1</v>
      </c>
      <c r="F2" s="4">
        <f>'Mai2019'!F10+1594.85</f>
        <v>1619.3899999999996</v>
      </c>
      <c r="J2" s="26"/>
      <c r="K2" s="28"/>
      <c r="L2" s="28"/>
      <c r="M2" s="28"/>
      <c r="N2" s="39" t="s">
        <v>58</v>
      </c>
      <c r="O2" s="43"/>
    </row>
    <row r="3" spans="1:25" ht="15.75" thickBot="1" x14ac:dyDescent="0.3">
      <c r="B3" s="2"/>
      <c r="C3"/>
      <c r="E3" s="3" t="s">
        <v>2</v>
      </c>
      <c r="F3" s="1">
        <f>0</f>
        <v>0</v>
      </c>
      <c r="J3" s="28"/>
      <c r="K3" s="28"/>
      <c r="L3" s="28"/>
      <c r="M3" s="28"/>
      <c r="N3" s="40" t="s">
        <v>98</v>
      </c>
      <c r="O3" s="41">
        <f>SUM(O1:O2)</f>
        <v>0</v>
      </c>
    </row>
    <row r="4" spans="1:25" x14ac:dyDescent="0.25">
      <c r="C4"/>
      <c r="E4" s="3" t="s">
        <v>3</v>
      </c>
      <c r="F4" s="5">
        <f>0-50-50</f>
        <v>-100</v>
      </c>
    </row>
    <row r="5" spans="1:25" x14ac:dyDescent="0.25">
      <c r="C5"/>
      <c r="E5" s="3" t="s">
        <v>4</v>
      </c>
      <c r="F5" s="4">
        <f>'Mai2019'!F5+0.31</f>
        <v>3102.3399999999997</v>
      </c>
      <c r="N5" t="s">
        <v>55</v>
      </c>
      <c r="O5" s="16"/>
      <c r="P5" s="14" t="s">
        <v>54</v>
      </c>
    </row>
    <row r="6" spans="1:25" x14ac:dyDescent="0.25">
      <c r="A6" t="s">
        <v>0</v>
      </c>
      <c r="C6"/>
      <c r="N6" t="s">
        <v>74</v>
      </c>
      <c r="O6" s="26"/>
    </row>
    <row r="7" spans="1:25" x14ac:dyDescent="0.25">
      <c r="A7" t="s">
        <v>7</v>
      </c>
      <c r="B7" t="s">
        <v>8</v>
      </c>
      <c r="C7" t="s">
        <v>9</v>
      </c>
      <c r="H7" t="s">
        <v>7</v>
      </c>
      <c r="I7" t="s">
        <v>8</v>
      </c>
      <c r="J7" t="s">
        <v>9</v>
      </c>
      <c r="N7" t="s">
        <v>73</v>
      </c>
      <c r="O7" s="1"/>
    </row>
    <row r="8" spans="1:25" x14ac:dyDescent="0.25">
      <c r="B8" t="s">
        <v>113</v>
      </c>
      <c r="C8" s="1">
        <v>5.99</v>
      </c>
      <c r="E8" t="s">
        <v>41</v>
      </c>
      <c r="H8" s="8"/>
      <c r="J8" s="1"/>
      <c r="N8" t="s">
        <v>75</v>
      </c>
      <c r="O8" s="1"/>
    </row>
    <row r="9" spans="1:25" x14ac:dyDescent="0.25">
      <c r="B9" t="s">
        <v>23</v>
      </c>
      <c r="C9" s="1">
        <v>7.45</v>
      </c>
      <c r="E9" s="6" t="s">
        <v>0</v>
      </c>
      <c r="F9" s="2">
        <f>F1+F4+F3</f>
        <v>-626.62999999999977</v>
      </c>
      <c r="J9" s="1"/>
      <c r="N9" t="s">
        <v>76</v>
      </c>
      <c r="O9" s="1"/>
    </row>
    <row r="10" spans="1:25" ht="15.75" thickBot="1" x14ac:dyDescent="0.3">
      <c r="E10" s="7" t="s">
        <v>1</v>
      </c>
      <c r="F10" s="2">
        <f>F2</f>
        <v>1619.3899999999996</v>
      </c>
      <c r="J10" s="1"/>
    </row>
    <row r="11" spans="1:25" ht="15.75" thickBot="1" x14ac:dyDescent="0.3">
      <c r="E11" s="13" t="s">
        <v>44</v>
      </c>
      <c r="F11" s="9">
        <f>F9+F10</f>
        <v>992.75999999999988</v>
      </c>
      <c r="J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5" x14ac:dyDescent="0.25">
      <c r="E12" s="12"/>
      <c r="J12" s="1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</row>
    <row r="13" spans="1:25" x14ac:dyDescent="0.25">
      <c r="A13" s="8"/>
      <c r="E13" s="12"/>
      <c r="J13" s="1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</row>
    <row r="14" spans="1:25" x14ac:dyDescent="0.25">
      <c r="A14" s="8"/>
      <c r="J14" s="1"/>
      <c r="M14" s="27"/>
      <c r="N14" s="29"/>
      <c r="O14" s="27"/>
      <c r="P14" s="27"/>
      <c r="Q14" s="27"/>
      <c r="R14" s="27"/>
      <c r="S14" s="27"/>
      <c r="T14" s="27"/>
      <c r="U14" s="27"/>
      <c r="V14" s="30"/>
      <c r="W14" s="27"/>
      <c r="X14" s="27"/>
      <c r="Y14" s="28"/>
    </row>
    <row r="15" spans="1:25" x14ac:dyDescent="0.25">
      <c r="A15" t="s">
        <v>11</v>
      </c>
      <c r="C15" s="2">
        <f>SUBTOTAL(109,Tabelle25[Betrag])</f>
        <v>13.440000000000001</v>
      </c>
      <c r="E15" s="14" t="s">
        <v>52</v>
      </c>
      <c r="F15" s="15">
        <f>Tabelle25[[#Totals],[Betrag]]+Tabelle246[[#Totals],[Betrag]]</f>
        <v>13.440000000000001</v>
      </c>
      <c r="J15" s="1"/>
      <c r="M15" s="27"/>
      <c r="N15" s="31"/>
      <c r="O15" s="32"/>
      <c r="P15" s="32"/>
      <c r="Q15" s="32"/>
      <c r="R15" s="32"/>
      <c r="S15" s="32"/>
      <c r="T15" s="32"/>
      <c r="U15" s="27"/>
      <c r="V15" s="23"/>
      <c r="W15" s="27"/>
      <c r="X15" s="27"/>
      <c r="Y15" s="28"/>
    </row>
    <row r="16" spans="1:25" x14ac:dyDescent="0.25">
      <c r="E16" t="s">
        <v>53</v>
      </c>
      <c r="F16" s="1">
        <f>1594.39</f>
        <v>1594.39</v>
      </c>
      <c r="J16" s="1"/>
      <c r="M16" s="28"/>
      <c r="N16" s="28"/>
      <c r="O16" s="33"/>
      <c r="P16" s="34"/>
      <c r="Q16" s="27"/>
      <c r="R16" s="33"/>
      <c r="S16" s="33"/>
      <c r="T16" s="33"/>
      <c r="U16" s="27"/>
      <c r="V16" s="30"/>
      <c r="W16" s="27"/>
      <c r="X16" s="27"/>
      <c r="Y16" s="28"/>
    </row>
    <row r="17" spans="5:25" x14ac:dyDescent="0.25">
      <c r="J17" s="1"/>
      <c r="M17" s="27"/>
      <c r="N17" s="33"/>
      <c r="O17" s="33"/>
      <c r="P17" s="33"/>
      <c r="Q17" s="35"/>
      <c r="R17" s="33"/>
      <c r="S17" s="33"/>
      <c r="T17" s="33"/>
      <c r="U17" s="27"/>
      <c r="V17" s="23"/>
      <c r="W17" s="27"/>
      <c r="X17" s="27"/>
      <c r="Y17" s="28"/>
    </row>
    <row r="18" spans="5:25" x14ac:dyDescent="0.25">
      <c r="J18" s="1"/>
      <c r="M18" s="27"/>
      <c r="N18" s="27"/>
      <c r="O18" s="27"/>
      <c r="P18" s="27"/>
      <c r="Q18" s="27"/>
      <c r="R18" s="27"/>
      <c r="S18" s="27"/>
      <c r="T18" s="27"/>
      <c r="U18" s="27"/>
      <c r="V18" s="30"/>
      <c r="W18" s="27"/>
      <c r="X18" s="27"/>
      <c r="Y18" s="28"/>
    </row>
    <row r="19" spans="5:25" x14ac:dyDescent="0.25">
      <c r="E19" s="12"/>
      <c r="F19" s="24"/>
      <c r="J19" s="1"/>
      <c r="M19" s="27"/>
      <c r="N19" s="27"/>
      <c r="O19" s="27"/>
      <c r="P19" s="27"/>
      <c r="Q19" s="27"/>
      <c r="R19" s="27"/>
      <c r="S19" s="27"/>
      <c r="T19" s="27"/>
      <c r="U19" s="27"/>
      <c r="V19" s="23"/>
      <c r="W19" s="27"/>
      <c r="X19" s="27"/>
      <c r="Y19" s="28"/>
    </row>
    <row r="20" spans="5:25" x14ac:dyDescent="0.25">
      <c r="H20" t="s">
        <v>11</v>
      </c>
      <c r="J20" s="2">
        <f>SUBTOTAL(109,Tabelle246[Betrag])</f>
        <v>0</v>
      </c>
      <c r="M20" s="27"/>
      <c r="N20" s="27"/>
      <c r="O20" s="27"/>
      <c r="P20" s="27"/>
      <c r="Q20" s="27"/>
      <c r="R20" s="27"/>
      <c r="S20" s="27"/>
      <c r="T20" s="27"/>
      <c r="U20" s="27"/>
      <c r="V20" s="23"/>
      <c r="W20" s="27"/>
      <c r="X20" s="27"/>
      <c r="Y20" s="28"/>
    </row>
    <row r="21" spans="5:25" x14ac:dyDescent="0.25">
      <c r="M21" s="28"/>
      <c r="N21" s="28"/>
      <c r="O21" s="28"/>
      <c r="P21" s="28"/>
      <c r="Q21" s="28"/>
      <c r="R21" s="28"/>
      <c r="S21" s="28"/>
      <c r="T21" s="28"/>
      <c r="U21" s="28"/>
      <c r="V21" s="30"/>
      <c r="W21" s="28"/>
      <c r="X21" s="28"/>
      <c r="Y21" s="28"/>
    </row>
  </sheetData>
  <conditionalFormatting sqref="F12:F18 F1:F2 F4:F5 F20:F1048576">
    <cfRule type="cellIs" dxfId="6" priority="6" operator="lessThan">
      <formula>0</formula>
    </cfRule>
  </conditionalFormatting>
  <conditionalFormatting sqref="F5:F10">
    <cfRule type="cellIs" dxfId="5" priority="5" operator="lessThan">
      <formula>0</formula>
    </cfRule>
  </conditionalFormatting>
  <conditionalFormatting sqref="C1"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F11">
    <cfRule type="cellIs" dxfId="2" priority="1" operator="lessThan">
      <formula>0</formula>
    </cfRule>
    <cfRule type="cellIs" dxfId="1" priority="2" operator="greaterThan">
      <formula>0</formula>
    </cfRule>
  </conditionalFormatting>
  <conditionalFormatting sqref="C8:C14">
    <cfRule type="duplicateValues" dxfId="0" priority="23"/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Mai2019</vt:lpstr>
      <vt:lpstr>Juni2019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2019-05-27T14:15:11Z</dcterms:modified>
</cp:coreProperties>
</file>