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bookViews>
    <workbookView xWindow="0" yWindow="0" windowWidth="17220" windowHeight="7875"/>
  </bookViews>
  <sheets>
    <sheet name="test" sheetId="1" r:id="rId1"/>
    <sheet name="Temps moyen" sheetId="8" r:id="rId2"/>
    <sheet name="Rapport Piece Poids" sheetId="9" r:id="rId3"/>
    <sheet name="Prix MO" sheetId="5" r:id="rId4"/>
    <sheet name="Prix ML" sheetId="2" r:id="rId5"/>
    <sheet name="Fiche Technique" sheetId="7" r:id="rId6"/>
    <sheet name="Prix Lessive" sheetId="6" r:id="rId7"/>
    <sheet name="Prix Sechoir" sheetId="3" r:id="rId8"/>
    <sheet name="Prix Calandre" sheetId="4" r:id="rId9"/>
  </sheets>
  <calcPr calcId="162913"/>
  <oleSize ref="A1:E2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Basile Goussard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Basile Goussard:</t>
        </r>
        <r>
          <rPr>
            <sz val="9"/>
            <color indexed="81"/>
            <rFont val="Tahoma"/>
            <family val="2"/>
          </rPr>
          <t xml:space="preserve">
Machine à utiliser
</t>
        </r>
      </text>
    </comment>
  </commentList>
</comments>
</file>

<file path=xl/sharedStrings.xml><?xml version="1.0" encoding="utf-8"?>
<sst xmlns="http://schemas.openxmlformats.org/spreadsheetml/2006/main" count="203" uniqueCount="148">
  <si>
    <t>SMIC</t>
  </si>
  <si>
    <t>Charges Salariés</t>
  </si>
  <si>
    <t>Préséchage (7mn)</t>
  </si>
  <si>
    <t>Charge process</t>
  </si>
  <si>
    <t>Prix kWh de gaz</t>
  </si>
  <si>
    <t>Cout MO fixe/heure</t>
  </si>
  <si>
    <t>Salaire Employé Handicapé</t>
  </si>
  <si>
    <t>Salaire/heure Handicapé</t>
  </si>
  <si>
    <t>Nombre Employé Handicapé</t>
  </si>
  <si>
    <t>Colonne1</t>
  </si>
  <si>
    <t>référence</t>
  </si>
  <si>
    <t>Machine</t>
  </si>
  <si>
    <t>Durée P12 (h)</t>
  </si>
  <si>
    <t>Poids</t>
  </si>
  <si>
    <t>conso eau (m3)</t>
  </si>
  <si>
    <t xml:space="preserve">prix eau </t>
  </si>
  <si>
    <t>prix chauffage</t>
  </si>
  <si>
    <t>prix moteur</t>
  </si>
  <si>
    <t>Prix lessive</t>
  </si>
  <si>
    <t>TOTAL</t>
  </si>
  <si>
    <t>WSB4250H</t>
  </si>
  <si>
    <t>W3240H</t>
  </si>
  <si>
    <t>WS4500H</t>
  </si>
  <si>
    <t>W4240H</t>
  </si>
  <si>
    <t>W4105H</t>
  </si>
  <si>
    <t>Programme</t>
  </si>
  <si>
    <t xml:space="preserve">Type de linge </t>
  </si>
  <si>
    <t xml:space="preserve">Durée (en h) </t>
  </si>
  <si>
    <t>MAL 1</t>
  </si>
  <si>
    <t>MAL 2</t>
  </si>
  <si>
    <t>MAL 3</t>
  </si>
  <si>
    <t>MAL4</t>
  </si>
  <si>
    <t>MAL 5</t>
  </si>
  <si>
    <t>cuisine JAVEL (95°)</t>
  </si>
  <si>
    <t>franges (60°)</t>
  </si>
  <si>
    <t>blanc sale (95°)</t>
  </si>
  <si>
    <t xml:space="preserve">drap couleur (60°) </t>
  </si>
  <si>
    <t xml:space="preserve">blanc (60°) </t>
  </si>
  <si>
    <t>couvertures (40°)</t>
  </si>
  <si>
    <t>haute visibilité (60°)</t>
  </si>
  <si>
    <t xml:space="preserve">VT (60°) </t>
  </si>
  <si>
    <t>VT cuisine (95°)</t>
  </si>
  <si>
    <t xml:space="preserve">boulangerie Javel (95°) </t>
  </si>
  <si>
    <t xml:space="preserve">LB TS JAVEL (60°) </t>
  </si>
  <si>
    <t>1,3,4</t>
  </si>
  <si>
    <t xml:space="preserve">franges (55°) </t>
  </si>
  <si>
    <t>draps sales (60°)</t>
  </si>
  <si>
    <t>couleurs (40°)</t>
  </si>
  <si>
    <t>laine/couverture (30°)</t>
  </si>
  <si>
    <t xml:space="preserve">pull ERDF (35°) </t>
  </si>
  <si>
    <t>VT blancs (55°)</t>
  </si>
  <si>
    <t>couette blanche (45°)</t>
  </si>
  <si>
    <t>VT verts (50°)</t>
  </si>
  <si>
    <t>draps couleurs (50°)</t>
  </si>
  <si>
    <t>draps peu sale (50°)</t>
  </si>
  <si>
    <t xml:space="preserve">haute visibilité (60°) </t>
  </si>
  <si>
    <t>crèche blanc (60°)</t>
  </si>
  <si>
    <t>crèche (60°)</t>
  </si>
  <si>
    <t>couette (30°)</t>
  </si>
  <si>
    <t>Prix kWh d'electricité</t>
  </si>
  <si>
    <t>Prix m^3 d'eau</t>
  </si>
  <si>
    <t>Démarche programme 12 :</t>
  </si>
  <si>
    <t>Tableau pour tout les programmes :</t>
  </si>
  <si>
    <t>Prix Lessive</t>
  </si>
  <si>
    <t xml:space="preserve">Programme Machine 2,5 </t>
  </si>
  <si>
    <t xml:space="preserve">Programme Machine 1,3,4 </t>
  </si>
  <si>
    <t>20/24</t>
  </si>
  <si>
    <t>T4530 {23/29,5 kg}</t>
  </si>
  <si>
    <t>T4900 {45/60 kg}</t>
  </si>
  <si>
    <t>T5550 {25 kg}</t>
  </si>
  <si>
    <t>Colonne2</t>
  </si>
  <si>
    <t>T5500</t>
  </si>
  <si>
    <t>{W3240}</t>
  </si>
  <si>
    <t>W4105 {60°}</t>
  </si>
  <si>
    <t>W4240 {60°}</t>
  </si>
  <si>
    <t>IF50</t>
  </si>
  <si>
    <t>SR3</t>
  </si>
  <si>
    <t>Total time (mn)</t>
  </si>
  <si>
    <t>Energy consumption gaz (kWh)</t>
  </si>
  <si>
    <t>Energy consumption elec (kWh)</t>
  </si>
  <si>
    <t>Consommation d’eau froide (litre)</t>
  </si>
  <si>
    <t>Consommation d’eau chaude (litre)</t>
  </si>
  <si>
    <t>Evaporation (g/min)</t>
  </si>
  <si>
    <t>Energy kWh/litre water (kWh/l)</t>
  </si>
  <si>
    <t>400-440V/3AC/50~60Hz/ Motor (kW)</t>
  </si>
  <si>
    <t>{23}</t>
  </si>
  <si>
    <t>Hypothèses:</t>
  </si>
  <si>
    <t>proportionnelle au temps</t>
  </si>
  <si>
    <t>Consommation elec du moteur,</t>
  </si>
  <si>
    <t>Consommation elec du moteur machine 1,3</t>
  </si>
  <si>
    <t>supposée proche de la consommation en vapeur</t>
  </si>
  <si>
    <t>On suppose programme "normal" 1,3 dure 46mn</t>
  </si>
  <si>
    <t>On suppose P23=P9=P12=P25 (le plus chère)</t>
  </si>
  <si>
    <t>Lavage (Ecrire numero de Programme) (ex: 12)</t>
  </si>
  <si>
    <t>Démarche Sechoir:</t>
  </si>
  <si>
    <t>T4530</t>
  </si>
  <si>
    <t>T4900</t>
  </si>
  <si>
    <t>T5550</t>
  </si>
  <si>
    <t>Durée moyenne séchage (h)</t>
  </si>
  <si>
    <t>negligée par rapport au chauffage</t>
  </si>
  <si>
    <t xml:space="preserve">Lien Fiche Technique: </t>
  </si>
  <si>
    <t>On suppose un rapport linéaire entre</t>
  </si>
  <si>
    <t>le temps et la consommation d'energie</t>
  </si>
  <si>
    <t>Préséchage</t>
  </si>
  <si>
    <t>1,2,3</t>
  </si>
  <si>
    <t>Sechoir 1</t>
  </si>
  <si>
    <t>Sechoir 2</t>
  </si>
  <si>
    <t>Sechoir 3</t>
  </si>
  <si>
    <t>Sechage Complet (Ecrire numero du Sechoir) (ex: 1)</t>
  </si>
  <si>
    <t>Kilo</t>
  </si>
  <si>
    <t>Typo</t>
  </si>
  <si>
    <t>Drap</t>
  </si>
  <si>
    <t>Nombre Pièce</t>
  </si>
  <si>
    <t>Poid de la Pièce</t>
  </si>
  <si>
    <t>Poids (kg)</t>
  </si>
  <si>
    <t>Linge mouillé</t>
  </si>
  <si>
    <t>Linge Plat</t>
  </si>
  <si>
    <t>Vetement Travail</t>
  </si>
  <si>
    <t>Torchon</t>
  </si>
  <si>
    <t>Eponge</t>
  </si>
  <si>
    <t>Torchons+Eponges</t>
  </si>
  <si>
    <t>Blouse</t>
  </si>
  <si>
    <t>Nb Article</t>
  </si>
  <si>
    <t>Pantalon</t>
  </si>
  <si>
    <t>Temps tri/ Article (h)</t>
  </si>
  <si>
    <t>Temps Calandre/ Article (h)</t>
  </si>
  <si>
    <t>Temps Pliage/ Article (h)</t>
  </si>
  <si>
    <t>Repassage/ Article (h)</t>
  </si>
  <si>
    <t>Mise sur cintre/ Article (h)</t>
  </si>
  <si>
    <t>Expédition/ Article(h)</t>
  </si>
  <si>
    <t>Moyenne</t>
  </si>
  <si>
    <t>Temps Tri/ Article (h)</t>
  </si>
  <si>
    <t>Mise sur cintre/ Article</t>
  </si>
  <si>
    <t>Expédition/ Article (h)</t>
  </si>
  <si>
    <t>Tri/ Article</t>
  </si>
  <si>
    <t>Calandre/ Article</t>
  </si>
  <si>
    <t>Défroissage/ Article</t>
  </si>
  <si>
    <t>Repassage/ Article</t>
  </si>
  <si>
    <t>Pliage/ Article</t>
  </si>
  <si>
    <t>Emballage/ Article</t>
  </si>
  <si>
    <t>Zone tri</t>
  </si>
  <si>
    <t>Zone Sechage</t>
  </si>
  <si>
    <t>Zone Expédition</t>
  </si>
  <si>
    <t>Généralité</t>
  </si>
  <si>
    <t>Employé seul</t>
  </si>
  <si>
    <t>Expedition</t>
  </si>
  <si>
    <t>I50-2500</t>
  </si>
  <si>
    <t>Cout MO fixe/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</si>
</sst>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2" borderId="2" xfId="0" applyFont="1" applyFill="1" applyBorder="1"/>
    <xf numFmtId="0" fontId="1" fillId="0" borderId="1" xfId="0" applyFont="1" applyBorder="1"/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1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3" fillId="0" borderId="1" xfId="0" applyFont="1" applyBorder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0" fillId="3" borderId="0" xfId="0" applyFill="1"/>
    <xf numFmtId="0" fontId="0" fillId="3" borderId="2" xfId="0" applyFont="1" applyFill="1" applyBorder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ont="1" applyFill="1" applyBorder="1"/>
    <xf numFmtId="0" fontId="0" fillId="5" borderId="0" xfId="0" applyFill="1"/>
    <xf numFmtId="0" fontId="0" fillId="5" borderId="2" xfId="0" applyFont="1" applyFill="1" applyBorder="1"/>
    <xf numFmtId="0" fontId="0" fillId="6" borderId="4" xfId="0" applyFont="1" applyFill="1" applyBorder="1"/>
    <xf numFmtId="0" fontId="0" fillId="3" borderId="4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6" borderId="8" xfId="0" applyFont="1" applyFill="1" applyBorder="1"/>
    <xf numFmtId="0" fontId="0" fillId="7" borderId="9" xfId="0" applyFont="1" applyFill="1" applyBorder="1" applyAlignment="1">
      <alignment horizontal="right"/>
    </xf>
    <xf numFmtId="2" fontId="0" fillId="4" borderId="9" xfId="0" applyNumberFormat="1" applyFont="1" applyFill="1" applyBorder="1"/>
    <xf numFmtId="0" fontId="0" fillId="7" borderId="2" xfId="0" applyFont="1" applyFill="1" applyBorder="1" applyAlignment="1">
      <alignment horizontal="right"/>
    </xf>
    <xf numFmtId="0" fontId="1" fillId="0" borderId="5" xfId="0" applyFont="1" applyFill="1" applyBorder="1"/>
    <xf numFmtId="0" fontId="1" fillId="0" borderId="2" xfId="0" applyFont="1" applyBorder="1"/>
    <xf numFmtId="0" fontId="0" fillId="5" borderId="10" xfId="0" applyFill="1" applyBorder="1"/>
    <xf numFmtId="0" fontId="0" fillId="0" borderId="10" xfId="0" applyBorder="1"/>
    <xf numFmtId="0" fontId="0" fillId="0" borderId="2" xfId="0" quotePrefix="1" applyBorder="1" applyAlignment="1">
      <alignment horizontal="right"/>
    </xf>
  </cellXfs>
  <cellStyles count="2">
    <cellStyle name="Normal" xfId="0" builtinId="0"/>
    <cellStyle name="Style 1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rgb="FFFF0000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au4" displayName="Tableau4" ref="A1:C2" totalsRowShown="0">
  <autoFilter ref="A1:C2"/>
  <tableColumns count="3">
    <tableColumn id="1" name="Prix kWh d'electricité"/>
    <tableColumn id="2" name="Prix kWh de gaz"/>
    <tableColumn id="3" name="Prix m^3 d'eau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7" name="Tableau18" displayName="Tableau18" ref="B2:K5" totalsRowShown="0">
  <autoFilter ref="B2:K5"/>
  <tableColumns count="10">
    <tableColumn id="1" name="référence"/>
    <tableColumn id="2" name="Machine"/>
    <tableColumn id="3" name="Durée moyenne séchage (h)"/>
    <tableColumn id="4" name="Poids"/>
    <tableColumn id="5" name="conso eau (m3)"/>
    <tableColumn id="6" name="prix eau ">
      <calculatedColumnFormula>Tableau18[[#This Row],[conso eau (m3)]]*Tableau4[Prix m^3 d''eau]</calculatedColumnFormula>
    </tableColumn>
    <tableColumn id="7" name="prix chauffage" dataDxfId="12">
      <calculatedColumnFormula>(60/24)*Tableau18[[#This Row],[Durée moyenne séchage (h)]]*13.27*Tableau4[Prix kWh de gaz]</calculatedColumnFormula>
    </tableColumn>
    <tableColumn id="8" name="prix moteur">
      <calculatedColumnFormula>(60/46)*Tableau4[Prix kWh d''electricité]*Tableau18[[#This Row],[Durée moyenne séchage (h)]]*0.8</calculatedColumnFormula>
    </tableColumn>
    <tableColumn id="9" name="Prix lessive" dataDxfId="11">
      <calculatedColumnFormula>'Prix Lessive'!D5</calculatedColumnFormula>
    </tableColumn>
    <tableColumn id="10" name="TOTAL">
      <calculatedColumnFormula>SUM(Tableau18[[#This Row],[prix eau ]:[Prix lessive]])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8" name="Tableau8" displayName="Tableau8" ref="B11:H17" totalsRowShown="0" headerRowDxfId="10" dataDxfId="8" headerRowBorderDxfId="9" tableBorderDxfId="7" totalsRowBorderDxfId="6">
  <autoFilter ref="B11:H17"/>
  <tableColumns count="7">
    <tableColumn id="1" name="Type de linge " dataDxfId="5"/>
    <tableColumn id="2" name="Programme" dataDxfId="4"/>
    <tableColumn id="3" name="Machine" dataDxfId="3"/>
    <tableColumn id="4" name="Durée (en h) "/>
    <tableColumn id="5" name="Sechoir 1" dataDxfId="2">
      <calculatedColumnFormula>(60/24)*Tableau8[[#This Row],[Durée (en h) ]]*15*Tableau4[Prix kWh de gaz]</calculatedColumnFormula>
    </tableColumn>
    <tableColumn id="6" name="Sechoir 2" dataDxfId="1">
      <calculatedColumnFormula>(60/24)*Tableau8[[#This Row],[Durée (en h) ]]*26.2*Tableau4[Prix kWh de gaz]</calculatedColumnFormula>
    </tableColumn>
    <tableColumn id="7" name="Sechoir 3" dataDxfId="0">
      <calculatedColumnFormula>(60/24)*Tableau8[[#This Row],[Durée (en h) ]]*13.27*Tableau4[Prix kWh de gaz]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9" name="Tableau9" displayName="Tableau9" ref="L7:L9" totalsRowShown="0" tableBorderDxfId="18">
  <autoFilter ref="L7:L9"/>
  <tableColumns count="1">
    <tableColumn id="1" name="Charge process" dataDxfId="17">
      <calculatedColumnFormula>SUM(B8:J8)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1" name="Tableau11" displayName="Tableau11" ref="B2:J8" totalsRowShown="0">
  <autoFilter ref="B2:J8"/>
  <tableColumns count="9">
    <tableColumn id="1" name="Typo"/>
    <tableColumn id="2" name="Kilo"/>
    <tableColumn id="3" name="Nb Article"/>
    <tableColumn id="4" name="Temps tri/ Article (h)"/>
    <tableColumn id="5" name="Temps Calandre/ Article (h)"/>
    <tableColumn id="6" name="Temps Pliage/ Article (h)"/>
    <tableColumn id="7" name="Repassage/ Article (h)"/>
    <tableColumn id="8" name="Mise sur cintre/ Article (h)"/>
    <tableColumn id="9" name="Expédition/ Article(h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3" name="Tableau13" displayName="Tableau13" ref="E12:J13" totalsRowShown="0">
  <autoFilter ref="E12:J13"/>
  <tableColumns count="6">
    <tableColumn id="1" name="Temps Tri/ Article (h)">
      <calculatedColumnFormula>AVERAGE(E4:E6)</calculatedColumnFormula>
    </tableColumn>
    <tableColumn id="2" name="Temps Calandre/ Article (h)">
      <calculatedColumnFormula>F4</calculatedColumnFormula>
    </tableColumn>
    <tableColumn id="3" name="Temps Pliage/ Article (h)"/>
    <tableColumn id="4" name="Repassage/ Article (h)">
      <calculatedColumnFormula>AVERAGE(H7:H8)</calculatedColumnFormula>
    </tableColumn>
    <tableColumn id="5" name="Mise sur cintre/ Article">
      <calculatedColumnFormula>I7</calculatedColumnFormula>
    </tableColumn>
    <tableColumn id="6" name="Expédition/ Article (h)">
      <calculatedColumnFormula>J4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au10" displayName="Tableau10" ref="B2:E6" totalsRowShown="0">
  <autoFilter ref="B2:E6"/>
  <tableColumns count="4">
    <tableColumn id="1" name="Typo"/>
    <tableColumn id="2" name="Poids (kg)"/>
    <tableColumn id="3" name="Nombre Pièce"/>
    <tableColumn id="4" name="Poid de la Pièce">
      <calculatedColumnFormula>C3/D3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B1:H6" totalsRowShown="0">
  <autoFilter ref="B1:H6"/>
  <tableColumns count="7">
    <tableColumn id="1" name="SMIC"/>
    <tableColumn id="2" name="Salaire Employé Handicapé">
      <calculatedColumnFormula>B2*0.15</calculatedColumnFormula>
    </tableColumn>
    <tableColumn id="6" name="Salaire/heure Handicapé">
      <calculatedColumnFormula>Tableau5[Salaire Employé Handicapé]/140</calculatedColumnFormula>
    </tableColumn>
    <tableColumn id="3" name="Nombre Employé Handicapé"/>
    <tableColumn id="5" name="Charges Salariés">
      <calculatedColumnFormula>C2*(E2-E2*#REF!)</calculatedColumnFormula>
    </tableColumn>
    <tableColumn id="7" name="Cout MO fixe/heure">
      <calculatedColumnFormula>Tableau5[Nombre Employé Handicapé]*Tableau5[Salaire/heure Handicapé]</calculatedColumnFormula>
    </tableColumn>
    <tableColumn id="4" name="Cout MO fixe/ Jour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B2:K7" totalsRowShown="0">
  <autoFilter ref="B2:K7"/>
  <tableColumns count="10">
    <tableColumn id="1" name="référence"/>
    <tableColumn id="2" name="Machine"/>
    <tableColumn id="3" name="Durée P12 (h)"/>
    <tableColumn id="4" name="Poids"/>
    <tableColumn id="5" name="conso eau (m3)"/>
    <tableColumn id="6" name="prix eau ">
      <calculatedColumnFormula>Tableau1[[#This Row],[conso eau (m3)]]*Tableau4[Prix m^3 d''eau]</calculatedColumnFormula>
    </tableColumn>
    <tableColumn id="7" name="prix chauffage" dataDxfId="16"/>
    <tableColumn id="8" name="prix moteur">
      <calculatedColumnFormula>(60/46)*Tableau4[Prix kWh d''electricité]*Tableau1[[#This Row],[Durée P12 (h)]]*0.8</calculatedColumnFormula>
    </tableColumn>
    <tableColumn id="9" name="Prix lessive" dataDxfId="15">
      <calculatedColumnFormula>'Prix Lessive'!D5</calculatedColumnFormula>
    </tableColumn>
    <tableColumn id="10" name="TOTAL">
      <calculatedColumnFormula>SUM(Tableau1[[#This Row],[prix eau ]:[Prix lessive]])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6" name="Tableau6" displayName="Tableau6" ref="B11:J36" totalsRowShown="0">
  <autoFilter ref="B11:J36"/>
  <tableColumns count="9">
    <tableColumn id="1" name="Type de linge "/>
    <tableColumn id="2" name="Programme"/>
    <tableColumn id="3" name="Machine"/>
    <tableColumn id="4" name="Durée (en h) "/>
    <tableColumn id="5" name="MAL 1"/>
    <tableColumn id="6" name="MAL 2"/>
    <tableColumn id="7" name="MAL 3"/>
    <tableColumn id="8" name="MAL4"/>
    <tableColumn id="9" name="MAL 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3" name="Tableau3" displayName="Tableau3" ref="B2:D16" totalsRowShown="0">
  <autoFilter ref="B2:D16"/>
  <tableColumns count="3">
    <tableColumn id="1" name="Programme Machine 1,3,4 " dataDxfId="14"/>
    <tableColumn id="2" name="Programme Machine 2,5 " dataDxfId="13"/>
    <tableColumn id="3" name="Prix lessiv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9" sqref="B9"/>
    </sheetView>
  </sheetViews>
  <sheetFormatPr baseColWidth="10" defaultRowHeight="15" x14ac:dyDescent="0.25"/>
  <cols>
    <col min="1" max="1" width="22.5703125" bestFit="1" customWidth="1"/>
    <col min="2" max="2" width="42.5703125" bestFit="1" customWidth="1"/>
    <col min="3" max="3" width="25.140625" customWidth="1"/>
    <col min="4" max="4" width="47.28515625" bestFit="1" customWidth="1"/>
    <col min="5" max="5" width="19.7109375" bestFit="1" customWidth="1"/>
    <col min="6" max="6" width="17.5703125" bestFit="1" customWidth="1"/>
    <col min="7" max="7" width="17.42578125" bestFit="1" customWidth="1"/>
    <col min="8" max="8" width="21.5703125" bestFit="1" customWidth="1"/>
    <col min="9" max="9" width="13.5703125" bestFit="1" customWidth="1"/>
    <col min="10" max="10" width="17.42578125" bestFit="1" customWidth="1"/>
    <col min="11" max="11" width="17.42578125" customWidth="1"/>
    <col min="12" max="12" width="16.5703125" bestFit="1" customWidth="1"/>
  </cols>
  <sheetData>
    <row r="1" spans="1:12" x14ac:dyDescent="0.25">
      <c r="A1" t="s">
        <v>59</v>
      </c>
      <c r="B1" t="s">
        <v>4</v>
      </c>
      <c r="C1" t="s">
        <v>60</v>
      </c>
    </row>
    <row r="2" spans="1:12" x14ac:dyDescent="0.25">
      <c r="A2">
        <v>0.14000000000000001</v>
      </c>
      <c r="B2">
        <v>7.85E-2</v>
      </c>
      <c r="C2">
        <v>0.995</v>
      </c>
    </row>
    <row r="7" spans="1:12" ht="15.75" thickBot="1" x14ac:dyDescent="0.3">
      <c r="A7" s="2" t="s">
        <v>134</v>
      </c>
      <c r="B7" s="2" t="s">
        <v>93</v>
      </c>
      <c r="C7" s="2" t="s">
        <v>2</v>
      </c>
      <c r="D7" s="2" t="s">
        <v>108</v>
      </c>
      <c r="E7" s="2" t="s">
        <v>135</v>
      </c>
      <c r="F7" s="2" t="s">
        <v>136</v>
      </c>
      <c r="G7" s="2" t="s">
        <v>137</v>
      </c>
      <c r="H7" s="2" t="s">
        <v>132</v>
      </c>
      <c r="I7" s="2" t="s">
        <v>138</v>
      </c>
      <c r="J7" s="6" t="s">
        <v>139</v>
      </c>
      <c r="K7" s="31" t="s">
        <v>145</v>
      </c>
      <c r="L7" s="30" t="s">
        <v>3</v>
      </c>
    </row>
    <row r="8" spans="1:12" x14ac:dyDescent="0.25">
      <c r="A8" s="1">
        <v>1</v>
      </c>
      <c r="B8" s="3">
        <v>12</v>
      </c>
      <c r="C8" s="3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7"/>
      <c r="L8" s="7"/>
    </row>
    <row r="9" spans="1:12" x14ac:dyDescent="0.25">
      <c r="A9" s="4">
        <f>(Tableau13[Temps Tri/ Article (h)]*'Prix MO'!G3)*A8</f>
        <v>7.5860719427748691E-2</v>
      </c>
      <c r="B9" s="5">
        <f>IF(B8=1,'Prix ML'!J12)+IF(B8=2,'Prix ML'!J13)+IF(B8=3,'Prix ML'!J14)+IF(B8=4,'Prix ML'!J15)+IF(B8=5,'Prix ML'!J16)+IF(B8=6,'Prix ML'!J17)+IF(B8=7,'Prix ML'!J18)+IF(B8=8,'Prix ML'!J19)+IF(B8=9,'Prix ML'!J20)+IF(B8=10,'Prix ML'!J21)+IF(B8=11,'Prix ML'!J13)+IF(B8=12,'Prix ML'!J14)+IF(B8=13,'Prix ML'!J15)+IF(B8=14,'Prix ML'!J16)+IF(B8=15,'Prix ML'!J18)+IF(B8=18,'Prix ML'!J16)+IF(B8=20,'Prix ML'!J15)+IF(B8=22,'Prix ML'!J18)+IF(B8=24,'Prix ML'!J15)+IF(B8=16,'Prix ML'!I27)+IF(B8=17,'Prix ML'!I28)+IF(B8=19,'Prix ML'!I30)+IF(B8=21,'Prix ML'!I32)+IF(B8=23,'Prix ML'!I34)</f>
        <v>2.8057873913130433</v>
      </c>
      <c r="C9" s="5">
        <f>AVERAGE('Prix Sechoir'!F17:H17)*C8</f>
        <v>0.41571201388888895</v>
      </c>
      <c r="D9" s="4">
        <f>IF(D8=1,'Prix Sechoir'!K3)+IF(D8=2,'Prix Sechoir'!K4)+IF(D8=3,'Prix Sechoir'!K5)+IF(D8=0,0)</f>
        <v>2.2078125000000002</v>
      </c>
      <c r="E9" s="16">
        <f>Tableau13[Temps Calandre/ Article (h)]*'Prix MO'!G6*2*E8</f>
        <v>0.11968085106382978</v>
      </c>
      <c r="F9" s="4"/>
      <c r="G9" s="4">
        <f>(Tableau13[Repassage/ Article (h)])*'Prix MO'!G6</f>
        <v>0.13650412087912089</v>
      </c>
      <c r="H9" s="4">
        <f>(Tableau13[Mise sur cintre/ Article])*'Prix MO'!G6</f>
        <v>3.7087912087912088E-2</v>
      </c>
      <c r="I9" s="4"/>
      <c r="J9" s="4"/>
      <c r="K9" s="8">
        <f>Tableau13[Expédition/ Article (h)]*'Prix MO'!G6</f>
        <v>1.1398176291793313E-2</v>
      </c>
      <c r="L9" s="8">
        <f>SUM(B9:K9)</f>
        <v>5.7339829655245893</v>
      </c>
    </row>
    <row r="10" spans="1:12" x14ac:dyDescent="0.25">
      <c r="B10" s="34">
        <f>IF(B8=16, 4)+IF(B8=17,4)+IF(B8=19,4)+IF(B8=21,4)+IF(B8=23,4)+IF(B8=1,5)+IF(B8=2,5)+IF(B8=3,5)+IF(B8=4,5)+IF(B8=5,5)+IF(B8=6,5)+IF(B8=7,5)+IF(B8=8,5)+IF(B8=9,5)+IF(B8=10,5)+IF(B8=11,5)+IF(B8=12,5)+IF(B8=13,5)+IF(B8=14,5)+IF(B8=15,5)+IF(B8=18,5)+IF(B8=20,5)+IF(B8=22,5)</f>
        <v>5</v>
      </c>
    </row>
    <row r="11" spans="1:12" x14ac:dyDescent="0.25">
      <c r="B11" s="13"/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C2" workbookViewId="0">
      <selection activeCell="H13" sqref="H13"/>
    </sheetView>
  </sheetViews>
  <sheetFormatPr baseColWidth="10" defaultRowHeight="15" x14ac:dyDescent="0.25"/>
  <cols>
    <col min="2" max="2" width="17.5703125" bestFit="1" customWidth="1"/>
    <col min="4" max="4" width="12" customWidth="1"/>
    <col min="5" max="5" width="21.85546875" bestFit="1" customWidth="1"/>
    <col min="6" max="6" width="27.85546875" bestFit="1" customWidth="1"/>
    <col min="7" max="7" width="25.42578125" bestFit="1" customWidth="1"/>
    <col min="8" max="8" width="22.85546875" bestFit="1" customWidth="1"/>
    <col min="9" max="9" width="26.85546875" bestFit="1" customWidth="1"/>
    <col min="10" max="10" width="22.85546875" customWidth="1"/>
  </cols>
  <sheetData>
    <row r="2" spans="2:10" x14ac:dyDescent="0.25">
      <c r="B2" t="s">
        <v>110</v>
      </c>
      <c r="C2" t="s">
        <v>109</v>
      </c>
      <c r="D2" t="s">
        <v>122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  <c r="J2" t="s">
        <v>129</v>
      </c>
    </row>
    <row r="3" spans="2:10" x14ac:dyDescent="0.25">
      <c r="B3" s="15" t="s">
        <v>115</v>
      </c>
      <c r="C3" s="15">
        <v>233.5</v>
      </c>
      <c r="D3" s="15"/>
      <c r="E3" s="15">
        <v>6.5</v>
      </c>
      <c r="F3" s="15"/>
      <c r="G3" s="15">
        <v>16</v>
      </c>
      <c r="H3" s="15"/>
      <c r="I3" s="15"/>
      <c r="J3" s="15">
        <v>3.5</v>
      </c>
    </row>
    <row r="4" spans="2:10" x14ac:dyDescent="0.25">
      <c r="B4" t="s">
        <v>116</v>
      </c>
      <c r="C4">
        <v>45</v>
      </c>
      <c r="D4">
        <v>94</v>
      </c>
      <c r="E4">
        <f>1.5/Tableau11[[#This Row],[Nb Article]]</f>
        <v>1.5957446808510637E-2</v>
      </c>
      <c r="F4">
        <f>3.5/Tableau11[[#This Row],[Nb Article]]</f>
        <v>3.7234042553191488E-2</v>
      </c>
      <c r="J4">
        <f>(40/60)/Tableau11[[#This Row],[Nb Article]]</f>
        <v>7.0921985815602835E-3</v>
      </c>
    </row>
    <row r="5" spans="2:10" x14ac:dyDescent="0.25">
      <c r="B5" t="s">
        <v>117</v>
      </c>
      <c r="C5">
        <v>15.9</v>
      </c>
      <c r="D5">
        <v>42</v>
      </c>
      <c r="E5">
        <f>(50/60)/Tableau11[[#This Row],[Nb Article]]</f>
        <v>1.9841269841269844E-2</v>
      </c>
    </row>
    <row r="6" spans="2:10" x14ac:dyDescent="0.25">
      <c r="B6" t="s">
        <v>120</v>
      </c>
      <c r="C6">
        <v>14.4</v>
      </c>
      <c r="D6">
        <v>95</v>
      </c>
      <c r="E6">
        <f>(65/60)/Tableau11[[#This Row],[Nb Article]]</f>
        <v>1.1403508771929824E-2</v>
      </c>
    </row>
    <row r="7" spans="2:10" x14ac:dyDescent="0.25">
      <c r="B7" t="s">
        <v>121</v>
      </c>
      <c r="D7">
        <v>26</v>
      </c>
      <c r="H7">
        <f>(3+20/60)/Tableau11[[#This Row],[Nb Article]]</f>
        <v>0.12820512820512822</v>
      </c>
      <c r="I7">
        <f>(36/60)/Tableau11[[#This Row],[Nb Article]]</f>
        <v>2.3076923076923075E-2</v>
      </c>
    </row>
    <row r="8" spans="2:10" x14ac:dyDescent="0.25">
      <c r="B8" t="s">
        <v>123</v>
      </c>
      <c r="D8">
        <v>16</v>
      </c>
      <c r="H8">
        <f>(40/60)/Tableau11[[#This Row],[Nb Article]]</f>
        <v>4.1666666666666664E-2</v>
      </c>
    </row>
    <row r="12" spans="2:10" x14ac:dyDescent="0.25">
      <c r="E12" t="s">
        <v>131</v>
      </c>
      <c r="F12" t="s">
        <v>125</v>
      </c>
      <c r="G12" t="s">
        <v>126</v>
      </c>
      <c r="H12" t="s">
        <v>127</v>
      </c>
      <c r="I12" t="s">
        <v>132</v>
      </c>
      <c r="J12" t="s">
        <v>133</v>
      </c>
    </row>
    <row r="13" spans="2:10" x14ac:dyDescent="0.25">
      <c r="D13" s="32" t="s">
        <v>130</v>
      </c>
      <c r="E13">
        <f>AVERAGE(E4:E6)</f>
        <v>1.5734075140570101E-2</v>
      </c>
      <c r="F13">
        <f>F4</f>
        <v>3.7234042553191488E-2</v>
      </c>
      <c r="H13">
        <f>AVERAGE(H7:H8)</f>
        <v>8.4935897435897439E-2</v>
      </c>
      <c r="I13">
        <f>I7</f>
        <v>2.3076923076923075E-2</v>
      </c>
      <c r="J13">
        <f>J4</f>
        <v>7.0921985815602835E-3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F8" sqref="F8"/>
    </sheetView>
  </sheetViews>
  <sheetFormatPr baseColWidth="10" defaultRowHeight="15" x14ac:dyDescent="0.25"/>
  <cols>
    <col min="2" max="2" width="16.42578125" bestFit="1" customWidth="1"/>
    <col min="3" max="3" width="11.85546875" customWidth="1"/>
    <col min="4" max="4" width="15.7109375" customWidth="1"/>
    <col min="5" max="5" width="17.140625" customWidth="1"/>
  </cols>
  <sheetData>
    <row r="2" spans="2:5" x14ac:dyDescent="0.25">
      <c r="B2" t="s">
        <v>110</v>
      </c>
      <c r="C2" t="s">
        <v>114</v>
      </c>
      <c r="D2" t="s">
        <v>112</v>
      </c>
      <c r="E2" t="s">
        <v>113</v>
      </c>
    </row>
    <row r="3" spans="2:5" x14ac:dyDescent="0.25">
      <c r="B3" t="s">
        <v>111</v>
      </c>
      <c r="C3">
        <v>45</v>
      </c>
      <c r="D3">
        <v>94</v>
      </c>
      <c r="E3">
        <f>C3/D3</f>
        <v>0.47872340425531917</v>
      </c>
    </row>
    <row r="4" spans="2:5" x14ac:dyDescent="0.25">
      <c r="B4" t="s">
        <v>117</v>
      </c>
      <c r="C4">
        <v>15.9</v>
      </c>
      <c r="D4">
        <v>42</v>
      </c>
      <c r="E4">
        <f>C4/D4</f>
        <v>0.37857142857142856</v>
      </c>
    </row>
    <row r="5" spans="2:5" x14ac:dyDescent="0.25">
      <c r="B5" t="s">
        <v>118</v>
      </c>
      <c r="C5">
        <v>3.7</v>
      </c>
      <c r="D5">
        <v>41</v>
      </c>
      <c r="E5">
        <f t="shared" ref="E5:E6" si="0">C5/D5</f>
        <v>9.0243902439024401E-2</v>
      </c>
    </row>
    <row r="6" spans="2:5" x14ac:dyDescent="0.25">
      <c r="B6" t="s">
        <v>119</v>
      </c>
      <c r="C6">
        <v>10.7</v>
      </c>
      <c r="D6">
        <v>51</v>
      </c>
      <c r="E6">
        <f t="shared" si="0"/>
        <v>0.20980392156862743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4" sqref="I4"/>
    </sheetView>
  </sheetViews>
  <sheetFormatPr baseColWidth="10" defaultRowHeight="15" x14ac:dyDescent="0.25"/>
  <cols>
    <col min="1" max="1" width="15.42578125" bestFit="1" customWidth="1"/>
    <col min="2" max="2" width="7.85546875" bestFit="1" customWidth="1"/>
    <col min="3" max="3" width="27.42578125" bestFit="1" customWidth="1"/>
    <col min="4" max="4" width="25.42578125" bestFit="1" customWidth="1"/>
    <col min="5" max="5" width="28.85546875" bestFit="1" customWidth="1"/>
    <col min="6" max="6" width="17.5703125" bestFit="1" customWidth="1"/>
    <col min="7" max="7" width="21.28515625" bestFit="1" customWidth="1"/>
    <col min="8" max="8" width="20.140625" bestFit="1" customWidth="1"/>
  </cols>
  <sheetData>
    <row r="1" spans="1:8" x14ac:dyDescent="0.25"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5</v>
      </c>
      <c r="H1" t="s">
        <v>147</v>
      </c>
    </row>
    <row r="2" spans="1:8" x14ac:dyDescent="0.25">
      <c r="A2" s="32" t="s">
        <v>143</v>
      </c>
      <c r="B2">
        <v>1500</v>
      </c>
      <c r="C2">
        <f>B2*0.15</f>
        <v>225</v>
      </c>
      <c r="D2">
        <f>Tableau5[Salaire Employé Handicapé]/140</f>
        <v>1.6071428571428572</v>
      </c>
      <c r="E2">
        <v>12</v>
      </c>
      <c r="F2">
        <f>C2*E2</f>
        <v>2700</v>
      </c>
      <c r="G2">
        <f>Tableau5[Nombre Employé Handicapé]*Tableau5[Salaire/heure Handicapé]</f>
        <v>19.285714285714285</v>
      </c>
      <c r="H2">
        <f>Tableau5[[#This Row],[Cout MO fixe/heure]]*8</f>
        <v>154.28571428571428</v>
      </c>
    </row>
    <row r="3" spans="1:8" x14ac:dyDescent="0.25">
      <c r="A3" s="33" t="s">
        <v>140</v>
      </c>
      <c r="C3">
        <f>B3*0.15</f>
        <v>0</v>
      </c>
      <c r="D3">
        <f>Tableau5[Salaire Employé Handicapé]/140</f>
        <v>0</v>
      </c>
      <c r="E3">
        <v>3</v>
      </c>
      <c r="F3">
        <f>$C$2*E3</f>
        <v>675</v>
      </c>
      <c r="G3">
        <f>Tableau5[Nombre Employé Handicapé]*$D$2</f>
        <v>4.8214285714285712</v>
      </c>
      <c r="H3">
        <f>Tableau5[[#This Row],[Cout MO fixe/heure]]*8</f>
        <v>38.571428571428569</v>
      </c>
    </row>
    <row r="4" spans="1:8" x14ac:dyDescent="0.25">
      <c r="A4" s="32" t="s">
        <v>141</v>
      </c>
      <c r="C4">
        <f>B4*0.15</f>
        <v>0</v>
      </c>
      <c r="D4">
        <f>Tableau5[Salaire Employé Handicapé]/140</f>
        <v>0</v>
      </c>
      <c r="E4">
        <v>5</v>
      </c>
      <c r="F4">
        <f t="shared" ref="F4:F5" si="0">$C$2*E4</f>
        <v>1125</v>
      </c>
      <c r="G4">
        <f>Tableau5[Nombre Employé Handicapé]*$D$2</f>
        <v>8.0357142857142865</v>
      </c>
      <c r="H4">
        <f>Tableau5[[#This Row],[Cout MO fixe/heure]]*8</f>
        <v>64.285714285714292</v>
      </c>
    </row>
    <row r="5" spans="1:8" x14ac:dyDescent="0.25">
      <c r="A5" s="33" t="s">
        <v>142</v>
      </c>
      <c r="C5">
        <f>B5*0.15</f>
        <v>0</v>
      </c>
      <c r="D5">
        <f>Tableau5[Salaire Employé Handicapé]/140</f>
        <v>0</v>
      </c>
      <c r="E5">
        <v>4</v>
      </c>
      <c r="F5">
        <f t="shared" si="0"/>
        <v>900</v>
      </c>
      <c r="G5">
        <f>Tableau5[Nombre Employé Handicapé]*$D$2</f>
        <v>6.4285714285714288</v>
      </c>
      <c r="H5">
        <f>Tableau5[[#This Row],[Cout MO fixe/heure]]*8</f>
        <v>51.428571428571431</v>
      </c>
    </row>
    <row r="6" spans="1:8" x14ac:dyDescent="0.25">
      <c r="A6" s="32" t="s">
        <v>144</v>
      </c>
      <c r="C6">
        <v>0</v>
      </c>
      <c r="D6">
        <f>Tableau5[Salaire Employé Handicapé]/140</f>
        <v>0</v>
      </c>
      <c r="E6">
        <v>1</v>
      </c>
      <c r="F6">
        <f>C2*E6</f>
        <v>225</v>
      </c>
      <c r="G6">
        <f>Tableau5[Nombre Employé Handicapé]*$D$2</f>
        <v>1.6071428571428572</v>
      </c>
      <c r="H6">
        <f>Tableau5[[#This Row],[Cout MO fixe/heure]]*8</f>
        <v>12.857142857142858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2" workbookViewId="0">
      <selection activeCell="B11" sqref="B11:J16"/>
    </sheetView>
  </sheetViews>
  <sheetFormatPr baseColWidth="10" defaultRowHeight="15" x14ac:dyDescent="0.25"/>
  <cols>
    <col min="1" max="1" width="44.42578125" bestFit="1" customWidth="1"/>
    <col min="2" max="2" width="22.140625" customWidth="1"/>
    <col min="3" max="3" width="13.5703125" bestFit="1" customWidth="1"/>
    <col min="4" max="4" width="15.140625" customWidth="1"/>
    <col min="5" max="5" width="14.85546875" bestFit="1" customWidth="1"/>
    <col min="6" max="6" width="16.5703125" customWidth="1"/>
    <col min="8" max="8" width="15.7109375" customWidth="1"/>
    <col min="9" max="9" width="13.5703125" customWidth="1"/>
    <col min="10" max="10" width="13.140625" customWidth="1"/>
  </cols>
  <sheetData>
    <row r="1" spans="1:11" ht="18.75" x14ac:dyDescent="0.3">
      <c r="A1" s="11" t="s">
        <v>61</v>
      </c>
    </row>
    <row r="2" spans="1:11" x14ac:dyDescent="0.25">
      <c r="A2" t="s">
        <v>86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20</v>
      </c>
      <c r="C3">
        <v>1</v>
      </c>
      <c r="D3">
        <v>1.3333333329999999</v>
      </c>
      <c r="E3">
        <v>22</v>
      </c>
      <c r="F3">
        <v>0.34</v>
      </c>
      <c r="G3">
        <f>Tableau1[[#This Row],[conso eau (m3)]]*Tableau4[Prix m^3 d''eau]</f>
        <v>0.33830000000000005</v>
      </c>
      <c r="H3" s="15">
        <v>1.266086957</v>
      </c>
      <c r="I3">
        <f>(60/46)*Tableau4[Prix kWh d''electricité]*Tableau1[[#This Row],[Durée P12 (h)]]*0.8</f>
        <v>0.19478260864695654</v>
      </c>
      <c r="J3">
        <f>'Prix Lessive'!D5</f>
        <v>2.5649999999999999</v>
      </c>
      <c r="K3">
        <f>SUM(Tableau1[[#This Row],[prix eau ]:[Prix lessive]])</f>
        <v>4.3641695656469564</v>
      </c>
    </row>
    <row r="4" spans="1:11" x14ac:dyDescent="0.25">
      <c r="A4" s="14" t="s">
        <v>87</v>
      </c>
      <c r="B4" t="s">
        <v>21</v>
      </c>
      <c r="C4">
        <v>2</v>
      </c>
      <c r="D4">
        <v>1.3333333329999999</v>
      </c>
      <c r="E4">
        <v>22</v>
      </c>
      <c r="F4">
        <v>0.27900000000000003</v>
      </c>
      <c r="G4">
        <f>Tableau1[[#This Row],[conso eau (m3)]]*Tableau4[Prix m^3 d''eau]</f>
        <v>0.27760500000000005</v>
      </c>
      <c r="H4" s="15">
        <v>0.42311111109999999</v>
      </c>
      <c r="I4">
        <f>(60/46)*Tableau4[Prix kWh d''electricité]*Tableau1[[#This Row],[Durée P12 (h)]]*0.6</f>
        <v>0.14608695648521738</v>
      </c>
      <c r="J4">
        <f>'Prix Lessive'!D5</f>
        <v>2.5649999999999999</v>
      </c>
      <c r="K4">
        <f>SUM(Tableau1[[#This Row],[prix eau ]:[Prix lessive]])</f>
        <v>3.4118030675852173</v>
      </c>
    </row>
    <row r="5" spans="1:11" x14ac:dyDescent="0.25">
      <c r="A5" s="14" t="s">
        <v>89</v>
      </c>
      <c r="B5" t="s">
        <v>22</v>
      </c>
      <c r="C5">
        <v>3</v>
      </c>
      <c r="D5">
        <v>1.3333333329999999</v>
      </c>
      <c r="E5">
        <v>50</v>
      </c>
      <c r="F5">
        <v>0.61</v>
      </c>
      <c r="G5">
        <f>Tableau1[[#This Row],[conso eau (m3)]]*Tableau4[Prix m^3 d''eau]</f>
        <v>0.60694999999999999</v>
      </c>
      <c r="H5" s="15">
        <v>2.9217391300000002</v>
      </c>
      <c r="I5">
        <f>(60/46)*Tableau4[Prix kWh d''electricité]*Tableau1[[#This Row],[Durée P12 (h)]]*1.4</f>
        <v>0.34086956513217392</v>
      </c>
      <c r="J5">
        <f>'Prix Lessive'!D5*2</f>
        <v>5.13</v>
      </c>
      <c r="K5">
        <f>SUM(Tableau1[[#This Row],[prix eau ]:[Prix lessive]])</f>
        <v>8.9995586951321744</v>
      </c>
    </row>
    <row r="6" spans="1:11" x14ac:dyDescent="0.25">
      <c r="A6" s="14" t="s">
        <v>90</v>
      </c>
      <c r="B6" t="s">
        <v>23</v>
      </c>
      <c r="C6">
        <v>4</v>
      </c>
      <c r="D6">
        <v>1.3333333329999999</v>
      </c>
      <c r="E6">
        <v>22</v>
      </c>
      <c r="F6">
        <v>0.20899999999999999</v>
      </c>
      <c r="G6">
        <f>Tableau1[[#This Row],[conso eau (m3)]]*Tableau4[Prix m^3 d''eau]</f>
        <v>0.207955</v>
      </c>
      <c r="H6" s="15">
        <v>0.2556521739</v>
      </c>
      <c r="I6">
        <f>(60/46)*Tableau4[Prix kWh d''electricité]*Tableau1[[#This Row],[Durée P12 (h)]]*0.55</f>
        <v>0.13391304344478264</v>
      </c>
      <c r="J6">
        <f>'Prix Lessive'!D5</f>
        <v>2.5649999999999999</v>
      </c>
      <c r="K6">
        <f>SUM(Tableau1[[#This Row],[prix eau ]:[Prix lessive]])</f>
        <v>3.1625202173447828</v>
      </c>
    </row>
    <row r="7" spans="1:11" x14ac:dyDescent="0.25">
      <c r="A7" s="14" t="s">
        <v>91</v>
      </c>
      <c r="B7" t="s">
        <v>24</v>
      </c>
      <c r="C7">
        <v>5</v>
      </c>
      <c r="D7">
        <v>1.3333333329999999</v>
      </c>
      <c r="E7">
        <v>22</v>
      </c>
      <c r="F7">
        <v>8.5999999999999993E-2</v>
      </c>
      <c r="G7">
        <f>Tableau1[[#This Row],[conso eau (m3)]]*Tableau4[Prix m^3 d''eau]</f>
        <v>8.5569999999999993E-2</v>
      </c>
      <c r="H7" s="15">
        <v>0.1095652174</v>
      </c>
      <c r="I7">
        <f>(60/46)*Tableau4[Prix kWh d''electricité]*Tableau1[[#This Row],[Durée P12 (h)]]*0.25</f>
        <v>6.0869565202173917E-2</v>
      </c>
      <c r="J7">
        <f>'Prix Lessive'!D5</f>
        <v>2.5649999999999999</v>
      </c>
      <c r="K7">
        <f>SUM(Tableau1[[#This Row],[prix eau ]:[Prix lessive]])</f>
        <v>2.821004782602174</v>
      </c>
    </row>
    <row r="8" spans="1:11" x14ac:dyDescent="0.25">
      <c r="A8" s="14" t="s">
        <v>92</v>
      </c>
    </row>
    <row r="10" spans="1:11" ht="18.75" x14ac:dyDescent="0.3">
      <c r="A10" s="10" t="s">
        <v>62</v>
      </c>
    </row>
    <row r="11" spans="1:11" x14ac:dyDescent="0.25">
      <c r="B11" t="s">
        <v>26</v>
      </c>
      <c r="C11" t="s">
        <v>25</v>
      </c>
      <c r="D11" t="s">
        <v>11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 t="s">
        <v>32</v>
      </c>
    </row>
    <row r="12" spans="1:11" x14ac:dyDescent="0.25">
      <c r="B12" t="s">
        <v>33</v>
      </c>
      <c r="C12">
        <v>1</v>
      </c>
      <c r="D12">
        <v>2.5</v>
      </c>
      <c r="E12" s="15">
        <v>1</v>
      </c>
      <c r="G12">
        <f>$G$4+$H$4+(60/46)*Tableau4[Prix kWh d''electricité]*Tableau6[[#This Row],[Durée (en h) ]]*0.6+'Prix Lessive'!D3</f>
        <v>3.3598813284913041</v>
      </c>
      <c r="J12">
        <f>$G$7+$H$7+(60/46)*Tableau4[Prix kWh d''electricité]*Tableau6[[#This Row],[Durée (en h) ]]*0.25+'Prix Lessive'!D3</f>
        <v>2.7903873913130433</v>
      </c>
      <c r="K12">
        <v>2.7372700000000001</v>
      </c>
    </row>
    <row r="13" spans="1:11" x14ac:dyDescent="0.25">
      <c r="B13" t="s">
        <v>34</v>
      </c>
      <c r="C13">
        <v>2</v>
      </c>
      <c r="D13">
        <v>2.5</v>
      </c>
      <c r="E13">
        <v>1.433333333</v>
      </c>
      <c r="G13">
        <f>$G$4+$H$4+(60/46)*Tableau4[Prix kWh d''electricité]*Tableau6[[#This Row],[Durée (en h) ]]*0.6+'Prix Lessive'!D4</f>
        <v>1.7876595893243477</v>
      </c>
      <c r="J13">
        <f>$G$7+$H$7+(60/46)*Tableau4[Prix kWh d''electricité]*Tableau6[[#This Row],[Durée (en h) ]]*0.25+'Prix Lessive'!D4</f>
        <v>1.1904699999934782</v>
      </c>
    </row>
    <row r="14" spans="1:11" x14ac:dyDescent="0.25">
      <c r="B14" t="s">
        <v>35</v>
      </c>
      <c r="C14">
        <v>3</v>
      </c>
      <c r="D14">
        <v>2.5</v>
      </c>
      <c r="E14" s="15">
        <v>1</v>
      </c>
      <c r="G14">
        <f>$G$4+$H$4+(60/46)*Tableau4[Prix kWh d''electricité]*Tableau6[[#This Row],[Durée (en h) ]]*0.6+'Prix Lessive'!D5</f>
        <v>3.3752813284913041</v>
      </c>
      <c r="J14">
        <f>$G$7+$H$7+(60/46)*Tableau4[Prix kWh d''electricité]*Tableau6[[#This Row],[Durée (en h) ]]*0.25+'Prix Lessive'!D5</f>
        <v>2.8057873913130433</v>
      </c>
    </row>
    <row r="15" spans="1:11" x14ac:dyDescent="0.25">
      <c r="B15" t="s">
        <v>36</v>
      </c>
      <c r="C15">
        <v>4</v>
      </c>
      <c r="D15">
        <v>2.5</v>
      </c>
      <c r="E15">
        <v>0.75</v>
      </c>
      <c r="G15">
        <f>$G$4+$H$4+(60/46)*Tableau4[Prix kWh d''electricité]*Tableau6[[#This Row],[Durée (en h) ]]*0.6+'Prix Lessive'!D6</f>
        <v>2.3362900241434783</v>
      </c>
      <c r="J15">
        <f>$G$7+$H$7+(60/46)*Tableau4[Prix kWh d''electricité]*Tableau6[[#This Row],[Durée (en h) ]]*0.25+'Prix Lessive'!D6</f>
        <v>1.7827743478347826</v>
      </c>
    </row>
    <row r="16" spans="1:11" x14ac:dyDescent="0.25">
      <c r="B16" t="s">
        <v>37</v>
      </c>
      <c r="C16">
        <v>5</v>
      </c>
      <c r="D16">
        <v>2.5</v>
      </c>
      <c r="E16" s="15">
        <v>1</v>
      </c>
      <c r="G16">
        <f>$G$4+$H$4+(60/46)*Tableau4[Prix kWh d''electricité]*Tableau6[[#This Row],[Durée (en h) ]]*0.6+'Prix Lessive'!D10</f>
        <v>1.9794813284913042</v>
      </c>
      <c r="J16">
        <f>$G$7+$H$7+(60/46)*Tableau4[Prix kWh d''electricité]*Tableau6[[#This Row],[Durée (en h) ]]*0.25+'Prix Lessive'!D10</f>
        <v>1.4099873913130434</v>
      </c>
    </row>
    <row r="17" spans="2:10" x14ac:dyDescent="0.25">
      <c r="B17" t="s">
        <v>38</v>
      </c>
      <c r="C17">
        <v>7</v>
      </c>
      <c r="D17">
        <v>2.5</v>
      </c>
      <c r="E17">
        <v>0.63333333329999997</v>
      </c>
      <c r="G17">
        <f>$G$4+$H$4+(60/46)*Tableau4[Prix kWh d''electricité]*Tableau6[[#This Row],[Durée (en h) ]]*0.6+'Prix Lessive'!D7</f>
        <v>1.6833074154441738</v>
      </c>
      <c r="J17">
        <f>$G$7+$H$7+(60/46)*Tableau4[Prix kWh d''electricité]*Tableau6[[#This Row],[Durée (en h) ]]*0.25+'Prix Lessive'!D7</f>
        <v>1.1372482608767391</v>
      </c>
    </row>
    <row r="18" spans="2:10" x14ac:dyDescent="0.25">
      <c r="B18" t="s">
        <v>39</v>
      </c>
      <c r="C18">
        <v>8</v>
      </c>
      <c r="D18">
        <v>2.5</v>
      </c>
      <c r="E18">
        <v>1.233333333</v>
      </c>
      <c r="G18">
        <f>$G$4+$H$4+(60/46)*Tableau4[Prix kWh d''electricité]*Tableau6[[#This Row],[Durée (en h) ]]*0.6+'Prix Lessive'!D14</f>
        <v>2.1513465458460868</v>
      </c>
      <c r="J18">
        <f>$G$7+$H$7+(60/46)*Tableau4[Prix kWh d''electricité]*Tableau6[[#This Row],[Durée (en h) ]]*0.25+'Prix Lessive'!D14</f>
        <v>1.5669395652108695</v>
      </c>
    </row>
    <row r="19" spans="2:10" x14ac:dyDescent="0.25">
      <c r="B19" t="s">
        <v>40</v>
      </c>
      <c r="C19">
        <v>9</v>
      </c>
      <c r="D19">
        <v>2.5</v>
      </c>
      <c r="E19" s="15">
        <v>1</v>
      </c>
      <c r="G19">
        <f>$G$4+$H$4+(60/46)*Tableau4[Prix kWh d''electricité]*Tableau6[[#This Row],[Durée (en h) ]]*0.6+'Prix Lessive'!D5</f>
        <v>3.3752813284913041</v>
      </c>
      <c r="J19">
        <f>$G$7+$H$7+(60/46)*Tableau4[Prix kWh d''electricité]*Tableau6[[#This Row],[Durée (en h) ]]*0.25+'Prix Lessive'!D5</f>
        <v>2.8057873913130433</v>
      </c>
    </row>
    <row r="20" spans="2:10" x14ac:dyDescent="0.25">
      <c r="B20" t="s">
        <v>41</v>
      </c>
      <c r="C20">
        <v>10</v>
      </c>
      <c r="D20">
        <v>2.5</v>
      </c>
      <c r="E20">
        <v>1</v>
      </c>
      <c r="G20">
        <f>$G$4+$H$4+(60/46)*Tableau4[Prix kWh d''electricité]*Tableau6[[#This Row],[Durée (en h) ]]*0.6+'Prix Lessive'!D3</f>
        <v>3.3598813284913041</v>
      </c>
      <c r="J20">
        <f>$G$7+$H$7+(60/46)*Tableau4[Prix kWh d''electricité]*Tableau6[[#This Row],[Durée (en h) ]]*0.25+'Prix Lessive'!D3</f>
        <v>2.7903873913130433</v>
      </c>
    </row>
    <row r="21" spans="2:10" x14ac:dyDescent="0.25">
      <c r="B21" t="s">
        <v>42</v>
      </c>
      <c r="C21">
        <v>11</v>
      </c>
      <c r="D21">
        <v>2.5</v>
      </c>
      <c r="E21" s="15">
        <v>1</v>
      </c>
      <c r="G21">
        <f>$G$4+$H$4+(60/46)*Tableau4[Prix kWh d''electricité]*Tableau6[[#This Row],[Durée (en h) ]]*0.6+'Prix Lessive'!D4</f>
        <v>1.7401813284913041</v>
      </c>
      <c r="J21">
        <f>$G$7+$H$7+(60/46)*Tableau4[Prix kWh d''electricité]*Tableau6[[#This Row],[Durée (en h) ]]*0.25+'Prix Lessive'!D4</f>
        <v>1.1706873913130433</v>
      </c>
    </row>
    <row r="22" spans="2:10" x14ac:dyDescent="0.25">
      <c r="B22" t="s">
        <v>43</v>
      </c>
      <c r="C22">
        <v>10</v>
      </c>
      <c r="D22" t="s">
        <v>44</v>
      </c>
      <c r="E22">
        <v>1.2</v>
      </c>
      <c r="F22">
        <f>$G$3+$H$3+(60/46)*Tableau4[Prix kWh d''electricité]*Tableau6[[#This Row],[Durée (en h) ]]*0.8+'Prix Lessive'!D3</f>
        <v>4.3292913048260866</v>
      </c>
      <c r="H22">
        <f>$G$5+$H$5+(60/46)*Tableau4[Prix kWh d''electricité]*Tableau6[[#This Row],[Durée (en h) ]]*1.4+'Prix Lessive'!D3</f>
        <v>6.3850717386956521</v>
      </c>
      <c r="I22">
        <f>$G$6+$H$6+(60/46)*Tableau4[Prix kWh d''electricité]*Tableau6[[#This Row],[Durée (en h) ]]*0.55+'Prix Lessive'!D3</f>
        <v>3.1337289130304349</v>
      </c>
    </row>
    <row r="23" spans="2:10" x14ac:dyDescent="0.25">
      <c r="B23" t="s">
        <v>45</v>
      </c>
      <c r="C23">
        <v>11</v>
      </c>
      <c r="D23" t="s">
        <v>44</v>
      </c>
      <c r="E23">
        <v>1.433333333</v>
      </c>
      <c r="F23">
        <f>$G$3+$H$3+(60/46)*Tableau4[Prix kWh d''electricité]*Tableau6[[#This Row],[Durée (en h) ]]*0.8+'Prix Lessive'!D4</f>
        <v>2.7436782612991304</v>
      </c>
      <c r="H23">
        <f>$G$5+$H$5+(60/46)*Tableau4[Prix kWh d''electricité]*Tableau6[[#This Row],[Durée (en h) ]]*1.4+'Prix Lessive'!D4</f>
        <v>4.8250239125234788</v>
      </c>
      <c r="I23">
        <f>$G$6+$H$6+(60/46)*Tableau4[Prix kWh d''electricité]*Tableau6[[#This Row],[Durée (en h) ]]*0.55+'Prix Lessive'!D4</f>
        <v>1.5374636956056522</v>
      </c>
    </row>
    <row r="24" spans="2:10" x14ac:dyDescent="0.25">
      <c r="B24" t="s">
        <v>46</v>
      </c>
      <c r="C24">
        <v>12</v>
      </c>
      <c r="D24" t="s">
        <v>44</v>
      </c>
      <c r="E24">
        <v>1.3333333329999999</v>
      </c>
      <c r="F24">
        <f>$G$3+$H$3+(60/46)*Tableau4[Prix kWh d''electricité]*Tableau6[[#This Row],[Durée (en h) ]]*0.8+'Prix Lessive'!D5</f>
        <v>4.3641695656469564</v>
      </c>
      <c r="H24">
        <f>$G$5+$H$5+(60/46)*Tableau4[Prix kWh d''electricité]*Tableau6[[#This Row],[Durée (en h) ]]*1.4+'Prix Lessive'!D5</f>
        <v>6.434558695132174</v>
      </c>
      <c r="I24">
        <f>$G$6+$H$6+(60/46)*Tableau4[Prix kWh d''electricité]*Tableau6[[#This Row],[Durée (en h) ]]*0.55+'Prix Lessive'!D5</f>
        <v>3.1625202173447828</v>
      </c>
    </row>
    <row r="25" spans="2:10" x14ac:dyDescent="0.25">
      <c r="B25" t="s">
        <v>47</v>
      </c>
      <c r="C25">
        <v>13</v>
      </c>
      <c r="D25" t="s">
        <v>44</v>
      </c>
      <c r="E25">
        <v>0.93333333330000001</v>
      </c>
      <c r="F25">
        <f>$G$3+$H$3+(60/46)*Tableau4[Prix kWh d''electricité]*Tableau6[[#This Row],[Durée (en h) ]]*0.8+'Prix Lessive'!D6</f>
        <v>3.2941347830820868</v>
      </c>
      <c r="H25">
        <f>$G$5+$H$5+(60/46)*Tableau4[Prix kWh d''electricité]*Tableau6[[#This Row],[Durée (en h) ]]*1.4+'Prix Lessive'!D6</f>
        <v>5.3206978256436521</v>
      </c>
      <c r="I25">
        <f>$G$6+$H$6+(60/46)*Tableau4[Prix kWh d''electricité]*Tableau6[[#This Row],[Durée (en h) ]]*0.55+'Prix Lessive'!D6</f>
        <v>2.1107463043314345</v>
      </c>
    </row>
    <row r="26" spans="2:10" x14ac:dyDescent="0.25">
      <c r="B26" t="s">
        <v>48</v>
      </c>
      <c r="C26">
        <v>14</v>
      </c>
      <c r="D26" t="s">
        <v>44</v>
      </c>
      <c r="E26">
        <v>0.63333333329999997</v>
      </c>
      <c r="F26">
        <f>$G$3+$H$3+(60/46)*Tableau4[Prix kWh d''electricité]*Tableau6[[#This Row],[Durée (en h) ]]*0.8+'Prix Lessive'!D7</f>
        <v>2.6101086961255655</v>
      </c>
      <c r="H26">
        <f>$G$5+$H$5+(60/46)*Tableau4[Prix kWh d''electricité]*Tableau6[[#This Row],[Durée (en h) ]]*1.4+'Prix Lessive'!D7</f>
        <v>4.603802173469739</v>
      </c>
      <c r="I26">
        <f>$G$6+$H$6+(60/46)*Tableau4[Prix kWh d''electricité]*Tableau6[[#This Row],[Durée (en h) ]]*0.55+'Prix Lessive'!D7</f>
        <v>1.4404158695488261</v>
      </c>
    </row>
    <row r="27" spans="2:10" x14ac:dyDescent="0.25">
      <c r="B27" t="s">
        <v>49</v>
      </c>
      <c r="C27">
        <v>16</v>
      </c>
      <c r="D27" t="s">
        <v>44</v>
      </c>
      <c r="E27">
        <v>0.66666666669999997</v>
      </c>
      <c r="F27">
        <f>$G$3+$H$3+(60/46)*Tableau4[Prix kWh d''electricité]*Tableau6[[#This Row],[Durée (en h) ]]*0.8+'Prix Lessive'!D8</f>
        <v>2.5578782613526956</v>
      </c>
      <c r="H27">
        <f>$G$5+$H$5+(60/46)*Tableau4[Prix kWh d''electricité]*Tableau6[[#This Row],[Durée (en h) ]]*1.4+'Prix Lessive'!D8</f>
        <v>4.5552239126172172</v>
      </c>
      <c r="I27">
        <f>$G$6+$H$6+(60/46)*Tableau4[Prix kWh d''electricité]*Tableau6[[#This Row],[Durée (en h) ]]*0.55+'Prix Lessive'!D8</f>
        <v>1.3866636956424783</v>
      </c>
    </row>
    <row r="28" spans="2:10" x14ac:dyDescent="0.25">
      <c r="B28" t="s">
        <v>50</v>
      </c>
      <c r="C28">
        <v>17</v>
      </c>
      <c r="D28" t="s">
        <v>44</v>
      </c>
      <c r="E28">
        <v>1</v>
      </c>
      <c r="F28">
        <f>$G$3+$H$3+(60/46)*Tableau4[Prix kWh d''electricité]*Tableau6[[#This Row],[Durée (en h) ]]*0.8+'Prix Lessive'!D9</f>
        <v>4.0251739135217388</v>
      </c>
      <c r="H28">
        <f>$G$5+$H$5+(60/46)*Tableau4[Prix kWh d''electricité]*Tableau6[[#This Row],[Durée (en h) ]]*1.4+'Prix Lessive'!D9</f>
        <v>6.0590413039130437</v>
      </c>
      <c r="I28">
        <f>$G$6+$H$6+(60/46)*Tableau4[Prix kWh d''electricité]*Tableau6[[#This Row],[Durée (en h) ]]*0.55+'Prix Lessive'!D9</f>
        <v>2.838741956508696</v>
      </c>
    </row>
    <row r="29" spans="2:10" x14ac:dyDescent="0.25">
      <c r="B29" t="s">
        <v>51</v>
      </c>
      <c r="C29">
        <v>18</v>
      </c>
      <c r="D29" t="s">
        <v>44</v>
      </c>
      <c r="E29">
        <v>0.83333333330000003</v>
      </c>
      <c r="F29">
        <f>$G$3+$H$3+(60/46)*Tableau4[Prix kWh d''electricité]*Tableau6[[#This Row],[Durée (en h) ]]*0.8+'Prix Lessive'!D10</f>
        <v>2.8953260874299129</v>
      </c>
      <c r="H29">
        <f>$G$5+$H$5+(60/46)*Tableau4[Prix kWh d''electricité]*Tableau6[[#This Row],[Durée (en h) ]]*1.4+'Prix Lessive'!D10</f>
        <v>4.9109326082523479</v>
      </c>
      <c r="I29">
        <f>$G$6+$H$6+(60/46)*Tableau4[Prix kWh d''electricité]*Tableau6[[#This Row],[Durée (en h) ]]*0.55+'Prix Lessive'!D10</f>
        <v>1.7165028260705653</v>
      </c>
    </row>
    <row r="30" spans="2:10" x14ac:dyDescent="0.25">
      <c r="B30" t="s">
        <v>52</v>
      </c>
      <c r="C30">
        <v>19</v>
      </c>
      <c r="D30" t="s">
        <v>44</v>
      </c>
      <c r="E30">
        <v>1.4166666670000001</v>
      </c>
      <c r="F30">
        <f>$G$3+$H$3+(60/46)*Tableau4[Prix kWh d''electricité]*Tableau6[[#This Row],[Durée (en h) ]]*0.8+'Prix Lessive'!D11</f>
        <v>3.8088434787878263</v>
      </c>
      <c r="H30">
        <f>$G$5+$H$5+(60/46)*Tableau4[Prix kWh d''electricité]*Tableau6[[#This Row],[Durée (en h) ]]*1.4+'Prix Lessive'!D11</f>
        <v>5.8883630431286953</v>
      </c>
      <c r="I30">
        <f>$G$6+$H$6+(60/46)*Tableau4[Prix kWh d''electricité]*Tableau6[[#This Row],[Durée (en h) ]]*0.55+'Prix Lessive'!D11</f>
        <v>2.6033897826291303</v>
      </c>
    </row>
    <row r="31" spans="2:10" x14ac:dyDescent="0.25">
      <c r="B31" t="s">
        <v>53</v>
      </c>
      <c r="C31">
        <v>20</v>
      </c>
      <c r="D31" t="s">
        <v>44</v>
      </c>
      <c r="E31">
        <v>0.75</v>
      </c>
      <c r="F31">
        <f>$G$3+$H$3+(60/46)*Tableau4[Prix kWh d''electricité]*Tableau6[[#This Row],[Durée (en h) ]]*0.8+'Prix Lessive'!D12</f>
        <v>3.3811521743913042</v>
      </c>
      <c r="H31">
        <f>$G$5+$H$5+(60/46)*Tableau4[Prix kWh d''electricité]*Tableau6[[#This Row],[Durée (en h) ]]*1.4+'Prix Lessive'!D12</f>
        <v>5.3876282604347825</v>
      </c>
      <c r="I31">
        <f>$G$6+$H$6+(60/46)*Tableau4[Prix kWh d''electricité]*Tableau6[[#This Row],[Durée (en h) ]]*0.55+'Prix Lessive'!D12</f>
        <v>2.2061332608565216</v>
      </c>
    </row>
    <row r="32" spans="2:10" x14ac:dyDescent="0.25">
      <c r="B32" t="s">
        <v>54</v>
      </c>
      <c r="C32">
        <v>21</v>
      </c>
      <c r="D32" t="s">
        <v>44</v>
      </c>
      <c r="E32">
        <v>0.75</v>
      </c>
      <c r="F32">
        <f>$G$3+$H$3+(60/46)*Tableau4[Prix kWh d''electricité]*Tableau6[[#This Row],[Durée (en h) ]]*0.8+'Prix Lessive'!D13</f>
        <v>3.1269521743913042</v>
      </c>
      <c r="H32">
        <f>$G$5+$H$5+(60/46)*Tableau4[Prix kWh d''electricité]*Tableau6[[#This Row],[Durée (en h) ]]*1.4+'Prix Lessive'!D13</f>
        <v>5.1334282604347825</v>
      </c>
      <c r="I32">
        <f>$G$6+$H$6+(60/46)*Tableau4[Prix kWh d''electricité]*Tableau6[[#This Row],[Durée (en h) ]]*0.55+'Prix Lessive'!D13</f>
        <v>1.9519332608565216</v>
      </c>
    </row>
    <row r="33" spans="2:9" x14ac:dyDescent="0.25">
      <c r="B33" t="s">
        <v>55</v>
      </c>
      <c r="C33">
        <v>22</v>
      </c>
      <c r="D33" t="s">
        <v>44</v>
      </c>
      <c r="E33">
        <v>1.233333333</v>
      </c>
      <c r="F33">
        <f>$G$3+$H$3+(60/46)*Tableau4[Prix kWh d''electricité]*Tableau6[[#This Row],[Durée (en h) ]]*0.8+'Prix Lessive'!D14</f>
        <v>3.1000608699947825</v>
      </c>
      <c r="H33">
        <f>$G$5+$H$5+(60/46)*Tableau4[Prix kWh d''electricité]*Tableau6[[#This Row],[Durée (en h) ]]*1.4+'Prix Lessive'!D14</f>
        <v>5.1594934777408694</v>
      </c>
      <c r="I33">
        <f>$G$6+$H$6+(60/46)*Tableau4[Prix kWh d''electricité]*Tableau6[[#This Row],[Durée (en h) ]]*0.55+'Prix Lessive'!D14</f>
        <v>1.902976739083913</v>
      </c>
    </row>
    <row r="34" spans="2:9" x14ac:dyDescent="0.25">
      <c r="B34" t="s">
        <v>56</v>
      </c>
      <c r="C34">
        <v>23</v>
      </c>
      <c r="D34" t="s">
        <v>44</v>
      </c>
      <c r="E34">
        <v>1.45</v>
      </c>
      <c r="F34">
        <f>$G$3+$H$3+(60/46)*Tableau4[Prix kWh d''electricité]*Tableau6[[#This Row],[Durée (en h) ]]*0.8+'Prix Lessive'!D5</f>
        <v>4.3812130439565218</v>
      </c>
      <c r="H34">
        <f>$G$5+$H$5+(60/46)*Tableau4[Prix kWh d''electricité]*Tableau6[[#This Row],[Durée (en h) ]]*1.4+'Prix Lessive'!D5</f>
        <v>6.4643847821739131</v>
      </c>
      <c r="I34">
        <f>$G$6+$H$6+(60/46)*Tableau4[Prix kWh d''electricité]*Tableau6[[#This Row],[Durée (en h) ]]*0.55+'Prix Lessive'!D5</f>
        <v>3.174237608682609</v>
      </c>
    </row>
    <row r="35" spans="2:9" x14ac:dyDescent="0.25">
      <c r="B35" t="s">
        <v>57</v>
      </c>
      <c r="C35">
        <v>24</v>
      </c>
      <c r="D35" t="s">
        <v>44</v>
      </c>
      <c r="E35">
        <v>1.016666667</v>
      </c>
      <c r="F35">
        <f>$G$3+$H$3+(60/46)*Tableau4[Prix kWh d''electricité]*Tableau6[[#This Row],[Durée (en h) ]]*0.8+'Prix Lessive'!D12</f>
        <v>3.4201086961791303</v>
      </c>
      <c r="H35">
        <f>$G$5+$H$5+(60/46)*Tableau4[Prix kWh d''electricité]*Tableau6[[#This Row],[Durée (en h) ]]*1.4+'Prix Lessive'!D12</f>
        <v>5.4558021735634785</v>
      </c>
      <c r="I35">
        <f>$G$6+$H$6+(60/46)*Tableau4[Prix kWh d''electricité]*Tableau6[[#This Row],[Durée (en h) ]]*0.55+'Prix Lessive'!D12</f>
        <v>2.2329158695856521</v>
      </c>
    </row>
    <row r="36" spans="2:9" x14ac:dyDescent="0.25">
      <c r="B36" t="s">
        <v>58</v>
      </c>
      <c r="C36">
        <v>25</v>
      </c>
      <c r="D36" t="s">
        <v>44</v>
      </c>
      <c r="E36">
        <v>0.76666666670000005</v>
      </c>
      <c r="F36">
        <f>$G$3+$H$3+(60/46)*Tableau4[Prix kWh d''electricité]*Tableau6[[#This Row],[Durée (en h) ]]*0.8+'Prix Lessive'!D5</f>
        <v>4.2813869570048695</v>
      </c>
      <c r="H36">
        <f>$G$5+$H$5+(60/46)*Tableau4[Prix kWh d''electricité]*Tableau6[[#This Row],[Durée (en h) ]]*1.4+'Prix Lessive'!D5</f>
        <v>6.2896891300085223</v>
      </c>
      <c r="I36">
        <f>$G$6+$H$6+(60/46)*Tableau4[Prix kWh d''electricité]*Tableau6[[#This Row],[Durée (en h) ]]*0.55+'Prix Lessive'!D5</f>
        <v>3.1056071739033477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3" sqref="D13"/>
    </sheetView>
  </sheetViews>
  <sheetFormatPr baseColWidth="10" defaultRowHeight="15" x14ac:dyDescent="0.25"/>
  <cols>
    <col min="1" max="1" width="33.28515625" bestFit="1" customWidth="1"/>
  </cols>
  <sheetData>
    <row r="1" spans="1:13" x14ac:dyDescent="0.25">
      <c r="A1" t="s">
        <v>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22</v>
      </c>
      <c r="K1" t="s">
        <v>20</v>
      </c>
      <c r="L1" t="s">
        <v>75</v>
      </c>
      <c r="M1" t="s">
        <v>76</v>
      </c>
    </row>
    <row r="2" spans="1:13" x14ac:dyDescent="0.25">
      <c r="A2" t="s">
        <v>77</v>
      </c>
      <c r="B2">
        <v>22</v>
      </c>
      <c r="C2">
        <v>26</v>
      </c>
      <c r="D2">
        <v>24</v>
      </c>
      <c r="H2">
        <v>46</v>
      </c>
      <c r="I2">
        <v>46</v>
      </c>
    </row>
    <row r="3" spans="1:13" x14ac:dyDescent="0.25">
      <c r="A3" t="s">
        <v>78</v>
      </c>
      <c r="B3">
        <v>15</v>
      </c>
      <c r="C3">
        <v>26.2</v>
      </c>
      <c r="D3">
        <v>13.27</v>
      </c>
    </row>
    <row r="4" spans="1:13" x14ac:dyDescent="0.25">
      <c r="A4" t="s">
        <v>79</v>
      </c>
      <c r="H4">
        <v>0.7</v>
      </c>
      <c r="I4">
        <v>1.6</v>
      </c>
      <c r="J4">
        <v>1.3</v>
      </c>
      <c r="K4">
        <v>6</v>
      </c>
    </row>
    <row r="5" spans="1:13" x14ac:dyDescent="0.25">
      <c r="A5" t="s">
        <v>80</v>
      </c>
      <c r="H5">
        <v>68</v>
      </c>
      <c r="I5">
        <v>167</v>
      </c>
      <c r="J5">
        <v>610</v>
      </c>
      <c r="K5">
        <v>340</v>
      </c>
    </row>
    <row r="6" spans="1:13" x14ac:dyDescent="0.25">
      <c r="A6" t="s">
        <v>81</v>
      </c>
      <c r="H6">
        <v>18</v>
      </c>
      <c r="I6">
        <v>42</v>
      </c>
    </row>
    <row r="7" spans="1:13" x14ac:dyDescent="0.25">
      <c r="A7" t="s">
        <v>82</v>
      </c>
      <c r="B7">
        <v>524</v>
      </c>
      <c r="C7">
        <v>865</v>
      </c>
      <c r="D7">
        <v>512</v>
      </c>
    </row>
    <row r="8" spans="1:13" x14ac:dyDescent="0.25">
      <c r="A8" t="s">
        <v>83</v>
      </c>
      <c r="B8">
        <v>1.34</v>
      </c>
      <c r="C8">
        <v>1.1599999999999999</v>
      </c>
      <c r="D8">
        <v>1.06</v>
      </c>
    </row>
    <row r="9" spans="1:13" x14ac:dyDescent="0.25">
      <c r="A9" t="s">
        <v>84</v>
      </c>
      <c r="B9">
        <v>1.5</v>
      </c>
      <c r="C9">
        <v>3.3</v>
      </c>
      <c r="D9">
        <v>2.6</v>
      </c>
      <c r="G9" t="s">
        <v>85</v>
      </c>
      <c r="H9">
        <v>1.1000000000000001</v>
      </c>
      <c r="I9">
        <v>2.5</v>
      </c>
      <c r="J9">
        <v>5.8</v>
      </c>
      <c r="K9">
        <v>3.7</v>
      </c>
      <c r="L9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8" sqref="B18"/>
    </sheetView>
  </sheetViews>
  <sheetFormatPr baseColWidth="10" defaultRowHeight="15" x14ac:dyDescent="0.25"/>
  <cols>
    <col min="1" max="1" width="14.5703125" bestFit="1" customWidth="1"/>
    <col min="2" max="2" width="26.42578125" customWidth="1"/>
    <col min="3" max="3" width="24.85546875" customWidth="1"/>
    <col min="4" max="4" width="13.140625" customWidth="1"/>
  </cols>
  <sheetData>
    <row r="1" spans="1:10" ht="18.75" x14ac:dyDescent="0.3">
      <c r="A1" s="10" t="s">
        <v>63</v>
      </c>
    </row>
    <row r="2" spans="1:10" x14ac:dyDescent="0.25">
      <c r="B2" t="s">
        <v>65</v>
      </c>
      <c r="C2" t="s">
        <v>64</v>
      </c>
      <c r="D2" t="s">
        <v>18</v>
      </c>
    </row>
    <row r="3" spans="1:10" x14ac:dyDescent="0.25">
      <c r="B3">
        <v>10</v>
      </c>
      <c r="C3">
        <v>1</v>
      </c>
      <c r="D3">
        <v>2.5495999999999999</v>
      </c>
    </row>
    <row r="4" spans="1:10" x14ac:dyDescent="0.25">
      <c r="B4">
        <v>11</v>
      </c>
      <c r="C4">
        <v>2</v>
      </c>
      <c r="D4">
        <v>0.92989999999999995</v>
      </c>
    </row>
    <row r="5" spans="1:10" x14ac:dyDescent="0.25">
      <c r="B5">
        <v>12</v>
      </c>
      <c r="C5">
        <v>3</v>
      </c>
      <c r="D5">
        <v>2.5649999999999999</v>
      </c>
    </row>
    <row r="6" spans="1:10" x14ac:dyDescent="0.25">
      <c r="B6" s="15">
        <v>13</v>
      </c>
      <c r="C6" s="15">
        <v>4</v>
      </c>
      <c r="D6">
        <v>1.5533999999999999</v>
      </c>
    </row>
    <row r="7" spans="1:10" x14ac:dyDescent="0.25">
      <c r="B7">
        <v>14</v>
      </c>
      <c r="C7">
        <v>7</v>
      </c>
      <c r="D7">
        <v>0.91320000000000001</v>
      </c>
    </row>
    <row r="8" spans="1:10" x14ac:dyDescent="0.25">
      <c r="B8" s="13">
        <v>16</v>
      </c>
      <c r="C8" s="12"/>
      <c r="D8">
        <v>0.85609999999999997</v>
      </c>
    </row>
    <row r="9" spans="1:10" x14ac:dyDescent="0.25">
      <c r="B9" s="13">
        <f>17</f>
        <v>17</v>
      </c>
      <c r="C9" s="12"/>
      <c r="D9">
        <v>2.2747000000000002</v>
      </c>
      <c r="J9" s="13"/>
    </row>
    <row r="10" spans="1:10" x14ac:dyDescent="0.25">
      <c r="B10">
        <v>18</v>
      </c>
      <c r="C10">
        <v>5</v>
      </c>
      <c r="D10">
        <v>1.1692</v>
      </c>
      <c r="J10" s="13"/>
    </row>
    <row r="11" spans="1:10" x14ac:dyDescent="0.25">
      <c r="B11" s="13">
        <v>19</v>
      </c>
      <c r="C11" s="12"/>
      <c r="D11">
        <v>1.9975000000000001</v>
      </c>
    </row>
    <row r="12" spans="1:10" x14ac:dyDescent="0.25">
      <c r="B12" s="17" t="s">
        <v>66</v>
      </c>
      <c r="C12" s="17">
        <v>4</v>
      </c>
      <c r="D12">
        <v>1.6672</v>
      </c>
      <c r="J12" s="13"/>
    </row>
    <row r="13" spans="1:10" x14ac:dyDescent="0.25">
      <c r="B13" s="13">
        <v>21</v>
      </c>
      <c r="C13" s="12"/>
      <c r="D13">
        <v>1.413</v>
      </c>
      <c r="J13" s="13"/>
    </row>
    <row r="14" spans="1:10" x14ac:dyDescent="0.25">
      <c r="B14" s="13">
        <v>22</v>
      </c>
      <c r="C14" s="13">
        <v>8</v>
      </c>
      <c r="D14">
        <v>1.3154999999999999</v>
      </c>
      <c r="J14" s="13"/>
    </row>
    <row r="15" spans="1:10" x14ac:dyDescent="0.25">
      <c r="B15" s="13">
        <v>23</v>
      </c>
      <c r="C15" s="12"/>
      <c r="J15" s="13"/>
    </row>
    <row r="16" spans="1:10" x14ac:dyDescent="0.25">
      <c r="B16" s="17"/>
      <c r="C16" s="17">
        <v>9</v>
      </c>
      <c r="D16" s="18"/>
      <c r="J16" s="1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2" workbookViewId="0">
      <selection activeCell="B2" sqref="B2:K4"/>
    </sheetView>
  </sheetViews>
  <sheetFormatPr baseColWidth="10" defaultRowHeight="15" x14ac:dyDescent="0.25"/>
  <cols>
    <col min="1" max="1" width="44.7109375" bestFit="1" customWidth="1"/>
    <col min="2" max="2" width="17.5703125" bestFit="1" customWidth="1"/>
    <col min="3" max="3" width="13.42578125" customWidth="1"/>
    <col min="4" max="4" width="28.42578125" bestFit="1" customWidth="1"/>
    <col min="5" max="5" width="14.7109375" customWidth="1"/>
    <col min="6" max="6" width="16.7109375" bestFit="1" customWidth="1"/>
    <col min="8" max="8" width="15.85546875" bestFit="1" customWidth="1"/>
    <col min="9" max="9" width="13.7109375" bestFit="1" customWidth="1"/>
    <col min="10" max="10" width="13.28515625" bestFit="1" customWidth="1"/>
  </cols>
  <sheetData>
    <row r="1" spans="1:11" ht="18.75" x14ac:dyDescent="0.3">
      <c r="A1" s="11" t="s">
        <v>94</v>
      </c>
    </row>
    <row r="2" spans="1:11" x14ac:dyDescent="0.25">
      <c r="A2" t="s">
        <v>86</v>
      </c>
      <c r="B2" t="s">
        <v>10</v>
      </c>
      <c r="C2" t="s">
        <v>11</v>
      </c>
      <c r="D2" t="s">
        <v>98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95</v>
      </c>
      <c r="C3">
        <v>1</v>
      </c>
      <c r="D3">
        <f>3/4</f>
        <v>0.75</v>
      </c>
      <c r="E3">
        <v>21.2</v>
      </c>
      <c r="F3">
        <v>0</v>
      </c>
      <c r="G3">
        <f>Tableau18[[#This Row],[conso eau (m3)]]*Tableau4[Prix m^3 d''eau]</f>
        <v>0</v>
      </c>
      <c r="H3" s="20">
        <f>(60/24)*Tableau18[[#This Row],[Durée moyenne séchage (h)]]*15*Tableau4[Prix kWh de gaz]</f>
        <v>2.2078125000000002</v>
      </c>
      <c r="I3">
        <v>0</v>
      </c>
      <c r="J3">
        <v>0</v>
      </c>
      <c r="K3">
        <f>SUM(Tableau18[[#This Row],[prix eau ]:[Prix lessive]])</f>
        <v>2.2078125000000002</v>
      </c>
    </row>
    <row r="4" spans="1:11" x14ac:dyDescent="0.25">
      <c r="A4" s="14" t="s">
        <v>99</v>
      </c>
      <c r="B4" t="s">
        <v>96</v>
      </c>
      <c r="C4">
        <v>2</v>
      </c>
      <c r="D4">
        <f>3/4</f>
        <v>0.75</v>
      </c>
      <c r="E4">
        <v>36</v>
      </c>
      <c r="F4">
        <v>0</v>
      </c>
      <c r="G4">
        <f>Tableau18[[#This Row],[conso eau (m3)]]*Tableau4[Prix m^3 d''eau]</f>
        <v>0</v>
      </c>
      <c r="H4" s="18">
        <f>(60/24)*Tableau18[[#This Row],[Durée moyenne séchage (h)]]*26.2*Tableau4[Prix kWh de gaz]</f>
        <v>3.8563125</v>
      </c>
      <c r="I4">
        <v>0</v>
      </c>
      <c r="J4">
        <v>0</v>
      </c>
      <c r="K4">
        <f>SUM(Tableau18[[#This Row],[prix eau ]:[Prix lessive]])</f>
        <v>3.8563125</v>
      </c>
    </row>
    <row r="5" spans="1:11" x14ac:dyDescent="0.25">
      <c r="A5" s="14" t="s">
        <v>101</v>
      </c>
      <c r="B5" t="s">
        <v>97</v>
      </c>
      <c r="C5">
        <v>3</v>
      </c>
      <c r="D5">
        <f>3/4</f>
        <v>0.75</v>
      </c>
      <c r="E5">
        <v>25</v>
      </c>
      <c r="F5">
        <v>0</v>
      </c>
      <c r="G5">
        <f>Tableau18[[#This Row],[conso eau (m3)]]*Tableau4[Prix m^3 d''eau]</f>
        <v>0</v>
      </c>
      <c r="H5" s="20">
        <f>(60/24)*Tableau18[[#This Row],[Durée moyenne séchage (h)]]*13.27*Tableau4[Prix kWh de gaz]</f>
        <v>1.9531781249999998</v>
      </c>
      <c r="I5">
        <v>0</v>
      </c>
      <c r="J5">
        <v>0</v>
      </c>
      <c r="K5">
        <f>SUM(Tableau18[[#This Row],[prix eau ]:[Prix lessive]])</f>
        <v>1.9531781249999998</v>
      </c>
    </row>
    <row r="6" spans="1:11" x14ac:dyDescent="0.25">
      <c r="A6" s="14" t="s">
        <v>102</v>
      </c>
    </row>
    <row r="7" spans="1:11" x14ac:dyDescent="0.25">
      <c r="A7" s="14"/>
    </row>
    <row r="9" spans="1:11" x14ac:dyDescent="0.25">
      <c r="A9" t="s">
        <v>100</v>
      </c>
    </row>
    <row r="11" spans="1:11" ht="15.75" thickBot="1" x14ac:dyDescent="0.3">
      <c r="B11" s="24" t="s">
        <v>26</v>
      </c>
      <c r="C11" s="25" t="s">
        <v>25</v>
      </c>
      <c r="D11" s="25" t="s">
        <v>11</v>
      </c>
      <c r="E11" s="25" t="s">
        <v>27</v>
      </c>
      <c r="F11" s="25" t="s">
        <v>105</v>
      </c>
      <c r="G11" s="25" t="s">
        <v>106</v>
      </c>
      <c r="H11" s="25" t="s">
        <v>107</v>
      </c>
    </row>
    <row r="12" spans="1:11" x14ac:dyDescent="0.25">
      <c r="B12" s="22"/>
      <c r="C12" s="1">
        <v>1</v>
      </c>
      <c r="D12" s="3" t="s">
        <v>104</v>
      </c>
      <c r="E12" s="21">
        <f>22/60</f>
        <v>0.36666666666666664</v>
      </c>
      <c r="F12" s="1">
        <f>(60/24)*Tableau8[[#This Row],[Durée (en h) ]]*15*Tableau4[Prix kWh de gaz]</f>
        <v>1.079375</v>
      </c>
      <c r="G12" s="1">
        <f>(60/24)*Tableau8[[#This Row],[Durée (en h) ]]*26.2*Tableau4[Prix kWh de gaz]</f>
        <v>1.8853083333333334</v>
      </c>
      <c r="H12" s="1">
        <f>(60/24)*Tableau8[[#This Row],[Durée (en h) ]]*13.27*Tableau4[Prix kWh de gaz]</f>
        <v>0.95488708333333328</v>
      </c>
    </row>
    <row r="13" spans="1:11" x14ac:dyDescent="0.25">
      <c r="B13" s="23"/>
      <c r="C13" s="4">
        <v>2</v>
      </c>
      <c r="D13" s="29" t="s">
        <v>104</v>
      </c>
      <c r="E13" s="4">
        <f>30/60</f>
        <v>0.5</v>
      </c>
      <c r="F13" s="1">
        <f>(60/24)*Tableau8[[#This Row],[Durée (en h) ]]*15*Tableau4[Prix kWh de gaz]</f>
        <v>1.471875</v>
      </c>
      <c r="G13" s="1">
        <f>(60/24)*Tableau8[[#This Row],[Durée (en h) ]]*26.2*Tableau4[Prix kWh de gaz]</f>
        <v>2.570875</v>
      </c>
      <c r="H13" s="1">
        <f>(60/24)*Tableau8[[#This Row],[Durée (en h) ]]*13.27*Tableau4[Prix kWh de gaz]</f>
        <v>1.30211875</v>
      </c>
    </row>
    <row r="14" spans="1:11" x14ac:dyDescent="0.25">
      <c r="B14" s="22"/>
      <c r="C14" s="1">
        <v>3</v>
      </c>
      <c r="D14" s="3" t="s">
        <v>104</v>
      </c>
      <c r="E14" s="21">
        <f>45/60</f>
        <v>0.75</v>
      </c>
      <c r="F14" s="1">
        <f>(60/24)*Tableau8[[#This Row],[Durée (en h) ]]*15*Tableau4[Prix kWh de gaz]</f>
        <v>2.2078125000000002</v>
      </c>
      <c r="G14" s="1">
        <f>(60/24)*Tableau8[[#This Row],[Durée (en h) ]]*26.2*Tableau4[Prix kWh de gaz]</f>
        <v>3.8563125</v>
      </c>
      <c r="H14" s="1">
        <f>(60/24)*Tableau8[[#This Row],[Durée (en h) ]]*13.27*Tableau4[Prix kWh de gaz]</f>
        <v>1.9531781249999998</v>
      </c>
    </row>
    <row r="15" spans="1:11" x14ac:dyDescent="0.25">
      <c r="B15" s="23"/>
      <c r="C15" s="4">
        <v>4</v>
      </c>
      <c r="D15" s="29" t="s">
        <v>104</v>
      </c>
      <c r="E15" s="4">
        <f>50/60</f>
        <v>0.83333333333333337</v>
      </c>
      <c r="F15" s="1">
        <f>(60/24)*Tableau8[[#This Row],[Durée (en h) ]]*15*Tableau4[Prix kWh de gaz]</f>
        <v>2.4531250000000004</v>
      </c>
      <c r="G15" s="1">
        <f>(60/24)*Tableau8[[#This Row],[Durée (en h) ]]*26.2*Tableau4[Prix kWh de gaz]</f>
        <v>4.284791666666667</v>
      </c>
      <c r="H15" s="1">
        <f>(60/24)*Tableau8[[#This Row],[Durée (en h) ]]*13.27*Tableau4[Prix kWh de gaz]</f>
        <v>2.1701979166666669</v>
      </c>
    </row>
    <row r="16" spans="1:11" x14ac:dyDescent="0.25">
      <c r="B16" s="22"/>
      <c r="C16" s="1">
        <v>5</v>
      </c>
      <c r="D16" s="3" t="s">
        <v>104</v>
      </c>
      <c r="E16" s="21">
        <f>80/60</f>
        <v>1.3333333333333333</v>
      </c>
      <c r="F16" s="1">
        <f>(60/24)*Tableau8[[#This Row],[Durée (en h) ]]*15*Tableau4[Prix kWh de gaz]</f>
        <v>3.9249999999999994</v>
      </c>
      <c r="G16" s="1">
        <f>(60/24)*Tableau8[[#This Row],[Durée (en h) ]]*26.2*Tableau4[Prix kWh de gaz]</f>
        <v>6.8556666666666661</v>
      </c>
      <c r="H16" s="1">
        <f>(60/24)*Tableau8[[#This Row],[Durée (en h) ]]*13.27*Tableau4[Prix kWh de gaz]</f>
        <v>3.4723166666666661</v>
      </c>
    </row>
    <row r="17" spans="2:8" x14ac:dyDescent="0.25">
      <c r="B17" s="26"/>
      <c r="C17" s="27" t="s">
        <v>103</v>
      </c>
      <c r="D17" s="27" t="s">
        <v>104</v>
      </c>
      <c r="E17" s="28">
        <f>7*(1/60)</f>
        <v>0.11666666666666667</v>
      </c>
      <c r="F17" s="1">
        <f>(60/24)*Tableau8[[#This Row],[Durée (en h) ]]*15*Tableau4[Prix kWh de gaz]</f>
        <v>0.34343750000000001</v>
      </c>
      <c r="G17" s="1">
        <f>(60/24)*Tableau8[[#This Row],[Durée (en h) ]]*26.2*Tableau4[Prix kWh de gaz]</f>
        <v>0.59987083333333335</v>
      </c>
      <c r="H17" s="1">
        <f>(60/24)*Tableau8[[#This Row],[Durée (en h) ]]*13.27*Tableau4[Prix kWh de gaz]</f>
        <v>0.30382770833333334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workbookViewId="0">
      <selection activeCell="B7" sqref="B7"/>
    </sheetView>
  </sheetViews>
  <sheetFormatPr baseColWidth="10" defaultRowHeight="15" x14ac:dyDescent="0.25"/>
  <cols>
    <col min="2" max="2" width="13.85546875" bestFit="1" customWidth="1"/>
    <col min="4" max="4" width="26.140625" bestFit="1" customWidth="1"/>
    <col min="6" max="6" width="14.42578125" bestFit="1" customWidth="1"/>
  </cols>
  <sheetData>
    <row r="2" spans="2:11" ht="15.75" thickBot="1" x14ac:dyDescent="0.3">
      <c r="B2" s="9" t="s">
        <v>10</v>
      </c>
      <c r="C2" s="9" t="s">
        <v>11</v>
      </c>
      <c r="D2" s="9" t="s">
        <v>98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2:11" x14ac:dyDescent="0.25">
      <c r="B3" s="1" t="s">
        <v>146</v>
      </c>
      <c r="C3" s="1">
        <v>1</v>
      </c>
      <c r="D3" s="1">
        <f>8</f>
        <v>8</v>
      </c>
      <c r="E3" s="1">
        <v>0</v>
      </c>
      <c r="F3" s="1">
        <v>0</v>
      </c>
      <c r="G3" s="1">
        <f>Tableau18[[#This Row],[conso eau (m3)]]*Tableau4[Prix m^3 d''eau]</f>
        <v>0</v>
      </c>
      <c r="H3" s="21">
        <f>52*D3*Tableau4[Prix kWh de gaz]</f>
        <v>32.655999999999999</v>
      </c>
      <c r="I3" s="1">
        <v>0</v>
      </c>
      <c r="J3" s="1">
        <v>0</v>
      </c>
      <c r="K3" s="1">
        <f>SUM(H3)</f>
        <v>32.655999999999999</v>
      </c>
    </row>
    <row r="4" spans="2:11" x14ac:dyDescent="0.25">
      <c r="B4" s="4" t="s">
        <v>76</v>
      </c>
      <c r="C4" s="4">
        <v>2</v>
      </c>
      <c r="D4" s="4">
        <f>8</f>
        <v>8</v>
      </c>
      <c r="E4" s="4">
        <v>36</v>
      </c>
      <c r="F4" s="4">
        <v>0</v>
      </c>
      <c r="G4" s="4">
        <f>Tableau18[[#This Row],[conso eau (m3)]]*Tableau4[Prix m^3 d''eau]</f>
        <v>0</v>
      </c>
      <c r="H4" s="19">
        <f>(60/24)*Tableau18[[#This Row],[Durée moyenne séchage (h)]]*26.2*Tableau4[Prix kWh de gaz]</f>
        <v>3.8563125</v>
      </c>
      <c r="I4" s="4">
        <v>0</v>
      </c>
      <c r="J4" s="4">
        <v>0</v>
      </c>
      <c r="K4" s="4">
        <f>SUM(Tableau18[[#This Row],[prix eau ]:[Prix lessive]])</f>
        <v>3.8563125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test</vt:lpstr>
      <vt:lpstr>Temps moyen</vt:lpstr>
      <vt:lpstr>Rapport Piece Poids</vt:lpstr>
      <vt:lpstr>Prix MO</vt:lpstr>
      <vt:lpstr>Prix ML</vt:lpstr>
      <vt:lpstr>Fiche Technique</vt:lpstr>
      <vt:lpstr>Prix Lessive</vt:lpstr>
      <vt:lpstr>Prix Sechoir</vt:lpstr>
      <vt:lpstr>Prix Calandre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Goussard</dc:creator>
  <cp:lastModifiedBy>Walid</cp:lastModifiedBy>
  <dcterms:created xsi:type="dcterms:W3CDTF">2018-01-10T14:07:06Z</dcterms:created>
  <dcterms:modified xsi:type="dcterms:W3CDTF">2018-01-17T13:05:17Z</dcterms:modified>
</cp:coreProperties>
</file>