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codeName="ThisWorkbook"/>
  <xr:revisionPtr revIDLastSave="923" documentId="6_{E6418F0B-52DF-47FB-80BC-32A49391F402}" xr6:coauthVersionLast="45" xr6:coauthVersionMax="45" xr10:uidLastSave="{730C8C4B-0F73-4497-A4B0-665570AFCD41}"/>
  <bookViews>
    <workbookView xWindow="-120" yWindow="-120" windowWidth="29040" windowHeight="15840" firstSheet="1" activeTab="4" xr2:uid="{00000000-000D-0000-FFFF-FFFF00000000}"/>
  </bookViews>
  <sheets>
    <sheet name="monthly cost" sheetId="1" r:id="rId1"/>
    <sheet name="09.17-08.18" sheetId="3" r:id="rId2"/>
    <sheet name="09.18-08.19" sheetId="6" r:id="rId3"/>
    <sheet name="09.19-08.20" sheetId="7" r:id="rId4"/>
    <sheet name="09.20-08.21" sheetId="9" r:id="rId5"/>
    <sheet name="Total" sheetId="8" r:id="rId6"/>
  </sheets>
  <definedNames>
    <definedName name="_xlchart.v1.0" hidden="1">'09.17-08.18'!$O$1</definedName>
    <definedName name="_xlchart.v1.1" hidden="1">'09.17-08.18'!$O$2:$O$99</definedName>
    <definedName name="_xlchart.v1.2" hidden="1">'09.18-08.19'!$R$1</definedName>
    <definedName name="_xlchart.v1.3" hidden="1">'09.18-08.19'!$R$2:$R$169</definedName>
    <definedName name="_xlchart.v1.4" hidden="1">'09.19-08.20'!$S$1</definedName>
    <definedName name="_xlchart.v1.5" hidden="1">'09.19-08.20'!$S$2:$S$110</definedName>
    <definedName name="_xlchart.v1.6" hidden="1">'09.20-08.21'!$S$1</definedName>
    <definedName name="_xlchart.v1.7" hidden="1">'09.20-08.21'!$S$2:$S$110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9" l="1"/>
  <c r="S6" i="9" s="1"/>
  <c r="L6" i="9"/>
  <c r="L5" i="9"/>
  <c r="P5" i="9" s="1"/>
  <c r="S5" i="9" s="1"/>
  <c r="L4" i="9" l="1"/>
  <c r="P4" i="9" s="1"/>
  <c r="S4" i="9" s="1"/>
  <c r="N3" i="9" l="1"/>
  <c r="L3" i="9"/>
  <c r="P3" i="9" l="1"/>
  <c r="S3" i="9" s="1"/>
  <c r="L2" i="9"/>
  <c r="P2" i="9" s="1"/>
  <c r="S2" i="9" s="1"/>
  <c r="U54" i="9" l="1"/>
  <c r="U47" i="9" l="1"/>
  <c r="U78" i="9"/>
  <c r="V117" i="9"/>
  <c r="U30" i="9"/>
  <c r="U68" i="9"/>
  <c r="L111" i="7"/>
  <c r="P111" i="7" s="1"/>
  <c r="S111" i="7" s="1"/>
  <c r="V118" i="9" l="1"/>
  <c r="V97" i="9"/>
  <c r="U13" i="9"/>
  <c r="I110" i="7"/>
  <c r="K110" i="7"/>
  <c r="L110" i="7" s="1"/>
  <c r="P110" i="7" s="1"/>
  <c r="S110" i="7" s="1"/>
  <c r="L109" i="7" l="1"/>
  <c r="P109" i="7"/>
  <c r="S109" i="7" s="1"/>
  <c r="L108" i="7" l="1"/>
  <c r="P108" i="7"/>
  <c r="S108" i="7" s="1"/>
  <c r="L107" i="7" l="1"/>
  <c r="P107" i="7" s="1"/>
  <c r="R107" i="7" s="1"/>
  <c r="S107" i="7" l="1"/>
  <c r="D16" i="8"/>
  <c r="C16" i="8"/>
  <c r="B16" i="8"/>
  <c r="L106" i="7" l="1"/>
  <c r="P106" i="7" s="1"/>
  <c r="R106" i="7" s="1"/>
  <c r="S106" i="7" l="1"/>
  <c r="L105" i="7"/>
  <c r="P105" i="7" s="1"/>
  <c r="S105" i="7" s="1"/>
  <c r="L104" i="7" l="1"/>
  <c r="P104" i="7" s="1"/>
  <c r="S104" i="7" l="1"/>
  <c r="L103" i="7"/>
  <c r="P103" i="7" s="1"/>
  <c r="R103" i="7" l="1"/>
  <c r="S103" i="7"/>
  <c r="L102" i="7"/>
  <c r="P102" i="7" s="1"/>
  <c r="S102" i="7" s="1"/>
  <c r="T112" i="7" s="1"/>
  <c r="L100" i="7" l="1"/>
  <c r="P100" i="7" s="1"/>
  <c r="S100" i="7" s="1"/>
  <c r="L99" i="7" l="1"/>
  <c r="P99" i="7"/>
  <c r="S99" i="7" s="1"/>
  <c r="L98" i="7"/>
  <c r="P98" i="7" s="1"/>
  <c r="S98" i="7" s="1"/>
  <c r="L97" i="7" l="1"/>
  <c r="P97" i="7" s="1"/>
  <c r="S97" i="7" s="1"/>
  <c r="L96" i="7" l="1"/>
  <c r="P96" i="7" s="1"/>
  <c r="R96" i="7" s="1"/>
  <c r="S96" i="7" s="1"/>
  <c r="L95" i="7" l="1"/>
  <c r="P95" i="7" s="1"/>
  <c r="R95" i="7" s="1"/>
  <c r="S95" i="7" s="1"/>
  <c r="B57" i="1" l="1"/>
  <c r="L94" i="7" l="1"/>
  <c r="P94" i="7" s="1"/>
  <c r="R94" i="7" s="1"/>
  <c r="S94" i="7" l="1"/>
  <c r="T100" i="7" s="1"/>
  <c r="P91" i="7"/>
  <c r="L92" i="7" l="1"/>
  <c r="P92" i="7" s="1"/>
  <c r="R92" i="7" s="1"/>
  <c r="S91" i="7"/>
  <c r="N85" i="7"/>
  <c r="L91" i="7"/>
  <c r="S92" i="7" l="1"/>
  <c r="L80" i="7" l="1"/>
  <c r="P80" i="7" s="1"/>
  <c r="S80" i="7" s="1"/>
  <c r="L81" i="7"/>
  <c r="P81" i="7" s="1"/>
  <c r="R81" i="7" s="1"/>
  <c r="S81" i="7" s="1"/>
  <c r="L82" i="7"/>
  <c r="P82" i="7" s="1"/>
  <c r="R82" i="7" s="1"/>
  <c r="S82" i="7" s="1"/>
  <c r="L83" i="7"/>
  <c r="P83" i="7" s="1"/>
  <c r="R83" i="7" s="1"/>
  <c r="S83" i="7" s="1"/>
  <c r="L85" i="7"/>
  <c r="P85" i="7" s="1"/>
  <c r="N84" i="7"/>
  <c r="H84" i="7"/>
  <c r="L84" i="7" s="1"/>
  <c r="P84" i="7" s="1"/>
  <c r="R84" i="7" l="1"/>
  <c r="S84" i="7" s="1"/>
  <c r="R85" i="7"/>
  <c r="S85" i="7" s="1"/>
  <c r="N66" i="7"/>
  <c r="L79" i="7" l="1"/>
  <c r="P79" i="7" s="1"/>
  <c r="L78" i="7"/>
  <c r="P78" i="7" s="1"/>
  <c r="R78" i="7" l="1"/>
  <c r="S78" i="7" s="1"/>
  <c r="L77" i="7"/>
  <c r="P77" i="7" s="1"/>
  <c r="R77" i="7" l="1"/>
  <c r="S77" i="7" s="1"/>
  <c r="I76" i="7"/>
  <c r="L76" i="7" s="1"/>
  <c r="P76" i="7" s="1"/>
  <c r="R76" i="7" s="1"/>
  <c r="L72" i="7"/>
  <c r="P72" i="7" s="1"/>
  <c r="S72" i="7" s="1"/>
  <c r="L73" i="7"/>
  <c r="P73" i="7" s="1"/>
  <c r="S73" i="7" s="1"/>
  <c r="L74" i="7"/>
  <c r="P74" i="7" s="1"/>
  <c r="S74" i="7" s="1"/>
  <c r="S76" i="7" l="1"/>
  <c r="L75" i="7"/>
  <c r="P75" i="7" s="1"/>
  <c r="R75" i="7" s="1"/>
  <c r="S75" i="7" s="1"/>
  <c r="L71" i="7"/>
  <c r="P71" i="7" s="1"/>
  <c r="S71" i="7" s="1"/>
  <c r="U78" i="7" l="1"/>
  <c r="T85" i="7"/>
  <c r="N62" i="7"/>
  <c r="L68" i="7" l="1"/>
  <c r="P68" i="7" s="1"/>
  <c r="R68" i="7" s="1"/>
  <c r="S68" i="7" l="1"/>
  <c r="L67" i="7"/>
  <c r="P67" i="7" s="1"/>
  <c r="S67" i="7" s="1"/>
  <c r="L65" i="7" l="1"/>
  <c r="P65" i="7" s="1"/>
  <c r="L66" i="7"/>
  <c r="R65" i="7" l="1"/>
  <c r="S65" i="7" s="1"/>
  <c r="P66" i="7"/>
  <c r="K64" i="7"/>
  <c r="L64" i="7" s="1"/>
  <c r="P64" i="7" s="1"/>
  <c r="S64" i="7" s="1"/>
  <c r="S66" i="7" l="1"/>
  <c r="L62" i="7"/>
  <c r="P62" i="7" s="1"/>
  <c r="R62" i="7" s="1"/>
  <c r="L63" i="7"/>
  <c r="P63" i="7" s="1"/>
  <c r="R63" i="7" l="1"/>
  <c r="S63" i="7" s="1"/>
  <c r="S62" i="7"/>
  <c r="L60" i="7"/>
  <c r="P60" i="7" s="1"/>
  <c r="S60" i="7" s="1"/>
  <c r="N56" i="7" l="1"/>
  <c r="L59" i="7" l="1"/>
  <c r="P59" i="7" s="1"/>
  <c r="R59" i="7" s="1"/>
  <c r="S59" i="7" s="1"/>
  <c r="L58" i="7" l="1"/>
  <c r="P58" i="7" s="1"/>
  <c r="R58" i="7" l="1"/>
  <c r="S58" i="7" s="1"/>
  <c r="L56" i="7"/>
  <c r="P56" i="7" s="1"/>
  <c r="L57" i="7"/>
  <c r="P57" i="7" s="1"/>
  <c r="S57" i="7" s="1"/>
  <c r="R56" i="7" l="1"/>
  <c r="S56" i="7" s="1"/>
  <c r="T68" i="7" s="1"/>
  <c r="L61" i="7"/>
  <c r="P61" i="7" s="1"/>
  <c r="S61" i="7" s="1"/>
  <c r="U68" i="7" l="1"/>
  <c r="L53" i="7"/>
  <c r="P53" i="7" s="1"/>
  <c r="S53" i="7" s="1"/>
  <c r="L54" i="7" l="1"/>
  <c r="P54" i="7" s="1"/>
  <c r="S54" i="7" l="1"/>
  <c r="L50" i="7"/>
  <c r="P50" i="7" s="1"/>
  <c r="R50" i="7" s="1"/>
  <c r="S50" i="7" s="1"/>
  <c r="L52" i="7" l="1"/>
  <c r="P52" i="7" s="1"/>
  <c r="R52" i="7" s="1"/>
  <c r="S52" i="7" s="1"/>
  <c r="L51" i="7" l="1"/>
  <c r="P51" i="7" s="1"/>
  <c r="R51" i="7" s="1"/>
  <c r="S51" i="7" l="1"/>
  <c r="L49" i="7"/>
  <c r="P49" i="7" s="1"/>
  <c r="S49" i="7" l="1"/>
  <c r="T54" i="7" s="1"/>
  <c r="L46" i="7"/>
  <c r="P46" i="7" s="1"/>
  <c r="S46" i="7" s="1"/>
  <c r="U54" i="7" l="1"/>
  <c r="M42" i="7"/>
  <c r="L42" i="7"/>
  <c r="P42" i="7" s="1"/>
  <c r="S42" i="7" s="1"/>
  <c r="N45" i="7" l="1"/>
  <c r="K47" i="7" l="1"/>
  <c r="L47" i="7" s="1"/>
  <c r="P47" i="7" s="1"/>
  <c r="S47" i="7" s="1"/>
  <c r="L45" i="7"/>
  <c r="P45" i="7" s="1"/>
  <c r="R45" i="7" l="1"/>
  <c r="S45" i="7" s="1"/>
  <c r="N44" i="7"/>
  <c r="L44" i="7"/>
  <c r="P44" i="7" l="1"/>
  <c r="R44" i="7" s="1"/>
  <c r="S44" i="7" s="1"/>
  <c r="K43" i="7"/>
  <c r="L43" i="7" s="1"/>
  <c r="P43" i="7" s="1"/>
  <c r="S43" i="7" l="1"/>
  <c r="L41" i="7"/>
  <c r="P41" i="7" s="1"/>
  <c r="R41" i="7" l="1"/>
  <c r="S41" i="7" s="1"/>
  <c r="L39" i="7"/>
  <c r="P39" i="7" s="1"/>
  <c r="S39" i="7" s="1"/>
  <c r="K37" i="7" l="1"/>
  <c r="L37" i="7" s="1"/>
  <c r="L38" i="7"/>
  <c r="P38" i="7" s="1"/>
  <c r="R38" i="7" s="1"/>
  <c r="S38" i="7" s="1"/>
  <c r="N37" i="7"/>
  <c r="L36" i="7"/>
  <c r="P36" i="7" s="1"/>
  <c r="R36" i="7" s="1"/>
  <c r="S36" i="7" s="1"/>
  <c r="N40" i="7"/>
  <c r="K40" i="7"/>
  <c r="L40" i="7" s="1"/>
  <c r="P37" i="7" l="1"/>
  <c r="S37" i="7" s="1"/>
  <c r="P40" i="7"/>
  <c r="R40" i="7" s="1"/>
  <c r="L35" i="7"/>
  <c r="P35" i="7" s="1"/>
  <c r="S35" i="7" s="1"/>
  <c r="S40" i="7" l="1"/>
  <c r="L34" i="7"/>
  <c r="P34" i="7" s="1"/>
  <c r="S34" i="7" l="1"/>
  <c r="L33" i="7"/>
  <c r="P33" i="7" s="1"/>
  <c r="N32" i="7"/>
  <c r="L30" i="7"/>
  <c r="P30" i="7" s="1"/>
  <c r="S30" i="7" s="1"/>
  <c r="L32" i="7"/>
  <c r="P32" i="7" s="1"/>
  <c r="R33" i="7" l="1"/>
  <c r="S33" i="7" s="1"/>
  <c r="R32" i="7"/>
  <c r="S32" i="7" s="1"/>
  <c r="T47" i="7" s="1"/>
  <c r="N29" i="7"/>
  <c r="L29" i="7"/>
  <c r="P28" i="7"/>
  <c r="S28" i="7" s="1"/>
  <c r="L27" i="7"/>
  <c r="P27" i="7" s="1"/>
  <c r="R27" i="7" s="1"/>
  <c r="P29" i="7" l="1"/>
  <c r="R29" i="7" s="1"/>
  <c r="S29" i="7" s="1"/>
  <c r="U47" i="7"/>
  <c r="S27" i="7"/>
  <c r="L26" i="7"/>
  <c r="P26" i="7" s="1"/>
  <c r="S26" i="7" s="1"/>
  <c r="L25" i="7" l="1"/>
  <c r="P25" i="7" s="1"/>
  <c r="R25" i="7" s="1"/>
  <c r="S25" i="7" s="1"/>
  <c r="L24" i="7"/>
  <c r="P24" i="7" s="1"/>
  <c r="S24" i="7" s="1"/>
  <c r="L23" i="7"/>
  <c r="P23" i="7" s="1"/>
  <c r="R23" i="7" s="1"/>
  <c r="S23" i="7" l="1"/>
  <c r="L19" i="7"/>
  <c r="P19" i="7" s="1"/>
  <c r="R19" i="7" l="1"/>
  <c r="S19" i="7" s="1"/>
  <c r="L22" i="7"/>
  <c r="P22" i="7" s="1"/>
  <c r="S22" i="7" s="1"/>
  <c r="L21" i="7" l="1"/>
  <c r="P21" i="7" s="1"/>
  <c r="L20" i="7"/>
  <c r="P20" i="7" s="1"/>
  <c r="R20" i="7" s="1"/>
  <c r="S20" i="7" s="1"/>
  <c r="R21" i="7" l="1"/>
  <c r="S21" i="7" s="1"/>
  <c r="L17" i="7"/>
  <c r="P17" i="7" s="1"/>
  <c r="R17" i="7" s="1"/>
  <c r="S17" i="7" s="1"/>
  <c r="L18" i="7" l="1"/>
  <c r="P18" i="7" s="1"/>
  <c r="R18" i="7" s="1"/>
  <c r="S18" i="7" s="1"/>
  <c r="L16" i="7" l="1"/>
  <c r="P16" i="7" s="1"/>
  <c r="R16" i="7" s="1"/>
  <c r="S16" i="7" s="1"/>
  <c r="L13" i="7"/>
  <c r="P13" i="7" s="1"/>
  <c r="R13" i="7" l="1"/>
  <c r="S13" i="7" s="1"/>
  <c r="L15" i="7"/>
  <c r="P15" i="7" s="1"/>
  <c r="R15" i="7" s="1"/>
  <c r="S15" i="7" l="1"/>
  <c r="T30" i="7" s="1"/>
  <c r="L12" i="7"/>
  <c r="P12" i="7" s="1"/>
  <c r="R12" i="7" s="1"/>
  <c r="S12" i="7" s="1"/>
  <c r="L10" i="7"/>
  <c r="P10" i="7" s="1"/>
  <c r="R10" i="7" s="1"/>
  <c r="S10" i="7" s="1"/>
  <c r="U30" i="7" l="1"/>
  <c r="L11" i="7"/>
  <c r="P11" i="7" s="1"/>
  <c r="S11" i="7" s="1"/>
  <c r="L168" i="6" l="1"/>
  <c r="O168" i="6" s="1"/>
  <c r="L9" i="7" l="1"/>
  <c r="P9" i="7" s="1"/>
  <c r="R9" i="7" s="1"/>
  <c r="S9" i="7" s="1"/>
  <c r="L166" i="6" l="1"/>
  <c r="O166" i="6" s="1"/>
  <c r="L169" i="6" l="1"/>
  <c r="O169" i="6" s="1"/>
  <c r="L8" i="7" l="1"/>
  <c r="P8" i="7" s="1"/>
  <c r="R8" i="7" s="1"/>
  <c r="S8" i="7" l="1"/>
  <c r="J7" i="7"/>
  <c r="L7" i="7"/>
  <c r="P7" i="7" s="1"/>
  <c r="R7" i="7" l="1"/>
  <c r="V117" i="7" s="1"/>
  <c r="L3" i="7"/>
  <c r="P3" i="7" s="1"/>
  <c r="S3" i="7" s="1"/>
  <c r="L4" i="7"/>
  <c r="P4" i="7" s="1"/>
  <c r="S4" i="7" s="1"/>
  <c r="L5" i="7"/>
  <c r="P5" i="7" s="1"/>
  <c r="S5" i="7" s="1"/>
  <c r="L6" i="7"/>
  <c r="P6" i="7" s="1"/>
  <c r="S6" i="7" s="1"/>
  <c r="L161" i="6"/>
  <c r="O161" i="6" s="1"/>
  <c r="L157" i="6"/>
  <c r="O157" i="6" s="1"/>
  <c r="L167" i="6"/>
  <c r="O167" i="6" s="1"/>
  <c r="L2" i="7"/>
  <c r="P2" i="7" s="1"/>
  <c r="S2" i="7" s="1"/>
  <c r="L164" i="6"/>
  <c r="O164" i="6" s="1"/>
  <c r="L163" i="6"/>
  <c r="O163" i="6" s="1"/>
  <c r="L158" i="6"/>
  <c r="O158" i="6" s="1"/>
  <c r="L165" i="6"/>
  <c r="O165" i="6" s="1"/>
  <c r="L162" i="6"/>
  <c r="O162" i="6" s="1"/>
  <c r="M157" i="6"/>
  <c r="L160" i="6"/>
  <c r="O160" i="6" s="1"/>
  <c r="L159" i="6"/>
  <c r="O159" i="6" s="1"/>
  <c r="L153" i="6"/>
  <c r="O153" i="6" s="1"/>
  <c r="N152" i="6"/>
  <c r="L156" i="6"/>
  <c r="O156" i="6" s="1"/>
  <c r="L152" i="6"/>
  <c r="L155" i="6"/>
  <c r="O155" i="6" s="1"/>
  <c r="L154" i="6"/>
  <c r="O154" i="6" s="1"/>
  <c r="L151" i="6"/>
  <c r="O151" i="6" s="1"/>
  <c r="L149" i="6"/>
  <c r="O149" i="6"/>
  <c r="L148" i="6"/>
  <c r="O148" i="6" s="1"/>
  <c r="L147" i="6"/>
  <c r="O147" i="6" s="1"/>
  <c r="L146" i="6"/>
  <c r="O146" i="6" s="1"/>
  <c r="L145" i="6"/>
  <c r="N145" i="6"/>
  <c r="L144" i="6"/>
  <c r="O144" i="6" s="1"/>
  <c r="L142" i="6"/>
  <c r="O142" i="6" s="1"/>
  <c r="L143" i="6"/>
  <c r="O143" i="6" s="1"/>
  <c r="L141" i="6"/>
  <c r="O141" i="6" s="1"/>
  <c r="L140" i="6"/>
  <c r="O140" i="6" s="1"/>
  <c r="M150" i="6"/>
  <c r="I138" i="6"/>
  <c r="L138" i="6" s="1"/>
  <c r="O138" i="6" s="1"/>
  <c r="L137" i="6"/>
  <c r="O137" i="6" s="1"/>
  <c r="L136" i="6"/>
  <c r="O136" i="6" s="1"/>
  <c r="L135" i="6"/>
  <c r="O135" i="6" s="1"/>
  <c r="L134" i="6"/>
  <c r="O134" i="6" s="1"/>
  <c r="L133" i="6"/>
  <c r="O133" i="6" s="1"/>
  <c r="L132" i="6"/>
  <c r="O132" i="6" s="1"/>
  <c r="L131" i="6"/>
  <c r="O131" i="6" s="1"/>
  <c r="L130" i="6"/>
  <c r="O130" i="6" s="1"/>
  <c r="L129" i="6"/>
  <c r="O129" i="6" s="1"/>
  <c r="L128" i="6"/>
  <c r="O128" i="6" s="1"/>
  <c r="L126" i="6"/>
  <c r="O126" i="6"/>
  <c r="L150" i="6"/>
  <c r="O150" i="6" s="1"/>
  <c r="N127" i="6"/>
  <c r="L124" i="6"/>
  <c r="O124" i="6" s="1"/>
  <c r="L123" i="6"/>
  <c r="O123" i="6" s="1"/>
  <c r="N122" i="6"/>
  <c r="L122" i="6"/>
  <c r="L127" i="6"/>
  <c r="L121" i="6"/>
  <c r="O121" i="6" s="1"/>
  <c r="H119" i="6"/>
  <c r="L119" i="6" s="1"/>
  <c r="O119" i="6" s="1"/>
  <c r="G119" i="6"/>
  <c r="L118" i="6"/>
  <c r="O118" i="6" s="1"/>
  <c r="N120" i="6"/>
  <c r="L120" i="6"/>
  <c r="L117" i="6"/>
  <c r="O117" i="6" s="1"/>
  <c r="J116" i="6"/>
  <c r="N116" i="6"/>
  <c r="L116" i="6"/>
  <c r="L115" i="6"/>
  <c r="O115" i="6" s="1"/>
  <c r="L114" i="6"/>
  <c r="O114" i="6" s="1"/>
  <c r="W106" i="6"/>
  <c r="L113" i="6"/>
  <c r="O113" i="6" s="1"/>
  <c r="L112" i="6"/>
  <c r="O112" i="6" s="1"/>
  <c r="I109" i="6"/>
  <c r="L109" i="6" s="1"/>
  <c r="O109" i="6" s="1"/>
  <c r="L110" i="6"/>
  <c r="O110" i="6" s="1"/>
  <c r="L99" i="6"/>
  <c r="O99" i="6"/>
  <c r="L100" i="6"/>
  <c r="O100" i="6" s="1"/>
  <c r="L101" i="6"/>
  <c r="O101" i="6" s="1"/>
  <c r="L102" i="6"/>
  <c r="O102" i="6" s="1"/>
  <c r="L103" i="6"/>
  <c r="O103" i="6" s="1"/>
  <c r="L104" i="6"/>
  <c r="O104" i="6" s="1"/>
  <c r="L105" i="6"/>
  <c r="O105" i="6" s="1"/>
  <c r="L106" i="6"/>
  <c r="O106" i="6" s="1"/>
  <c r="L107" i="6"/>
  <c r="O107" i="6" s="1"/>
  <c r="L111" i="6"/>
  <c r="O111" i="6"/>
  <c r="L95" i="6"/>
  <c r="O95" i="6" s="1"/>
  <c r="L97" i="6"/>
  <c r="O97" i="6" s="1"/>
  <c r="L96" i="6"/>
  <c r="O96" i="6" s="1"/>
  <c r="L94" i="6"/>
  <c r="O94" i="6" s="1"/>
  <c r="L91" i="6"/>
  <c r="O91" i="6" s="1"/>
  <c r="L92" i="6"/>
  <c r="O92" i="6" s="1"/>
  <c r="L93" i="6"/>
  <c r="O93" i="6" s="1"/>
  <c r="L90" i="6"/>
  <c r="O90" i="6" s="1"/>
  <c r="L89" i="6"/>
  <c r="O89" i="6" s="1"/>
  <c r="L88" i="6"/>
  <c r="O88" i="6" s="1"/>
  <c r="L87" i="6"/>
  <c r="O87" i="6" s="1"/>
  <c r="L86" i="6"/>
  <c r="O86" i="6" s="1"/>
  <c r="L85" i="6"/>
  <c r="O85" i="6" s="1"/>
  <c r="L84" i="6"/>
  <c r="O84" i="6"/>
  <c r="G84" i="6"/>
  <c r="L82" i="6"/>
  <c r="O82" i="6" s="1"/>
  <c r="L83" i="6"/>
  <c r="O83" i="6" s="1"/>
  <c r="L2" i="6"/>
  <c r="O2" i="6" s="1"/>
  <c r="I3" i="6"/>
  <c r="L3" i="6" s="1"/>
  <c r="O3" i="6" s="1"/>
  <c r="L4" i="6"/>
  <c r="O4" i="6" s="1"/>
  <c r="L5" i="6"/>
  <c r="O5" i="6" s="1"/>
  <c r="L6" i="6"/>
  <c r="O6" i="6" s="1"/>
  <c r="L7" i="6"/>
  <c r="O7" i="6" s="1"/>
  <c r="L8" i="6"/>
  <c r="O8" i="6" s="1"/>
  <c r="L9" i="6"/>
  <c r="O9" i="6" s="1"/>
  <c r="L10" i="6"/>
  <c r="O10" i="6" s="1"/>
  <c r="L12" i="6"/>
  <c r="O12" i="6" s="1"/>
  <c r="I13" i="6"/>
  <c r="H13" i="6"/>
  <c r="L14" i="6"/>
  <c r="O14" i="6" s="1"/>
  <c r="L15" i="6"/>
  <c r="O15" i="6" s="1"/>
  <c r="L16" i="6"/>
  <c r="O16" i="6" s="1"/>
  <c r="L17" i="6"/>
  <c r="O17" i="6" s="1"/>
  <c r="I18" i="6"/>
  <c r="L18" i="6"/>
  <c r="O18" i="6" s="1"/>
  <c r="L19" i="6"/>
  <c r="O19" i="6" s="1"/>
  <c r="L20" i="6"/>
  <c r="O20" i="6" s="1"/>
  <c r="L21" i="6"/>
  <c r="O21" i="6" s="1"/>
  <c r="L22" i="6"/>
  <c r="O22" i="6" s="1"/>
  <c r="L23" i="6"/>
  <c r="O23" i="6" s="1"/>
  <c r="L25" i="6"/>
  <c r="N25" i="6"/>
  <c r="L26" i="6"/>
  <c r="O26" i="6" s="1"/>
  <c r="L27" i="6"/>
  <c r="O27" i="6" s="1"/>
  <c r="L28" i="6"/>
  <c r="O28" i="6"/>
  <c r="L29" i="6"/>
  <c r="N29" i="6"/>
  <c r="L30" i="6"/>
  <c r="O30" i="6" s="1"/>
  <c r="L31" i="6"/>
  <c r="O31" i="6" s="1"/>
  <c r="L32" i="6"/>
  <c r="O32" i="6" s="1"/>
  <c r="I33" i="6"/>
  <c r="L33" i="6" s="1"/>
  <c r="O33" i="6" s="1"/>
  <c r="L35" i="6"/>
  <c r="O35" i="6" s="1"/>
  <c r="L36" i="6"/>
  <c r="N36" i="6"/>
  <c r="O36" i="6" s="1"/>
  <c r="L37" i="6"/>
  <c r="O37" i="6" s="1"/>
  <c r="L38" i="6"/>
  <c r="N38" i="6"/>
  <c r="L39" i="6"/>
  <c r="O39" i="6" s="1"/>
  <c r="L40" i="6"/>
  <c r="N40" i="6"/>
  <c r="L41" i="6"/>
  <c r="O41" i="6" s="1"/>
  <c r="K42" i="6"/>
  <c r="L42" i="6" s="1"/>
  <c r="O42" i="6" s="1"/>
  <c r="L43" i="6"/>
  <c r="O43" i="6" s="1"/>
  <c r="L44" i="6"/>
  <c r="O44" i="6"/>
  <c r="L45" i="6"/>
  <c r="O45" i="6" s="1"/>
  <c r="L46" i="6"/>
  <c r="O46" i="6" s="1"/>
  <c r="L47" i="6"/>
  <c r="N47" i="6"/>
  <c r="L48" i="6"/>
  <c r="O48" i="6" s="1"/>
  <c r="L49" i="6"/>
  <c r="O49" i="6" s="1"/>
  <c r="J49" i="6"/>
  <c r="L50" i="6"/>
  <c r="O50" i="6" s="1"/>
  <c r="L51" i="6"/>
  <c r="O51" i="6" s="1"/>
  <c r="H52" i="6"/>
  <c r="L52" i="6" s="1"/>
  <c r="O52" i="6" s="1"/>
  <c r="L53" i="6"/>
  <c r="O53" i="6" s="1"/>
  <c r="J53" i="6"/>
  <c r="L55" i="6"/>
  <c r="O55" i="6" s="1"/>
  <c r="L56" i="6"/>
  <c r="O56" i="6" s="1"/>
  <c r="L57" i="6"/>
  <c r="O57" i="6" s="1"/>
  <c r="L58" i="6"/>
  <c r="O58" i="6" s="1"/>
  <c r="L59" i="6"/>
  <c r="O59" i="6" s="1"/>
  <c r="L60" i="6"/>
  <c r="O60" i="6" s="1"/>
  <c r="L61" i="6"/>
  <c r="N61" i="6"/>
  <c r="L62" i="6"/>
  <c r="O62" i="6" s="1"/>
  <c r="L63" i="6"/>
  <c r="O63" i="6" s="1"/>
  <c r="L64" i="6"/>
  <c r="O64" i="6" s="1"/>
  <c r="L65" i="6"/>
  <c r="O65" i="6" s="1"/>
  <c r="L66" i="6"/>
  <c r="O66" i="6" s="1"/>
  <c r="L67" i="6"/>
  <c r="O67" i="6" s="1"/>
  <c r="L69" i="6"/>
  <c r="O69" i="6" s="1"/>
  <c r="L70" i="6"/>
  <c r="O70" i="6" s="1"/>
  <c r="L71" i="6"/>
  <c r="O71" i="6" s="1"/>
  <c r="L72" i="6"/>
  <c r="O72" i="6" s="1"/>
  <c r="L73" i="6"/>
  <c r="O73" i="6" s="1"/>
  <c r="L74" i="6"/>
  <c r="O74" i="6" s="1"/>
  <c r="L75" i="6"/>
  <c r="O75" i="6" s="1"/>
  <c r="L77" i="6"/>
  <c r="O77" i="6" s="1"/>
  <c r="L78" i="6"/>
  <c r="O78" i="6"/>
  <c r="L79" i="6"/>
  <c r="O79" i="6" s="1"/>
  <c r="L80" i="6"/>
  <c r="O80" i="6" s="1"/>
  <c r="G64" i="6"/>
  <c r="M39" i="6"/>
  <c r="M4" i="6"/>
  <c r="H94" i="3"/>
  <c r="L94" i="3"/>
  <c r="H99" i="3"/>
  <c r="L99" i="3" s="1"/>
  <c r="H98" i="3"/>
  <c r="L98" i="3" s="1"/>
  <c r="H97" i="3"/>
  <c r="L97" i="3" s="1"/>
  <c r="H96" i="3"/>
  <c r="L96" i="3" s="1"/>
  <c r="H95" i="3"/>
  <c r="L95" i="3"/>
  <c r="H93" i="3"/>
  <c r="L93" i="3" s="1"/>
  <c r="H92" i="3"/>
  <c r="L92" i="3" s="1"/>
  <c r="H91" i="3"/>
  <c r="L91" i="3" s="1"/>
  <c r="H90" i="3"/>
  <c r="L90" i="3" s="1"/>
  <c r="H88" i="3"/>
  <c r="L88" i="3" s="1"/>
  <c r="H86" i="3"/>
  <c r="L86" i="3" s="1"/>
  <c r="H85" i="3"/>
  <c r="L85" i="3" s="1"/>
  <c r="H84" i="3"/>
  <c r="L84" i="3" s="1"/>
  <c r="H83" i="3"/>
  <c r="L83" i="3" s="1"/>
  <c r="H82" i="3"/>
  <c r="L82" i="3" s="1"/>
  <c r="H81" i="3"/>
  <c r="L81" i="3"/>
  <c r="H79" i="3"/>
  <c r="L79" i="3" s="1"/>
  <c r="H77" i="3"/>
  <c r="L77" i="3" s="1"/>
  <c r="H76" i="3"/>
  <c r="L76" i="3" s="1"/>
  <c r="H75" i="3"/>
  <c r="L75" i="3" s="1"/>
  <c r="H74" i="3"/>
  <c r="L74" i="3" s="1"/>
  <c r="H73" i="3"/>
  <c r="L73" i="3" s="1"/>
  <c r="H71" i="3"/>
  <c r="L71" i="3" s="1"/>
  <c r="H70" i="3"/>
  <c r="L70" i="3" s="1"/>
  <c r="H69" i="3"/>
  <c r="L69" i="3"/>
  <c r="H67" i="3"/>
  <c r="L67" i="3" s="1"/>
  <c r="E65" i="3"/>
  <c r="H65" i="3" s="1"/>
  <c r="L65" i="3" s="1"/>
  <c r="H66" i="3"/>
  <c r="L66" i="3" s="1"/>
  <c r="H64" i="3"/>
  <c r="L64" i="3" s="1"/>
  <c r="H63" i="3"/>
  <c r="L63" i="3" s="1"/>
  <c r="H62" i="3"/>
  <c r="L62" i="3" s="1"/>
  <c r="H61" i="3"/>
  <c r="L61" i="3" s="1"/>
  <c r="H59" i="3"/>
  <c r="L59" i="3" s="1"/>
  <c r="H58" i="3"/>
  <c r="L58" i="3" s="1"/>
  <c r="H57" i="3"/>
  <c r="L57" i="3"/>
  <c r="H56" i="3"/>
  <c r="L56" i="3" s="1"/>
  <c r="L54" i="3"/>
  <c r="H54" i="3"/>
  <c r="H52" i="3"/>
  <c r="L52" i="3" s="1"/>
  <c r="H50" i="3"/>
  <c r="L50" i="3" s="1"/>
  <c r="H47" i="3"/>
  <c r="L47" i="3"/>
  <c r="H49" i="3"/>
  <c r="L49" i="3" s="1"/>
  <c r="H46" i="3"/>
  <c r="L46" i="3" s="1"/>
  <c r="H42" i="3"/>
  <c r="H43" i="3"/>
  <c r="L43" i="3" s="1"/>
  <c r="H40" i="3"/>
  <c r="L40" i="3" s="1"/>
  <c r="E41" i="3"/>
  <c r="H41" i="3" s="1"/>
  <c r="E39" i="3"/>
  <c r="H39" i="3"/>
  <c r="E38" i="3"/>
  <c r="H38" i="3" s="1"/>
  <c r="H36" i="3"/>
  <c r="L36" i="3" s="1"/>
  <c r="H35" i="3"/>
  <c r="E33" i="3"/>
  <c r="H33" i="3" s="1"/>
  <c r="H32" i="3"/>
  <c r="L32" i="3" s="1"/>
  <c r="E31" i="3"/>
  <c r="H31" i="3" s="1"/>
  <c r="E48" i="3"/>
  <c r="H48" i="3" s="1"/>
  <c r="E30" i="3"/>
  <c r="H30" i="3" s="1"/>
  <c r="E25" i="3"/>
  <c r="H25" i="3" s="1"/>
  <c r="L25" i="3" s="1"/>
  <c r="H26" i="3"/>
  <c r="L26" i="3" s="1"/>
  <c r="H27" i="3"/>
  <c r="H28" i="3"/>
  <c r="L28" i="3" s="1"/>
  <c r="H53" i="3"/>
  <c r="L53" i="3" s="1"/>
  <c r="H37" i="3"/>
  <c r="L37" i="3" s="1"/>
  <c r="H55" i="3"/>
  <c r="L55" i="3" s="1"/>
  <c r="H45" i="3"/>
  <c r="E24" i="3"/>
  <c r="H24" i="3" s="1"/>
  <c r="O44" i="1"/>
  <c r="E21" i="3"/>
  <c r="H21" i="3" s="1"/>
  <c r="E22" i="3"/>
  <c r="H22" i="3"/>
  <c r="E20" i="3"/>
  <c r="H20" i="3"/>
  <c r="L20" i="3" s="1"/>
  <c r="E19" i="3"/>
  <c r="H19" i="3" s="1"/>
  <c r="E18" i="3"/>
  <c r="H18" i="3"/>
  <c r="L18" i="3" s="1"/>
  <c r="C69" i="1"/>
  <c r="E69" i="1" s="1"/>
  <c r="F69" i="1" s="1"/>
  <c r="E17" i="3"/>
  <c r="H17" i="3"/>
  <c r="L17" i="3" s="1"/>
  <c r="E16" i="3"/>
  <c r="H16" i="3" s="1"/>
  <c r="J44" i="1"/>
  <c r="E14" i="3"/>
  <c r="H14" i="3" s="1"/>
  <c r="E13" i="3"/>
  <c r="H13" i="3" s="1"/>
  <c r="E12" i="3"/>
  <c r="H12" i="3" s="1"/>
  <c r="L12" i="3" s="1"/>
  <c r="E11" i="3"/>
  <c r="H11" i="3" s="1"/>
  <c r="F44" i="1"/>
  <c r="E10" i="3"/>
  <c r="H10" i="3" s="1"/>
  <c r="E9" i="3"/>
  <c r="H9" i="3" s="1"/>
  <c r="L9" i="3" s="1"/>
  <c r="E7" i="3"/>
  <c r="H7" i="3" s="1"/>
  <c r="E6" i="3"/>
  <c r="H6" i="3"/>
  <c r="K6" i="3" s="1"/>
  <c r="E5" i="3"/>
  <c r="H5" i="3" s="1"/>
  <c r="E4" i="3"/>
  <c r="H4" i="3"/>
  <c r="E3" i="3"/>
  <c r="H3" i="3" s="1"/>
  <c r="K3" i="3" s="1"/>
  <c r="K2" i="3"/>
  <c r="B40" i="1"/>
  <c r="L39" i="3"/>
  <c r="O25" i="6"/>
  <c r="L13" i="6"/>
  <c r="O13" i="6" s="1"/>
  <c r="O61" i="6" l="1"/>
  <c r="O47" i="6"/>
  <c r="K10" i="3"/>
  <c r="L16" i="3"/>
  <c r="L19" i="3"/>
  <c r="L45" i="3"/>
  <c r="L22" i="3"/>
  <c r="L42" i="3"/>
  <c r="O116" i="6"/>
  <c r="L35" i="3"/>
  <c r="O127" i="6"/>
  <c r="L38" i="3"/>
  <c r="L41" i="3"/>
  <c r="O120" i="6"/>
  <c r="O122" i="6"/>
  <c r="L31" i="3"/>
  <c r="O152" i="6"/>
  <c r="L6" i="3"/>
  <c r="L24" i="3"/>
  <c r="O40" i="6"/>
  <c r="O29" i="6"/>
  <c r="O145" i="6"/>
  <c r="L13" i="3"/>
  <c r="L48" i="3"/>
  <c r="L14" i="3"/>
  <c r="K7" i="3"/>
  <c r="L7" i="3" s="1"/>
  <c r="L33" i="3"/>
  <c r="L30" i="3"/>
  <c r="L21" i="3"/>
  <c r="L10" i="3"/>
  <c r="K4" i="3"/>
  <c r="L4" i="3" s="1"/>
  <c r="O38" i="6"/>
  <c r="L3" i="3"/>
  <c r="S7" i="7"/>
  <c r="V118" i="7" s="1"/>
  <c r="T13" i="7" l="1"/>
  <c r="V97" i="7"/>
  <c r="R101" i="3"/>
  <c r="U13" i="7"/>
  <c r="U172" i="6"/>
</calcChain>
</file>

<file path=xl/sharedStrings.xml><?xml version="1.0" encoding="utf-8"?>
<sst xmlns="http://schemas.openxmlformats.org/spreadsheetml/2006/main" count="1485" uniqueCount="736">
  <si>
    <t>Expense:</t>
    <phoneticPr fontId="2" type="noConversion"/>
  </si>
  <si>
    <t>Oct:</t>
  </si>
  <si>
    <t>Nov:</t>
  </si>
  <si>
    <r>
      <t>D</t>
    </r>
    <r>
      <rPr>
        <sz val="11"/>
        <color theme="1"/>
        <rFont val="Calibri"/>
        <family val="2"/>
        <scheme val="minor"/>
      </rPr>
      <t>ec</t>
    </r>
    <phoneticPr fontId="2" type="noConversion"/>
  </si>
  <si>
    <t>Business Accound minimum</t>
  </si>
  <si>
    <t>Key Box</t>
  </si>
  <si>
    <t>BMW Backup Camera</t>
    <phoneticPr fontId="2" type="noConversion"/>
  </si>
  <si>
    <r>
      <t>S</t>
    </r>
    <r>
      <rPr>
        <sz val="11"/>
        <color theme="1"/>
        <rFont val="Calibri"/>
        <family val="2"/>
        <scheme val="minor"/>
      </rPr>
      <t>teveBusinessCard</t>
    </r>
    <phoneticPr fontId="2" type="noConversion"/>
  </si>
  <si>
    <t>9.18 McDonalds</t>
  </si>
  <si>
    <t>E350 Console Refund</t>
    <phoneticPr fontId="2" type="noConversion"/>
  </si>
  <si>
    <r>
      <t>E</t>
    </r>
    <r>
      <rPr>
        <sz val="11"/>
        <color theme="1"/>
        <rFont val="Calibri"/>
        <family val="2"/>
        <scheme val="minor"/>
      </rPr>
      <t>nvelopes</t>
    </r>
    <phoneticPr fontId="2" type="noConversion"/>
  </si>
  <si>
    <r>
      <t>C</t>
    </r>
    <r>
      <rPr>
        <sz val="11"/>
        <color theme="1"/>
        <rFont val="Calibri"/>
        <family val="2"/>
        <scheme val="minor"/>
      </rPr>
      <t>omcast</t>
    </r>
    <phoneticPr fontId="2" type="noConversion"/>
  </si>
  <si>
    <t>Progressive Insurance</t>
  </si>
  <si>
    <t>Dealer Supply Refund</t>
  </si>
  <si>
    <t>Menards</t>
  </si>
  <si>
    <r>
      <t>G</t>
    </r>
    <r>
      <rPr>
        <sz val="11"/>
        <color theme="1"/>
        <rFont val="Calibri"/>
        <family val="2"/>
        <scheme val="minor"/>
      </rPr>
      <t xml:space="preserve"> Suite</t>
    </r>
    <phoneticPr fontId="2" type="noConversion"/>
  </si>
  <si>
    <t>Water hose</t>
  </si>
  <si>
    <t>Cosumer Engergy</t>
  </si>
  <si>
    <t>Meijer</t>
  </si>
  <si>
    <r>
      <t>4</t>
    </r>
    <r>
      <rPr>
        <sz val="11"/>
        <color theme="1"/>
        <rFont val="Calibri"/>
        <family val="2"/>
        <scheme val="minor"/>
      </rPr>
      <t>imprint</t>
    </r>
    <phoneticPr fontId="2" type="noConversion"/>
  </si>
  <si>
    <t>Check book</t>
  </si>
  <si>
    <t>TV Power Cord</t>
    <phoneticPr fontId="2" type="noConversion"/>
  </si>
  <si>
    <t>Touch Up Paint</t>
  </si>
  <si>
    <t>TrackSculpture</t>
  </si>
  <si>
    <t>Camera power supply</t>
    <phoneticPr fontId="2" type="noConversion"/>
  </si>
  <si>
    <r>
      <t>H</t>
    </r>
    <r>
      <rPr>
        <sz val="11"/>
        <color theme="1"/>
        <rFont val="Calibri"/>
        <family val="2"/>
        <scheme val="minor"/>
      </rPr>
      <t>ellcat mail</t>
    </r>
    <phoneticPr fontId="2" type="noConversion"/>
  </si>
  <si>
    <t>AutoZone</t>
  </si>
  <si>
    <r>
      <t>Print</t>
    </r>
    <r>
      <rPr>
        <sz val="11"/>
        <color theme="1"/>
        <rFont val="Calibri"/>
        <family val="2"/>
        <scheme val="minor"/>
      </rPr>
      <t>Check</t>
    </r>
    <phoneticPr fontId="2" type="noConversion"/>
  </si>
  <si>
    <t>E350 wiper blade</t>
  </si>
  <si>
    <r>
      <t>P</t>
    </r>
    <r>
      <rPr>
        <sz val="11"/>
        <color theme="1"/>
        <rFont val="Calibri"/>
        <family val="2"/>
        <scheme val="minor"/>
      </rPr>
      <t>olice Book</t>
    </r>
    <phoneticPr fontId="2" type="noConversion"/>
  </si>
  <si>
    <r>
      <t>g</t>
    </r>
    <r>
      <rPr>
        <sz val="11"/>
        <color theme="1"/>
        <rFont val="Calibri"/>
        <family val="2"/>
        <scheme val="minor"/>
      </rPr>
      <t>raybar light bulb</t>
    </r>
    <phoneticPr fontId="2" type="noConversion"/>
  </si>
  <si>
    <t>U haul with gas</t>
  </si>
  <si>
    <t>M4 Gas</t>
  </si>
  <si>
    <t>Knifeless tape</t>
  </si>
  <si>
    <t>E350 right vent</t>
  </si>
  <si>
    <t>Granger</t>
    <phoneticPr fontId="2" type="noConversion"/>
  </si>
  <si>
    <t>OfficeMax</t>
  </si>
  <si>
    <t>Coffee Table</t>
    <phoneticPr fontId="2" type="noConversion"/>
  </si>
  <si>
    <t>E350 Gas</t>
  </si>
  <si>
    <r>
      <t>L</t>
    </r>
    <r>
      <rPr>
        <sz val="11"/>
        <color theme="1"/>
        <rFont val="Calibri"/>
        <family val="2"/>
        <scheme val="minor"/>
      </rPr>
      <t>ED Sign</t>
    </r>
    <phoneticPr fontId="2" type="noConversion"/>
  </si>
  <si>
    <t>E350 Gas 0915</t>
  </si>
  <si>
    <t>10.9 Gas</t>
  </si>
  <si>
    <r>
      <t>M</t>
    </r>
    <r>
      <rPr>
        <sz val="11"/>
        <color theme="1"/>
        <rFont val="Calibri"/>
        <family val="2"/>
        <scheme val="minor"/>
      </rPr>
      <t>erchandise Shipping</t>
    </r>
    <phoneticPr fontId="2" type="noConversion"/>
  </si>
  <si>
    <t>Monitor</t>
  </si>
  <si>
    <t>Shipping exhaust</t>
  </si>
  <si>
    <r>
      <t>b</t>
    </r>
    <r>
      <rPr>
        <sz val="11"/>
        <color theme="1"/>
        <rFont val="Calibri"/>
        <family val="2"/>
        <scheme val="minor"/>
      </rPr>
      <t>atteries</t>
    </r>
    <phoneticPr fontId="2" type="noConversion"/>
  </si>
  <si>
    <t>alarm DVR</t>
  </si>
  <si>
    <t>1030 Gas</t>
    <phoneticPr fontId="2" type="noConversion"/>
  </si>
  <si>
    <r>
      <t>Fil</t>
    </r>
    <r>
      <rPr>
        <sz val="11"/>
        <color theme="1"/>
        <rFont val="Calibri"/>
        <family val="2"/>
        <scheme val="minor"/>
      </rPr>
      <t>ling Fee</t>
    </r>
    <phoneticPr fontId="2" type="noConversion"/>
  </si>
  <si>
    <t>Menards  9.26</t>
  </si>
  <si>
    <r>
      <t>M</t>
    </r>
    <r>
      <rPr>
        <sz val="11"/>
        <color theme="1"/>
        <rFont val="Calibri"/>
        <family val="2"/>
        <scheme val="minor"/>
      </rPr>
      <t>enards</t>
    </r>
    <phoneticPr fontId="2" type="noConversion"/>
  </si>
  <si>
    <r>
      <t>M</t>
    </r>
    <r>
      <rPr>
        <sz val="11"/>
        <color theme="1"/>
        <rFont val="Calibri"/>
        <family val="2"/>
        <scheme val="minor"/>
      </rPr>
      <t>4 Gas</t>
    </r>
    <phoneticPr fontId="2" type="noConversion"/>
  </si>
  <si>
    <t>Cart</t>
  </si>
  <si>
    <t>DVR Box</t>
    <phoneticPr fontId="2" type="noConversion"/>
  </si>
  <si>
    <t>Granger</t>
  </si>
  <si>
    <t>Corporation File</t>
    <phoneticPr fontId="2" type="noConversion"/>
  </si>
  <si>
    <t>Carfax</t>
    <phoneticPr fontId="2" type="noConversion"/>
  </si>
  <si>
    <t>Tune2Air A5</t>
  </si>
  <si>
    <t>Dealer License Application Cost</t>
    <phoneticPr fontId="2" type="noConversion"/>
  </si>
  <si>
    <r>
      <t>M4</t>
    </r>
    <r>
      <rPr>
        <sz val="11"/>
        <color theme="1"/>
        <rFont val="Calibri"/>
        <family val="2"/>
        <scheme val="minor"/>
      </rPr>
      <t xml:space="preserve"> Glass</t>
    </r>
  </si>
  <si>
    <t>Oreilly</t>
  </si>
  <si>
    <t>All in one printer</t>
    <phoneticPr fontId="2" type="noConversion"/>
  </si>
  <si>
    <t>OfficeMax 10.2</t>
  </si>
  <si>
    <t>Bond</t>
  </si>
  <si>
    <t>E350 PPI</t>
  </si>
  <si>
    <t>Comcast</t>
    <phoneticPr fontId="2" type="noConversion"/>
  </si>
  <si>
    <t>BWL 10/4-11/2</t>
  </si>
  <si>
    <t>Carfax to Capitol Auto Sales</t>
    <phoneticPr fontId="2" type="noConversion"/>
  </si>
  <si>
    <t>Dealer Supply</t>
    <phoneticPr fontId="2" type="noConversion"/>
  </si>
  <si>
    <t>Comcast</t>
  </si>
  <si>
    <t>Red Lobster</t>
  </si>
  <si>
    <t>Sony TV</t>
  </si>
  <si>
    <t>A5 WeatherTech</t>
  </si>
  <si>
    <t>Plumbing</t>
  </si>
  <si>
    <t>Hager Fox</t>
    <phoneticPr fontId="2" type="noConversion"/>
  </si>
  <si>
    <t>DealerSupply</t>
  </si>
  <si>
    <t>Sofa</t>
  </si>
  <si>
    <t>Red Key</t>
  </si>
  <si>
    <t>M4 Winter tire change</t>
  </si>
  <si>
    <t>Menards  9.30</t>
  </si>
  <si>
    <t>BWL</t>
    <phoneticPr fontId="2" type="noConversion"/>
  </si>
  <si>
    <r>
      <t>B</t>
    </r>
    <r>
      <rPr>
        <sz val="11"/>
        <color theme="1"/>
        <rFont val="Calibri"/>
        <family val="2"/>
        <scheme val="minor"/>
      </rPr>
      <t>usinessCard/ Banner</t>
    </r>
    <phoneticPr fontId="2" type="noConversion"/>
  </si>
  <si>
    <t>E350 knobs</t>
  </si>
  <si>
    <r>
      <t>N</t>
    </r>
    <r>
      <rPr>
        <sz val="11"/>
        <color theme="1"/>
        <rFont val="Calibri"/>
        <family val="2"/>
        <scheme val="minor"/>
      </rPr>
      <t>ew Road Sign</t>
    </r>
    <phoneticPr fontId="2" type="noConversion"/>
  </si>
  <si>
    <r>
      <t>G</t>
    </r>
    <r>
      <rPr>
        <sz val="11"/>
        <color theme="1"/>
        <rFont val="Calibri"/>
        <family val="2"/>
        <scheme val="minor"/>
      </rPr>
      <t>ift Card to Robert</t>
    </r>
    <phoneticPr fontId="2" type="noConversion"/>
  </si>
  <si>
    <t>E350 Brakes</t>
  </si>
  <si>
    <t>Seek Capital</t>
    <phoneticPr fontId="2" type="noConversion"/>
  </si>
  <si>
    <r>
      <t>A5</t>
    </r>
    <r>
      <rPr>
        <sz val="11"/>
        <color theme="1"/>
        <rFont val="Calibri"/>
        <family val="2"/>
        <scheme val="minor"/>
      </rPr>
      <t xml:space="preserve"> Backup Camera</t>
    </r>
    <phoneticPr fontId="2" type="noConversion"/>
  </si>
  <si>
    <t>E350 Armrest</t>
  </si>
  <si>
    <t>E350 Repair</t>
    <phoneticPr fontId="2" type="noConversion"/>
  </si>
  <si>
    <t>Insert</t>
  </si>
  <si>
    <t>Investment sheet draft</t>
  </si>
  <si>
    <t>Seek Capital</t>
  </si>
  <si>
    <t>A5 tires</t>
  </si>
  <si>
    <t>Tires</t>
  </si>
  <si>
    <t>Rent</t>
    <phoneticPr fontId="2" type="noConversion"/>
  </si>
  <si>
    <t>DealerWeb</t>
  </si>
  <si>
    <t>E350 tax, registration fee</t>
  </si>
  <si>
    <t>Payroll</t>
  </si>
  <si>
    <t>Return To A5</t>
  </si>
  <si>
    <t>FirstInsurancePay</t>
  </si>
  <si>
    <t>Garage Opener</t>
  </si>
  <si>
    <t>Jeff Application</t>
    <phoneticPr fontId="2" type="noConversion"/>
  </si>
  <si>
    <t>OfficeMax</t>
    <phoneticPr fontId="2" type="noConversion"/>
  </si>
  <si>
    <t>Security Deposit</t>
    <phoneticPr fontId="2" type="noConversion"/>
  </si>
  <si>
    <r>
      <t>B</t>
    </r>
    <r>
      <rPr>
        <sz val="11"/>
        <color theme="1"/>
        <rFont val="Calibri"/>
        <family val="2"/>
        <scheme val="minor"/>
      </rPr>
      <t>MW Backup Camera</t>
    </r>
    <phoneticPr fontId="2" type="noConversion"/>
  </si>
  <si>
    <t>August</t>
    <phoneticPr fontId="2" type="noConversion"/>
  </si>
  <si>
    <r>
      <t>Se</t>
    </r>
    <r>
      <rPr>
        <sz val="11"/>
        <color theme="1"/>
        <rFont val="Calibri"/>
        <family val="2"/>
        <scheme val="minor"/>
      </rPr>
      <t>pt, Oct to CX</t>
    </r>
    <phoneticPr fontId="2" type="noConversion"/>
  </si>
  <si>
    <t>September</t>
    <phoneticPr fontId="2" type="noConversion"/>
  </si>
  <si>
    <t>E350</t>
  </si>
  <si>
    <t>Driver package/ pens</t>
  </si>
  <si>
    <t>Insurance 10-11</t>
  </si>
  <si>
    <t>M4 Trim</t>
  </si>
  <si>
    <t>total:</t>
  </si>
  <si>
    <t>Rent</t>
  </si>
  <si>
    <t>Insurance</t>
  </si>
  <si>
    <r>
      <t>t</t>
    </r>
    <r>
      <rPr>
        <sz val="11"/>
        <color theme="1"/>
        <rFont val="Calibri"/>
        <family val="2"/>
        <scheme val="minor"/>
      </rPr>
      <t>otal:</t>
    </r>
    <phoneticPr fontId="2" type="noConversion"/>
  </si>
  <si>
    <t>Central Dispatch</t>
  </si>
  <si>
    <t>ADT</t>
  </si>
  <si>
    <t>Camera</t>
  </si>
  <si>
    <t>BWL</t>
  </si>
  <si>
    <t>Consmer Energy</t>
  </si>
  <si>
    <t>Carfax</t>
  </si>
  <si>
    <t>V12</t>
  </si>
  <si>
    <t>Google</t>
  </si>
  <si>
    <t>Monthly Cosst:</t>
    <phoneticPr fontId="2" type="noConversion"/>
  </si>
  <si>
    <t>Account Investment:</t>
  </si>
  <si>
    <t>WQC</t>
  </si>
  <si>
    <t>自己</t>
    <phoneticPr fontId="2" type="noConversion"/>
  </si>
  <si>
    <r>
      <t>s</t>
    </r>
    <r>
      <rPr>
        <sz val="11"/>
        <color theme="1"/>
        <rFont val="Calibri"/>
        <family val="2"/>
        <scheme val="minor"/>
      </rPr>
      <t>elf</t>
    </r>
    <phoneticPr fontId="2" type="noConversion"/>
  </si>
  <si>
    <t>Calculate Car Price:</t>
    <phoneticPr fontId="2" type="noConversion"/>
  </si>
  <si>
    <t>高扬</t>
    <phoneticPr fontId="2" type="noConversion"/>
  </si>
  <si>
    <r>
      <t>g</t>
    </r>
    <r>
      <rPr>
        <sz val="11"/>
        <color theme="1"/>
        <rFont val="Calibri"/>
        <family val="2"/>
        <scheme val="minor"/>
      </rPr>
      <t>y</t>
    </r>
    <phoneticPr fontId="2" type="noConversion"/>
  </si>
  <si>
    <t>Transportation</t>
    <phoneticPr fontId="2" type="noConversion"/>
  </si>
  <si>
    <t>Base Price</t>
    <phoneticPr fontId="2" type="noConversion"/>
  </si>
  <si>
    <t>Outdoor</t>
    <phoneticPr fontId="2" type="noConversion"/>
  </si>
  <si>
    <t>Clear</t>
  </si>
  <si>
    <t>Date</t>
  </si>
  <si>
    <t>Buy price</t>
  </si>
  <si>
    <t>Total Buy Price(inlcudes 25 wire fee)</t>
  </si>
  <si>
    <t>Sell price</t>
  </si>
  <si>
    <t>Transportation</t>
  </si>
  <si>
    <t>Net Difference</t>
  </si>
  <si>
    <t>Trade-in/Deposit</t>
  </si>
  <si>
    <t>Added Cost</t>
  </si>
  <si>
    <t>Pay to Capitol</t>
    <phoneticPr fontId="2" type="noConversion"/>
  </si>
  <si>
    <t>Profit</t>
  </si>
  <si>
    <t>Sales</t>
  </si>
  <si>
    <t>Pay to sales</t>
  </si>
  <si>
    <t>Revenue</t>
  </si>
  <si>
    <t>2013 Dodge Charger</t>
  </si>
  <si>
    <t>Y</t>
  </si>
  <si>
    <t>CX</t>
  </si>
  <si>
    <t>2015 Mazda Mazda 6 (CA)</t>
  </si>
  <si>
    <t>CTS</t>
  </si>
  <si>
    <t>2013 Scion FRS</t>
  </si>
  <si>
    <t>Y</t>
    <phoneticPr fontId="2" type="noConversion"/>
  </si>
  <si>
    <t>2003 Volvo V70</t>
  </si>
  <si>
    <t>2014 BMW 428 Xdrive</t>
  </si>
  <si>
    <t>2016 Dodge Challenger H (CA)</t>
  </si>
  <si>
    <t>GY</t>
  </si>
  <si>
    <t>2015 BMW M4</t>
  </si>
  <si>
    <t>2001 Saab 95</t>
  </si>
  <si>
    <t>2007 Subaru Impreza</t>
  </si>
  <si>
    <t>2016 Land Rover Evoque</t>
  </si>
  <si>
    <t>2017 Ford Mustang GT</t>
  </si>
  <si>
    <t>2014 BMW 650i X</t>
  </si>
  <si>
    <r>
      <t>W</t>
    </r>
    <r>
      <rPr>
        <sz val="11"/>
        <color theme="1"/>
        <rFont val="Calibri"/>
        <family val="2"/>
        <scheme val="minor"/>
      </rPr>
      <t>Y</t>
    </r>
    <phoneticPr fontId="2" type="noConversion"/>
  </si>
  <si>
    <t>2015 Audi A5</t>
  </si>
  <si>
    <t>2011 Audi Q5</t>
  </si>
  <si>
    <t>2014 BMW 328i X</t>
  </si>
  <si>
    <t>2015 Chrysler 200 Limited</t>
  </si>
  <si>
    <t>2015 Mercedes C300</t>
  </si>
  <si>
    <r>
      <t>1</t>
    </r>
    <r>
      <rPr>
        <sz val="11"/>
        <color theme="1"/>
        <rFont val="Calibri"/>
        <family val="2"/>
        <scheme val="minor"/>
      </rPr>
      <t>999 BMW M3</t>
    </r>
    <phoneticPr fontId="2" type="noConversion"/>
  </si>
  <si>
    <r>
      <t>C</t>
    </r>
    <r>
      <rPr>
        <sz val="11"/>
        <color theme="1"/>
        <rFont val="Calibri"/>
        <family val="2"/>
        <scheme val="minor"/>
      </rPr>
      <t>TS</t>
    </r>
    <phoneticPr fontId="2" type="noConversion"/>
  </si>
  <si>
    <r>
      <t>2</t>
    </r>
    <r>
      <rPr>
        <sz val="11"/>
        <color theme="1"/>
        <rFont val="Calibri"/>
        <family val="2"/>
        <scheme val="minor"/>
      </rPr>
      <t>015 Honda Accord</t>
    </r>
    <phoneticPr fontId="2" type="noConversion"/>
  </si>
  <si>
    <r>
      <t>2</t>
    </r>
    <r>
      <rPr>
        <sz val="11"/>
        <color theme="1"/>
        <rFont val="Calibri"/>
        <family val="2"/>
        <scheme val="minor"/>
      </rPr>
      <t>016 Ford Fusion</t>
    </r>
    <phoneticPr fontId="2" type="noConversion"/>
  </si>
  <si>
    <r>
      <t>C</t>
    </r>
    <r>
      <rPr>
        <sz val="11"/>
        <color theme="1"/>
        <rFont val="Calibri"/>
        <family val="2"/>
        <scheme val="minor"/>
      </rPr>
      <t>X</t>
    </r>
    <phoneticPr fontId="2" type="noConversion"/>
  </si>
  <si>
    <r>
      <t>2</t>
    </r>
    <r>
      <rPr>
        <sz val="11"/>
        <color theme="1"/>
        <rFont val="Calibri"/>
        <family val="2"/>
        <scheme val="minor"/>
      </rPr>
      <t>014 Mercedes CLA 250 4Matic</t>
    </r>
    <phoneticPr fontId="2" type="noConversion"/>
  </si>
  <si>
    <r>
      <t>2</t>
    </r>
    <r>
      <rPr>
        <sz val="11"/>
        <color theme="1"/>
        <rFont val="Calibri"/>
        <family val="2"/>
        <scheme val="minor"/>
      </rPr>
      <t>017 Chevrolet Cruze LT</t>
    </r>
    <phoneticPr fontId="2" type="noConversion"/>
  </si>
  <si>
    <t>2015 BMW X3</t>
  </si>
  <si>
    <t>2011 Cadilac Escalade</t>
  </si>
  <si>
    <t>2010 Volvo XC60</t>
  </si>
  <si>
    <t>2017 Mercedes C43</t>
  </si>
  <si>
    <t>2016 Scion FRS</t>
  </si>
  <si>
    <t>2014 Ford Explorer</t>
  </si>
  <si>
    <t>2014 BMW 428 XI</t>
  </si>
  <si>
    <t>CZJ</t>
  </si>
  <si>
    <t>1995 Lexus LS400</t>
  </si>
  <si>
    <t>2008 Honda CRV</t>
  </si>
  <si>
    <t>2014 BMW M6 GC</t>
  </si>
  <si>
    <t>2015 Mercedes CLA 250</t>
  </si>
  <si>
    <t>2015 VW Beetle</t>
  </si>
  <si>
    <t>史迪</t>
  </si>
  <si>
    <t>2015 Lexus NX200t</t>
  </si>
  <si>
    <t>郑自豪</t>
  </si>
  <si>
    <t>2014 Cadilac ATS</t>
  </si>
  <si>
    <t>CX, LWT, CZJ已结</t>
  </si>
  <si>
    <t>2007 Toyota Rav4</t>
  </si>
  <si>
    <t>2014 Corvette Z51</t>
  </si>
  <si>
    <t>2015 Nissan GTR</t>
  </si>
  <si>
    <t>Jenson Jiang</t>
  </si>
  <si>
    <t>2016 Dodge Charger Hellcat</t>
  </si>
  <si>
    <t>2016 Jeep Cherokee</t>
  </si>
  <si>
    <t>2015 Audi A4</t>
  </si>
  <si>
    <t>2015 Mazda 3</t>
  </si>
  <si>
    <t>2013 Hyundai Elantra GT</t>
  </si>
  <si>
    <t>2011 BMW 328 xi</t>
  </si>
  <si>
    <t>2010 Subaru Impreza</t>
  </si>
  <si>
    <t>2015 VW Tiguan</t>
  </si>
  <si>
    <t>ZZN</t>
  </si>
  <si>
    <t>2015 BMW 428 GC</t>
  </si>
  <si>
    <t>2015 BMW 320 XI</t>
  </si>
  <si>
    <t xml:space="preserve"> </t>
  </si>
  <si>
    <t>2015 Mercedes GLA250</t>
  </si>
  <si>
    <t>2015 Ford Fusion</t>
  </si>
  <si>
    <t>2010 Mercedes E350</t>
  </si>
  <si>
    <t>2015 Chevrolet Corvette Z06</t>
  </si>
  <si>
    <t>2013 BMW 328 Xi</t>
  </si>
  <si>
    <t>vito</t>
  </si>
  <si>
    <t>2016 Audi Q3</t>
  </si>
  <si>
    <t>2010 Jeep Wrangler</t>
  </si>
  <si>
    <t>2016 Ford Focus</t>
  </si>
  <si>
    <t>LWT</t>
  </si>
  <si>
    <t>2014 Ford Focus</t>
  </si>
  <si>
    <t xml:space="preserve">2012 Mini Cooper S </t>
  </si>
  <si>
    <t>2015 RAM 1500</t>
  </si>
  <si>
    <t>Vito</t>
  </si>
  <si>
    <t>2017 Chevy Camaro SS</t>
  </si>
  <si>
    <t>2005 Honda CRV</t>
  </si>
  <si>
    <t>2013 Porsche Cayenne GTS</t>
  </si>
  <si>
    <t>2005 Cadilac Escalade</t>
  </si>
  <si>
    <t>WQC/Vito</t>
  </si>
  <si>
    <t>2013 BMW X6</t>
  </si>
  <si>
    <t>2004 Porsche Boxster</t>
  </si>
  <si>
    <t>2017 Subaru WRX</t>
  </si>
  <si>
    <t>2017 Porsche 911</t>
  </si>
  <si>
    <t>WQC/SF</t>
  </si>
  <si>
    <t>2002 Mercedes C230</t>
  </si>
  <si>
    <t>2013 Volkswagen CC</t>
  </si>
  <si>
    <t>WQC/GY</t>
  </si>
  <si>
    <t>2002 Mercedes C240</t>
  </si>
  <si>
    <t>2007 Audi Q7</t>
  </si>
  <si>
    <t>2016 Ferrari California T</t>
  </si>
  <si>
    <t>2012 Chevrolet Equinox LT</t>
  </si>
  <si>
    <t>2007 Chevrolet Equinox LS</t>
  </si>
  <si>
    <t>2008 Buick Enclave</t>
  </si>
  <si>
    <t>2012 Ford Focus SE</t>
  </si>
  <si>
    <t>DYX</t>
  </si>
  <si>
    <t>2015 Infiniti Q50</t>
  </si>
  <si>
    <t>Kevin</t>
  </si>
  <si>
    <t>2018 Land Rover Velar</t>
  </si>
  <si>
    <t>2016 Audi A5</t>
  </si>
  <si>
    <t>2016 Chevrolet Cruze</t>
  </si>
  <si>
    <t>2014 Dodge Charger</t>
  </si>
  <si>
    <t>2013 Lexus GS350</t>
  </si>
  <si>
    <t>Annual total:</t>
  </si>
  <si>
    <t>AVG:</t>
  </si>
  <si>
    <t>Annual count:</t>
  </si>
  <si>
    <t>Date Deposit</t>
  </si>
  <si>
    <t>VIN</t>
  </si>
  <si>
    <t>Credit Acceptance</t>
  </si>
  <si>
    <t>Fees (BoroCredit)</t>
  </si>
  <si>
    <t>Number sold</t>
  </si>
  <si>
    <t>2012 Audi A6</t>
  </si>
  <si>
    <t>trade in: 19000</t>
  </si>
  <si>
    <t>TJY</t>
  </si>
  <si>
    <t>2015 Mercedes G63</t>
  </si>
  <si>
    <t>Vito/HDM</t>
  </si>
  <si>
    <t>2015 Mercedes C63</t>
  </si>
  <si>
    <t>XJY</t>
  </si>
  <si>
    <t>2016 Mercedes SLK 300</t>
  </si>
  <si>
    <t>2013 BMW Z4</t>
  </si>
  <si>
    <t>2009 Honda CR-V</t>
  </si>
  <si>
    <t>2016 Subaru WRX</t>
  </si>
  <si>
    <t>2004 Honda Civic</t>
  </si>
  <si>
    <t>2017 Infiniti Q60</t>
  </si>
  <si>
    <t>2016 Porsche Macan S</t>
  </si>
  <si>
    <t>PAN</t>
  </si>
  <si>
    <t>2016 Mercedes C300</t>
  </si>
  <si>
    <t>2017 Mercedes C300</t>
  </si>
  <si>
    <t>2015 Cadillac ATS</t>
  </si>
  <si>
    <t>TJQ</t>
  </si>
  <si>
    <t>2012 Volvo S60</t>
  </si>
  <si>
    <t>2016 Corvette</t>
  </si>
  <si>
    <t>2018 Subaru Forester</t>
  </si>
  <si>
    <t>GZJ</t>
  </si>
  <si>
    <t>ZHY</t>
  </si>
  <si>
    <t>2015 BMW X5 50i</t>
  </si>
  <si>
    <t>2016 Ford Explorer</t>
  </si>
  <si>
    <t>2015 BMW 428</t>
  </si>
  <si>
    <t>2010 VW CC</t>
  </si>
  <si>
    <t>2014 Buick Verano</t>
  </si>
  <si>
    <t>2004 Honda Pilot</t>
  </si>
  <si>
    <t>2014 Jeep GrandCherokee SRT</t>
  </si>
  <si>
    <t>2016 VW tiguan</t>
  </si>
  <si>
    <t>2018 Audi Q5</t>
  </si>
  <si>
    <t>2018 Audi A5</t>
  </si>
  <si>
    <t>2012 VW Toureag</t>
  </si>
  <si>
    <t>Sansui</t>
  </si>
  <si>
    <t>2016 Mercedes C450</t>
  </si>
  <si>
    <t>HTY</t>
  </si>
  <si>
    <t>2014 BMW 650 GC Xdrive</t>
  </si>
  <si>
    <t>2013 VW Jetta</t>
  </si>
  <si>
    <t>2012 Chevrolet Equinox</t>
  </si>
  <si>
    <t>2016 Volvo S60</t>
  </si>
  <si>
    <t>2005 Mercedes SL 500</t>
  </si>
  <si>
    <t>2016 Mercedes CLA 250</t>
  </si>
  <si>
    <t>2012 Ford Mustang GT</t>
  </si>
  <si>
    <t>2018 Jeep Grand Cherokee SRT</t>
  </si>
  <si>
    <t>李锴冉</t>
  </si>
  <si>
    <t>2014 VW CC</t>
  </si>
  <si>
    <t>2015 Jaguar F type R</t>
  </si>
  <si>
    <t>2007 Honda Accord</t>
  </si>
  <si>
    <t>2016 BMW 428 GC</t>
  </si>
  <si>
    <t>李寒山</t>
  </si>
  <si>
    <t>2015 Cadilac ATS</t>
  </si>
  <si>
    <t>洪任天</t>
  </si>
  <si>
    <t>2012 BMW 535 Xdrive</t>
  </si>
  <si>
    <t>2018 Ford Mustang</t>
  </si>
  <si>
    <t>2012 Mclaren MP4-12C</t>
  </si>
  <si>
    <t>2013 Porsche Cayenne Turbo</t>
  </si>
  <si>
    <t>2017 Audi A4</t>
  </si>
  <si>
    <t>2016 Dodge Challenger RT</t>
  </si>
  <si>
    <t>2015 Honda Accord EXL</t>
  </si>
  <si>
    <t>GZJ工资已结，1.30</t>
  </si>
  <si>
    <t>2012 Nissan 370Z</t>
  </si>
  <si>
    <t>李嘉豪</t>
  </si>
  <si>
    <t>2014 Chevrolet Corvette</t>
  </si>
  <si>
    <t>2018 Dodge Challenger RT</t>
  </si>
  <si>
    <t>2017 Ford Explorer</t>
  </si>
  <si>
    <t>高扬</t>
  </si>
  <si>
    <t>王磊</t>
  </si>
  <si>
    <t>2012 Ford Escape</t>
  </si>
  <si>
    <t>GZJ工资已结，2400,2.23</t>
  </si>
  <si>
    <t>2010 Volvo XC70</t>
  </si>
  <si>
    <t>2011 Mercedes E550</t>
  </si>
  <si>
    <t>陈浩然</t>
  </si>
  <si>
    <t>2016 BMW 750 Xi</t>
  </si>
  <si>
    <t>2017 Alfa Romeo Guilia TI</t>
  </si>
  <si>
    <t>2015 Ford Focus Titanium</t>
  </si>
  <si>
    <t>老郑</t>
  </si>
  <si>
    <t>2008 Subaru Impreza</t>
  </si>
  <si>
    <t>WQC(李嘉豪车)</t>
  </si>
  <si>
    <t>2017 Lexus RX 350 FSPORT</t>
  </si>
  <si>
    <t>2011 BMW 7 Series ALP B7 SWB</t>
  </si>
  <si>
    <t>2010 Toyota Pruis</t>
  </si>
  <si>
    <t>2015  Lexus RC F</t>
  </si>
  <si>
    <t>杜云轩</t>
  </si>
  <si>
    <t>2016 Mercedes  C300</t>
  </si>
  <si>
    <t xml:space="preserve">2015 Jeep Cherokee </t>
  </si>
  <si>
    <t>2008 Mazda5</t>
  </si>
  <si>
    <t>2019 Jeep  Compass</t>
  </si>
  <si>
    <t>3C4NJDCB5KT596400</t>
  </si>
  <si>
    <t>2017 BMW X3</t>
  </si>
  <si>
    <t>2016 BMW X6 50i</t>
  </si>
  <si>
    <t>5UXKU6C5XG0R34215</t>
  </si>
  <si>
    <t>55SWF4KB3GU108962</t>
  </si>
  <si>
    <t>2016 BMW X6 35i</t>
  </si>
  <si>
    <t>5UXKU2C57G0N83160</t>
  </si>
  <si>
    <t>WDDSJ4GB3FN173131</t>
  </si>
  <si>
    <t>2013 Fiat 500</t>
  </si>
  <si>
    <t>3C3CFFJH3DT693548</t>
  </si>
  <si>
    <t>WDDSJ4EB8GN379341</t>
  </si>
  <si>
    <t>2015 Jeep Compass</t>
  </si>
  <si>
    <t>1C4NJDBB0FD416558</t>
  </si>
  <si>
    <t>2010 Dodge Ram 1500</t>
  </si>
  <si>
    <t>1D7RV1CT7AS180996</t>
  </si>
  <si>
    <t>2009 Ford Escape</t>
  </si>
  <si>
    <t>1FMCU94G39KA11374</t>
  </si>
  <si>
    <t>2016 BMW 428</t>
  </si>
  <si>
    <t>WBA3N7C5XGK225942</t>
  </si>
  <si>
    <t>2014 Ford Escape</t>
  </si>
  <si>
    <t>Gan</t>
  </si>
  <si>
    <t>2011 Ford Escape</t>
  </si>
  <si>
    <t>1FMCU9EG4BKA94706</t>
  </si>
  <si>
    <t>WA1BY74L27D068652</t>
  </si>
  <si>
    <t>2017 Cadilac XT5</t>
  </si>
  <si>
    <t>1GYKNERS2HZ110173</t>
  </si>
  <si>
    <t>2005 Lexus GX470</t>
  </si>
  <si>
    <t>WAUM2AFR6GA054332</t>
  </si>
  <si>
    <t>杜云轩（自己车）</t>
  </si>
  <si>
    <t>WAUTNAF51JA007300</t>
  </si>
  <si>
    <t>WAUFFAFL8FN013443</t>
  </si>
  <si>
    <t>2008 Chrysler Town &amp; County</t>
  </si>
  <si>
    <t>2A8HR64X78R842444</t>
  </si>
  <si>
    <t>2015 Ford Mustang</t>
  </si>
  <si>
    <t>1FA6P8TH1F5310228</t>
  </si>
  <si>
    <t>2018 Lamborghini Performante</t>
  </si>
  <si>
    <t>ZHWUD4ZF3JLA08625</t>
  </si>
  <si>
    <t>2017 Ford Escape</t>
  </si>
  <si>
    <t>1FMCU9G90HUC09409</t>
  </si>
  <si>
    <t>2014 Subaru WRX</t>
  </si>
  <si>
    <t>JF1GR7E66EG259168</t>
  </si>
  <si>
    <t>2015 Maserati Ghibli SQ4</t>
  </si>
  <si>
    <t>ZAM57RTA0F1153390</t>
  </si>
  <si>
    <t>2015 Chrysler 200 S</t>
  </si>
  <si>
    <t>1C3CCCDG5FN523947</t>
  </si>
  <si>
    <t>2018 Mercedes E63 S</t>
  </si>
  <si>
    <t>WDDZF8KB9JA292557</t>
  </si>
  <si>
    <t>2016 Mercedes SLK300</t>
  </si>
  <si>
    <t>WDDPK3JA8GF123625</t>
  </si>
  <si>
    <t>2010 Ram 1500</t>
  </si>
  <si>
    <t>1D7RV1CT4AS200069 </t>
  </si>
  <si>
    <t>2016 Toyota Rav4</t>
  </si>
  <si>
    <t>2T3BFREV4GW449185</t>
  </si>
  <si>
    <t>2006 Honda CRV</t>
  </si>
  <si>
    <t>JHLRD78986C041851</t>
  </si>
  <si>
    <t>高扬/李嘉豪</t>
  </si>
  <si>
    <t>55SWF4KB4GU117881</t>
  </si>
  <si>
    <t>王宇</t>
  </si>
  <si>
    <t>2013 BMW X3</t>
  </si>
  <si>
    <t>5UXWX9C50D0A10911</t>
  </si>
  <si>
    <t>2014 Honda Civic</t>
  </si>
  <si>
    <t>19XFB2F5XEE028616</t>
  </si>
  <si>
    <t>2016 Toyota Camry</t>
  </si>
  <si>
    <t>4T1BF1FK9GU144182</t>
  </si>
  <si>
    <t xml:space="preserve">2012 Ford Focus </t>
  </si>
  <si>
    <t>1FAHP3F22CL137006</t>
  </si>
  <si>
    <t>2014 Infiniti Q50</t>
  </si>
  <si>
    <t>JN1AV7AR4EM701896 </t>
  </si>
  <si>
    <t>WQC/高扬</t>
  </si>
  <si>
    <t>2010 Chrysler Town &amp; Country</t>
  </si>
  <si>
    <t>2A4RR6DX5AR366870</t>
  </si>
  <si>
    <t>1FMCU93G19KC37544 </t>
  </si>
  <si>
    <t>2014 Mitsubishi lancer Raliart</t>
  </si>
  <si>
    <t>JA32V6FV5EU002101</t>
  </si>
  <si>
    <t>2011 Mercedes GLK 350</t>
  </si>
  <si>
    <t>WDCGG8HB7BF528580</t>
  </si>
  <si>
    <t>2014 Land Rover Range Rover</t>
    <phoneticPr fontId="2" type="noConversion"/>
  </si>
  <si>
    <t>SALVP1BG1EH891449</t>
  </si>
  <si>
    <t>WQC</t>
    <phoneticPr fontId="2" type="noConversion"/>
  </si>
  <si>
    <t>2015 Scion FRS</t>
  </si>
  <si>
    <t>JF1ZNAA16F8712664</t>
  </si>
  <si>
    <t>2013 BMW 328</t>
  </si>
  <si>
    <t>WBA3C1C53DK104314</t>
  </si>
  <si>
    <t>WQC/徐子悠</t>
  </si>
  <si>
    <t>2016 Mercedes C63S</t>
  </si>
  <si>
    <t>55SWF8HB9GU113971</t>
  </si>
  <si>
    <t>WDDSJ4GB0FN195992</t>
  </si>
  <si>
    <t>2014 Ford Escape Titanium</t>
  </si>
  <si>
    <t>1FMCU9J9XEUB05773</t>
  </si>
  <si>
    <t>2016 BMW X5</t>
  </si>
  <si>
    <t>5UXKR0C55G0U09111 </t>
  </si>
  <si>
    <t>2016 BMW 528</t>
  </si>
  <si>
    <t>WBA5A5C50GG353036</t>
  </si>
  <si>
    <t>韩天宇</t>
  </si>
  <si>
    <t>2018 Infiniti Q50</t>
  </si>
  <si>
    <t>JN1EV7AR9JM443189</t>
  </si>
  <si>
    <t>2014 BMW 435</t>
  </si>
  <si>
    <t>WBA3R5C55EK186487</t>
  </si>
  <si>
    <t>2018 Toyota Rav4</t>
  </si>
  <si>
    <t>2T3RFREVXJW705741</t>
  </si>
  <si>
    <t>刘文泰</t>
  </si>
  <si>
    <t>2016 BMW 428 Xi</t>
  </si>
  <si>
    <t>WBA3N9C52GK249454 </t>
  </si>
  <si>
    <t>2016 Audi RS7</t>
  </si>
  <si>
    <t>WUAW2AFC6GN901031</t>
  </si>
  <si>
    <t>2017 Audi Q5</t>
  </si>
  <si>
    <t>WA1C2AFP4HA026179</t>
  </si>
  <si>
    <t>2013 Ford Explorer</t>
  </si>
  <si>
    <t>1FM5K8D85DGB59619</t>
  </si>
  <si>
    <t>2017 Toyota Rav4</t>
  </si>
  <si>
    <t>2T3BFREVXHW674941</t>
  </si>
  <si>
    <t>ZAM57RTA4F1138228</t>
  </si>
  <si>
    <t>WDCYC7DF7FX230033</t>
  </si>
  <si>
    <t>2011 Toyota Sienna XLE</t>
  </si>
  <si>
    <t>5TDDK3DC0BS006172</t>
  </si>
  <si>
    <t>2016 BMW 750 xi</t>
  </si>
  <si>
    <t>WBA7F2C57GG416397</t>
  </si>
  <si>
    <t>2014 BMW 335 xi</t>
  </si>
  <si>
    <t>WBA3B9G59ENR92269</t>
  </si>
  <si>
    <t>2015 Dodge Challenger SXT</t>
  </si>
  <si>
    <t>2C3CDZAG3FH873932</t>
  </si>
  <si>
    <t>2009 Honda Accord</t>
  </si>
  <si>
    <t>1HGCP26869A005181</t>
  </si>
  <si>
    <t>2016 BMW 435 xi</t>
  </si>
  <si>
    <t>WBA3R5C56GK374289</t>
  </si>
  <si>
    <t>2016 BMW 328 xi</t>
  </si>
  <si>
    <t>WBA8E9G52GNT43705</t>
  </si>
  <si>
    <t>2017 Audi R8</t>
  </si>
  <si>
    <t>2017 Mclaren 570 GT</t>
  </si>
  <si>
    <t>SBM13GAA2HW001565</t>
  </si>
  <si>
    <t>2015 Dodge Charger RT</t>
  </si>
  <si>
    <t>2C3CDXCT5FH895851</t>
  </si>
  <si>
    <t>2018 VW Tiguan</t>
  </si>
  <si>
    <t>3VV2B7AX4JM146893</t>
  </si>
  <si>
    <t>2017 Maserati Ghibli</t>
  </si>
  <si>
    <t>ZAM57RTS3H1195676</t>
  </si>
  <si>
    <t>2014 Land Rover</t>
  </si>
  <si>
    <t>SALGS2VF6EA130585</t>
  </si>
  <si>
    <t>2019 Chevrolet Camaro SS</t>
  </si>
  <si>
    <t>1G1FH1R78K0105244</t>
  </si>
  <si>
    <t>Annual Total:</t>
  </si>
  <si>
    <t>Annual Count:</t>
  </si>
  <si>
    <t>Total Commission to sales:</t>
  </si>
  <si>
    <t>Month</t>
  </si>
  <si>
    <t>SALE Date</t>
  </si>
  <si>
    <t>Cost Notes</t>
  </si>
  <si>
    <t>2016 BMW X6</t>
  </si>
  <si>
    <t>5UXKU2C52G0N83034</t>
  </si>
  <si>
    <t>WAUCNAF43HN015053</t>
  </si>
  <si>
    <t>2013 Ford F150</t>
  </si>
  <si>
    <t>1FTFW1ET9DKD11633</t>
  </si>
  <si>
    <t>2010 Ford F150</t>
  </si>
  <si>
    <t>1FTEW1E81AFB40999</t>
  </si>
  <si>
    <t>2011 Dodge Ram 1500</t>
  </si>
  <si>
    <t>1D7RV1GT8BS680984 </t>
  </si>
  <si>
    <t>2014 BMW i8</t>
  </si>
  <si>
    <t>WBY2Z2C54EVX64461</t>
  </si>
  <si>
    <t>郭伟</t>
  </si>
  <si>
    <t>2013 BMW 128</t>
    <phoneticPr fontId="2" type="noConversion"/>
  </si>
  <si>
    <t>WBAUP7C58DVP25056</t>
    <phoneticPr fontId="2" type="noConversion"/>
  </si>
  <si>
    <t>2015 AUDI A5</t>
    <phoneticPr fontId="2" type="noConversion"/>
  </si>
  <si>
    <t>WAUMFAFR1FA010273</t>
  </si>
  <si>
    <t>2015 Audi SQ5</t>
  </si>
  <si>
    <t>WA1CGAFP1FA133141</t>
  </si>
  <si>
    <t>2011 Toyota Camry</t>
    <phoneticPr fontId="2" type="noConversion"/>
  </si>
  <si>
    <t>4T1BF3EK2BU582550</t>
  </si>
  <si>
    <t>WUAEAAFX5H7901318</t>
  </si>
  <si>
    <t>2016 Mercedes GLC 300</t>
    <phoneticPr fontId="2" type="noConversion"/>
  </si>
  <si>
    <t>WDC0G4KB3GF085497</t>
  </si>
  <si>
    <t>2017 BMW X3</t>
    <phoneticPr fontId="2" type="noConversion"/>
  </si>
  <si>
    <t>5UXWX9C55H0T09135</t>
    <phoneticPr fontId="2" type="noConversion"/>
  </si>
  <si>
    <t>郭子靖</t>
  </si>
  <si>
    <t>2016 Mercedes C450</t>
    <phoneticPr fontId="2" type="noConversion"/>
  </si>
  <si>
    <t>55SWF6EB2GU132189</t>
  </si>
  <si>
    <t>2016 Audi A3</t>
  </si>
  <si>
    <t>WAUA7GFF9G1068254</t>
  </si>
  <si>
    <t>2015 BMW 328</t>
    <phoneticPr fontId="2" type="noConversion"/>
  </si>
  <si>
    <t>WBA3B5C54FF959755</t>
  </si>
  <si>
    <t>陈曦</t>
  </si>
  <si>
    <t>2017 Chevrolet Equinox LT</t>
    <phoneticPr fontId="2" type="noConversion"/>
  </si>
  <si>
    <t>2GNFLFEK4H6151562</t>
  </si>
  <si>
    <t>2016 BMW 3 Series 320I XDRIV</t>
  </si>
  <si>
    <t>WBA8E5G5XGNU19387</t>
  </si>
  <si>
    <t>2013 Chevrolet Captiva</t>
  </si>
  <si>
    <t>3GNAL4EK0DS619796</t>
  </si>
  <si>
    <t>2010 Ford Ranger</t>
  </si>
  <si>
    <t>1FTLR4FE6APA03779</t>
  </si>
  <si>
    <t>2012 Audi A3</t>
    <phoneticPr fontId="2" type="noConversion"/>
  </si>
  <si>
    <t>WAUKJAFM5CA076413</t>
  </si>
  <si>
    <t>2016 Maserati Ghibli SQ4</t>
    <phoneticPr fontId="2" type="noConversion"/>
  </si>
  <si>
    <t>ZAM57RTA2G1182195</t>
  </si>
  <si>
    <t>洪任天</t>
    <phoneticPr fontId="2" type="noConversion"/>
  </si>
  <si>
    <t>2015 Mercedes C300</t>
    <phoneticPr fontId="2" type="noConversion"/>
  </si>
  <si>
    <t>55SWF4KB5FU011146</t>
  </si>
  <si>
    <t>郭子靖</t>
    <phoneticPr fontId="2" type="noConversion"/>
  </si>
  <si>
    <t>2011 Jeep Grand Cherokee</t>
  </si>
  <si>
    <t>1J4RR6GG8BC559195</t>
  </si>
  <si>
    <t>WBA5A7C54GG642951</t>
  </si>
  <si>
    <t>WA1LFAFPXBA115220</t>
  </si>
  <si>
    <t>2015 BMW X6</t>
  </si>
  <si>
    <t>5UXKU2C54F0F95445</t>
  </si>
  <si>
    <t>2002 Volvo V70</t>
  </si>
  <si>
    <t>YV1SW58D932321047</t>
  </si>
  <si>
    <t>2016 Audi A7</t>
  </si>
  <si>
    <t>WAUWGAFC5GN197075</t>
  </si>
  <si>
    <t>2015 Lincoln MKZ</t>
  </si>
  <si>
    <t>3LN6L2LU9FR601696</t>
  </si>
  <si>
    <t>2015 Ford Escape</t>
  </si>
  <si>
    <t>1FMCU0GX5FUB76687</t>
  </si>
  <si>
    <t>2009 BMW 328xi</t>
  </si>
  <si>
    <t>WBAPK73539A452019</t>
  </si>
  <si>
    <t>2018 BMW M5</t>
  </si>
  <si>
    <t>WBSJF0C59JB283359</t>
  </si>
  <si>
    <t>2016 Porsche GT4</t>
  </si>
  <si>
    <t>WP0AC2A85GK197774</t>
  </si>
  <si>
    <t>2013 Nissan GTR</t>
  </si>
  <si>
    <t>JN1AR5EF3DM261127</t>
  </si>
  <si>
    <t>徐子悠</t>
  </si>
  <si>
    <t>2011 Toyota Camery</t>
  </si>
  <si>
    <t>4T1BF1FKXEU396178</t>
  </si>
  <si>
    <t>2014 BMW 428</t>
  </si>
  <si>
    <t>WBA3N5C56EK197185</t>
  </si>
  <si>
    <t>Mike</t>
  </si>
  <si>
    <t>2017 Mercedes C63S</t>
  </si>
  <si>
    <t>WDDWJ8HB7HF421353</t>
  </si>
  <si>
    <t>2017 Ford Raptor</t>
  </si>
  <si>
    <t>1FTFW1RG8HFB01746</t>
  </si>
  <si>
    <t>2018 Chevrolet Corvette Z06</t>
  </si>
  <si>
    <t>1G1YU2D66J5602318</t>
  </si>
  <si>
    <t>2011 Subaru Forester</t>
  </si>
  <si>
    <t>JF2SHADC6BH727970</t>
  </si>
  <si>
    <t>2015 Lexus GX 460</t>
  </si>
  <si>
    <t>JTJBM7FX2F5114777</t>
  </si>
  <si>
    <t>2018 Audi S5</t>
  </si>
  <si>
    <t>WAUR4AF57JA018461</t>
  </si>
  <si>
    <t>2018 Mercedes E300</t>
  </si>
  <si>
    <t>WDDZF4KB9JA476373</t>
  </si>
  <si>
    <t>2016 Land Rover SVR</t>
  </si>
  <si>
    <t>SAL2Z2EF4GA558049</t>
  </si>
  <si>
    <t>WBA3B5G54FNS16738</t>
  </si>
  <si>
    <t>2013 Toyota Pruis</t>
  </si>
  <si>
    <t>JTDKN3DU2D5700541</t>
  </si>
  <si>
    <t>2004 Toyota Corolla</t>
  </si>
  <si>
    <t>1NXBR32E74Z326171</t>
  </si>
  <si>
    <t>2014 Audi A7</t>
    <phoneticPr fontId="2" type="noConversion"/>
  </si>
  <si>
    <t>WAUWGAFC8EN003409</t>
  </si>
  <si>
    <t>彭泽恩</t>
  </si>
  <si>
    <t>2017 Nissan Rogue</t>
    <phoneticPr fontId="2" type="noConversion"/>
  </si>
  <si>
    <t>5N1AT2MV2HC807204</t>
  </si>
  <si>
    <t>55SWF4KB6HU201475</t>
  </si>
  <si>
    <t>2016 Mercedes S63 AMG</t>
  </si>
  <si>
    <t>WDDXJ7JBXGA015622</t>
  </si>
  <si>
    <t>2010 Ford Escape</t>
  </si>
  <si>
    <t>1FMCU9DG4AKD38306</t>
  </si>
  <si>
    <t>2015 VW Passat</t>
  </si>
  <si>
    <t>1VWBT7A31FC039878</t>
  </si>
  <si>
    <t>曲嘉辰</t>
  </si>
  <si>
    <t>2A4RR5D15AR240093</t>
  </si>
  <si>
    <t>2012 Cadillac SRX</t>
  </si>
  <si>
    <t>LWL</t>
  </si>
  <si>
    <t>WBS3R9C54FK329627</t>
  </si>
  <si>
    <t xml:space="preserve">Full Tank Gas 49.59, Door handle - 75.93, 收车李嘉豪 - 1000,             收车拖车 - 265  ,                         Paint Repair -  700          in shop labor 2 * 40  parts ECS for e36 - 294 headlight e36 - 225       </t>
  </si>
  <si>
    <t>55SWF4JB0GU176802</t>
  </si>
  <si>
    <t>In-house Service</t>
  </si>
  <si>
    <t>2015 BMW M3</t>
  </si>
  <si>
    <t>WBS3C9C52FJ276241</t>
  </si>
  <si>
    <t>More Additional cost Unkown Brake pads + Car Wash</t>
  </si>
  <si>
    <t>郭炜</t>
  </si>
  <si>
    <t>2016 Scion FRs</t>
  </si>
  <si>
    <t>JF1ZNAA11G9708131</t>
  </si>
  <si>
    <t>2019 Dodge Challenger R/T</t>
  </si>
  <si>
    <t>Pending</t>
  </si>
  <si>
    <t>2C3CDZBT3KH642826</t>
  </si>
  <si>
    <t>CAR WASH - 4  INTERIOR DETIAL 50                            GAS - 20  Inshop service - 150                         paint repair 300</t>
  </si>
  <si>
    <t>1G1YK2D77G5125583</t>
  </si>
  <si>
    <t>Auction cost - 375</t>
  </si>
  <si>
    <t>2015 Mustang Ecoboost</t>
  </si>
  <si>
    <t>1FATP8UH3F5426645</t>
  </si>
  <si>
    <t>1FA6P8CF8H5333023</t>
  </si>
  <si>
    <t>Previous Manheim Fee</t>
  </si>
  <si>
    <t>2015 Dodge Challenger</t>
  </si>
  <si>
    <t>1FMCU9JX1FUA16707</t>
  </si>
  <si>
    <t>1991 Honda Beat</t>
  </si>
  <si>
    <t>PP11020596</t>
  </si>
  <si>
    <t>2010 Toyota Collora</t>
  </si>
  <si>
    <t>1NXBU4EE9AZ284064</t>
  </si>
  <si>
    <t>Saturn $500</t>
  </si>
  <si>
    <t xml:space="preserve">Car wash </t>
  </si>
  <si>
    <t>2019 Jeep Wrangler</t>
  </si>
  <si>
    <t>1C4HJXEG8KW567944</t>
  </si>
  <si>
    <t>PLATE</t>
  </si>
  <si>
    <t>2017 Corvette Stingray</t>
  </si>
  <si>
    <t>02/12/2020</t>
  </si>
  <si>
    <t>1G1YF2D71H5108980</t>
  </si>
  <si>
    <t>2016 Audi S5</t>
  </si>
  <si>
    <t>WAUP4AF53JA032803</t>
  </si>
  <si>
    <t>2017 Red Corvette</t>
  </si>
  <si>
    <t>In Shop Service, Car Wash, Dealshield</t>
  </si>
  <si>
    <t>1C4PJMCSXGW303987</t>
  </si>
  <si>
    <t>资产重置 原亏4931.66 现金 拿回500</t>
  </si>
  <si>
    <t xml:space="preserve">2012 Porsche Panamera   </t>
  </si>
  <si>
    <t>WP0AA2A78CL012957</t>
  </si>
  <si>
    <t>Floor plan interest &amp; fee</t>
  </si>
  <si>
    <t>BMW X3</t>
  </si>
  <si>
    <t>5UXWX9C32H0T20222</t>
  </si>
  <si>
    <t>floor plan fee</t>
  </si>
  <si>
    <t>HRT</t>
  </si>
  <si>
    <t>2009 BMW 335</t>
  </si>
  <si>
    <t>WBAPL335X9A405057</t>
  </si>
  <si>
    <t>CAN'T TRACK  Transportation</t>
  </si>
  <si>
    <t>JASON</t>
  </si>
  <si>
    <t>2019 Porsche Cayenne</t>
  </si>
  <si>
    <t>WP1AA2AY2KDA11514</t>
  </si>
  <si>
    <t>5k cash /  don't know cost is accurate</t>
  </si>
  <si>
    <t>AUDI Q7</t>
  </si>
  <si>
    <t>WA1LAAF71HD006912</t>
  </si>
  <si>
    <t xml:space="preserve">car wash / fedex </t>
  </si>
  <si>
    <t>VITO</t>
  </si>
  <si>
    <t>2009 MINI Copper Grey</t>
  </si>
  <si>
    <t>WMWMF33539TU73134</t>
  </si>
  <si>
    <t xml:space="preserve">CAN'T TRACK </t>
  </si>
  <si>
    <t>P</t>
  </si>
  <si>
    <t>2015 BMW X1</t>
  </si>
  <si>
    <t>MAY</t>
  </si>
  <si>
    <t>WBAVL1C50FVY31839</t>
  </si>
  <si>
    <t>2015 Toyota Camry</t>
  </si>
  <si>
    <t>4T1BF1FK7FU962346</t>
  </si>
  <si>
    <t>2012 Mercedes C300</t>
  </si>
  <si>
    <t>WDDGF8BB9CR208409</t>
  </si>
  <si>
    <t>2016 Porsche Cayenne</t>
  </si>
  <si>
    <t>WP1AA2A2XGLA04352</t>
  </si>
  <si>
    <t>2008 Honda Accord</t>
  </si>
  <si>
    <t>1HGCP368X8A065193</t>
  </si>
  <si>
    <t>2007 BMW Z4</t>
  </si>
  <si>
    <t>4USBU33537LW60056</t>
  </si>
  <si>
    <t>2013 Honda Crosstour</t>
  </si>
  <si>
    <t>5J6TF2H57DL004262</t>
  </si>
  <si>
    <t>2016 BMW X4</t>
  </si>
  <si>
    <t>5UXXW5C5XG0N92596</t>
  </si>
  <si>
    <t>2014 Chrysler Town &amp; Country</t>
  </si>
  <si>
    <t>2C4RC1BG5ER358397</t>
  </si>
  <si>
    <t>2007 Mazda 3</t>
  </si>
  <si>
    <t>JM1BK32F971693645</t>
  </si>
  <si>
    <t>2014 Chevrolet Malibu</t>
  </si>
  <si>
    <t>1G11C5SL0EF249444</t>
  </si>
  <si>
    <t>2007 Pontiac G6</t>
  </si>
  <si>
    <t>08/14/2020</t>
  </si>
  <si>
    <t>1G2ZG58B974101485</t>
  </si>
  <si>
    <t>2016 Mazda 3</t>
  </si>
  <si>
    <t>08/15/2020</t>
  </si>
  <si>
    <t>3MZBM1T78GM320053</t>
  </si>
  <si>
    <t>19-20</t>
  </si>
  <si>
    <t>18-19</t>
  </si>
  <si>
    <t>17-18</t>
  </si>
  <si>
    <t>Total Profit</t>
  </si>
  <si>
    <t>2015 Mazda CX-5</t>
  </si>
  <si>
    <t>8/19/2020</t>
  </si>
  <si>
    <t>08/19/2020</t>
  </si>
  <si>
    <t>JM3KE4CY5F0439018</t>
  </si>
  <si>
    <t>2017 Mercedes C300 Coupe</t>
  </si>
  <si>
    <t>WDDWJ4JB9HF398032</t>
  </si>
  <si>
    <t>2013 Scion Frs</t>
  </si>
  <si>
    <t>8/25/2020</t>
  </si>
  <si>
    <t>JTDKARFP1H3022811</t>
  </si>
  <si>
    <t>2017 Prius Prime</t>
  </si>
  <si>
    <t>8/28/2020</t>
  </si>
  <si>
    <t>Inspection</t>
  </si>
  <si>
    <t>1FMCU0JX3EUA75929</t>
  </si>
  <si>
    <t>3FA6P0K95DR124827</t>
  </si>
  <si>
    <t>2013 Ford Fusion Titanium</t>
  </si>
  <si>
    <t>9/7/2020</t>
  </si>
  <si>
    <t>2013 Ford Fusion SE</t>
  </si>
  <si>
    <t>9/11/2020</t>
  </si>
  <si>
    <t>WMWZB3C54DWM08897</t>
  </si>
  <si>
    <t>3FA6P0HR5DR171380</t>
  </si>
  <si>
    <t>2013 Mini Cooper</t>
  </si>
  <si>
    <t>9/17/2020</t>
  </si>
  <si>
    <t>2003 Honda Odyssey</t>
  </si>
  <si>
    <t>9/23/2020</t>
  </si>
  <si>
    <t>5FNRL18623B012525</t>
  </si>
  <si>
    <t>2010 Toyota Prius</t>
  </si>
  <si>
    <t>09/23/2020</t>
  </si>
  <si>
    <t>JTDKN3DU1C1517380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</si>
</sst>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6" formatCode="&quot;¥&quot;#,##0;[Red]&quot;¥&quot;\-#,##0"/>
    <numFmt numFmtId="8" formatCode="&quot;¥&quot;#,##0.00;[Red]&quot;¥&quot;\-#,##0.00"/>
    <numFmt numFmtId="44" formatCode="_ &quot;¥&quot;* #,##0.00_ ;_ &quot;¥&quot;* \-#,##0.00_ ;_ &quot;¥&quot;* &quot;-&quot;??_ ;_ @_ "/>
    <numFmt numFmtId="43" formatCode="_ * #,##0.00_ ;_ * \-#,##0.00_ ;_ * &quot;-&quot;??_ ;_ @_ "/>
    <numFmt numFmtId="164" formatCode="_(* #,##0.00_);_(* \(#,##0.00\);_(* &quot;-&quot;??_);_(@_)"/>
    <numFmt numFmtId="165" formatCode="&quot;¥&quot;#,##0.00"/>
    <numFmt numFmtId="166" formatCode="[$$-409]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3" borderId="1" applyNumberFormat="0" applyFont="0" applyAlignment="0" applyProtection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3" fillId="0" borderId="0" xfId="0" applyFont="1"/>
    <xf numFmtId="6" fontId="1" fillId="0" borderId="0" xfId="0" applyNumberFormat="1" applyFont="1"/>
    <xf numFmtId="8" fontId="1" fillId="0" borderId="0" xfId="0" applyNumberFormat="1" applyFont="1"/>
    <xf numFmtId="165" fontId="1" fillId="0" borderId="0" xfId="0" applyNumberFormat="1" applyFont="1"/>
    <xf numFmtId="46" fontId="0" fillId="0" borderId="0" xfId="0" applyNumberFormat="1"/>
    <xf numFmtId="0" fontId="1" fillId="2" borderId="0" xfId="0" applyFont="1" applyFill="1"/>
    <xf numFmtId="165" fontId="1" fillId="2" borderId="0" xfId="0" applyNumberFormat="1" applyFont="1" applyFill="1"/>
    <xf numFmtId="0" fontId="0" fillId="2" borderId="0" xfId="0" applyFill="1"/>
    <xf numFmtId="165" fontId="1" fillId="2" borderId="0" xfId="1" applyNumberFormat="1" applyFill="1"/>
    <xf numFmtId="8" fontId="1" fillId="2" borderId="0" xfId="0" applyNumberFormat="1" applyFont="1" applyFill="1"/>
    <xf numFmtId="14" fontId="0" fillId="0" borderId="0" xfId="0" applyNumberFormat="1"/>
    <xf numFmtId="0" fontId="1" fillId="3" borderId="1" xfId="2"/>
    <xf numFmtId="0" fontId="0" fillId="3" borderId="1" xfId="2" applyFont="1"/>
    <xf numFmtId="0" fontId="0" fillId="4" borderId="0" xfId="0" applyFill="1"/>
    <xf numFmtId="0" fontId="0" fillId="0" borderId="0" xfId="0" applyFont="1"/>
    <xf numFmtId="17" fontId="0" fillId="0" borderId="0" xfId="0" applyNumberFormat="1"/>
    <xf numFmtId="0" fontId="0" fillId="3" borderId="3" xfId="2" applyFont="1" applyBorder="1"/>
    <xf numFmtId="0" fontId="1" fillId="0" borderId="2" xfId="0" applyFont="1" applyBorder="1"/>
    <xf numFmtId="0" fontId="0" fillId="0" borderId="2" xfId="0" applyBorder="1"/>
    <xf numFmtId="0" fontId="0" fillId="0" borderId="0" xfId="0" applyBorder="1"/>
    <xf numFmtId="0" fontId="0" fillId="4" borderId="2" xfId="0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3" applyFont="1"/>
    <xf numFmtId="164" fontId="1" fillId="0" borderId="0" xfId="3" applyFont="1" applyAlignment="1">
      <alignment horizontal="center" vertical="center"/>
    </xf>
    <xf numFmtId="164" fontId="0" fillId="0" borderId="0" xfId="3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3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2" xfId="0" applyFill="1" applyBorder="1"/>
    <xf numFmtId="0" fontId="0" fillId="0" borderId="2" xfId="0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3" borderId="1" xfId="2" applyFont="1" applyAlignment="1">
      <alignment horizontal="center" vertical="center" wrapText="1"/>
    </xf>
    <xf numFmtId="0" fontId="0" fillId="4" borderId="2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3" applyNumberFormat="1" applyFont="1" applyAlignment="1">
      <alignment horizontal="center" vertical="center" wrapText="1"/>
    </xf>
    <xf numFmtId="0" fontId="0" fillId="0" borderId="0" xfId="3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3" applyNumberFormat="1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/>
    <xf numFmtId="43" fontId="0" fillId="0" borderId="0" xfId="0" applyNumberForma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166" fontId="0" fillId="0" borderId="0" xfId="0" applyNumberFormat="1"/>
    <xf numFmtId="166" fontId="1" fillId="0" borderId="0" xfId="0" applyNumberFormat="1" applyFont="1"/>
    <xf numFmtId="166" fontId="1" fillId="0" borderId="2" xfId="0" applyNumberFormat="1" applyFont="1" applyBorder="1"/>
    <xf numFmtId="166" fontId="0" fillId="0" borderId="2" xfId="0" applyNumberFormat="1" applyBorder="1"/>
    <xf numFmtId="166" fontId="0" fillId="0" borderId="2" xfId="0" applyNumberFormat="1" applyBorder="1" applyAlignment="1">
      <alignment vertical="center"/>
    </xf>
    <xf numFmtId="166" fontId="0" fillId="0" borderId="2" xfId="0" applyNumberFormat="1" applyBorder="1" applyAlignment="1">
      <alignment horizontal="right" vertical="center" wrapText="1"/>
    </xf>
    <xf numFmtId="166" fontId="0" fillId="0" borderId="2" xfId="0" applyNumberFormat="1" applyBorder="1" applyAlignment="1">
      <alignment horizontal="center" vertical="center" wrapText="1"/>
    </xf>
    <xf numFmtId="166" fontId="0" fillId="3" borderId="2" xfId="2" applyNumberFormat="1" applyFont="1" applyBorder="1"/>
    <xf numFmtId="166" fontId="0" fillId="5" borderId="2" xfId="2" applyNumberFormat="1" applyFont="1" applyFill="1" applyBorder="1"/>
    <xf numFmtId="166" fontId="0" fillId="3" borderId="1" xfId="2" applyNumberFormat="1" applyFont="1"/>
    <xf numFmtId="166" fontId="0" fillId="3" borderId="1" xfId="2" applyNumberFormat="1" applyFont="1" applyAlignment="1">
      <alignment horizontal="right" vertical="center"/>
    </xf>
    <xf numFmtId="166" fontId="0" fillId="3" borderId="1" xfId="2" applyNumberFormat="1" applyFont="1" applyAlignment="1">
      <alignment wrapText="1"/>
    </xf>
    <xf numFmtId="166" fontId="0" fillId="0" borderId="2" xfId="0" applyNumberFormat="1" applyBorder="1" applyAlignment="1">
      <alignment wrapText="1"/>
    </xf>
    <xf numFmtId="166" fontId="0" fillId="3" borderId="2" xfId="2" applyNumberFormat="1" applyFont="1" applyBorder="1" applyAlignment="1">
      <alignment horizontal="right" vertical="center" wrapText="1"/>
    </xf>
    <xf numFmtId="166" fontId="0" fillId="3" borderId="2" xfId="2" applyNumberFormat="1" applyFont="1" applyBorder="1" applyAlignment="1">
      <alignment wrapText="1"/>
    </xf>
    <xf numFmtId="166" fontId="0" fillId="5" borderId="2" xfId="2" applyNumberFormat="1" applyFont="1" applyFill="1" applyBorder="1" applyAlignment="1">
      <alignment wrapText="1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 wrapText="1"/>
    </xf>
    <xf numFmtId="166" fontId="0" fillId="0" borderId="0" xfId="0" applyNumberFormat="1" applyBorder="1"/>
  </cellXfs>
  <cellStyles count="4">
    <cellStyle name="Comma" xfId="3" builtinId="3"/>
    <cellStyle name="Currency" xfId="1" builtinId="4"/>
    <cellStyle name="Normal" xfId="0" builtinId="0"/>
    <cellStyle name="Note" xfId="2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'09.17-08.18'!$O$2:$O$99</c:f>
              <c:numCache>
                <c:formatCode>General</c:formatCode>
                <c:ptCount val="98"/>
                <c:pt idx="0">
                  <c:v>700</c:v>
                </c:pt>
                <c:pt idx="1">
                  <c:v>1333.75</c:v>
                </c:pt>
                <c:pt idx="2">
                  <c:v>654.5</c:v>
                </c:pt>
                <c:pt idx="3">
                  <c:v>220.00000000000011</c:v>
                </c:pt>
                <c:pt idx="4">
                  <c:v>1569.1499999999999</c:v>
                </c:pt>
                <c:pt idx="5">
                  <c:v>1590.0500000000002</c:v>
                </c:pt>
                <c:pt idx="7">
                  <c:v>2254.5499999999997</c:v>
                </c:pt>
                <c:pt idx="8">
                  <c:v>110</c:v>
                </c:pt>
                <c:pt idx="9">
                  <c:v>0</c:v>
                </c:pt>
                <c:pt idx="10">
                  <c:v>2439.75</c:v>
                </c:pt>
                <c:pt idx="11">
                  <c:v>3143.3500000000004</c:v>
                </c:pt>
                <c:pt idx="12">
                  <c:v>2339.6999999999998</c:v>
                </c:pt>
                <c:pt idx="14">
                  <c:v>2390.15</c:v>
                </c:pt>
                <c:pt idx="15">
                  <c:v>2289.0499999999997</c:v>
                </c:pt>
                <c:pt idx="16">
                  <c:v>1910.9500000000003</c:v>
                </c:pt>
                <c:pt idx="17">
                  <c:v>1851.5499999999997</c:v>
                </c:pt>
                <c:pt idx="18">
                  <c:v>1852.25</c:v>
                </c:pt>
                <c:pt idx="19">
                  <c:v>1675</c:v>
                </c:pt>
                <c:pt idx="20">
                  <c:v>1508.75</c:v>
                </c:pt>
                <c:pt idx="22">
                  <c:v>-470</c:v>
                </c:pt>
                <c:pt idx="23">
                  <c:v>1870</c:v>
                </c:pt>
                <c:pt idx="24">
                  <c:v>1232.0099999999986</c:v>
                </c:pt>
                <c:pt idx="25">
                  <c:v>-1760.0200000000004</c:v>
                </c:pt>
                <c:pt idx="26">
                  <c:v>1811</c:v>
                </c:pt>
                <c:pt idx="27">
                  <c:v>75</c:v>
                </c:pt>
                <c:pt idx="28">
                  <c:v>500</c:v>
                </c:pt>
                <c:pt idx="29">
                  <c:v>4073</c:v>
                </c:pt>
                <c:pt idx="30">
                  <c:v>1057</c:v>
                </c:pt>
                <c:pt idx="31">
                  <c:v>1806.25</c:v>
                </c:pt>
                <c:pt idx="33">
                  <c:v>2540</c:v>
                </c:pt>
                <c:pt idx="34">
                  <c:v>1566.03</c:v>
                </c:pt>
                <c:pt idx="35">
                  <c:v>348.82999999999993</c:v>
                </c:pt>
                <c:pt idx="36">
                  <c:v>3505</c:v>
                </c:pt>
                <c:pt idx="37">
                  <c:v>3963</c:v>
                </c:pt>
                <c:pt idx="38">
                  <c:v>1355</c:v>
                </c:pt>
                <c:pt idx="39">
                  <c:v>2580</c:v>
                </c:pt>
                <c:pt idx="40">
                  <c:v>1302</c:v>
                </c:pt>
                <c:pt idx="41">
                  <c:v>2930</c:v>
                </c:pt>
                <c:pt idx="43">
                  <c:v>-834.86999999999989</c:v>
                </c:pt>
                <c:pt idx="44">
                  <c:v>3868</c:v>
                </c:pt>
                <c:pt idx="45">
                  <c:v>6250</c:v>
                </c:pt>
                <c:pt idx="46">
                  <c:v>2425</c:v>
                </c:pt>
                <c:pt idx="47">
                  <c:v>-1181.7000000000007</c:v>
                </c:pt>
                <c:pt idx="48">
                  <c:v>1984.75</c:v>
                </c:pt>
                <c:pt idx="50">
                  <c:v>-1508.92</c:v>
                </c:pt>
                <c:pt idx="51">
                  <c:v>-752.95</c:v>
                </c:pt>
                <c:pt idx="52">
                  <c:v>558.59999999999991</c:v>
                </c:pt>
                <c:pt idx="53">
                  <c:v>-3773</c:v>
                </c:pt>
                <c:pt idx="54">
                  <c:v>1100.75</c:v>
                </c:pt>
                <c:pt idx="55">
                  <c:v>-1800</c:v>
                </c:pt>
                <c:pt idx="56">
                  <c:v>1694.05</c:v>
                </c:pt>
                <c:pt idx="57">
                  <c:v>-430.70000000000073</c:v>
                </c:pt>
                <c:pt idx="59">
                  <c:v>1204</c:v>
                </c:pt>
                <c:pt idx="60">
                  <c:v>1123.25</c:v>
                </c:pt>
                <c:pt idx="61">
                  <c:v>-2750</c:v>
                </c:pt>
                <c:pt idx="62">
                  <c:v>4875</c:v>
                </c:pt>
                <c:pt idx="63">
                  <c:v>-3661.8899999999994</c:v>
                </c:pt>
                <c:pt idx="64">
                  <c:v>2109</c:v>
                </c:pt>
                <c:pt idx="65">
                  <c:v>1175</c:v>
                </c:pt>
                <c:pt idx="67">
                  <c:v>1908.25</c:v>
                </c:pt>
                <c:pt idx="68">
                  <c:v>310</c:v>
                </c:pt>
                <c:pt idx="69">
                  <c:v>1500.25</c:v>
                </c:pt>
                <c:pt idx="71">
                  <c:v>1355.75</c:v>
                </c:pt>
                <c:pt idx="72">
                  <c:v>1139</c:v>
                </c:pt>
                <c:pt idx="73">
                  <c:v>500</c:v>
                </c:pt>
                <c:pt idx="74">
                  <c:v>-2240</c:v>
                </c:pt>
                <c:pt idx="75">
                  <c:v>2499.759</c:v>
                </c:pt>
                <c:pt idx="77">
                  <c:v>4296.130000000001</c:v>
                </c:pt>
                <c:pt idx="78">
                  <c:v>2984.38</c:v>
                </c:pt>
                <c:pt idx="79">
                  <c:v>1400.0699999999997</c:v>
                </c:pt>
                <c:pt idx="80">
                  <c:v>4780.1900000000023</c:v>
                </c:pt>
                <c:pt idx="81">
                  <c:v>550</c:v>
                </c:pt>
                <c:pt idx="82">
                  <c:v>610</c:v>
                </c:pt>
                <c:pt idx="83">
                  <c:v>-505</c:v>
                </c:pt>
                <c:pt idx="84">
                  <c:v>0</c:v>
                </c:pt>
                <c:pt idx="86">
                  <c:v>2475</c:v>
                </c:pt>
                <c:pt idx="87">
                  <c:v>487.87</c:v>
                </c:pt>
                <c:pt idx="88">
                  <c:v>1367.92</c:v>
                </c:pt>
                <c:pt idx="89">
                  <c:v>1189.7799999999997</c:v>
                </c:pt>
                <c:pt idx="90">
                  <c:v>353.11999999999989</c:v>
                </c:pt>
                <c:pt idx="91">
                  <c:v>1853.6100000000006</c:v>
                </c:pt>
                <c:pt idx="92">
                  <c:v>3666.5800000000017</c:v>
                </c:pt>
                <c:pt idx="93">
                  <c:v>2028.1299999999974</c:v>
                </c:pt>
                <c:pt idx="94">
                  <c:v>4275.5999999999985</c:v>
                </c:pt>
                <c:pt idx="95">
                  <c:v>847</c:v>
                </c:pt>
                <c:pt idx="96">
                  <c:v>303.8</c:v>
                </c:pt>
                <c:pt idx="9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E-4ECA-9D6A-363AAB06D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420959"/>
        <c:axId val="2019366687"/>
      </c:scatterChart>
      <c:valAx>
        <c:axId val="201042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66687"/>
        <c:crosses val="autoZero"/>
        <c:crossBetween val="midCat"/>
      </c:valAx>
      <c:valAx>
        <c:axId val="20193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2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18635170603675"/>
          <c:y val="8.1692789968652049E-2"/>
          <c:w val="0.82818827956239982"/>
          <c:h val="0.8994984326018808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'09.18-08.19'!$R$2:$R$169</c:f>
              <c:numCache>
                <c:formatCode>0.00</c:formatCode>
                <c:ptCount val="168"/>
                <c:pt idx="0">
                  <c:v>1825</c:v>
                </c:pt>
                <c:pt idx="1">
                  <c:v>7004.3499999999913</c:v>
                </c:pt>
                <c:pt idx="2">
                  <c:v>2014.5</c:v>
                </c:pt>
                <c:pt idx="3">
                  <c:v>1924.1704999999997</c:v>
                </c:pt>
                <c:pt idx="4">
                  <c:v>1320</c:v>
                </c:pt>
                <c:pt idx="5">
                  <c:v>1005.6400000000003</c:v>
                </c:pt>
                <c:pt idx="6">
                  <c:v>1059.0900000000001</c:v>
                </c:pt>
                <c:pt idx="7">
                  <c:v>692</c:v>
                </c:pt>
                <c:pt idx="8">
                  <c:v>2018</c:v>
                </c:pt>
                <c:pt idx="10">
                  <c:v>1574.0300000000025</c:v>
                </c:pt>
                <c:pt idx="11">
                  <c:v>1148</c:v>
                </c:pt>
                <c:pt idx="12">
                  <c:v>2295.85</c:v>
                </c:pt>
                <c:pt idx="13">
                  <c:v>594</c:v>
                </c:pt>
                <c:pt idx="14">
                  <c:v>1576.75</c:v>
                </c:pt>
                <c:pt idx="15">
                  <c:v>2647</c:v>
                </c:pt>
                <c:pt idx="16">
                  <c:v>2421.2099999999991</c:v>
                </c:pt>
                <c:pt idx="17">
                  <c:v>1886</c:v>
                </c:pt>
                <c:pt idx="18">
                  <c:v>3911.75</c:v>
                </c:pt>
                <c:pt idx="19">
                  <c:v>868.2400000000016</c:v>
                </c:pt>
                <c:pt idx="20">
                  <c:v>2892.8</c:v>
                </c:pt>
                <c:pt idx="21">
                  <c:v>2364</c:v>
                </c:pt>
                <c:pt idx="23">
                  <c:v>1841.1</c:v>
                </c:pt>
                <c:pt idx="24">
                  <c:v>1240.6600000000003</c:v>
                </c:pt>
                <c:pt idx="25">
                  <c:v>387.96000000000004</c:v>
                </c:pt>
                <c:pt idx="26">
                  <c:v>-3105.4300000000003</c:v>
                </c:pt>
                <c:pt idx="27">
                  <c:v>3236.2700000000004</c:v>
                </c:pt>
                <c:pt idx="28">
                  <c:v>2869.9900000000002</c:v>
                </c:pt>
                <c:pt idx="29">
                  <c:v>1948.2900000000009</c:v>
                </c:pt>
                <c:pt idx="30">
                  <c:v>3130.25</c:v>
                </c:pt>
                <c:pt idx="31">
                  <c:v>1380.0099999999984</c:v>
                </c:pt>
                <c:pt idx="33">
                  <c:v>1724</c:v>
                </c:pt>
                <c:pt idx="34">
                  <c:v>2662.3700000000013</c:v>
                </c:pt>
                <c:pt idx="35">
                  <c:v>601.76000000000204</c:v>
                </c:pt>
                <c:pt idx="36">
                  <c:v>4621.59</c:v>
                </c:pt>
                <c:pt idx="37">
                  <c:v>1765.4800000000032</c:v>
                </c:pt>
                <c:pt idx="38">
                  <c:v>1032.2199999999982</c:v>
                </c:pt>
                <c:pt idx="39">
                  <c:v>2822.3000000000029</c:v>
                </c:pt>
                <c:pt idx="40">
                  <c:v>647</c:v>
                </c:pt>
                <c:pt idx="41">
                  <c:v>2912.05</c:v>
                </c:pt>
                <c:pt idx="42">
                  <c:v>-3239.71</c:v>
                </c:pt>
                <c:pt idx="43">
                  <c:v>-3428</c:v>
                </c:pt>
                <c:pt idx="44">
                  <c:v>1615.3084999999987</c:v>
                </c:pt>
                <c:pt idx="45">
                  <c:v>-6941.43</c:v>
                </c:pt>
                <c:pt idx="46">
                  <c:v>1663.75</c:v>
                </c:pt>
                <c:pt idx="47">
                  <c:v>2732.369999999999</c:v>
                </c:pt>
                <c:pt idx="48">
                  <c:v>2349.5400000000009</c:v>
                </c:pt>
                <c:pt idx="49">
                  <c:v>3440</c:v>
                </c:pt>
                <c:pt idx="50">
                  <c:v>1469.95</c:v>
                </c:pt>
                <c:pt idx="51">
                  <c:v>4622.7305000000015</c:v>
                </c:pt>
                <c:pt idx="53">
                  <c:v>-3179.79</c:v>
                </c:pt>
                <c:pt idx="54">
                  <c:v>2683.75</c:v>
                </c:pt>
                <c:pt idx="55">
                  <c:v>2357.67</c:v>
                </c:pt>
                <c:pt idx="56">
                  <c:v>1410</c:v>
                </c:pt>
                <c:pt idx="57">
                  <c:v>1018.380000000001</c:v>
                </c:pt>
                <c:pt idx="58">
                  <c:v>-27141.949999999997</c:v>
                </c:pt>
                <c:pt idx="59">
                  <c:v>-10350.14</c:v>
                </c:pt>
                <c:pt idx="60">
                  <c:v>1573.2334999999987</c:v>
                </c:pt>
                <c:pt idx="61">
                  <c:v>-3138</c:v>
                </c:pt>
                <c:pt idx="62">
                  <c:v>1740.8</c:v>
                </c:pt>
                <c:pt idx="63">
                  <c:v>2790.1239999999989</c:v>
                </c:pt>
                <c:pt idx="64">
                  <c:v>2472.7000000000007</c:v>
                </c:pt>
                <c:pt idx="65">
                  <c:v>1131.3499999999999</c:v>
                </c:pt>
                <c:pt idx="67">
                  <c:v>622</c:v>
                </c:pt>
                <c:pt idx="68">
                  <c:v>648.91000000000349</c:v>
                </c:pt>
                <c:pt idx="69">
                  <c:v>3203.0209999999988</c:v>
                </c:pt>
                <c:pt idx="70">
                  <c:v>938.29999999999927</c:v>
                </c:pt>
                <c:pt idx="71">
                  <c:v>2424.5</c:v>
                </c:pt>
                <c:pt idx="72">
                  <c:v>530.57999999999993</c:v>
                </c:pt>
                <c:pt idx="73">
                  <c:v>1979.9415000000013</c:v>
                </c:pt>
                <c:pt idx="75">
                  <c:v>410</c:v>
                </c:pt>
                <c:pt idx="76">
                  <c:v>705</c:v>
                </c:pt>
                <c:pt idx="77">
                  <c:v>1802.6914999999999</c:v>
                </c:pt>
                <c:pt idx="78">
                  <c:v>1211</c:v>
                </c:pt>
                <c:pt idx="80">
                  <c:v>1302.8914999999984</c:v>
                </c:pt>
                <c:pt idx="81">
                  <c:v>1366.3999999999996</c:v>
                </c:pt>
                <c:pt idx="82">
                  <c:v>899.548</c:v>
                </c:pt>
                <c:pt idx="83">
                  <c:v>-3723.1100000000006</c:v>
                </c:pt>
                <c:pt idx="84">
                  <c:v>-1028.5600000000013</c:v>
                </c:pt>
                <c:pt idx="85">
                  <c:v>-1677.63</c:v>
                </c:pt>
                <c:pt idx="86">
                  <c:v>-184.22000000000116</c:v>
                </c:pt>
                <c:pt idx="87">
                  <c:v>2692.456000000001</c:v>
                </c:pt>
                <c:pt idx="88">
                  <c:v>1860.8489999999997</c:v>
                </c:pt>
                <c:pt idx="89">
                  <c:v>-1194.17</c:v>
                </c:pt>
                <c:pt idx="90">
                  <c:v>1917.4700000000012</c:v>
                </c:pt>
                <c:pt idx="91">
                  <c:v>2394.2144999999991</c:v>
                </c:pt>
                <c:pt idx="92">
                  <c:v>6035</c:v>
                </c:pt>
                <c:pt idx="93">
                  <c:v>3350</c:v>
                </c:pt>
                <c:pt idx="94">
                  <c:v>4332</c:v>
                </c:pt>
                <c:pt idx="95">
                  <c:v>1838.4210000000016</c:v>
                </c:pt>
                <c:pt idx="97">
                  <c:v>2535</c:v>
                </c:pt>
                <c:pt idx="98">
                  <c:v>2433.4</c:v>
                </c:pt>
                <c:pt idx="99">
                  <c:v>1703.8799999999997</c:v>
                </c:pt>
                <c:pt idx="100">
                  <c:v>456.44000000000051</c:v>
                </c:pt>
                <c:pt idx="101">
                  <c:v>-2227.63</c:v>
                </c:pt>
                <c:pt idx="102">
                  <c:v>2870.9920000000011</c:v>
                </c:pt>
                <c:pt idx="103">
                  <c:v>1495</c:v>
                </c:pt>
                <c:pt idx="104">
                  <c:v>370.5</c:v>
                </c:pt>
                <c:pt idx="105">
                  <c:v>1810</c:v>
                </c:pt>
                <c:pt idx="107">
                  <c:v>1058.675</c:v>
                </c:pt>
                <c:pt idx="108">
                  <c:v>678.50599999999997</c:v>
                </c:pt>
                <c:pt idx="109">
                  <c:v>1140.5</c:v>
                </c:pt>
                <c:pt idx="110">
                  <c:v>4265.5580000000018</c:v>
                </c:pt>
                <c:pt idx="111">
                  <c:v>1316.1100000000006</c:v>
                </c:pt>
                <c:pt idx="112">
                  <c:v>651.11999999999989</c:v>
                </c:pt>
                <c:pt idx="113">
                  <c:v>1319.5</c:v>
                </c:pt>
                <c:pt idx="114">
                  <c:v>11309.772000000015</c:v>
                </c:pt>
                <c:pt idx="115">
                  <c:v>918.75400000000081</c:v>
                </c:pt>
                <c:pt idx="116">
                  <c:v>2096.5</c:v>
                </c:pt>
                <c:pt idx="117">
                  <c:v>2431.3839999999991</c:v>
                </c:pt>
                <c:pt idx="118">
                  <c:v>-3835</c:v>
                </c:pt>
                <c:pt idx="119">
                  <c:v>5415</c:v>
                </c:pt>
                <c:pt idx="120">
                  <c:v>-1832.9099999999999</c:v>
                </c:pt>
                <c:pt idx="121">
                  <c:v>1430.0479999999998</c:v>
                </c:pt>
                <c:pt idx="122">
                  <c:v>3247.3760000000011</c:v>
                </c:pt>
                <c:pt idx="124">
                  <c:v>820.27500000000009</c:v>
                </c:pt>
                <c:pt idx="125">
                  <c:v>1544.5635000000011</c:v>
                </c:pt>
                <c:pt idx="126">
                  <c:v>1284</c:v>
                </c:pt>
                <c:pt idx="127">
                  <c:v>57.489999999999782</c:v>
                </c:pt>
                <c:pt idx="128">
                  <c:v>535.95900000000051</c:v>
                </c:pt>
                <c:pt idx="129">
                  <c:v>523.73999999999978</c:v>
                </c:pt>
                <c:pt idx="130">
                  <c:v>3612.8320000000008</c:v>
                </c:pt>
                <c:pt idx="131">
                  <c:v>1236.6730000000002</c:v>
                </c:pt>
                <c:pt idx="132">
                  <c:v>1030.8</c:v>
                </c:pt>
                <c:pt idx="133">
                  <c:v>3100</c:v>
                </c:pt>
                <c:pt idx="134">
                  <c:v>1822.0100000000002</c:v>
                </c:pt>
                <c:pt idx="135">
                  <c:v>1015</c:v>
                </c:pt>
                <c:pt idx="136">
                  <c:v>920</c:v>
                </c:pt>
                <c:pt idx="138">
                  <c:v>1015.096</c:v>
                </c:pt>
                <c:pt idx="139">
                  <c:v>3766.4300000000003</c:v>
                </c:pt>
                <c:pt idx="140">
                  <c:v>1476</c:v>
                </c:pt>
                <c:pt idx="141">
                  <c:v>2835.8960000000006</c:v>
                </c:pt>
                <c:pt idx="142">
                  <c:v>2617.6559999999999</c:v>
                </c:pt>
                <c:pt idx="143">
                  <c:v>1250.4000000000001</c:v>
                </c:pt>
                <c:pt idx="144">
                  <c:v>2099.9399999999987</c:v>
                </c:pt>
                <c:pt idx="145">
                  <c:v>1425.0219999999995</c:v>
                </c:pt>
                <c:pt idx="146">
                  <c:v>2964.8</c:v>
                </c:pt>
                <c:pt idx="147">
                  <c:v>2162.1119999999996</c:v>
                </c:pt>
                <c:pt idx="148">
                  <c:v>4713.2800000000061</c:v>
                </c:pt>
                <c:pt idx="149">
                  <c:v>2566.9440000000004</c:v>
                </c:pt>
                <c:pt idx="150">
                  <c:v>864.8</c:v>
                </c:pt>
                <c:pt idx="151">
                  <c:v>1635.5259999999994</c:v>
                </c:pt>
                <c:pt idx="152">
                  <c:v>1908.3860000000022</c:v>
                </c:pt>
                <c:pt idx="153">
                  <c:v>416.61999999999534</c:v>
                </c:pt>
                <c:pt idx="154">
                  <c:v>-866</c:v>
                </c:pt>
                <c:pt idx="155">
                  <c:v>4308.1700000000055</c:v>
                </c:pt>
                <c:pt idx="156">
                  <c:v>776.63999999999942</c:v>
                </c:pt>
                <c:pt idx="157">
                  <c:v>1658.4900000000016</c:v>
                </c:pt>
                <c:pt idx="158">
                  <c:v>1420</c:v>
                </c:pt>
                <c:pt idx="159">
                  <c:v>1539.2</c:v>
                </c:pt>
                <c:pt idx="160">
                  <c:v>2704.5310000000013</c:v>
                </c:pt>
                <c:pt idx="161">
                  <c:v>2695</c:v>
                </c:pt>
                <c:pt idx="162">
                  <c:v>7320.9840000000086</c:v>
                </c:pt>
                <c:pt idx="163">
                  <c:v>600</c:v>
                </c:pt>
                <c:pt idx="164">
                  <c:v>405</c:v>
                </c:pt>
                <c:pt idx="165">
                  <c:v>1188.9219999999973</c:v>
                </c:pt>
                <c:pt idx="166">
                  <c:v>2632.2</c:v>
                </c:pt>
                <c:pt idx="167">
                  <c:v>2504.8000000000002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4-4BAC-A7D7-450ADF74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611320"/>
        <c:axId val="1079613880"/>
      </c:scatterChart>
      <c:valAx>
        <c:axId val="107961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13880"/>
        <c:crosses val="autoZero"/>
        <c:crossBetween val="midCat"/>
      </c:valAx>
      <c:valAx>
        <c:axId val="10796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1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18635170603675"/>
          <c:y val="8.1692789968652049E-2"/>
          <c:w val="0.82818827956239982"/>
          <c:h val="0.8994984326018808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'09.19-08.20'!$S$2:$S$110</c:f>
              <c:numCache>
                <c:formatCode>[$$-409]#,##0.00</c:formatCode>
                <c:ptCount val="109"/>
                <c:pt idx="0">
                  <c:v>932.55000000000291</c:v>
                </c:pt>
                <c:pt idx="1">
                  <c:v>0</c:v>
                </c:pt>
                <c:pt idx="2">
                  <c:v>-4888</c:v>
                </c:pt>
                <c:pt idx="3">
                  <c:v>-1614</c:v>
                </c:pt>
                <c:pt idx="4">
                  <c:v>-923</c:v>
                </c:pt>
                <c:pt idx="5">
                  <c:v>2595</c:v>
                </c:pt>
                <c:pt idx="6">
                  <c:v>1140</c:v>
                </c:pt>
                <c:pt idx="7">
                  <c:v>1315.2</c:v>
                </c:pt>
                <c:pt idx="8">
                  <c:v>2475.8479999999981</c:v>
                </c:pt>
                <c:pt idx="9">
                  <c:v>2225</c:v>
                </c:pt>
                <c:pt idx="10">
                  <c:v>5104.8</c:v>
                </c:pt>
                <c:pt idx="11">
                  <c:v>1239.5200000000011</c:v>
                </c:pt>
                <c:pt idx="13">
                  <c:v>3385.3599999999979</c:v>
                </c:pt>
                <c:pt idx="14">
                  <c:v>755.87199999999723</c:v>
                </c:pt>
                <c:pt idx="15">
                  <c:v>653.6</c:v>
                </c:pt>
                <c:pt idx="16">
                  <c:v>710.0399999999994</c:v>
                </c:pt>
                <c:pt idx="17">
                  <c:v>1921.6</c:v>
                </c:pt>
                <c:pt idx="18">
                  <c:v>1431.1919999999998</c:v>
                </c:pt>
                <c:pt idx="19">
                  <c:v>2810</c:v>
                </c:pt>
                <c:pt idx="20">
                  <c:v>-1198</c:v>
                </c:pt>
                <c:pt idx="21">
                  <c:v>248</c:v>
                </c:pt>
                <c:pt idx="22">
                  <c:v>1583</c:v>
                </c:pt>
                <c:pt idx="23">
                  <c:v>591</c:v>
                </c:pt>
                <c:pt idx="24">
                  <c:v>-125</c:v>
                </c:pt>
                <c:pt idx="25">
                  <c:v>4091.3200000000011</c:v>
                </c:pt>
                <c:pt idx="26">
                  <c:v>410</c:v>
                </c:pt>
                <c:pt idx="27">
                  <c:v>1346.4</c:v>
                </c:pt>
                <c:pt idx="28">
                  <c:v>300</c:v>
                </c:pt>
                <c:pt idx="30">
                  <c:v>1771.2</c:v>
                </c:pt>
                <c:pt idx="31">
                  <c:v>1022.2</c:v>
                </c:pt>
                <c:pt idx="32">
                  <c:v>-362.45999999999913</c:v>
                </c:pt>
                <c:pt idx="33">
                  <c:v>2330.87</c:v>
                </c:pt>
                <c:pt idx="34">
                  <c:v>796.39200000000415</c:v>
                </c:pt>
                <c:pt idx="35">
                  <c:v>-10796</c:v>
                </c:pt>
                <c:pt idx="36">
                  <c:v>0</c:v>
                </c:pt>
                <c:pt idx="37">
                  <c:v>1670.9400000000005</c:v>
                </c:pt>
                <c:pt idx="38">
                  <c:v>1600.8</c:v>
                </c:pt>
                <c:pt idx="39">
                  <c:v>3235.6000000000004</c:v>
                </c:pt>
                <c:pt idx="40">
                  <c:v>2804.8700000000026</c:v>
                </c:pt>
                <c:pt idx="41">
                  <c:v>-3149.7099999999991</c:v>
                </c:pt>
                <c:pt idx="42">
                  <c:v>1687.9</c:v>
                </c:pt>
                <c:pt idx="43">
                  <c:v>871.06999999999903</c:v>
                </c:pt>
                <c:pt idx="44">
                  <c:v>3786</c:v>
                </c:pt>
                <c:pt idx="45">
                  <c:v>-8401.0599999999977</c:v>
                </c:pt>
                <c:pt idx="47">
                  <c:v>3391.8000000000029</c:v>
                </c:pt>
                <c:pt idx="48">
                  <c:v>2101.1999999999998</c:v>
                </c:pt>
                <c:pt idx="49">
                  <c:v>937.6</c:v>
                </c:pt>
                <c:pt idx="50">
                  <c:v>401.6</c:v>
                </c:pt>
                <c:pt idx="51">
                  <c:v>3685</c:v>
                </c:pt>
                <c:pt idx="52">
                  <c:v>-359</c:v>
                </c:pt>
                <c:pt idx="54">
                  <c:v>2633.6</c:v>
                </c:pt>
                <c:pt idx="55">
                  <c:v>1290</c:v>
                </c:pt>
                <c:pt idx="56">
                  <c:v>1013.6</c:v>
                </c:pt>
                <c:pt idx="57">
                  <c:v>1750.4</c:v>
                </c:pt>
                <c:pt idx="58">
                  <c:v>-17</c:v>
                </c:pt>
                <c:pt idx="59">
                  <c:v>1033</c:v>
                </c:pt>
                <c:pt idx="60">
                  <c:v>5282.24</c:v>
                </c:pt>
                <c:pt idx="61">
                  <c:v>3807.4639999999986</c:v>
                </c:pt>
                <c:pt idx="62">
                  <c:v>-4850.8499999999985</c:v>
                </c:pt>
                <c:pt idx="63">
                  <c:v>2000</c:v>
                </c:pt>
                <c:pt idx="64">
                  <c:v>5661</c:v>
                </c:pt>
                <c:pt idx="65">
                  <c:v>-41</c:v>
                </c:pt>
                <c:pt idx="66">
                  <c:v>2649.4879999999989</c:v>
                </c:pt>
                <c:pt idx="69">
                  <c:v>918.7400000000016</c:v>
                </c:pt>
                <c:pt idx="70">
                  <c:v>-2775</c:v>
                </c:pt>
                <c:pt idx="71">
                  <c:v>0</c:v>
                </c:pt>
                <c:pt idx="72">
                  <c:v>500</c:v>
                </c:pt>
                <c:pt idx="73">
                  <c:v>231.71999999999971</c:v>
                </c:pt>
                <c:pt idx="74">
                  <c:v>1255.2</c:v>
                </c:pt>
                <c:pt idx="75">
                  <c:v>2800</c:v>
                </c:pt>
                <c:pt idx="76">
                  <c:v>2485.7200000000012</c:v>
                </c:pt>
                <c:pt idx="77">
                  <c:v>0</c:v>
                </c:pt>
                <c:pt idx="78">
                  <c:v>-2142</c:v>
                </c:pt>
                <c:pt idx="79">
                  <c:v>2254.7920000000013</c:v>
                </c:pt>
                <c:pt idx="80">
                  <c:v>753.6</c:v>
                </c:pt>
                <c:pt idx="81">
                  <c:v>6236</c:v>
                </c:pt>
                <c:pt idx="82">
                  <c:v>2560.48</c:v>
                </c:pt>
                <c:pt idx="83">
                  <c:v>424.88</c:v>
                </c:pt>
                <c:pt idx="89">
                  <c:v>1608</c:v>
                </c:pt>
                <c:pt idx="90">
                  <c:v>1149.5999999999999</c:v>
                </c:pt>
                <c:pt idx="92">
                  <c:v>961.6</c:v>
                </c:pt>
                <c:pt idx="93">
                  <c:v>396</c:v>
                </c:pt>
                <c:pt idx="94">
                  <c:v>-2400</c:v>
                </c:pt>
                <c:pt idx="95">
                  <c:v>1320</c:v>
                </c:pt>
                <c:pt idx="96">
                  <c:v>2325.4699999999993</c:v>
                </c:pt>
                <c:pt idx="97">
                  <c:v>3000</c:v>
                </c:pt>
                <c:pt idx="98">
                  <c:v>1500</c:v>
                </c:pt>
                <c:pt idx="100">
                  <c:v>875</c:v>
                </c:pt>
                <c:pt idx="101">
                  <c:v>1516</c:v>
                </c:pt>
                <c:pt idx="102">
                  <c:v>1620</c:v>
                </c:pt>
                <c:pt idx="103">
                  <c:v>2000</c:v>
                </c:pt>
                <c:pt idx="104">
                  <c:v>1499.0960000000007</c:v>
                </c:pt>
                <c:pt idx="105">
                  <c:v>1323.2479999999996</c:v>
                </c:pt>
                <c:pt idx="106">
                  <c:v>2500</c:v>
                </c:pt>
                <c:pt idx="107">
                  <c:v>4975</c:v>
                </c:pt>
                <c:pt idx="108">
                  <c:v>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2-423E-A6BE-8F283AE98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611320"/>
        <c:axId val="1079613880"/>
      </c:scatterChart>
      <c:valAx>
        <c:axId val="107961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13880"/>
        <c:crosses val="autoZero"/>
        <c:crossBetween val="midCat"/>
      </c:valAx>
      <c:valAx>
        <c:axId val="10796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1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'09.19-08.20'!$V$45:$V$56</c15:sqref>
                  </c15:fullRef>
                </c:ext>
              </c:extLst>
              <c:f>'09.19-08.20'!$V$48:$V$56</c:f>
              <c:numCache>
                <c:formatCode>General</c:formatCode>
                <c:ptCount val="9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'09.19-08.20'!$W$45:$W$56</c15:sqref>
                  </c15:fullRef>
                </c:ext>
              </c:extLst>
              <c:f>'09.19-08.20'!$W$48:$W$56</c:f>
              <c:numCache>
                <c:formatCode>General</c:formatCode>
                <c:ptCount val="9"/>
                <c:pt idx="0">
                  <c:v>10158.200000000004</c:v>
                </c:pt>
                <c:pt idx="1">
                  <c:v>22211.941999999999</c:v>
                </c:pt>
                <c:pt idx="2">
                  <c:v>15504.132000000003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7103.07</c:v>
                </c:pt>
                <c:pt idx="8">
                  <c:v>7510.0960000000005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9-4710-BA2A-7FB0F47E5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3591648"/>
        <c:axId val="1093588368"/>
      </c:barChart>
      <c:catAx>
        <c:axId val="10935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588368"/>
        <c:crosses val="autoZero"/>
        <c:auto val="0"/>
        <c:lblAlgn val="ctr"/>
        <c:lblOffset val="100"/>
        <c:noMultiLvlLbl val="0"/>
      </c:catAx>
      <c:valAx>
        <c:axId val="1093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5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18635170603675"/>
          <c:y val="8.1692789968652049E-2"/>
          <c:w val="0.82818827956239982"/>
          <c:h val="0.8994984326018808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'09.20-08.21'!$S$2:$S$110</c:f>
              <c:numCache>
                <c:formatCode>[$$-409]#,##0.00</c:formatCode>
                <c:ptCount val="109"/>
                <c:pt idx="0">
                  <c:v>1525</c:v>
                </c:pt>
                <c:pt idx="1">
                  <c:v>1270</c:v>
                </c:pt>
                <c:pt idx="2">
                  <c:v>-200</c:v>
                </c:pt>
                <c:pt idx="3">
                  <c:v>-80</c:v>
                </c:pt>
                <c:pt idx="4">
                  <c:v>-797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E-4081-8FEB-FB1792D2E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611320"/>
        <c:axId val="1079613880"/>
      </c:scatterChart>
      <c:valAx>
        <c:axId val="107961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13880"/>
        <c:crosses val="autoZero"/>
        <c:crossBetween val="midCat"/>
      </c:valAx>
      <c:valAx>
        <c:axId val="10796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1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'09.20-08.21'!$V$45:$V$56</c15:sqref>
                  </c15:fullRef>
                </c:ext>
              </c:extLst>
              <c:f>'09.20-08.21'!$V$48:$V$56</c:f>
              <c:numCache>
                <c:formatCode>General</c:formatCode>
                <c:ptCount val="9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'09.20-08.21'!$W$45:$W$56</c15:sqref>
                  </c15:fullRef>
                </c:ext>
              </c:extLst>
              <c:f>'09.20-08.21'!$W$48:$W$56</c:f>
              <c:numCache>
                <c:formatCode>General</c:formatCode>
                <c:ptCount val="9"/>
                <c:pt idx="0">
                  <c:v>10158.200000000004</c:v>
                </c:pt>
                <c:pt idx="1">
                  <c:v>22211.941999999999</c:v>
                </c:pt>
                <c:pt idx="2">
                  <c:v>15504.132000000003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7103.07</c:v>
                </c:pt>
                <c:pt idx="8">
                  <c:v>7510.0960000000005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5-461F-8CF9-37F3E2F1D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3591648"/>
        <c:axId val="1093588368"/>
      </c:barChart>
      <c:catAx>
        <c:axId val="10935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588368"/>
        <c:crosses val="autoZero"/>
        <c:auto val="0"/>
        <c:lblAlgn val="ctr"/>
        <c:lblOffset val="100"/>
        <c:noMultiLvlLbl val="0"/>
      </c:catAx>
      <c:valAx>
        <c:axId val="1093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5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Total!$B$2</c:f>
              <c:strCache>
                <c:ptCount val="1"/>
                <c:pt idx="0">
                  <c:v>17-18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Total!$A$3:$A$14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numCache>
            </c:numRef>
          </c:cat>
          <c:val>
            <c:numRef>
              <c:f>Total!$B$3:$B$14</c:f>
              <c:numCache>
                <c:formatCode>[$$-409]#,##0.00</c:formatCode>
                <c:ptCount val="12"/>
                <c:pt idx="0">
                  <c:v>6067.45</c:v>
                </c:pt>
                <c:pt idx="1">
                  <c:v>10287.349999999999</c:v>
                </c:pt>
                <c:pt idx="2">
                  <c:v>13477.699999999999</c:v>
                </c:pt>
                <c:pt idx="3">
                  <c:v>10194.239999999998</c:v>
                </c:pt>
                <c:pt idx="4">
                  <c:v>20089.86</c:v>
                </c:pt>
                <c:pt idx="5">
                  <c:v>12511.18</c:v>
                </c:pt>
                <c:pt idx="6">
                  <c:v>-4912.170000000001</c:v>
                </c:pt>
                <c:pt idx="7">
                  <c:v>4074.3600000000006</c:v>
                </c:pt>
                <c:pt idx="8">
                  <c:v>3718.5</c:v>
                </c:pt>
                <c:pt idx="9">
                  <c:v>3254.509</c:v>
                </c:pt>
                <c:pt idx="10">
                  <c:v>14115.770000000004</c:v>
                </c:pt>
                <c:pt idx="11">
                  <c:v>19848.409999999996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8-49CA-84FC-9B469C600CE8}"/>
            </c:ext>
          </c:extLst>
        </c:ser>
        <c:ser>
          <c:idx val="1"/>
          <c:order val="1"/>
          <c:tx>
            <c:strRef>
              <c:f>Total!$C$2</c:f>
              <c:strCache>
                <c:ptCount val="1"/>
                <c:pt idx="0">
                  <c:v>18-19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Total!$A$3:$A$14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numCache>
            </c:numRef>
          </c:cat>
          <c:val>
            <c:numRef>
              <c:f>Total!$C$3:$C$14</c:f>
              <c:numCache>
                <c:formatCode>[$$-409]#,##0.00</c:formatCode>
                <c:ptCount val="12"/>
                <c:pt idx="0">
                  <c:v>18862.750499999991</c:v>
                </c:pt>
                <c:pt idx="1">
                  <c:v>24179.630000000005</c:v>
                </c:pt>
                <c:pt idx="2">
                  <c:v>12929.1</c:v>
                </c:pt>
                <c:pt idx="3">
                  <c:v>23073.27900000001</c:v>
                </c:pt>
                <c:pt idx="4">
                  <c:v>-26631.872499999998</c:v>
                </c:pt>
                <c:pt idx="5">
                  <c:v>10347.252500000002</c:v>
                </c:pt>
                <c:pt idx="6">
                  <c:v>4128.6914999999999</c:v>
                </c:pt>
                <c:pt idx="7">
                  <c:v>20181.559999999998</c:v>
                </c:pt>
                <c:pt idx="8">
                  <c:v>11447.582</c:v>
                </c:pt>
                <c:pt idx="9">
                  <c:v>31610.893000000015</c:v>
                </c:pt>
                <c:pt idx="10">
                  <c:v>17503.342500000002</c:v>
                </c:pt>
                <c:pt idx="11">
                  <c:v>62606.845000000008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8-49CA-84FC-9B469C600CE8}"/>
            </c:ext>
          </c:extLst>
        </c:ser>
        <c:ser>
          <c:idx val="2"/>
          <c:order val="2"/>
          <c:tx>
            <c:strRef>
              <c:f>Total!$D$2</c:f>
              <c:strCache>
                <c:ptCount val="1"/>
                <c:pt idx="0">
                  <c:v>19-20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Total!$A$3:$A$14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numCache>
            </c:numRef>
          </c:cat>
          <c:val>
            <c:numRef>
              <c:f>Total!$D$3:$D$14</c:f>
              <c:numCache>
                <c:formatCode>[$$-409]#,##0.00</c:formatCode>
                <c:ptCount val="12"/>
                <c:pt idx="0">
                  <c:v>9602</c:v>
                </c:pt>
                <c:pt idx="1">
                  <c:v>18914.383999999995</c:v>
                </c:pt>
                <c:pt idx="2">
                  <c:v>-1131.3879999999881</c:v>
                </c:pt>
                <c:pt idx="3">
                  <c:v>10158.200000000004</c:v>
                </c:pt>
                <c:pt idx="4">
                  <c:v>22211.941999999999</c:v>
                </c:pt>
                <c:pt idx="5">
                  <c:v>15504.132000000003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7103.07</c:v>
                </c:pt>
                <c:pt idx="11">
                  <c:v>7510.0960000000005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8-49CA-84FC-9B469C600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3"/>
        <c:axId val="173655759"/>
        <c:axId val="110782911"/>
      </c:barChart>
      <c:catAx>
        <c:axId val="17365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2911"/>
        <c:crosses val="autoZero"/>
        <c:auto val="1"/>
        <c:lblAlgn val="ctr"/>
        <c:lblOffset val="100"/>
        <c:noMultiLvlLbl val="0"/>
      </c:catAx>
      <c:valAx>
        <c:axId val="1107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Total!$B$2:$D$2</c:f>
              <c:strCache>
                <c:ptCount val="3"/>
                <c:pt idx="0">
                  <c:v>17-18</c:v>
                </c:pt>
                <c:pt idx="1">
                  <c:v>18-19</c:v>
                </c:pt>
                <c:pt idx="2">
                  <c:v>19-20</c:v>
                </c:pt>
              </c:strCache>
            </c:strRef>
          </c:cat>
          <c:val>
            <c:numRef>
              <c:f>Total!$B$16:$D$16</c:f>
              <c:numCache>
                <c:formatCode>[$$-409]#,##0.00</c:formatCode>
                <c:ptCount val="3"/>
                <c:pt idx="0">
                  <c:v>112727.15900000001</c:v>
                </c:pt>
                <c:pt idx="1">
                  <c:v>210239.05350000004</c:v>
                </c:pt>
                <c:pt idx="2">
                  <c:v>89872.436000000002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7-4976-9A7F-C81FC273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695199"/>
        <c:axId val="717721023"/>
      </c:barChart>
      <c:catAx>
        <c:axId val="72769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21023"/>
        <c:crosses val="autoZero"/>
        <c:auto val="1"/>
        <c:lblAlgn val="ctr"/>
        <c:lblOffset val="100"/>
        <c:noMultiLvlLbl val="0"/>
      </c:catAx>
      <c:valAx>
        <c:axId val="7177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9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1BA166D-416F-43B8-A0C9-0929DD7EC75D}">
          <cx:tx>
            <cx:txData>
              <cx:f>_xlchart.v1.0</cx:f>
              <cx:v>Revenue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Revenue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Distribution</a:t>
          </a:r>
        </a:p>
      </cx:txPr>
    </cx:title>
    <cx:plotArea>
      <cx:plotAreaRegion>
        <cx:series layoutId="clusteredColumn" uniqueId="{216EE219-E9E1-4AD5-8D51-40EC1406B274}">
          <cx:tx>
            <cx:txData>
              <cx:f>_xlchart.v1.2</cx:f>
              <cx:v>Revenue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Revenue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Distribution</a:t>
          </a:r>
        </a:p>
      </cx:txPr>
    </cx:title>
    <cx:plotArea>
      <cx:plotAreaRegion>
        <cx:series layoutId="clusteredColumn" uniqueId="{DE387671-0A36-4466-B29F-7E90A4276892}">
          <cx:tx>
            <cx:txData>
              <cx:f>_xlchart.v1.4</cx:f>
              <cx:v>Profit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Revenue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Distribution</a:t>
          </a:r>
        </a:p>
      </cx:txPr>
    </cx:title>
    <cx:plotArea>
      <cx:plotAreaRegion>
        <cx:series layoutId="clusteredColumn" uniqueId="{DE387671-0A36-4466-B29F-7E90A4276892}">
          <cx:tx>
            <cx:txData>
              <cx:f>_xlchart.v1.6</cx:f>
              <cx:v>Profit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197643</xdr:colOff>
      <xdr:row>5</xdr:row>
      <xdr:rowOff>4761</xdr:rowOff>
    </xdr:from>
    <xdr:to>
      <xdr:col>25</xdr:col>
      <xdr:colOff>216693</xdr:colOff>
      <xdr:row>20</xdr:row>
      <xdr:rowOff>33336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607CF-437E-4834-9DF8-0A8AC0F63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504264</xdr:colOff>
      <xdr:row>24</xdr:row>
      <xdr:rowOff>107577</xdr:rowOff>
    </xdr:from>
    <xdr:to>
      <xdr:col>26</xdr:col>
      <xdr:colOff>235322</xdr:colOff>
      <xdr:row>38</xdr:row>
      <xdr:rowOff>183777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C48E1B0-B89E-4AD2-9E54-B0CCAD2C28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53664" y="4679577"/>
              <a:ext cx="460785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121443</xdr:colOff>
      <xdr:row>0</xdr:row>
      <xdr:rowOff>180976</xdr:rowOff>
    </xdr:from>
    <xdr:to>
      <xdr:col>28</xdr:col>
      <xdr:colOff>159543</xdr:colOff>
      <xdr:row>32</xdr:row>
      <xdr:rowOff>161926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3B6269C-5D44-4154-86A5-467EA1603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156882</xdr:colOff>
      <xdr:row>35</xdr:row>
      <xdr:rowOff>107576</xdr:rowOff>
    </xdr:from>
    <xdr:to>
      <xdr:col>37</xdr:col>
      <xdr:colOff>448236</xdr:colOff>
      <xdr:row>60</xdr:row>
      <xdr:rowOff>134469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07CF5E-6C39-439D-8295-343118E440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58982" y="6775076"/>
              <a:ext cx="10044954" cy="47989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5</xdr:row>
      <xdr:rowOff>19050</xdr:rowOff>
    </xdr:from>
    <xdr:to>
      <xdr:col>29</xdr:col>
      <xdr:colOff>38100</xdr:colOff>
      <xdr:row>37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C8B817-0390-454B-BE2C-16C7DC192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128587</xdr:colOff>
      <xdr:row>57</xdr:row>
      <xdr:rowOff>171450</xdr:rowOff>
    </xdr:from>
    <xdr:to>
      <xdr:col>29</xdr:col>
      <xdr:colOff>433387</xdr:colOff>
      <xdr:row>72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A74060-0959-4F81-876B-5B4F0839C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145956</xdr:colOff>
      <xdr:row>75</xdr:row>
      <xdr:rowOff>64433</xdr:rowOff>
    </xdr:from>
    <xdr:to>
      <xdr:col>33</xdr:col>
      <xdr:colOff>251012</xdr:colOff>
      <xdr:row>96</xdr:row>
      <xdr:rowOff>129988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A607255-3E26-43FF-A991-B73D62C214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05556" y="14209058"/>
              <a:ext cx="6810656" cy="42851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5</xdr:row>
      <xdr:rowOff>19050</xdr:rowOff>
    </xdr:from>
    <xdr:to>
      <xdr:col>29</xdr:col>
      <xdr:colOff>38100</xdr:colOff>
      <xdr:row>37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EBEF50-E98A-4B68-B690-4EA9223FA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128587</xdr:colOff>
      <xdr:row>57</xdr:row>
      <xdr:rowOff>171450</xdr:rowOff>
    </xdr:from>
    <xdr:to>
      <xdr:col>29</xdr:col>
      <xdr:colOff>433387</xdr:colOff>
      <xdr:row>72</xdr:row>
      <xdr:rowOff>57150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608F0022-E105-43B2-A5FD-28240E7BC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145956</xdr:colOff>
      <xdr:row>75</xdr:row>
      <xdr:rowOff>64433</xdr:rowOff>
    </xdr:from>
    <xdr:to>
      <xdr:col>33</xdr:col>
      <xdr:colOff>251012</xdr:colOff>
      <xdr:row>96</xdr:row>
      <xdr:rowOff>129988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2">
              <a:extLst>
                <a:ext uri="{FF2B5EF4-FFF2-40B4-BE49-F238E27FC236}">
                  <a16:creationId xmlns:a16="http://schemas.microsoft.com/office/drawing/2014/main" id="{A30B4A9F-10C2-4C83-ACF8-4962A470C5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29256" y="14209058"/>
              <a:ext cx="6810656" cy="42851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1</xdr:row>
      <xdr:rowOff>71437</xdr:rowOff>
    </xdr:from>
    <xdr:to>
      <xdr:col>24</xdr:col>
      <xdr:colOff>57150</xdr:colOff>
      <xdr:row>34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7F4B73-C033-49F8-BA4E-AAAAB076F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18</xdr:row>
      <xdr:rowOff>119062</xdr:rowOff>
    </xdr:from>
    <xdr:to>
      <xdr:col>5</xdr:col>
      <xdr:colOff>57150</xdr:colOff>
      <xdr:row>33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10E557-D958-4EB8-AAD5-9012CD7B4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69"/>
  <sheetViews>
    <sheetView topLeftCell="A34" zoomScaleNormal="100" workbookViewId="0">
      <selection activeCell="B57" sqref="B57"/>
    </sheetView>
  </sheetViews>
  <sheetFormatPr defaultColWidth="8.85546875" defaultRowHeight="15"/>
  <cols>
    <col min="1" max="1" width="37.28515625" style="3" customWidth="1"/>
    <col min="2" max="2" width="13.140625" style="3" bestFit="1" customWidth="1"/>
    <col min="3" max="3" width="8.85546875" style="3"/>
    <col min="4" max="4" width="9.85546875" style="3" customWidth="1"/>
    <col min="5" max="5" width="32.85546875" style="3" customWidth="1"/>
    <col min="6" max="6" width="10.85546875" style="3" customWidth="1"/>
    <col min="7" max="7" width="8.85546875" style="3"/>
    <col min="8" max="8" width="9.42578125" style="3" customWidth="1"/>
    <col min="9" max="9" width="28.28515625" style="3" customWidth="1"/>
    <col min="10" max="10" width="12.42578125" style="3" customWidth="1"/>
    <col min="11" max="13" width="8.85546875" style="3"/>
    <col min="14" max="14" width="18.42578125" style="3" customWidth="1"/>
    <col min="15" max="15" width="13.42578125" style="3" customWidth="1"/>
    <col min="16" max="16384" width="8.85546875" style="3"/>
  </cols>
  <sheetData>
    <row r="1" spans="1:15">
      <c r="A1" s="1" t="s">
        <v>0</v>
      </c>
      <c r="B1" s="1"/>
      <c r="C1" s="1"/>
      <c r="D1" s="1"/>
      <c r="E1" s="1" t="s">
        <v>1</v>
      </c>
      <c r="F1" s="1"/>
      <c r="G1" s="1"/>
      <c r="H1" s="1"/>
      <c r="I1" t="s">
        <v>2</v>
      </c>
      <c r="J1" s="1"/>
      <c r="K1" s="1"/>
      <c r="L1" s="1"/>
      <c r="M1" s="7" t="s">
        <v>3</v>
      </c>
      <c r="N1" s="1"/>
      <c r="O1" s="1"/>
    </row>
    <row r="2" spans="1:15">
      <c r="A2" s="1" t="s">
        <v>4</v>
      </c>
      <c r="B2" s="4">
        <v>5</v>
      </c>
      <c r="C2" s="1"/>
      <c r="D2" s="1"/>
      <c r="E2" s="8" t="s">
        <v>5</v>
      </c>
      <c r="F2" s="12">
        <v>27.56</v>
      </c>
      <c r="G2" s="1"/>
      <c r="H2" s="1"/>
      <c r="I2" t="s">
        <v>6</v>
      </c>
      <c r="J2">
        <v>-699</v>
      </c>
      <c r="K2" s="1"/>
      <c r="L2" s="1"/>
      <c r="M2" s="8">
        <v>12.2</v>
      </c>
      <c r="N2" s="10" t="s">
        <v>7</v>
      </c>
      <c r="O2" s="8">
        <v>23.31</v>
      </c>
    </row>
    <row r="3" spans="1:15">
      <c r="A3" s="8" t="s">
        <v>8</v>
      </c>
      <c r="B3" s="9">
        <v>9.74</v>
      </c>
      <c r="C3" s="1"/>
      <c r="D3" s="1"/>
      <c r="E3" s="1" t="s">
        <v>9</v>
      </c>
      <c r="F3" s="1">
        <v>-319.94</v>
      </c>
      <c r="G3" s="1"/>
      <c r="H3" s="1"/>
      <c r="I3" s="10" t="s">
        <v>10</v>
      </c>
      <c r="J3" s="10">
        <v>8.49</v>
      </c>
      <c r="K3" s="1"/>
      <c r="L3" s="1"/>
      <c r="M3" s="8">
        <v>12.2</v>
      </c>
      <c r="N3" s="10" t="s">
        <v>11</v>
      </c>
      <c r="O3" s="8">
        <v>138.83000000000001</v>
      </c>
    </row>
    <row r="4" spans="1:15">
      <c r="A4" s="8" t="s">
        <v>12</v>
      </c>
      <c r="B4" s="9">
        <v>14.44</v>
      </c>
      <c r="C4" s="1"/>
      <c r="D4" s="1"/>
      <c r="E4" s="1" t="s">
        <v>13</v>
      </c>
      <c r="F4" s="1">
        <v>-95</v>
      </c>
      <c r="G4" s="1"/>
      <c r="H4" s="1"/>
      <c r="I4" t="s">
        <v>14</v>
      </c>
      <c r="J4">
        <v>10.28</v>
      </c>
      <c r="K4" s="1"/>
      <c r="L4" s="1"/>
      <c r="M4" s="8">
        <v>12.2</v>
      </c>
      <c r="N4" s="10" t="s">
        <v>15</v>
      </c>
      <c r="O4" s="8">
        <v>13.49</v>
      </c>
    </row>
    <row r="5" spans="1:15">
      <c r="A5" s="8" t="s">
        <v>16</v>
      </c>
      <c r="B5" s="9">
        <v>19.07</v>
      </c>
      <c r="C5" s="1"/>
      <c r="D5" s="1"/>
      <c r="E5" s="8" t="s">
        <v>17</v>
      </c>
      <c r="F5" s="8">
        <v>16.7</v>
      </c>
      <c r="G5" s="1"/>
      <c r="H5" s="1"/>
      <c r="I5" s="10" t="s">
        <v>18</v>
      </c>
      <c r="J5" s="10">
        <v>11.73</v>
      </c>
      <c r="K5" s="1"/>
      <c r="L5" s="1"/>
      <c r="M5" s="8">
        <v>12.2</v>
      </c>
      <c r="N5" s="10" t="s">
        <v>19</v>
      </c>
      <c r="O5" s="10">
        <v>1394.23</v>
      </c>
    </row>
    <row r="6" spans="1:15">
      <c r="A6" s="8" t="s">
        <v>20</v>
      </c>
      <c r="B6" s="9">
        <v>20</v>
      </c>
      <c r="C6" s="1"/>
      <c r="D6" s="1"/>
      <c r="E6" s="8" t="s">
        <v>21</v>
      </c>
      <c r="F6" s="8">
        <v>20.96</v>
      </c>
      <c r="G6" s="1"/>
      <c r="H6" s="1"/>
      <c r="I6" s="10" t="s">
        <v>22</v>
      </c>
      <c r="J6" s="10">
        <v>14.5</v>
      </c>
      <c r="K6" s="1"/>
      <c r="L6" s="1"/>
      <c r="M6" s="10">
        <v>12.3</v>
      </c>
      <c r="N6" s="10" t="s">
        <v>23</v>
      </c>
      <c r="O6" s="10">
        <v>244.97</v>
      </c>
    </row>
    <row r="7" spans="1:15">
      <c r="A7" s="10" t="s">
        <v>24</v>
      </c>
      <c r="B7" s="12">
        <v>22.99</v>
      </c>
      <c r="C7" s="1"/>
      <c r="D7" s="1"/>
      <c r="E7" s="10" t="s">
        <v>25</v>
      </c>
      <c r="F7" s="10">
        <v>23.75</v>
      </c>
      <c r="G7" s="1"/>
      <c r="H7" s="1"/>
      <c r="I7" s="10" t="s">
        <v>26</v>
      </c>
      <c r="J7" s="10">
        <v>14.83</v>
      </c>
      <c r="K7" s="1"/>
      <c r="L7" s="1"/>
      <c r="M7" s="10">
        <v>12.3</v>
      </c>
      <c r="N7" s="10" t="s">
        <v>27</v>
      </c>
      <c r="O7" s="10">
        <v>50.42</v>
      </c>
    </row>
    <row r="8" spans="1:15">
      <c r="A8" s="8" t="s">
        <v>28</v>
      </c>
      <c r="B8" s="9">
        <v>26.48</v>
      </c>
      <c r="C8" s="1"/>
      <c r="D8" s="1"/>
      <c r="E8" s="10" t="s">
        <v>29</v>
      </c>
      <c r="F8" s="10">
        <v>27.56</v>
      </c>
      <c r="G8" s="1"/>
      <c r="H8" s="1"/>
      <c r="I8" s="10" t="s">
        <v>30</v>
      </c>
      <c r="J8" s="10">
        <v>15.77</v>
      </c>
      <c r="K8" s="1"/>
      <c r="L8" s="1"/>
      <c r="M8" s="1"/>
      <c r="N8" s="1"/>
      <c r="O8" s="1"/>
    </row>
    <row r="9" spans="1:15">
      <c r="A9" s="8" t="s">
        <v>31</v>
      </c>
      <c r="B9" s="12">
        <v>40.49</v>
      </c>
      <c r="C9" s="1"/>
      <c r="D9" s="1"/>
      <c r="E9" s="1" t="s">
        <v>32</v>
      </c>
      <c r="F9" s="1">
        <v>40</v>
      </c>
      <c r="G9" s="1"/>
      <c r="H9" s="1"/>
      <c r="I9" s="10" t="s">
        <v>33</v>
      </c>
      <c r="J9" s="10">
        <v>18.98</v>
      </c>
      <c r="K9" s="1"/>
      <c r="L9" s="1"/>
      <c r="M9" s="1"/>
      <c r="N9" s="1"/>
      <c r="O9" s="1"/>
    </row>
    <row r="10" spans="1:15">
      <c r="A10" s="8" t="s">
        <v>34</v>
      </c>
      <c r="B10" s="9">
        <v>39</v>
      </c>
      <c r="C10" s="1"/>
      <c r="D10" s="1"/>
      <c r="E10" s="8" t="s">
        <v>35</v>
      </c>
      <c r="F10" s="8">
        <v>45</v>
      </c>
      <c r="G10" s="1"/>
      <c r="H10" s="1"/>
      <c r="I10" s="10" t="s">
        <v>36</v>
      </c>
      <c r="J10" s="10">
        <v>22.01</v>
      </c>
      <c r="K10" s="1"/>
      <c r="L10" s="1"/>
      <c r="M10" s="1"/>
      <c r="N10" s="1"/>
      <c r="O10" s="1"/>
    </row>
    <row r="11" spans="1:15">
      <c r="A11" s="8" t="s">
        <v>37</v>
      </c>
      <c r="B11" s="9">
        <v>40</v>
      </c>
      <c r="C11" s="1"/>
      <c r="D11" s="1"/>
      <c r="E11" s="8" t="s">
        <v>38</v>
      </c>
      <c r="F11" s="8">
        <v>55</v>
      </c>
      <c r="G11" s="1"/>
      <c r="H11" s="1"/>
      <c r="I11" s="10" t="s">
        <v>39</v>
      </c>
      <c r="J11" s="10">
        <v>22.95</v>
      </c>
      <c r="K11" s="1"/>
      <c r="L11" s="1"/>
      <c r="M11" s="1"/>
      <c r="N11" s="1"/>
      <c r="O11" s="1"/>
    </row>
    <row r="12" spans="1:15">
      <c r="A12" s="8" t="s">
        <v>40</v>
      </c>
      <c r="B12" s="9">
        <v>50.56</v>
      </c>
      <c r="C12" s="1"/>
      <c r="D12" s="1"/>
      <c r="E12" s="8" t="s">
        <v>41</v>
      </c>
      <c r="F12" s="8">
        <v>64.7</v>
      </c>
      <c r="G12" s="1"/>
      <c r="H12" s="1"/>
      <c r="I12" s="10" t="s">
        <v>42</v>
      </c>
      <c r="J12" s="10">
        <v>25</v>
      </c>
      <c r="K12" s="1"/>
      <c r="L12" s="1"/>
      <c r="M12" s="1"/>
      <c r="N12" s="1"/>
      <c r="O12" s="1"/>
    </row>
    <row r="13" spans="1:15">
      <c r="A13" s="8" t="s">
        <v>43</v>
      </c>
      <c r="B13" s="9">
        <v>54.99</v>
      </c>
      <c r="C13" s="1"/>
      <c r="D13" s="1"/>
      <c r="E13" s="8" t="s">
        <v>44</v>
      </c>
      <c r="F13" s="8">
        <v>88.53</v>
      </c>
      <c r="G13" s="1"/>
      <c r="H13" s="1"/>
      <c r="I13" s="10" t="s">
        <v>45</v>
      </c>
      <c r="J13" s="10">
        <v>28.9</v>
      </c>
      <c r="K13" s="1"/>
      <c r="L13" s="1"/>
      <c r="M13" s="1"/>
      <c r="N13" s="1"/>
      <c r="O13" s="1"/>
    </row>
    <row r="14" spans="1:15">
      <c r="A14" s="8" t="s">
        <v>46</v>
      </c>
      <c r="B14" s="9">
        <v>67.989999999999995</v>
      </c>
      <c r="C14" s="1"/>
      <c r="D14" s="1"/>
      <c r="E14" s="10" t="s">
        <v>47</v>
      </c>
      <c r="F14" s="10">
        <v>91.39</v>
      </c>
      <c r="G14" s="1"/>
      <c r="H14" s="1"/>
      <c r="I14" s="10" t="s">
        <v>48</v>
      </c>
      <c r="J14" s="10">
        <v>30</v>
      </c>
      <c r="K14" s="1"/>
      <c r="L14" s="1"/>
      <c r="M14" s="1"/>
      <c r="N14" s="1"/>
      <c r="O14" s="1"/>
    </row>
    <row r="15" spans="1:15">
      <c r="A15" s="8" t="s">
        <v>49</v>
      </c>
      <c r="B15" s="12">
        <v>76.739999999999995</v>
      </c>
      <c r="C15" s="1"/>
      <c r="D15" s="1"/>
      <c r="E15" s="10" t="s">
        <v>50</v>
      </c>
      <c r="F15" s="10">
        <v>118.65</v>
      </c>
      <c r="G15" s="1"/>
      <c r="H15" s="1"/>
      <c r="I15" s="10" t="s">
        <v>51</v>
      </c>
      <c r="J15" s="10">
        <v>43.96</v>
      </c>
      <c r="K15" s="1"/>
      <c r="L15" s="1"/>
      <c r="M15" s="1"/>
      <c r="N15" s="1"/>
      <c r="O15" s="1"/>
    </row>
    <row r="16" spans="1:15">
      <c r="A16" s="8" t="s">
        <v>52</v>
      </c>
      <c r="B16" s="9">
        <v>84.79</v>
      </c>
      <c r="C16" s="1"/>
      <c r="D16" s="1"/>
      <c r="E16" s="8" t="s">
        <v>53</v>
      </c>
      <c r="F16" s="8">
        <v>128.59</v>
      </c>
      <c r="G16" s="1"/>
      <c r="H16" s="1"/>
      <c r="I16" s="10" t="s">
        <v>54</v>
      </c>
      <c r="J16" s="10">
        <v>45</v>
      </c>
      <c r="K16" s="1"/>
      <c r="L16" s="1"/>
      <c r="M16" s="1"/>
      <c r="N16" s="1"/>
      <c r="O16" s="1"/>
    </row>
    <row r="17" spans="1:10">
      <c r="A17" s="8" t="s">
        <v>55</v>
      </c>
      <c r="B17" s="9">
        <v>100</v>
      </c>
      <c r="C17" s="1"/>
      <c r="D17" s="1"/>
      <c r="E17" s="8" t="s">
        <v>56</v>
      </c>
      <c r="F17" s="8">
        <v>150</v>
      </c>
      <c r="G17" s="1"/>
      <c r="H17" s="1"/>
      <c r="I17" s="10" t="s">
        <v>57</v>
      </c>
      <c r="J17" s="10">
        <v>69.989999999999995</v>
      </c>
    </row>
    <row r="18" spans="1:10">
      <c r="A18" s="8" t="s">
        <v>58</v>
      </c>
      <c r="B18" s="9">
        <v>125</v>
      </c>
      <c r="C18" s="1"/>
      <c r="D18" s="1"/>
      <c r="E18" s="8" t="s">
        <v>59</v>
      </c>
      <c r="F18" s="8">
        <v>150</v>
      </c>
      <c r="G18" s="1"/>
      <c r="H18" s="1"/>
      <c r="I18" s="10" t="s">
        <v>60</v>
      </c>
      <c r="J18" s="10">
        <v>83.43</v>
      </c>
    </row>
    <row r="19" spans="1:10">
      <c r="A19" s="10" t="s">
        <v>61</v>
      </c>
      <c r="B19" s="12">
        <v>137.79</v>
      </c>
      <c r="C19" s="1"/>
      <c r="D19" s="1"/>
      <c r="E19" s="8" t="s">
        <v>62</v>
      </c>
      <c r="F19" s="8">
        <v>153.33000000000001</v>
      </c>
      <c r="G19" s="1"/>
      <c r="H19" s="1"/>
      <c r="I19" s="10" t="s">
        <v>63</v>
      </c>
      <c r="J19" s="10">
        <v>100</v>
      </c>
    </row>
    <row r="20" spans="1:10">
      <c r="A20" s="8" t="s">
        <v>64</v>
      </c>
      <c r="B20" s="9">
        <v>143</v>
      </c>
      <c r="C20" s="1"/>
      <c r="D20" s="1"/>
      <c r="E20" s="8" t="s">
        <v>65</v>
      </c>
      <c r="F20" s="8">
        <v>168.78</v>
      </c>
      <c r="G20" s="1"/>
      <c r="H20" s="1"/>
      <c r="I20" s="10" t="s">
        <v>66</v>
      </c>
      <c r="J20" s="10">
        <v>132.53</v>
      </c>
    </row>
    <row r="21" spans="1:10">
      <c r="A21" s="8" t="s">
        <v>67</v>
      </c>
      <c r="B21" s="9">
        <v>150</v>
      </c>
      <c r="C21" s="1"/>
      <c r="D21" s="1"/>
      <c r="E21" s="8" t="s">
        <v>68</v>
      </c>
      <c r="F21" s="8">
        <v>180</v>
      </c>
      <c r="G21" s="1"/>
      <c r="H21" s="1"/>
      <c r="I21" s="10" t="s">
        <v>69</v>
      </c>
      <c r="J21" s="10">
        <v>138.83000000000001</v>
      </c>
    </row>
    <row r="22" spans="1:10">
      <c r="A22" s="8" t="s">
        <v>70</v>
      </c>
      <c r="B22" s="12">
        <v>177</v>
      </c>
      <c r="C22" s="1"/>
      <c r="D22" s="1"/>
      <c r="E22" s="8" t="s">
        <v>71</v>
      </c>
      <c r="F22" s="8">
        <v>230</v>
      </c>
      <c r="G22" s="1"/>
      <c r="H22" s="1"/>
      <c r="I22" s="10" t="s">
        <v>72</v>
      </c>
      <c r="J22" s="10">
        <v>89.81</v>
      </c>
    </row>
    <row r="23" spans="1:10">
      <c r="A23" s="8" t="s">
        <v>73</v>
      </c>
      <c r="B23" s="12">
        <v>176.11</v>
      </c>
      <c r="C23" s="1"/>
      <c r="D23" s="1"/>
      <c r="E23" s="8" t="s">
        <v>74</v>
      </c>
      <c r="F23" s="8">
        <v>316</v>
      </c>
      <c r="G23" s="1"/>
      <c r="H23" s="1"/>
      <c r="I23" s="10" t="s">
        <v>75</v>
      </c>
      <c r="J23" s="10">
        <v>170.66</v>
      </c>
    </row>
    <row r="24" spans="1:10">
      <c r="A24" s="8" t="s">
        <v>76</v>
      </c>
      <c r="B24" s="12">
        <v>300</v>
      </c>
      <c r="C24" s="1"/>
      <c r="D24" s="1"/>
      <c r="E24" s="8" t="s">
        <v>77</v>
      </c>
      <c r="F24" s="8">
        <v>355.69</v>
      </c>
      <c r="G24" s="1"/>
      <c r="H24" s="1"/>
      <c r="I24" s="10" t="s">
        <v>78</v>
      </c>
      <c r="J24" s="10">
        <v>180</v>
      </c>
    </row>
    <row r="25" spans="1:10">
      <c r="A25" s="8" t="s">
        <v>79</v>
      </c>
      <c r="B25" s="12">
        <v>313</v>
      </c>
      <c r="C25" s="1"/>
      <c r="D25" s="1"/>
      <c r="E25" s="8" t="s">
        <v>80</v>
      </c>
      <c r="F25" s="8">
        <v>456.08</v>
      </c>
      <c r="G25" s="1"/>
      <c r="H25" s="1"/>
      <c r="I25" s="10" t="s">
        <v>81</v>
      </c>
      <c r="J25" s="10">
        <v>196.53</v>
      </c>
    </row>
    <row r="26" spans="1:10">
      <c r="A26" s="8" t="s">
        <v>82</v>
      </c>
      <c r="B26" s="9">
        <v>349.89</v>
      </c>
      <c r="C26" s="1"/>
      <c r="D26" s="1"/>
      <c r="E26" s="10" t="s">
        <v>83</v>
      </c>
      <c r="F26" s="10">
        <v>624.17999999999995</v>
      </c>
      <c r="G26" s="1"/>
      <c r="H26" s="1"/>
      <c r="I26" s="10" t="s">
        <v>84</v>
      </c>
      <c r="J26" s="10">
        <v>211.9</v>
      </c>
    </row>
    <row r="27" spans="1:10">
      <c r="A27" s="8" t="s">
        <v>85</v>
      </c>
      <c r="B27" s="9">
        <v>389.94</v>
      </c>
      <c r="C27" s="1"/>
      <c r="D27" s="1"/>
      <c r="E27" s="8" t="s">
        <v>86</v>
      </c>
      <c r="F27" s="8">
        <v>899.25</v>
      </c>
      <c r="G27" s="1"/>
      <c r="H27" s="1"/>
      <c r="I27" s="10" t="s">
        <v>87</v>
      </c>
      <c r="J27" s="10">
        <v>226</v>
      </c>
    </row>
    <row r="28" spans="1:10">
      <c r="A28" s="8" t="s">
        <v>88</v>
      </c>
      <c r="B28" s="9">
        <v>434.99</v>
      </c>
      <c r="C28" s="1"/>
      <c r="D28" s="1"/>
      <c r="E28" s="8" t="s">
        <v>89</v>
      </c>
      <c r="F28" s="8">
        <v>2594.0700000000002</v>
      </c>
      <c r="G28" s="1"/>
      <c r="H28" s="1"/>
      <c r="I28" s="10" t="s">
        <v>90</v>
      </c>
      <c r="J28" s="10">
        <v>244.86</v>
      </c>
    </row>
    <row r="29" spans="1:10">
      <c r="A29" s="8" t="s">
        <v>91</v>
      </c>
      <c r="B29" s="12">
        <v>500</v>
      </c>
      <c r="C29" s="1"/>
      <c r="D29" s="1"/>
      <c r="E29" s="8" t="s">
        <v>92</v>
      </c>
      <c r="F29" s="8">
        <v>2856.7</v>
      </c>
      <c r="G29" s="1"/>
      <c r="H29" s="1"/>
      <c r="I29" s="8" t="s">
        <v>93</v>
      </c>
      <c r="J29" s="8">
        <v>320</v>
      </c>
    </row>
    <row r="30" spans="1:10">
      <c r="A30" s="8" t="s">
        <v>94</v>
      </c>
      <c r="B30" s="12">
        <v>523</v>
      </c>
      <c r="C30" s="1"/>
      <c r="D30" s="1"/>
      <c r="E30" s="8" t="s">
        <v>95</v>
      </c>
      <c r="F30" s="8">
        <v>3030</v>
      </c>
      <c r="G30" s="1"/>
      <c r="H30" s="1"/>
      <c r="I30" s="10" t="s">
        <v>96</v>
      </c>
      <c r="J30" s="10">
        <v>323</v>
      </c>
    </row>
    <row r="31" spans="1:10" ht="15" customHeight="1">
      <c r="A31" s="8" t="s">
        <v>97</v>
      </c>
      <c r="B31" s="9">
        <v>915</v>
      </c>
      <c r="C31" s="1"/>
      <c r="D31" s="1"/>
      <c r="E31" s="10" t="s">
        <v>98</v>
      </c>
      <c r="F31" s="10">
        <v>3098.32</v>
      </c>
      <c r="G31" s="1"/>
      <c r="H31" s="1"/>
      <c r="I31" s="10" t="s">
        <v>99</v>
      </c>
      <c r="J31" s="10">
        <v>500</v>
      </c>
    </row>
    <row r="32" spans="1:10">
      <c r="A32" s="8" t="s">
        <v>100</v>
      </c>
      <c r="B32" s="9">
        <v>1446.85</v>
      </c>
      <c r="C32" s="1"/>
      <c r="D32" s="1"/>
      <c r="E32" s="1"/>
      <c r="F32" s="1"/>
      <c r="G32" s="1"/>
      <c r="H32" s="1"/>
      <c r="I32" s="10" t="s">
        <v>101</v>
      </c>
      <c r="J32" s="10">
        <v>550</v>
      </c>
    </row>
    <row r="33" spans="1:15">
      <c r="A33" s="8" t="s">
        <v>102</v>
      </c>
      <c r="B33" s="9">
        <v>1500</v>
      </c>
      <c r="C33" s="1"/>
      <c r="D33" s="1"/>
      <c r="E33" s="1"/>
      <c r="F33" s="1"/>
      <c r="G33" s="1"/>
      <c r="H33" s="1"/>
      <c r="I33" s="10" t="s">
        <v>103</v>
      </c>
      <c r="J33" s="10">
        <v>626.78</v>
      </c>
      <c r="K33" s="1"/>
      <c r="L33" s="1"/>
      <c r="M33" s="1"/>
      <c r="N33" s="1"/>
      <c r="O33" s="1"/>
    </row>
    <row r="34" spans="1:15">
      <c r="A34" s="8" t="s">
        <v>104</v>
      </c>
      <c r="B34" s="9">
        <v>3000</v>
      </c>
      <c r="C34" s="1"/>
      <c r="D34" s="1"/>
      <c r="E34" s="1"/>
      <c r="F34" s="1"/>
      <c r="G34" s="1"/>
      <c r="H34" s="1"/>
      <c r="I34" s="10" t="s">
        <v>105</v>
      </c>
      <c r="J34" s="10">
        <v>699</v>
      </c>
      <c r="K34" s="1"/>
      <c r="L34" s="1"/>
      <c r="M34" s="1"/>
      <c r="N34" s="1"/>
      <c r="O34" s="1"/>
    </row>
    <row r="35" spans="1:15">
      <c r="A35" s="8" t="s">
        <v>106</v>
      </c>
      <c r="B35" s="11">
        <v>3030</v>
      </c>
      <c r="C35" s="1"/>
      <c r="D35" s="1"/>
      <c r="E35" s="1"/>
      <c r="F35" s="1"/>
      <c r="G35" s="1"/>
      <c r="H35" s="1"/>
      <c r="I35" t="s">
        <v>107</v>
      </c>
      <c r="J35">
        <v>1000</v>
      </c>
      <c r="K35" s="1"/>
      <c r="L35" s="1"/>
      <c r="M35" s="1"/>
      <c r="N35" s="1"/>
      <c r="O35" s="1"/>
    </row>
    <row r="36" spans="1:15">
      <c r="A36" s="8" t="s">
        <v>108</v>
      </c>
      <c r="B36" s="11">
        <v>3030</v>
      </c>
      <c r="C36" s="1"/>
      <c r="D36" s="1"/>
      <c r="E36" s="1"/>
      <c r="F36" s="1"/>
      <c r="G36" s="1"/>
      <c r="H36" s="1"/>
      <c r="I36" s="10" t="s">
        <v>86</v>
      </c>
      <c r="J36" s="10">
        <v>1388</v>
      </c>
      <c r="K36" s="1"/>
      <c r="L36" s="1"/>
      <c r="M36" s="1"/>
      <c r="N36" s="1"/>
      <c r="O36" s="1"/>
    </row>
    <row r="37" spans="1:15">
      <c r="A37" s="8" t="s">
        <v>109</v>
      </c>
      <c r="B37" s="9">
        <v>11000</v>
      </c>
      <c r="C37" s="1"/>
      <c r="D37" s="1"/>
      <c r="E37" s="1"/>
      <c r="F37" s="1"/>
      <c r="G37" s="1"/>
      <c r="H37" s="1"/>
      <c r="I37" s="10" t="s">
        <v>110</v>
      </c>
      <c r="J37" s="10">
        <v>1396</v>
      </c>
      <c r="K37" s="1"/>
      <c r="L37" s="1"/>
      <c r="M37" s="1"/>
      <c r="N37" s="1"/>
      <c r="O37" s="1"/>
    </row>
    <row r="38" spans="1:15">
      <c r="A38" s="1"/>
      <c r="B38" s="5"/>
      <c r="C38" s="1"/>
      <c r="D38" s="1"/>
      <c r="E38" s="1"/>
      <c r="F38" s="1"/>
      <c r="G38" s="1"/>
      <c r="H38" s="1"/>
      <c r="I38" s="10" t="s">
        <v>111</v>
      </c>
      <c r="J38" s="10">
        <v>1476.82</v>
      </c>
      <c r="K38" s="1"/>
      <c r="L38" s="1"/>
      <c r="M38" s="1"/>
      <c r="N38" s="1"/>
      <c r="O38" s="1"/>
    </row>
    <row r="39" spans="1:15">
      <c r="A39" s="1"/>
      <c r="B39" s="5"/>
      <c r="C39" s="1"/>
      <c r="D39" s="1"/>
      <c r="E39" s="1"/>
      <c r="F39" s="1"/>
      <c r="G39" s="1"/>
      <c r="H39" s="1"/>
      <c r="I39" s="10" t="s">
        <v>112</v>
      </c>
      <c r="J39" s="10">
        <v>2029.9</v>
      </c>
      <c r="K39" s="1"/>
      <c r="L39" s="1"/>
      <c r="M39" s="1"/>
      <c r="N39" s="1"/>
      <c r="O39" s="1"/>
    </row>
    <row r="40" spans="1:15">
      <c r="A40" s="1" t="s">
        <v>113</v>
      </c>
      <c r="B40" s="5">
        <f>SUM(B3:B37)</f>
        <v>28308.85</v>
      </c>
      <c r="C40" s="1"/>
      <c r="D40" s="1"/>
      <c r="E40" s="1"/>
      <c r="F40" s="1"/>
      <c r="G40" s="1"/>
      <c r="H40" s="1"/>
      <c r="I40" s="10" t="s">
        <v>98</v>
      </c>
      <c r="J40" s="10">
        <v>3248.32</v>
      </c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t="s">
        <v>114</v>
      </c>
      <c r="B43" s="1">
        <v>3280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t="s">
        <v>115</v>
      </c>
      <c r="B44" s="1">
        <v>760</v>
      </c>
      <c r="C44" s="1"/>
      <c r="D44" s="1"/>
      <c r="E44" s="1" t="s">
        <v>113</v>
      </c>
      <c r="F44" s="6">
        <f>SUM(F1:F43)</f>
        <v>15595.849999999999</v>
      </c>
      <c r="G44" s="1"/>
      <c r="H44" s="1"/>
      <c r="I44" s="1" t="s">
        <v>113</v>
      </c>
      <c r="J44" s="6">
        <f>SUM(J1:J43)</f>
        <v>15015.76</v>
      </c>
      <c r="K44" s="1"/>
      <c r="L44" s="1"/>
      <c r="M44" s="1"/>
      <c r="N44" t="s">
        <v>116</v>
      </c>
      <c r="O44" s="1">
        <f>SUM(O2:O40)</f>
        <v>1865.2500000000002</v>
      </c>
    </row>
    <row r="45" spans="1:15">
      <c r="A45" t="s">
        <v>117</v>
      </c>
      <c r="B45" s="1">
        <v>110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t="s">
        <v>118</v>
      </c>
      <c r="B46">
        <v>39.99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t="s">
        <v>119</v>
      </c>
      <c r="B47">
        <v>319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t="s">
        <v>69</v>
      </c>
      <c r="B48">
        <v>200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t="s">
        <v>120</v>
      </c>
      <c r="B49">
        <v>300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t="s">
        <v>121</v>
      </c>
      <c r="B50">
        <v>40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t="s">
        <v>122</v>
      </c>
      <c r="B51">
        <v>420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t="s">
        <v>123</v>
      </c>
      <c r="B52">
        <v>99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t="s">
        <v>54</v>
      </c>
      <c r="B53">
        <v>90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t="s">
        <v>124</v>
      </c>
      <c r="B54">
        <v>60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/>
      <c r="B5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/>
      <c r="B5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 t="s">
        <v>125</v>
      </c>
      <c r="B57" s="1">
        <f>SUM(B43:B54)</f>
        <v>5717.99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 t="s">
        <v>126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 t="s">
        <v>127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>
        <v>20000</v>
      </c>
      <c r="D64" s="1"/>
      <c r="E64" s="2">
        <v>43028</v>
      </c>
      <c r="F64" s="1">
        <v>6000</v>
      </c>
      <c r="G64" t="s">
        <v>128</v>
      </c>
      <c r="H64" s="1"/>
      <c r="I64" s="1">
        <v>2000</v>
      </c>
      <c r="J64" t="s">
        <v>129</v>
      </c>
      <c r="K64" s="1"/>
      <c r="L64" s="1"/>
      <c r="M64" s="1"/>
      <c r="N64" s="1"/>
      <c r="O64" s="1"/>
    </row>
    <row r="65" spans="1:10">
      <c r="A65" s="1" t="s">
        <v>130</v>
      </c>
      <c r="B65" s="1">
        <v>36000</v>
      </c>
      <c r="C65" s="1">
        <v>825</v>
      </c>
      <c r="D65" s="1"/>
      <c r="E65" s="2">
        <v>43028</v>
      </c>
      <c r="F65" s="1">
        <v>5000</v>
      </c>
      <c r="G65" t="s">
        <v>131</v>
      </c>
      <c r="H65" s="1"/>
      <c r="I65" s="1">
        <v>15000</v>
      </c>
      <c r="J65" t="s">
        <v>132</v>
      </c>
    </row>
    <row r="68" spans="1:10">
      <c r="A68" s="1"/>
      <c r="B68" s="1"/>
      <c r="C68" s="1"/>
      <c r="D68" s="1" t="s">
        <v>133</v>
      </c>
      <c r="E68" s="1" t="s">
        <v>134</v>
      </c>
      <c r="F68" s="1" t="s">
        <v>135</v>
      </c>
      <c r="G68" s="1"/>
      <c r="H68" s="1"/>
      <c r="I68" s="1"/>
      <c r="J68" s="1"/>
    </row>
    <row r="69" spans="1:10">
      <c r="A69" s="1"/>
      <c r="B69" s="1"/>
      <c r="C69" s="1">
        <f>B65+400+25+3000</f>
        <v>39425</v>
      </c>
      <c r="D69" s="1">
        <v>1200</v>
      </c>
      <c r="E69" s="1">
        <f>SUM(C69:D69)</f>
        <v>40625</v>
      </c>
      <c r="F69" s="1">
        <f>E69*1.06+800</f>
        <v>43862.5</v>
      </c>
      <c r="G69" s="1"/>
      <c r="H69" s="1"/>
      <c r="I69" s="1"/>
      <c r="J69" s="1"/>
    </row>
  </sheetData>
  <sortState xmlns:xlrd2="http://schemas.microsoft.com/office/spreadsheetml/2017/richdata2" ref="I2:J40">
    <sortCondition ref="J2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S102"/>
  <sheetViews>
    <sheetView zoomScale="85" zoomScaleNormal="85" workbookViewId="0">
      <pane ySplit="1" topLeftCell="A21" activePane="bottomLeft" state="frozen"/>
      <selection activeCell="G102" sqref="G102"/>
      <selection pane="bottomLeft" activeCell="A21" sqref="A21"/>
    </sheetView>
  </sheetViews>
  <sheetFormatPr defaultRowHeight="15"/>
  <cols>
    <col min="1" max="1" width="28.42578125" customWidth="1"/>
    <col min="2" max="4" width="10.5703125" customWidth="1"/>
    <col min="5" max="5" width="9.42578125" customWidth="1"/>
    <col min="6" max="9" width="10.5703125" customWidth="1"/>
    <col min="10" max="10" width="14.5703125" customWidth="1"/>
    <col min="11" max="11" width="10.5703125" customWidth="1"/>
    <col min="12" max="12" width="13.42578125" customWidth="1"/>
    <col min="13" max="13" width="10.5703125" customWidth="1"/>
    <col min="14" max="14" width="13.28515625" customWidth="1"/>
    <col min="15" max="16" width="10.5703125" customWidth="1"/>
  </cols>
  <sheetData>
    <row r="1" spans="1:19">
      <c r="A1" s="1"/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t="s">
        <v>143</v>
      </c>
      <c r="J1" t="s">
        <v>144</v>
      </c>
      <c r="K1" s="1" t="s">
        <v>145</v>
      </c>
      <c r="L1" s="1" t="s">
        <v>146</v>
      </c>
      <c r="M1" s="1" t="s">
        <v>147</v>
      </c>
      <c r="N1" t="s">
        <v>148</v>
      </c>
      <c r="O1" s="1" t="s">
        <v>149</v>
      </c>
      <c r="P1" s="1"/>
    </row>
    <row r="2" spans="1:19">
      <c r="A2" t="s">
        <v>150</v>
      </c>
      <c r="B2" s="1" t="s">
        <v>151</v>
      </c>
      <c r="C2" s="2">
        <v>42983</v>
      </c>
      <c r="D2" s="1"/>
      <c r="E2" s="1"/>
      <c r="F2" s="1"/>
      <c r="G2" s="1"/>
      <c r="H2" s="1"/>
      <c r="I2" s="1"/>
      <c r="J2" s="1"/>
      <c r="K2" s="1">
        <f>H2*0.3</f>
        <v>0</v>
      </c>
      <c r="L2" s="1">
        <v>700</v>
      </c>
      <c r="M2" s="1" t="s">
        <v>152</v>
      </c>
      <c r="N2" s="14"/>
      <c r="O2" s="1">
        <v>700</v>
      </c>
      <c r="P2" s="1"/>
    </row>
    <row r="3" spans="1:19">
      <c r="A3" t="s">
        <v>153</v>
      </c>
      <c r="B3" s="1" t="s">
        <v>151</v>
      </c>
      <c r="C3" s="2">
        <v>42998</v>
      </c>
      <c r="D3" s="1">
        <v>11700</v>
      </c>
      <c r="E3" s="1">
        <f>SUM(D3:D3)+25</f>
        <v>11725</v>
      </c>
      <c r="F3" s="1">
        <v>14150</v>
      </c>
      <c r="G3" s="1">
        <v>0</v>
      </c>
      <c r="H3" s="1">
        <f>F3-E3-G3</f>
        <v>2425</v>
      </c>
      <c r="I3" s="1"/>
      <c r="J3" s="1"/>
      <c r="K3" s="1">
        <f>H3*0.3</f>
        <v>727.5</v>
      </c>
      <c r="L3" s="1">
        <f>H3-K3</f>
        <v>1697.5</v>
      </c>
      <c r="M3" s="1" t="s">
        <v>154</v>
      </c>
      <c r="N3" s="14">
        <v>363.75</v>
      </c>
      <c r="O3" s="1">
        <v>1333.75</v>
      </c>
      <c r="P3" s="1"/>
    </row>
    <row r="4" spans="1:19">
      <c r="A4" t="s">
        <v>155</v>
      </c>
      <c r="B4" t="s">
        <v>156</v>
      </c>
      <c r="C4" s="2">
        <v>42998</v>
      </c>
      <c r="D4" s="1">
        <v>15600</v>
      </c>
      <c r="E4" s="1">
        <f>SUM(D4:D4)+25</f>
        <v>15625</v>
      </c>
      <c r="F4" s="1">
        <v>17094</v>
      </c>
      <c r="G4" s="1">
        <v>279</v>
      </c>
      <c r="H4" s="1">
        <f t="shared" ref="H4:H24" si="0">F4-E4-G4</f>
        <v>1190</v>
      </c>
      <c r="I4" s="1"/>
      <c r="J4" s="1"/>
      <c r="K4" s="1">
        <f>H4*0.3</f>
        <v>357</v>
      </c>
      <c r="L4" s="1">
        <f>H4-K4</f>
        <v>833</v>
      </c>
      <c r="M4" s="1" t="s">
        <v>152</v>
      </c>
      <c r="N4" s="14">
        <v>178.5</v>
      </c>
      <c r="O4" s="1">
        <v>654.5</v>
      </c>
      <c r="P4" s="1"/>
    </row>
    <row r="5" spans="1:19">
      <c r="A5" t="s">
        <v>157</v>
      </c>
      <c r="B5" t="s">
        <v>156</v>
      </c>
      <c r="C5" s="2">
        <v>43004</v>
      </c>
      <c r="D5" s="1">
        <v>1000</v>
      </c>
      <c r="E5" s="1">
        <f>SUM(D5:D5)+25</f>
        <v>1025</v>
      </c>
      <c r="F5" s="1">
        <v>3000</v>
      </c>
      <c r="G5" s="1">
        <v>543</v>
      </c>
      <c r="H5" s="1">
        <f t="shared" si="0"/>
        <v>1432</v>
      </c>
      <c r="I5" s="1"/>
      <c r="J5" s="1"/>
      <c r="K5" s="1">
        <v>243.6</v>
      </c>
      <c r="L5" s="1">
        <v>0</v>
      </c>
      <c r="M5" s="1" t="s">
        <v>152</v>
      </c>
      <c r="N5" s="14">
        <v>968.4</v>
      </c>
      <c r="O5" s="1">
        <v>220.00000000000011</v>
      </c>
      <c r="P5" s="1"/>
    </row>
    <row r="6" spans="1:19">
      <c r="A6" t="s">
        <v>158</v>
      </c>
      <c r="B6" s="1" t="s">
        <v>151</v>
      </c>
      <c r="C6" s="2">
        <v>43005</v>
      </c>
      <c r="D6" s="1">
        <v>19800</v>
      </c>
      <c r="E6" s="1">
        <f>SUM(D6:D6)+25</f>
        <v>19825</v>
      </c>
      <c r="F6" s="1">
        <v>23000</v>
      </c>
      <c r="G6" s="1">
        <v>322</v>
      </c>
      <c r="H6" s="1">
        <f t="shared" si="0"/>
        <v>2853</v>
      </c>
      <c r="I6" s="1">
        <v>2000</v>
      </c>
      <c r="J6" s="1"/>
      <c r="K6" s="1">
        <f>H6*0.3</f>
        <v>855.9</v>
      </c>
      <c r="L6" s="1">
        <f>H6-K6</f>
        <v>1997.1</v>
      </c>
      <c r="M6" s="1" t="s">
        <v>152</v>
      </c>
      <c r="N6" s="14">
        <v>427.95</v>
      </c>
      <c r="O6" s="1">
        <v>1569.1499999999999</v>
      </c>
      <c r="P6" s="1"/>
    </row>
    <row r="7" spans="1:19">
      <c r="A7" t="s">
        <v>159</v>
      </c>
      <c r="B7" t="s">
        <v>156</v>
      </c>
      <c r="C7" s="2">
        <v>43006</v>
      </c>
      <c r="D7" s="1">
        <v>50800</v>
      </c>
      <c r="E7" s="1">
        <f>SUM(D7:D7)+25</f>
        <v>50825</v>
      </c>
      <c r="F7" s="1">
        <v>54500</v>
      </c>
      <c r="G7" s="1">
        <v>784</v>
      </c>
      <c r="H7" s="1">
        <f t="shared" si="0"/>
        <v>2891</v>
      </c>
      <c r="I7" s="1"/>
      <c r="J7" s="1"/>
      <c r="K7" s="1">
        <f>H7*0.3</f>
        <v>867.3</v>
      </c>
      <c r="L7" s="1">
        <f>H7-K7</f>
        <v>2023.7</v>
      </c>
      <c r="M7" s="1" t="s">
        <v>160</v>
      </c>
      <c r="N7" s="14">
        <v>433.65</v>
      </c>
      <c r="O7" s="1">
        <v>1590.0500000000002</v>
      </c>
      <c r="P7">
        <v>6067.45</v>
      </c>
      <c r="Q7">
        <v>6</v>
      </c>
    </row>
    <row r="8" spans="1:19">
      <c r="N8" s="15"/>
    </row>
    <row r="9" spans="1:19">
      <c r="A9" t="s">
        <v>161</v>
      </c>
      <c r="B9" t="s">
        <v>156</v>
      </c>
      <c r="C9" s="2">
        <v>43010</v>
      </c>
      <c r="D9" s="1">
        <v>46000</v>
      </c>
      <c r="E9" s="1">
        <f t="shared" ref="E9:E14" si="1">SUM(D9:D9)+25</f>
        <v>46025</v>
      </c>
      <c r="F9" s="1">
        <v>50700</v>
      </c>
      <c r="G9" s="1">
        <v>1094</v>
      </c>
      <c r="H9" s="1">
        <f t="shared" si="0"/>
        <v>3581</v>
      </c>
      <c r="I9" s="1"/>
      <c r="J9" s="1"/>
      <c r="K9" s="1">
        <v>789.3</v>
      </c>
      <c r="L9" s="1">
        <f>H9-K9</f>
        <v>2791.7</v>
      </c>
      <c r="M9" s="1" t="s">
        <v>152</v>
      </c>
      <c r="N9" s="14">
        <v>537.15</v>
      </c>
      <c r="O9" s="1">
        <v>2254.5499999999997</v>
      </c>
      <c r="P9" s="1"/>
    </row>
    <row r="10" spans="1:19">
      <c r="A10" t="s">
        <v>162</v>
      </c>
      <c r="B10" t="s">
        <v>156</v>
      </c>
      <c r="C10" s="2">
        <v>43013</v>
      </c>
      <c r="D10">
        <v>600</v>
      </c>
      <c r="E10" s="1">
        <f t="shared" si="1"/>
        <v>625</v>
      </c>
      <c r="F10">
        <v>1505</v>
      </c>
      <c r="G10">
        <v>680</v>
      </c>
      <c r="H10" s="1">
        <f t="shared" si="0"/>
        <v>200</v>
      </c>
      <c r="I10" s="1"/>
      <c r="J10" s="1"/>
      <c r="K10" s="1">
        <f>H10*0.3</f>
        <v>60</v>
      </c>
      <c r="L10" s="1">
        <f>H10-K10</f>
        <v>140</v>
      </c>
      <c r="M10" s="1"/>
      <c r="N10" s="14">
        <v>30</v>
      </c>
      <c r="O10" s="1">
        <v>110</v>
      </c>
      <c r="P10" s="1"/>
    </row>
    <row r="11" spans="1:19">
      <c r="A11" t="s">
        <v>163</v>
      </c>
      <c r="B11" t="s">
        <v>156</v>
      </c>
      <c r="C11" s="2">
        <v>43027</v>
      </c>
      <c r="D11">
        <v>3625</v>
      </c>
      <c r="E11">
        <f t="shared" si="1"/>
        <v>3650</v>
      </c>
      <c r="F11">
        <v>4053.1</v>
      </c>
      <c r="G11">
        <v>593</v>
      </c>
      <c r="H11">
        <f t="shared" si="0"/>
        <v>-189.90000000000009</v>
      </c>
      <c r="I11" s="1"/>
      <c r="J11" s="1"/>
      <c r="K11" s="1"/>
      <c r="L11" s="1"/>
      <c r="M11" s="1"/>
      <c r="N11" s="15">
        <v>0</v>
      </c>
      <c r="O11" s="1">
        <v>0</v>
      </c>
      <c r="P11" s="1"/>
    </row>
    <row r="12" spans="1:19">
      <c r="A12" t="s">
        <v>164</v>
      </c>
      <c r="B12" s="1" t="s">
        <v>151</v>
      </c>
      <c r="C12" s="2">
        <v>43028</v>
      </c>
      <c r="D12">
        <v>38000</v>
      </c>
      <c r="E12">
        <f t="shared" si="1"/>
        <v>38025</v>
      </c>
      <c r="F12">
        <v>41800</v>
      </c>
      <c r="G12">
        <v>580</v>
      </c>
      <c r="H12" s="1">
        <f t="shared" si="0"/>
        <v>3195</v>
      </c>
      <c r="I12" s="1"/>
      <c r="J12" s="1"/>
      <c r="K12" s="1">
        <v>276</v>
      </c>
      <c r="L12" s="1">
        <f>H12-K12</f>
        <v>2919</v>
      </c>
      <c r="M12" s="1" t="s">
        <v>152</v>
      </c>
      <c r="N12" s="14">
        <v>479.25</v>
      </c>
      <c r="O12" s="1">
        <v>2439.75</v>
      </c>
      <c r="P12" s="1"/>
      <c r="Q12" s="1"/>
      <c r="R12" s="1"/>
      <c r="S12" s="1"/>
    </row>
    <row r="13" spans="1:19">
      <c r="A13" t="s">
        <v>165</v>
      </c>
      <c r="B13" t="s">
        <v>156</v>
      </c>
      <c r="C13" s="2">
        <v>43028</v>
      </c>
      <c r="D13">
        <v>30400</v>
      </c>
      <c r="E13">
        <f t="shared" si="1"/>
        <v>30425</v>
      </c>
      <c r="F13">
        <v>35000</v>
      </c>
      <c r="G13">
        <v>278</v>
      </c>
      <c r="H13" s="1">
        <f t="shared" si="0"/>
        <v>4297</v>
      </c>
      <c r="I13" s="1"/>
      <c r="J13" s="1"/>
      <c r="K13" s="1">
        <v>509.1</v>
      </c>
      <c r="L13" s="1">
        <f>H13-K13</f>
        <v>3787.9</v>
      </c>
      <c r="M13" s="1" t="s">
        <v>152</v>
      </c>
      <c r="N13" s="14">
        <v>644.54999999999995</v>
      </c>
      <c r="O13" s="1">
        <v>3143.3500000000004</v>
      </c>
      <c r="P13" s="1"/>
      <c r="Q13" s="1"/>
      <c r="R13" s="1"/>
      <c r="S13" s="1"/>
    </row>
    <row r="14" spans="1:19">
      <c r="A14" t="s">
        <v>166</v>
      </c>
      <c r="B14" t="s">
        <v>156</v>
      </c>
      <c r="C14" s="2">
        <v>43031</v>
      </c>
      <c r="D14">
        <v>38000</v>
      </c>
      <c r="E14">
        <f t="shared" si="1"/>
        <v>38025</v>
      </c>
      <c r="F14">
        <v>41510</v>
      </c>
      <c r="G14">
        <v>254</v>
      </c>
      <c r="H14">
        <f t="shared" si="0"/>
        <v>3231</v>
      </c>
      <c r="I14" s="1"/>
      <c r="J14" s="1"/>
      <c r="K14" s="1">
        <v>591.29999999999995</v>
      </c>
      <c r="L14" s="1">
        <f>H14-K14</f>
        <v>2639.7</v>
      </c>
      <c r="M14" t="s">
        <v>167</v>
      </c>
      <c r="N14" s="14">
        <v>300</v>
      </c>
      <c r="O14" s="1">
        <v>2339.6999999999998</v>
      </c>
      <c r="P14">
        <v>10287.349999999999</v>
      </c>
      <c r="Q14">
        <v>6</v>
      </c>
      <c r="R14" s="1"/>
      <c r="S14" s="1"/>
    </row>
    <row r="15" spans="1:19">
      <c r="C15" s="2"/>
      <c r="I15" s="1"/>
      <c r="J15" s="1"/>
      <c r="K15" s="1"/>
      <c r="L15" s="1"/>
      <c r="N15" s="14"/>
      <c r="P15" s="1"/>
      <c r="Q15" s="1"/>
      <c r="R15" s="1"/>
      <c r="S15" s="1"/>
    </row>
    <row r="16" spans="1:19">
      <c r="A16" t="s">
        <v>168</v>
      </c>
      <c r="B16" t="s">
        <v>156</v>
      </c>
      <c r="C16" s="2">
        <v>43042</v>
      </c>
      <c r="D16">
        <v>22600</v>
      </c>
      <c r="E16">
        <f t="shared" ref="E16:E22" si="2">SUM(D16:D16)+25</f>
        <v>22625</v>
      </c>
      <c r="F16">
        <v>26600</v>
      </c>
      <c r="G16">
        <v>862</v>
      </c>
      <c r="H16" s="1">
        <f t="shared" si="0"/>
        <v>3113</v>
      </c>
      <c r="I16" s="1"/>
      <c r="J16" s="1"/>
      <c r="K16" s="1">
        <v>255.9</v>
      </c>
      <c r="L16" s="1">
        <f t="shared" ref="L16:L22" si="3">H16-K16</f>
        <v>2857.1</v>
      </c>
      <c r="M16" t="s">
        <v>127</v>
      </c>
      <c r="N16" s="14">
        <v>466.95</v>
      </c>
      <c r="O16" s="1">
        <v>2390.15</v>
      </c>
      <c r="P16" s="1"/>
      <c r="Q16" s="1"/>
      <c r="R16" s="1"/>
      <c r="S16" s="1"/>
    </row>
    <row r="17" spans="1:19">
      <c r="A17" t="s">
        <v>169</v>
      </c>
      <c r="B17" t="s">
        <v>156</v>
      </c>
      <c r="C17" s="2">
        <v>43042</v>
      </c>
      <c r="D17">
        <v>11500</v>
      </c>
      <c r="E17">
        <f t="shared" si="2"/>
        <v>11525</v>
      </c>
      <c r="F17">
        <v>15000</v>
      </c>
      <c r="G17">
        <v>254</v>
      </c>
      <c r="H17" s="1">
        <f t="shared" si="0"/>
        <v>3221</v>
      </c>
      <c r="I17" s="1"/>
      <c r="K17" s="1">
        <v>448.8</v>
      </c>
      <c r="L17" s="1">
        <f t="shared" si="3"/>
        <v>2772.2</v>
      </c>
      <c r="M17" t="s">
        <v>152</v>
      </c>
      <c r="N17" s="14">
        <v>483.15</v>
      </c>
      <c r="O17" s="1">
        <v>2289.0499999999997</v>
      </c>
      <c r="P17" s="1"/>
      <c r="Q17" s="1"/>
      <c r="R17" s="1"/>
      <c r="S17" s="1"/>
    </row>
    <row r="18" spans="1:19">
      <c r="A18" t="s">
        <v>170</v>
      </c>
      <c r="B18" t="s">
        <v>156</v>
      </c>
      <c r="C18" s="2">
        <v>43053</v>
      </c>
      <c r="D18">
        <v>17100</v>
      </c>
      <c r="E18">
        <f t="shared" si="2"/>
        <v>17125</v>
      </c>
      <c r="F18">
        <v>20470</v>
      </c>
      <c r="G18">
        <v>536</v>
      </c>
      <c r="H18" s="1">
        <f t="shared" si="0"/>
        <v>2809</v>
      </c>
      <c r="I18" s="1"/>
      <c r="K18" s="1">
        <v>476.7</v>
      </c>
      <c r="L18" s="1">
        <f t="shared" si="3"/>
        <v>2332.3000000000002</v>
      </c>
      <c r="M18" t="s">
        <v>152</v>
      </c>
      <c r="N18" s="14">
        <v>421.34999999999997</v>
      </c>
      <c r="O18" s="1">
        <v>1910.9500000000003</v>
      </c>
      <c r="P18" s="1"/>
      <c r="Q18" s="1"/>
      <c r="R18" s="1"/>
      <c r="S18" s="1"/>
    </row>
    <row r="19" spans="1:19">
      <c r="A19" t="s">
        <v>171</v>
      </c>
      <c r="B19" t="s">
        <v>156</v>
      </c>
      <c r="C19" s="2">
        <v>43053</v>
      </c>
      <c r="D19">
        <v>9900</v>
      </c>
      <c r="E19">
        <f t="shared" si="2"/>
        <v>9925</v>
      </c>
      <c r="F19">
        <v>13000</v>
      </c>
      <c r="G19">
        <v>464</v>
      </c>
      <c r="H19" s="1">
        <f t="shared" si="0"/>
        <v>2611</v>
      </c>
      <c r="I19" s="1"/>
      <c r="J19" s="1"/>
      <c r="K19" s="1">
        <v>367.8</v>
      </c>
      <c r="L19" s="1">
        <f t="shared" si="3"/>
        <v>2243.1999999999998</v>
      </c>
      <c r="M19" t="s">
        <v>152</v>
      </c>
      <c r="N19" s="14">
        <v>391.65</v>
      </c>
      <c r="O19" s="1">
        <v>1851.5499999999997</v>
      </c>
      <c r="P19" s="1"/>
      <c r="Q19" s="1"/>
      <c r="R19" s="1"/>
      <c r="S19" s="1"/>
    </row>
    <row r="20" spans="1:19">
      <c r="A20" t="s">
        <v>161</v>
      </c>
      <c r="B20" t="s">
        <v>151</v>
      </c>
      <c r="C20" s="2">
        <v>43053</v>
      </c>
      <c r="D20">
        <v>50000</v>
      </c>
      <c r="E20">
        <f t="shared" si="2"/>
        <v>50025</v>
      </c>
      <c r="F20">
        <v>53960</v>
      </c>
      <c r="G20">
        <v>1200</v>
      </c>
      <c r="H20" s="1">
        <f t="shared" si="0"/>
        <v>2735</v>
      </c>
      <c r="I20" s="1"/>
      <c r="J20" s="1"/>
      <c r="K20" s="1">
        <v>472.5</v>
      </c>
      <c r="L20" s="1">
        <f t="shared" si="3"/>
        <v>2262.5</v>
      </c>
      <c r="M20" t="s">
        <v>127</v>
      </c>
      <c r="N20" s="14">
        <v>410.25</v>
      </c>
      <c r="O20" s="1">
        <v>1852.25</v>
      </c>
      <c r="P20" s="1"/>
      <c r="Q20" s="1"/>
      <c r="R20" s="1"/>
      <c r="S20" s="1"/>
    </row>
    <row r="21" spans="1:19">
      <c r="A21" t="s">
        <v>172</v>
      </c>
      <c r="B21" t="s">
        <v>151</v>
      </c>
      <c r="C21" s="2">
        <v>43068</v>
      </c>
      <c r="D21">
        <v>23000</v>
      </c>
      <c r="E21">
        <f t="shared" si="2"/>
        <v>23025</v>
      </c>
      <c r="F21">
        <v>25000</v>
      </c>
      <c r="G21">
        <v>300</v>
      </c>
      <c r="H21">
        <f t="shared" si="0"/>
        <v>1675</v>
      </c>
      <c r="I21" s="1"/>
      <c r="J21" s="1"/>
      <c r="K21" s="1"/>
      <c r="L21" s="1">
        <f t="shared" si="3"/>
        <v>1675</v>
      </c>
      <c r="M21" t="s">
        <v>127</v>
      </c>
      <c r="N21" s="15">
        <v>0</v>
      </c>
      <c r="O21" s="1">
        <v>1675</v>
      </c>
      <c r="P21" s="1"/>
      <c r="Q21" s="1"/>
      <c r="R21" s="1"/>
      <c r="S21" s="1"/>
    </row>
    <row r="22" spans="1:19">
      <c r="A22" t="s">
        <v>173</v>
      </c>
      <c r="B22" t="s">
        <v>151</v>
      </c>
      <c r="C22" s="2">
        <v>43068</v>
      </c>
      <c r="D22">
        <v>5850</v>
      </c>
      <c r="E22">
        <f t="shared" si="2"/>
        <v>5875</v>
      </c>
      <c r="F22">
        <v>8000</v>
      </c>
      <c r="G22">
        <v>350</v>
      </c>
      <c r="H22">
        <f t="shared" si="0"/>
        <v>1775</v>
      </c>
      <c r="I22" s="1"/>
      <c r="J22" s="1"/>
      <c r="K22">
        <v>0</v>
      </c>
      <c r="L22" s="1">
        <f t="shared" si="3"/>
        <v>1775</v>
      </c>
      <c r="M22" t="s">
        <v>174</v>
      </c>
      <c r="N22" s="14">
        <v>266.25</v>
      </c>
      <c r="O22" s="1">
        <v>1508.75</v>
      </c>
      <c r="P22">
        <v>13477.699999999999</v>
      </c>
      <c r="Q22">
        <v>7</v>
      </c>
      <c r="R22" s="1"/>
      <c r="S22" s="1"/>
    </row>
    <row r="23" spans="1:19">
      <c r="C23" s="2"/>
      <c r="I23" s="1"/>
      <c r="J23" s="1"/>
      <c r="L23" s="1"/>
      <c r="N23" s="14"/>
      <c r="P23" s="1"/>
      <c r="Q23" s="1"/>
      <c r="R23" s="1"/>
      <c r="S23" s="1"/>
    </row>
    <row r="24" spans="1:19">
      <c r="A24" t="s">
        <v>175</v>
      </c>
      <c r="B24" t="s">
        <v>151</v>
      </c>
      <c r="C24" s="2">
        <v>43071</v>
      </c>
      <c r="D24">
        <v>14700</v>
      </c>
      <c r="E24">
        <f>SUM(D24:D24)+25</f>
        <v>14725</v>
      </c>
      <c r="F24">
        <v>14625</v>
      </c>
      <c r="G24">
        <v>370</v>
      </c>
      <c r="H24">
        <f t="shared" si="0"/>
        <v>-470</v>
      </c>
      <c r="I24" s="1"/>
      <c r="J24" s="1"/>
      <c r="K24" s="1">
        <v>0</v>
      </c>
      <c r="L24" s="1">
        <f>H24-K24</f>
        <v>-470</v>
      </c>
      <c r="M24" s="1"/>
      <c r="N24" s="14">
        <v>0</v>
      </c>
      <c r="O24" s="1">
        <v>-470</v>
      </c>
      <c r="P24" s="1"/>
      <c r="Q24" s="1"/>
      <c r="R24" s="1"/>
      <c r="S24" s="1"/>
    </row>
    <row r="25" spans="1:19">
      <c r="A25" t="s">
        <v>176</v>
      </c>
      <c r="B25" t="s">
        <v>156</v>
      </c>
      <c r="C25" s="2">
        <v>43077</v>
      </c>
      <c r="D25">
        <v>13200</v>
      </c>
      <c r="E25" s="1">
        <f>SUM(D25:D25)</f>
        <v>13200</v>
      </c>
      <c r="F25">
        <v>15400</v>
      </c>
      <c r="G25">
        <v>0</v>
      </c>
      <c r="H25" s="1">
        <f>F25-E25-G25</f>
        <v>2200</v>
      </c>
      <c r="I25" s="1"/>
      <c r="J25" s="1"/>
      <c r="K25" s="1">
        <v>0</v>
      </c>
      <c r="L25" s="1">
        <f>H25-K25</f>
        <v>2200</v>
      </c>
      <c r="M25" t="s">
        <v>177</v>
      </c>
      <c r="N25" s="14">
        <v>330</v>
      </c>
      <c r="O25" s="1">
        <v>1870</v>
      </c>
      <c r="P25" s="1"/>
      <c r="Q25" s="1"/>
      <c r="R25" s="1"/>
      <c r="S25" s="1"/>
    </row>
    <row r="26" spans="1:19">
      <c r="A26" t="s">
        <v>178</v>
      </c>
      <c r="B26" t="s">
        <v>151</v>
      </c>
      <c r="C26" s="2">
        <v>43076</v>
      </c>
      <c r="D26">
        <v>21095</v>
      </c>
      <c r="E26" s="1">
        <v>21694.31</v>
      </c>
      <c r="F26">
        <v>23413</v>
      </c>
      <c r="G26">
        <v>350</v>
      </c>
      <c r="H26" s="1">
        <f t="shared" ref="H26:H27" si="4">F26-E26-G26</f>
        <v>1368.6899999999987</v>
      </c>
      <c r="I26" s="1"/>
      <c r="J26">
        <v>136.68</v>
      </c>
      <c r="K26" s="1">
        <v>0</v>
      </c>
      <c r="L26" s="1">
        <f>H26-K26-J26</f>
        <v>1232.0099999999986</v>
      </c>
      <c r="M26" t="s">
        <v>127</v>
      </c>
      <c r="N26" s="14">
        <v>0</v>
      </c>
      <c r="O26" s="1">
        <v>1232.0099999999986</v>
      </c>
      <c r="P26" s="1"/>
      <c r="Q26" s="1"/>
      <c r="R26" s="1"/>
      <c r="S26" s="1"/>
    </row>
    <row r="27" spans="1:19">
      <c r="A27" t="s">
        <v>179</v>
      </c>
      <c r="B27" t="s">
        <v>151</v>
      </c>
      <c r="C27" s="2">
        <v>43076</v>
      </c>
      <c r="D27">
        <v>13000</v>
      </c>
      <c r="E27" s="1">
        <v>13010.02</v>
      </c>
      <c r="F27">
        <v>11250</v>
      </c>
      <c r="G27">
        <v>0</v>
      </c>
      <c r="H27" s="1">
        <f t="shared" si="4"/>
        <v>-1760.0200000000004</v>
      </c>
      <c r="I27" s="1"/>
      <c r="J27" s="1"/>
      <c r="K27" s="1">
        <v>0</v>
      </c>
      <c r="L27" s="1">
        <v>0</v>
      </c>
      <c r="M27" t="s">
        <v>127</v>
      </c>
      <c r="N27" s="14">
        <v>0</v>
      </c>
      <c r="O27" s="1">
        <v>-1760.0200000000004</v>
      </c>
      <c r="P27" s="1"/>
      <c r="Q27" s="1"/>
      <c r="R27" s="1"/>
      <c r="S27" s="1"/>
    </row>
    <row r="28" spans="1:19">
      <c r="A28" t="s">
        <v>180</v>
      </c>
      <c r="B28" t="s">
        <v>151</v>
      </c>
      <c r="C28" s="2">
        <v>43081</v>
      </c>
      <c r="D28">
        <v>25150</v>
      </c>
      <c r="E28" s="1">
        <v>25289</v>
      </c>
      <c r="F28">
        <v>27600</v>
      </c>
      <c r="G28">
        <v>500</v>
      </c>
      <c r="H28" s="1">
        <f>F28-E28-G28</f>
        <v>1811</v>
      </c>
      <c r="I28" s="1"/>
      <c r="J28" s="1"/>
      <c r="K28" s="1">
        <v>0</v>
      </c>
      <c r="L28" s="1">
        <f t="shared" ref="L28:L33" si="5">H28-K28</f>
        <v>1811</v>
      </c>
      <c r="M28" t="s">
        <v>127</v>
      </c>
      <c r="N28" s="14">
        <v>0</v>
      </c>
      <c r="O28" s="1">
        <v>1811</v>
      </c>
      <c r="P28" s="1"/>
      <c r="Q28" s="1"/>
      <c r="R28" s="1"/>
      <c r="S28" s="1"/>
    </row>
    <row r="29" spans="1:19">
      <c r="A29" t="s">
        <v>181</v>
      </c>
      <c r="B29" t="s">
        <v>151</v>
      </c>
      <c r="C29" s="2">
        <v>43081</v>
      </c>
      <c r="D29">
        <v>0</v>
      </c>
      <c r="E29" s="1">
        <v>0</v>
      </c>
      <c r="F29">
        <v>18500</v>
      </c>
      <c r="G29" s="1"/>
      <c r="H29" s="1">
        <v>18575</v>
      </c>
      <c r="I29" s="1"/>
      <c r="J29" s="1"/>
      <c r="K29" s="1">
        <v>0</v>
      </c>
      <c r="L29" s="1">
        <v>75</v>
      </c>
      <c r="M29" t="s">
        <v>127</v>
      </c>
      <c r="N29" s="14">
        <v>0</v>
      </c>
      <c r="O29" s="1">
        <v>75</v>
      </c>
      <c r="P29" s="1"/>
      <c r="Q29" s="1"/>
      <c r="R29" s="1"/>
      <c r="S29" s="1"/>
    </row>
    <row r="30" spans="1:19">
      <c r="A30" t="s">
        <v>182</v>
      </c>
      <c r="B30" t="s">
        <v>151</v>
      </c>
      <c r="C30" s="2">
        <v>43087</v>
      </c>
      <c r="D30">
        <v>5875</v>
      </c>
      <c r="E30" s="1">
        <f>SUM(D30:D30)</f>
        <v>5875</v>
      </c>
      <c r="F30">
        <v>6375</v>
      </c>
      <c r="H30" s="1">
        <f>F30-E30-G30</f>
        <v>500</v>
      </c>
      <c r="I30" s="1"/>
      <c r="J30" s="1"/>
      <c r="K30" s="1">
        <v>0</v>
      </c>
      <c r="L30" s="1">
        <f t="shared" si="5"/>
        <v>500</v>
      </c>
      <c r="M30" t="s">
        <v>127</v>
      </c>
      <c r="N30" s="14"/>
      <c r="O30" s="1">
        <v>500</v>
      </c>
      <c r="P30" s="1"/>
      <c r="Q30" s="1"/>
      <c r="R30" s="1"/>
      <c r="S30" s="1"/>
    </row>
    <row r="31" spans="1:19">
      <c r="A31" t="s">
        <v>183</v>
      </c>
      <c r="B31" t="s">
        <v>151</v>
      </c>
      <c r="C31" s="2">
        <v>43096</v>
      </c>
      <c r="D31">
        <v>49275</v>
      </c>
      <c r="E31">
        <f>SUM(D31:D31)+25</f>
        <v>49300</v>
      </c>
      <c r="F31" s="1">
        <v>53773</v>
      </c>
      <c r="G31" s="1">
        <v>400</v>
      </c>
      <c r="H31">
        <f t="shared" ref="H31:H43" si="6">F31-E31-G31</f>
        <v>4073</v>
      </c>
      <c r="I31" s="1"/>
      <c r="J31" s="1"/>
      <c r="K31" s="1">
        <v>0</v>
      </c>
      <c r="L31" s="1">
        <f t="shared" si="5"/>
        <v>4073</v>
      </c>
      <c r="M31" t="s">
        <v>127</v>
      </c>
      <c r="N31" s="15">
        <v>0</v>
      </c>
      <c r="O31" s="1">
        <v>4073</v>
      </c>
      <c r="P31" s="1"/>
      <c r="Q31" s="1"/>
      <c r="R31" s="1"/>
      <c r="S31" s="1"/>
    </row>
    <row r="32" spans="1:19">
      <c r="A32" t="s">
        <v>184</v>
      </c>
      <c r="B32" t="s">
        <v>151</v>
      </c>
      <c r="C32" s="2">
        <v>43096</v>
      </c>
      <c r="D32">
        <v>18475</v>
      </c>
      <c r="E32">
        <v>19403</v>
      </c>
      <c r="F32" s="1">
        <v>21000</v>
      </c>
      <c r="G32">
        <v>350</v>
      </c>
      <c r="H32">
        <f t="shared" si="6"/>
        <v>1247</v>
      </c>
      <c r="I32" s="1"/>
      <c r="J32" s="1"/>
      <c r="K32" s="1">
        <v>0</v>
      </c>
      <c r="L32" s="1">
        <f t="shared" si="5"/>
        <v>1247</v>
      </c>
      <c r="M32" t="s">
        <v>160</v>
      </c>
      <c r="N32" s="15">
        <v>190</v>
      </c>
      <c r="O32" s="1">
        <v>1057</v>
      </c>
      <c r="P32" s="1"/>
      <c r="Q32" s="1"/>
      <c r="R32" s="1"/>
      <c r="S32" s="1"/>
    </row>
    <row r="33" spans="1:19">
      <c r="A33" t="s">
        <v>185</v>
      </c>
      <c r="B33" t="s">
        <v>151</v>
      </c>
      <c r="C33" s="2">
        <v>43096</v>
      </c>
      <c r="D33">
        <v>17750</v>
      </c>
      <c r="E33">
        <f>SUM(D33:D33)+25</f>
        <v>17775</v>
      </c>
      <c r="F33" s="1">
        <v>20500</v>
      </c>
      <c r="G33" s="1">
        <v>600</v>
      </c>
      <c r="H33">
        <f t="shared" si="6"/>
        <v>2125</v>
      </c>
      <c r="I33" s="1"/>
      <c r="J33" s="1"/>
      <c r="K33" s="1">
        <v>0</v>
      </c>
      <c r="L33" s="1">
        <f t="shared" si="5"/>
        <v>2125</v>
      </c>
      <c r="M33" t="s">
        <v>152</v>
      </c>
      <c r="N33" s="15">
        <v>318.75</v>
      </c>
      <c r="O33" s="1">
        <v>1806.25</v>
      </c>
      <c r="P33" s="1">
        <v>10194.239999999998</v>
      </c>
      <c r="Q33">
        <v>10</v>
      </c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I34" s="1"/>
      <c r="J34" s="1"/>
      <c r="K34" s="1"/>
      <c r="L34" s="1"/>
      <c r="M34" s="1"/>
      <c r="N34" s="15"/>
      <c r="P34" s="1"/>
      <c r="Q34" s="1"/>
      <c r="R34" s="1"/>
      <c r="S34" s="1"/>
    </row>
    <row r="35" spans="1:19">
      <c r="A35" t="s">
        <v>186</v>
      </c>
      <c r="B35" t="s">
        <v>151</v>
      </c>
      <c r="C35" s="2">
        <v>43110</v>
      </c>
      <c r="D35">
        <v>23350</v>
      </c>
      <c r="E35" s="1">
        <v>23375</v>
      </c>
      <c r="F35">
        <v>26415</v>
      </c>
      <c r="G35" s="1"/>
      <c r="H35">
        <f t="shared" si="6"/>
        <v>3040</v>
      </c>
      <c r="I35" s="1"/>
      <c r="J35" s="1"/>
      <c r="K35" s="1">
        <v>0</v>
      </c>
      <c r="L35" s="1">
        <f>H35-K35</f>
        <v>3040</v>
      </c>
      <c r="M35" t="s">
        <v>187</v>
      </c>
      <c r="N35" s="15">
        <v>500</v>
      </c>
      <c r="O35" s="1">
        <v>2540</v>
      </c>
      <c r="P35" s="1"/>
      <c r="Q35" s="1"/>
      <c r="R35" s="1"/>
      <c r="S35" s="1"/>
    </row>
    <row r="36" spans="1:19">
      <c r="A36" t="s">
        <v>188</v>
      </c>
      <c r="B36" t="s">
        <v>151</v>
      </c>
      <c r="C36" s="2">
        <v>43111</v>
      </c>
      <c r="D36">
        <v>5250</v>
      </c>
      <c r="E36" s="1">
        <v>5275</v>
      </c>
      <c r="F36">
        <v>7000</v>
      </c>
      <c r="G36" s="1"/>
      <c r="H36">
        <f t="shared" si="6"/>
        <v>1725</v>
      </c>
      <c r="I36" s="1"/>
      <c r="J36" s="1">
        <v>158.97</v>
      </c>
      <c r="K36" s="1">
        <v>0</v>
      </c>
      <c r="L36" s="1">
        <f t="shared" ref="L36:L41" si="7">H36-K36-J36</f>
        <v>1566.03</v>
      </c>
      <c r="M36" t="s">
        <v>127</v>
      </c>
      <c r="N36" s="15">
        <v>0</v>
      </c>
      <c r="O36" s="1">
        <v>1566.03</v>
      </c>
      <c r="P36" s="1"/>
      <c r="Q36" s="1"/>
      <c r="R36" s="1"/>
      <c r="S36" s="1"/>
    </row>
    <row r="37" spans="1:19">
      <c r="A37" t="s">
        <v>189</v>
      </c>
      <c r="B37" t="s">
        <v>151</v>
      </c>
      <c r="C37" s="2">
        <v>43090</v>
      </c>
      <c r="D37">
        <v>6075</v>
      </c>
      <c r="E37" s="1">
        <v>6218.67</v>
      </c>
      <c r="F37">
        <v>7641.5</v>
      </c>
      <c r="G37">
        <v>400</v>
      </c>
      <c r="H37" s="1">
        <f>F37-E37-G37</f>
        <v>1022.8299999999999</v>
      </c>
      <c r="I37" s="1"/>
      <c r="J37">
        <v>674</v>
      </c>
      <c r="K37" s="1">
        <v>0</v>
      </c>
      <c r="L37" s="1">
        <f t="shared" si="7"/>
        <v>348.82999999999993</v>
      </c>
      <c r="M37" t="s">
        <v>127</v>
      </c>
      <c r="N37" s="14">
        <v>0</v>
      </c>
      <c r="O37" s="1">
        <v>348.82999999999993</v>
      </c>
      <c r="P37" s="1"/>
      <c r="Q37" s="1"/>
      <c r="R37" s="1"/>
      <c r="S37" s="1"/>
    </row>
    <row r="38" spans="1:19">
      <c r="A38" t="s">
        <v>190</v>
      </c>
      <c r="B38" t="s">
        <v>151</v>
      </c>
      <c r="C38" s="13">
        <v>43116</v>
      </c>
      <c r="D38">
        <v>52630</v>
      </c>
      <c r="E38" s="1">
        <f>SUM(D38:D38)+25</f>
        <v>52655</v>
      </c>
      <c r="F38">
        <v>57000</v>
      </c>
      <c r="G38">
        <v>220</v>
      </c>
      <c r="H38">
        <f t="shared" si="6"/>
        <v>4125</v>
      </c>
      <c r="L38" s="1">
        <f t="shared" si="7"/>
        <v>4125</v>
      </c>
      <c r="M38" t="s">
        <v>152</v>
      </c>
      <c r="N38" s="14">
        <v>620</v>
      </c>
      <c r="O38" s="1">
        <v>3505</v>
      </c>
    </row>
    <row r="39" spans="1:19">
      <c r="A39" t="s">
        <v>191</v>
      </c>
      <c r="B39" t="s">
        <v>151</v>
      </c>
      <c r="C39" s="13">
        <v>43119</v>
      </c>
      <c r="D39">
        <v>21480</v>
      </c>
      <c r="E39" s="1">
        <f>SUM(D39:D39)</f>
        <v>21480</v>
      </c>
      <c r="F39">
        <v>25943</v>
      </c>
      <c r="G39">
        <v>500</v>
      </c>
      <c r="H39">
        <f>F39-E39-G39</f>
        <v>3963</v>
      </c>
      <c r="L39" s="1">
        <f t="shared" si="7"/>
        <v>3963</v>
      </c>
      <c r="M39" t="s">
        <v>127</v>
      </c>
      <c r="N39" s="15">
        <v>0</v>
      </c>
      <c r="O39">
        <v>3963</v>
      </c>
    </row>
    <row r="40" spans="1:19">
      <c r="A40" t="s">
        <v>192</v>
      </c>
      <c r="B40" t="s">
        <v>151</v>
      </c>
      <c r="C40" s="13">
        <v>43119</v>
      </c>
      <c r="D40">
        <v>11225</v>
      </c>
      <c r="E40" s="1">
        <v>11225</v>
      </c>
      <c r="F40">
        <v>14150</v>
      </c>
      <c r="G40">
        <v>600</v>
      </c>
      <c r="H40">
        <f>F40-E40-G40</f>
        <v>2325</v>
      </c>
      <c r="J40">
        <v>730</v>
      </c>
      <c r="L40" s="1">
        <f t="shared" si="7"/>
        <v>1595</v>
      </c>
      <c r="M40" t="s">
        <v>193</v>
      </c>
      <c r="N40" s="14">
        <v>240</v>
      </c>
      <c r="O40">
        <v>1355</v>
      </c>
    </row>
    <row r="41" spans="1:19">
      <c r="A41" t="s">
        <v>194</v>
      </c>
      <c r="B41" t="s">
        <v>151</v>
      </c>
      <c r="C41" s="13">
        <v>43122</v>
      </c>
      <c r="D41">
        <v>30050</v>
      </c>
      <c r="E41" s="1">
        <f>SUM(D41:D41)</f>
        <v>30050</v>
      </c>
      <c r="F41">
        <v>33490</v>
      </c>
      <c r="G41">
        <v>400</v>
      </c>
      <c r="H41">
        <f t="shared" si="6"/>
        <v>3040</v>
      </c>
      <c r="L41" s="1">
        <f t="shared" si="7"/>
        <v>3040</v>
      </c>
      <c r="M41" t="s">
        <v>195</v>
      </c>
      <c r="N41" s="15">
        <v>460</v>
      </c>
      <c r="O41">
        <v>2580</v>
      </c>
    </row>
    <row r="42" spans="1:19">
      <c r="A42" t="s">
        <v>196</v>
      </c>
      <c r="B42" t="s">
        <v>151</v>
      </c>
      <c r="C42" s="13">
        <v>43126</v>
      </c>
      <c r="D42">
        <v>17080</v>
      </c>
      <c r="E42">
        <v>17080</v>
      </c>
      <c r="F42">
        <v>18612</v>
      </c>
      <c r="H42">
        <f t="shared" si="6"/>
        <v>1532</v>
      </c>
      <c r="L42" s="1">
        <f>H42-K42-J42</f>
        <v>1532</v>
      </c>
      <c r="M42" t="s">
        <v>187</v>
      </c>
      <c r="N42" s="14">
        <v>230</v>
      </c>
      <c r="O42">
        <v>1302</v>
      </c>
    </row>
    <row r="43" spans="1:19">
      <c r="A43" t="s">
        <v>161</v>
      </c>
      <c r="B43" t="s">
        <v>151</v>
      </c>
      <c r="C43" s="13">
        <v>43130</v>
      </c>
      <c r="D43">
        <v>39850</v>
      </c>
      <c r="E43">
        <v>39875</v>
      </c>
      <c r="F43">
        <v>43205</v>
      </c>
      <c r="G43">
        <v>400</v>
      </c>
      <c r="H43">
        <f t="shared" si="6"/>
        <v>2930</v>
      </c>
      <c r="I43">
        <v>28000</v>
      </c>
      <c r="L43">
        <f>H43-K43-J43</f>
        <v>2930</v>
      </c>
      <c r="M43" t="s">
        <v>127</v>
      </c>
      <c r="N43" s="15">
        <v>0</v>
      </c>
      <c r="O43">
        <v>2930</v>
      </c>
      <c r="P43">
        <v>20089.86</v>
      </c>
      <c r="Q43">
        <v>9</v>
      </c>
      <c r="R43" t="s">
        <v>197</v>
      </c>
    </row>
    <row r="44" spans="1:19">
      <c r="N44" s="15"/>
    </row>
    <row r="45" spans="1:19">
      <c r="A45" t="s">
        <v>198</v>
      </c>
      <c r="B45" t="s">
        <v>151</v>
      </c>
      <c r="C45" s="2">
        <v>43090</v>
      </c>
      <c r="D45">
        <v>5575</v>
      </c>
      <c r="E45">
        <v>5714.87</v>
      </c>
      <c r="F45">
        <v>4880</v>
      </c>
      <c r="H45" s="1">
        <f t="shared" ref="H45:H49" si="8">F45-E45-G45</f>
        <v>-834.86999999999989</v>
      </c>
      <c r="I45" s="1"/>
      <c r="J45" s="1"/>
      <c r="K45" s="1">
        <v>0</v>
      </c>
      <c r="L45" s="1">
        <f>H45-K45</f>
        <v>-834.86999999999989</v>
      </c>
      <c r="M45" t="s">
        <v>127</v>
      </c>
      <c r="N45" s="14">
        <v>0</v>
      </c>
      <c r="O45">
        <v>-834.86999999999989</v>
      </c>
      <c r="P45" s="1"/>
      <c r="Q45" s="1"/>
      <c r="R45" s="1"/>
      <c r="S45" s="1"/>
    </row>
    <row r="46" spans="1:19">
      <c r="A46" t="s">
        <v>199</v>
      </c>
      <c r="B46" t="s">
        <v>151</v>
      </c>
      <c r="C46" s="13">
        <v>43133</v>
      </c>
      <c r="D46">
        <v>42760</v>
      </c>
      <c r="E46">
        <v>42785</v>
      </c>
      <c r="F46">
        <v>47783</v>
      </c>
      <c r="G46">
        <v>450</v>
      </c>
      <c r="H46">
        <f t="shared" si="8"/>
        <v>4548</v>
      </c>
      <c r="L46" s="1">
        <f>H46-K46</f>
        <v>4548</v>
      </c>
      <c r="M46" t="s">
        <v>152</v>
      </c>
      <c r="N46" s="14">
        <v>680</v>
      </c>
      <c r="O46">
        <v>3868</v>
      </c>
    </row>
    <row r="47" spans="1:19">
      <c r="A47" t="s">
        <v>200</v>
      </c>
      <c r="B47" t="s">
        <v>151</v>
      </c>
      <c r="C47" s="13">
        <v>43133</v>
      </c>
      <c r="D47">
        <v>69475</v>
      </c>
      <c r="E47">
        <v>69500</v>
      </c>
      <c r="F47">
        <v>77000</v>
      </c>
      <c r="G47">
        <v>600</v>
      </c>
      <c r="H47">
        <f t="shared" si="8"/>
        <v>6900</v>
      </c>
      <c r="I47">
        <v>51000</v>
      </c>
      <c r="J47">
        <v>350</v>
      </c>
      <c r="L47" s="1">
        <f>H47-K47</f>
        <v>6900</v>
      </c>
      <c r="M47" t="s">
        <v>201</v>
      </c>
      <c r="N47" s="15">
        <v>300</v>
      </c>
      <c r="O47">
        <v>6250</v>
      </c>
    </row>
    <row r="48" spans="1:19">
      <c r="A48" t="s">
        <v>202</v>
      </c>
      <c r="B48" t="s">
        <v>151</v>
      </c>
      <c r="C48" s="2">
        <v>43091</v>
      </c>
      <c r="D48">
        <v>49000</v>
      </c>
      <c r="E48">
        <f>SUM(D48:D48)</f>
        <v>49000</v>
      </c>
      <c r="F48">
        <v>51725</v>
      </c>
      <c r="G48">
        <v>300</v>
      </c>
      <c r="H48" s="1">
        <f t="shared" si="8"/>
        <v>2425</v>
      </c>
      <c r="I48" s="1"/>
      <c r="J48" s="1">
        <v>10</v>
      </c>
      <c r="K48" s="1">
        <v>0</v>
      </c>
      <c r="L48" s="1">
        <f>H48-K48-J48</f>
        <v>2415</v>
      </c>
      <c r="M48" t="s">
        <v>127</v>
      </c>
      <c r="N48" s="14">
        <v>0</v>
      </c>
      <c r="O48">
        <v>2425</v>
      </c>
      <c r="P48" s="1"/>
      <c r="Q48" s="1"/>
      <c r="R48" s="1"/>
      <c r="S48" s="1"/>
    </row>
    <row r="49" spans="1:19">
      <c r="A49" t="s">
        <v>203</v>
      </c>
      <c r="B49" t="s">
        <v>151</v>
      </c>
      <c r="C49" s="13">
        <v>43116</v>
      </c>
      <c r="D49">
        <v>19849.7</v>
      </c>
      <c r="E49">
        <v>19849.7</v>
      </c>
      <c r="F49">
        <v>18668</v>
      </c>
      <c r="H49" s="1">
        <f t="shared" si="8"/>
        <v>-1181.7000000000007</v>
      </c>
      <c r="I49" s="1"/>
      <c r="J49" s="1">
        <v>0</v>
      </c>
      <c r="K49" s="1">
        <v>0</v>
      </c>
      <c r="L49" s="1">
        <f>H49-K49-J49</f>
        <v>-1181.7000000000007</v>
      </c>
      <c r="M49" t="s">
        <v>127</v>
      </c>
      <c r="N49" s="14">
        <v>0</v>
      </c>
      <c r="O49">
        <v>-1181.7000000000007</v>
      </c>
    </row>
    <row r="50" spans="1:19">
      <c r="A50" t="s">
        <v>204</v>
      </c>
      <c r="B50" t="s">
        <v>151</v>
      </c>
      <c r="C50" s="13">
        <v>43153</v>
      </c>
      <c r="D50">
        <v>22115</v>
      </c>
      <c r="E50">
        <v>22115</v>
      </c>
      <c r="F50">
        <v>25000</v>
      </c>
      <c r="G50">
        <v>500</v>
      </c>
      <c r="H50" s="1">
        <f t="shared" ref="H50" si="9">F50-E50-G50</f>
        <v>2385</v>
      </c>
      <c r="I50" s="1"/>
      <c r="J50" s="1">
        <v>50</v>
      </c>
      <c r="K50" s="1">
        <v>0</v>
      </c>
      <c r="L50" s="1">
        <f>H50-K50-J50</f>
        <v>2335</v>
      </c>
      <c r="M50" t="s">
        <v>152</v>
      </c>
      <c r="N50" s="14">
        <v>350.25</v>
      </c>
      <c r="O50">
        <v>1984.75</v>
      </c>
      <c r="P50">
        <v>12511.18</v>
      </c>
      <c r="Q50">
        <v>6</v>
      </c>
    </row>
    <row r="51" spans="1:19">
      <c r="H51" s="1"/>
      <c r="I51" s="1"/>
      <c r="J51" s="1"/>
      <c r="K51" s="1"/>
      <c r="L51" s="1"/>
      <c r="M51" s="1"/>
      <c r="N51" s="14"/>
    </row>
    <row r="52" spans="1:19">
      <c r="A52" t="s">
        <v>205</v>
      </c>
      <c r="B52" t="s">
        <v>151</v>
      </c>
      <c r="C52" s="13">
        <v>43165</v>
      </c>
      <c r="D52">
        <v>11563.92</v>
      </c>
      <c r="E52">
        <v>11563.92</v>
      </c>
      <c r="F52">
        <v>10375</v>
      </c>
      <c r="G52">
        <v>0</v>
      </c>
      <c r="H52" s="1">
        <f t="shared" ref="H52" si="10">F52-E52-G52</f>
        <v>-1188.92</v>
      </c>
      <c r="I52" s="1"/>
      <c r="J52" s="1">
        <v>320</v>
      </c>
      <c r="K52" s="1">
        <v>0</v>
      </c>
      <c r="L52" s="1">
        <f t="shared" ref="L52" si="11">H52-K52-J52</f>
        <v>-1508.92</v>
      </c>
      <c r="M52" t="s">
        <v>127</v>
      </c>
      <c r="N52" s="14">
        <v>0</v>
      </c>
      <c r="O52">
        <v>-1508.92</v>
      </c>
    </row>
    <row r="53" spans="1:19">
      <c r="A53" t="s">
        <v>206</v>
      </c>
      <c r="B53" t="s">
        <v>151</v>
      </c>
      <c r="C53" s="2">
        <v>43169</v>
      </c>
      <c r="D53">
        <v>5135.55</v>
      </c>
      <c r="E53" s="1">
        <v>5122.05</v>
      </c>
      <c r="F53">
        <v>4770</v>
      </c>
      <c r="G53">
        <v>400</v>
      </c>
      <c r="H53" s="1">
        <f t="shared" ref="H53:H61" si="12">F53-E53-G53</f>
        <v>-752.05000000000018</v>
      </c>
      <c r="I53" s="1"/>
      <c r="J53" s="1"/>
      <c r="K53" s="1">
        <v>0</v>
      </c>
      <c r="L53" s="1">
        <f>H53-K53</f>
        <v>-752.05000000000018</v>
      </c>
      <c r="M53" t="s">
        <v>127</v>
      </c>
      <c r="N53" s="14">
        <v>0</v>
      </c>
      <c r="O53" s="1">
        <v>-752.95</v>
      </c>
      <c r="P53" s="1"/>
      <c r="Q53" s="1"/>
      <c r="R53" s="1"/>
      <c r="S53" s="1"/>
    </row>
    <row r="54" spans="1:19">
      <c r="A54" t="s">
        <v>207</v>
      </c>
      <c r="B54" t="s">
        <v>151</v>
      </c>
      <c r="C54" s="13">
        <v>43175</v>
      </c>
      <c r="D54">
        <v>8700</v>
      </c>
      <c r="E54">
        <v>8700</v>
      </c>
      <c r="F54">
        <v>9998</v>
      </c>
      <c r="G54">
        <v>0</v>
      </c>
      <c r="H54">
        <f t="shared" si="12"/>
        <v>1298</v>
      </c>
      <c r="J54">
        <v>500</v>
      </c>
      <c r="L54" s="1">
        <f>F54-J54-E54</f>
        <v>798</v>
      </c>
      <c r="M54" t="s">
        <v>152</v>
      </c>
      <c r="N54" s="14">
        <v>239.39999999999998</v>
      </c>
      <c r="O54">
        <v>558.59999999999991</v>
      </c>
    </row>
    <row r="55" spans="1:19">
      <c r="A55" t="s">
        <v>208</v>
      </c>
      <c r="B55" t="s">
        <v>151</v>
      </c>
      <c r="C55" s="2">
        <v>43090</v>
      </c>
      <c r="D55">
        <v>6299</v>
      </c>
      <c r="E55">
        <v>6733</v>
      </c>
      <c r="F55">
        <v>4460</v>
      </c>
      <c r="G55">
        <v>500</v>
      </c>
      <c r="H55">
        <f t="shared" si="12"/>
        <v>-2773</v>
      </c>
      <c r="I55" s="1"/>
      <c r="J55">
        <v>1000</v>
      </c>
      <c r="K55" s="1">
        <v>0</v>
      </c>
      <c r="L55" s="1">
        <f>H55-J55</f>
        <v>-3773</v>
      </c>
      <c r="M55" t="s">
        <v>127</v>
      </c>
      <c r="N55" s="15">
        <v>0</v>
      </c>
      <c r="O55">
        <v>-3773</v>
      </c>
      <c r="P55" s="1"/>
      <c r="Q55" s="1"/>
      <c r="R55" s="1"/>
      <c r="S55" s="1"/>
    </row>
    <row r="56" spans="1:19">
      <c r="A56" t="s">
        <v>209</v>
      </c>
      <c r="B56" t="s">
        <v>151</v>
      </c>
      <c r="C56" s="13">
        <v>43180</v>
      </c>
      <c r="D56">
        <v>13475</v>
      </c>
      <c r="E56">
        <v>13450</v>
      </c>
      <c r="F56">
        <v>15887</v>
      </c>
      <c r="G56">
        <v>950</v>
      </c>
      <c r="H56">
        <f t="shared" si="12"/>
        <v>1487</v>
      </c>
      <c r="J56">
        <v>192</v>
      </c>
      <c r="L56" s="1">
        <f>H56-J56</f>
        <v>1295</v>
      </c>
      <c r="M56" t="s">
        <v>210</v>
      </c>
      <c r="N56" s="15">
        <v>194.25</v>
      </c>
      <c r="O56">
        <v>1100.75</v>
      </c>
    </row>
    <row r="57" spans="1:19">
      <c r="A57" t="s">
        <v>211</v>
      </c>
      <c r="B57" t="s">
        <v>151</v>
      </c>
      <c r="C57" s="13">
        <v>43181</v>
      </c>
      <c r="D57">
        <v>29500</v>
      </c>
      <c r="E57">
        <v>29000</v>
      </c>
      <c r="F57">
        <v>27700</v>
      </c>
      <c r="G57">
        <v>500</v>
      </c>
      <c r="H57">
        <f t="shared" si="12"/>
        <v>-1800</v>
      </c>
      <c r="J57">
        <v>0</v>
      </c>
      <c r="L57" s="1">
        <f>H57-J57</f>
        <v>-1800</v>
      </c>
      <c r="M57" t="s">
        <v>127</v>
      </c>
      <c r="N57" s="15">
        <v>0</v>
      </c>
      <c r="O57">
        <v>-1800</v>
      </c>
    </row>
    <row r="58" spans="1:19">
      <c r="A58" t="s">
        <v>212</v>
      </c>
      <c r="B58" t="s">
        <v>151</v>
      </c>
      <c r="C58" s="13">
        <v>43187</v>
      </c>
      <c r="D58">
        <v>16350</v>
      </c>
      <c r="E58">
        <v>16375</v>
      </c>
      <c r="F58">
        <v>18868</v>
      </c>
      <c r="G58">
        <v>500</v>
      </c>
      <c r="H58">
        <f t="shared" si="12"/>
        <v>1993</v>
      </c>
      <c r="L58" s="1">
        <f>H58-J58</f>
        <v>1993</v>
      </c>
      <c r="M58" t="s">
        <v>210</v>
      </c>
      <c r="N58" s="15">
        <v>298.95</v>
      </c>
      <c r="O58">
        <v>1694.05</v>
      </c>
    </row>
    <row r="59" spans="1:19">
      <c r="A59" t="s">
        <v>213</v>
      </c>
      <c r="B59" t="s">
        <v>151</v>
      </c>
      <c r="C59" s="13">
        <v>43187</v>
      </c>
      <c r="D59">
        <v>31755.7</v>
      </c>
      <c r="E59">
        <v>31755.7</v>
      </c>
      <c r="F59">
        <v>31325</v>
      </c>
      <c r="G59">
        <v>0</v>
      </c>
      <c r="H59">
        <f t="shared" si="12"/>
        <v>-430.70000000000073</v>
      </c>
      <c r="L59">
        <f>H59-J59</f>
        <v>-430.70000000000073</v>
      </c>
      <c r="M59" t="s">
        <v>127</v>
      </c>
      <c r="N59" s="15">
        <v>0</v>
      </c>
      <c r="O59">
        <v>-430.70000000000073</v>
      </c>
      <c r="P59">
        <v>-4912.170000000001</v>
      </c>
      <c r="Q59">
        <v>8</v>
      </c>
    </row>
    <row r="60" spans="1:19">
      <c r="N60" s="15"/>
    </row>
    <row r="61" spans="1:19">
      <c r="A61" t="s">
        <v>214</v>
      </c>
      <c r="B61" t="s">
        <v>151</v>
      </c>
      <c r="C61" s="13">
        <v>43194</v>
      </c>
      <c r="D61">
        <v>24280</v>
      </c>
      <c r="E61">
        <v>23830</v>
      </c>
      <c r="F61">
        <v>26000</v>
      </c>
      <c r="G61">
        <v>450</v>
      </c>
      <c r="H61">
        <f t="shared" si="12"/>
        <v>1720</v>
      </c>
      <c r="L61">
        <f t="shared" ref="L61:L67" si="13">H61-J61</f>
        <v>1720</v>
      </c>
      <c r="M61" t="s">
        <v>152</v>
      </c>
      <c r="N61" s="15">
        <v>516</v>
      </c>
      <c r="O61">
        <v>1204</v>
      </c>
    </row>
    <row r="62" spans="1:19">
      <c r="A62" t="s">
        <v>215</v>
      </c>
      <c r="B62" t="s">
        <v>151</v>
      </c>
      <c r="C62" s="13">
        <v>43196</v>
      </c>
      <c r="D62">
        <v>12575</v>
      </c>
      <c r="E62">
        <v>12590</v>
      </c>
      <c r="F62">
        <v>14500</v>
      </c>
      <c r="G62">
        <v>450</v>
      </c>
      <c r="H62">
        <f t="shared" ref="H62:H67" si="14">F62-E62-G62</f>
        <v>1460</v>
      </c>
      <c r="L62">
        <f t="shared" si="13"/>
        <v>1460</v>
      </c>
      <c r="M62" t="s">
        <v>152</v>
      </c>
      <c r="N62" s="15">
        <v>336.75</v>
      </c>
      <c r="O62">
        <v>1123.25</v>
      </c>
    </row>
    <row r="63" spans="1:19">
      <c r="A63" t="s">
        <v>216</v>
      </c>
      <c r="B63" t="s">
        <v>151</v>
      </c>
      <c r="C63" s="13">
        <v>43200</v>
      </c>
      <c r="D63">
        <v>11000</v>
      </c>
      <c r="E63">
        <v>11000</v>
      </c>
      <c r="F63">
        <v>11250</v>
      </c>
      <c r="G63">
        <v>0</v>
      </c>
      <c r="H63">
        <f t="shared" si="14"/>
        <v>250</v>
      </c>
      <c r="J63">
        <v>3000</v>
      </c>
      <c r="L63">
        <f t="shared" si="13"/>
        <v>-2750</v>
      </c>
      <c r="M63" t="s">
        <v>127</v>
      </c>
      <c r="N63" s="15">
        <v>0</v>
      </c>
      <c r="O63">
        <v>-2750</v>
      </c>
    </row>
    <row r="64" spans="1:19">
      <c r="A64" t="s">
        <v>217</v>
      </c>
      <c r="B64" t="s">
        <v>151</v>
      </c>
      <c r="C64" s="13">
        <v>43203</v>
      </c>
      <c r="D64">
        <v>60000</v>
      </c>
      <c r="E64">
        <v>60000</v>
      </c>
      <c r="F64">
        <v>65125</v>
      </c>
      <c r="G64">
        <v>250</v>
      </c>
      <c r="H64">
        <f t="shared" si="14"/>
        <v>4875</v>
      </c>
      <c r="L64">
        <f t="shared" si="13"/>
        <v>4875</v>
      </c>
      <c r="M64" t="s">
        <v>127</v>
      </c>
      <c r="N64" s="15">
        <v>0</v>
      </c>
      <c r="O64">
        <v>4875</v>
      </c>
    </row>
    <row r="65" spans="1:17">
      <c r="A65" t="s">
        <v>218</v>
      </c>
      <c r="B65" t="s">
        <v>151</v>
      </c>
      <c r="C65" s="13">
        <v>43206</v>
      </c>
      <c r="D65">
        <v>19295.89</v>
      </c>
      <c r="E65">
        <f>D65+G65</f>
        <v>19795.89</v>
      </c>
      <c r="F65">
        <v>18734</v>
      </c>
      <c r="G65">
        <v>500</v>
      </c>
      <c r="H65">
        <f t="shared" si="14"/>
        <v>-1561.8899999999994</v>
      </c>
      <c r="J65">
        <v>2100</v>
      </c>
      <c r="L65">
        <f t="shared" si="13"/>
        <v>-3661.8899999999994</v>
      </c>
      <c r="M65" t="s">
        <v>219</v>
      </c>
      <c r="N65" s="15">
        <v>0</v>
      </c>
      <c r="O65">
        <v>-3661.8899999999994</v>
      </c>
    </row>
    <row r="66" spans="1:17">
      <c r="A66" t="s">
        <v>220</v>
      </c>
      <c r="B66" t="s">
        <v>151</v>
      </c>
      <c r="C66" s="13">
        <v>43208</v>
      </c>
      <c r="D66">
        <v>25925</v>
      </c>
      <c r="E66">
        <v>25950</v>
      </c>
      <c r="F66">
        <v>28059</v>
      </c>
      <c r="G66">
        <v>0</v>
      </c>
      <c r="H66">
        <f t="shared" si="14"/>
        <v>2109</v>
      </c>
      <c r="L66">
        <f t="shared" si="13"/>
        <v>2109</v>
      </c>
      <c r="M66" t="s">
        <v>127</v>
      </c>
      <c r="N66" s="15">
        <v>0</v>
      </c>
      <c r="O66">
        <v>2109</v>
      </c>
    </row>
    <row r="67" spans="1:17">
      <c r="A67" t="s">
        <v>221</v>
      </c>
      <c r="B67" t="s">
        <v>151</v>
      </c>
      <c r="C67" s="13">
        <v>43218</v>
      </c>
      <c r="D67">
        <v>16000</v>
      </c>
      <c r="E67">
        <v>16000</v>
      </c>
      <c r="F67">
        <v>17375</v>
      </c>
      <c r="G67">
        <v>200</v>
      </c>
      <c r="H67">
        <f t="shared" si="14"/>
        <v>1175</v>
      </c>
      <c r="L67">
        <f t="shared" si="13"/>
        <v>1175</v>
      </c>
      <c r="M67" t="s">
        <v>127</v>
      </c>
      <c r="N67" s="15">
        <v>0</v>
      </c>
      <c r="O67">
        <v>1175</v>
      </c>
      <c r="P67">
        <v>4074.3600000000006</v>
      </c>
      <c r="Q67">
        <v>7</v>
      </c>
    </row>
    <row r="68" spans="1:17">
      <c r="N68" s="15"/>
    </row>
    <row r="69" spans="1:17">
      <c r="A69" t="s">
        <v>222</v>
      </c>
      <c r="B69" t="s">
        <v>151</v>
      </c>
      <c r="C69" s="13">
        <v>43229</v>
      </c>
      <c r="D69">
        <v>11255</v>
      </c>
      <c r="E69">
        <v>10555</v>
      </c>
      <c r="F69">
        <v>13500</v>
      </c>
      <c r="G69">
        <v>700</v>
      </c>
      <c r="H69">
        <f t="shared" ref="H69:H70" si="15">F69-E69-G69</f>
        <v>2245</v>
      </c>
      <c r="L69">
        <f t="shared" ref="L69:L70" si="16">H69-J69</f>
        <v>2245</v>
      </c>
      <c r="M69" t="s">
        <v>223</v>
      </c>
      <c r="N69" s="15">
        <v>336.75</v>
      </c>
      <c r="O69">
        <v>1908.25</v>
      </c>
    </row>
    <row r="70" spans="1:17">
      <c r="A70" t="s">
        <v>224</v>
      </c>
      <c r="B70" t="s">
        <v>151</v>
      </c>
      <c r="C70" s="13">
        <v>43231</v>
      </c>
      <c r="D70">
        <v>6900</v>
      </c>
      <c r="E70">
        <v>6900</v>
      </c>
      <c r="F70">
        <v>7500</v>
      </c>
      <c r="G70">
        <v>0</v>
      </c>
      <c r="H70">
        <f t="shared" si="15"/>
        <v>600</v>
      </c>
      <c r="J70">
        <v>290</v>
      </c>
      <c r="L70">
        <f t="shared" si="16"/>
        <v>310</v>
      </c>
      <c r="M70" t="s">
        <v>127</v>
      </c>
      <c r="N70" s="15">
        <v>0</v>
      </c>
      <c r="O70">
        <v>310</v>
      </c>
    </row>
    <row r="71" spans="1:17">
      <c r="A71" t="s">
        <v>225</v>
      </c>
      <c r="B71" t="s">
        <v>151</v>
      </c>
      <c r="C71" s="13">
        <v>43238</v>
      </c>
      <c r="D71">
        <v>8500</v>
      </c>
      <c r="E71">
        <v>8525</v>
      </c>
      <c r="F71">
        <v>11200</v>
      </c>
      <c r="G71">
        <v>900</v>
      </c>
      <c r="H71">
        <f t="shared" ref="H71:H76" si="17">F71-E71-G71</f>
        <v>1775</v>
      </c>
      <c r="J71">
        <v>10</v>
      </c>
      <c r="L71">
        <f t="shared" ref="L71:L76" si="18">H71-J71</f>
        <v>1765</v>
      </c>
      <c r="M71" t="s">
        <v>160</v>
      </c>
      <c r="N71" s="15">
        <v>264.75</v>
      </c>
      <c r="O71">
        <v>1500.25</v>
      </c>
      <c r="P71">
        <v>3718.5</v>
      </c>
      <c r="Q71">
        <v>3</v>
      </c>
    </row>
    <row r="72" spans="1:17">
      <c r="N72" s="15"/>
    </row>
    <row r="73" spans="1:17">
      <c r="A73" t="s">
        <v>226</v>
      </c>
      <c r="B73" t="s">
        <v>151</v>
      </c>
      <c r="C73" s="13">
        <v>43258</v>
      </c>
      <c r="D73">
        <v>25025</v>
      </c>
      <c r="E73">
        <v>25025</v>
      </c>
      <c r="F73">
        <v>26620</v>
      </c>
      <c r="G73">
        <v>0</v>
      </c>
      <c r="H73">
        <f t="shared" si="17"/>
        <v>1595</v>
      </c>
      <c r="I73">
        <v>5000</v>
      </c>
      <c r="L73">
        <f t="shared" si="18"/>
        <v>1595</v>
      </c>
      <c r="M73" t="s">
        <v>227</v>
      </c>
      <c r="N73" s="15">
        <v>239.25</v>
      </c>
      <c r="O73">
        <v>1355.75</v>
      </c>
    </row>
    <row r="74" spans="1:17">
      <c r="A74" t="s">
        <v>228</v>
      </c>
      <c r="B74" t="s">
        <v>151</v>
      </c>
      <c r="C74" s="13">
        <v>43266</v>
      </c>
      <c r="D74">
        <v>25785</v>
      </c>
      <c r="E74">
        <v>25810</v>
      </c>
      <c r="F74">
        <v>27500</v>
      </c>
      <c r="G74">
        <v>350</v>
      </c>
      <c r="H74">
        <f t="shared" si="17"/>
        <v>1340</v>
      </c>
      <c r="L74">
        <f t="shared" si="18"/>
        <v>1340</v>
      </c>
      <c r="M74" t="s">
        <v>160</v>
      </c>
      <c r="N74" s="15">
        <v>201</v>
      </c>
      <c r="O74">
        <v>1139</v>
      </c>
    </row>
    <row r="75" spans="1:17">
      <c r="A75" t="s">
        <v>229</v>
      </c>
      <c r="B75" t="s">
        <v>151</v>
      </c>
      <c r="C75" s="13">
        <v>43267</v>
      </c>
      <c r="D75">
        <v>3000</v>
      </c>
      <c r="E75">
        <v>3000</v>
      </c>
      <c r="F75">
        <v>3500</v>
      </c>
      <c r="G75">
        <v>0</v>
      </c>
      <c r="H75">
        <f t="shared" si="17"/>
        <v>500</v>
      </c>
      <c r="L75">
        <f t="shared" si="18"/>
        <v>500</v>
      </c>
      <c r="M75" t="s">
        <v>127</v>
      </c>
      <c r="N75" s="15">
        <v>0</v>
      </c>
      <c r="O75">
        <v>500</v>
      </c>
    </row>
    <row r="76" spans="1:17">
      <c r="A76" t="s">
        <v>230</v>
      </c>
      <c r="B76" t="s">
        <v>151</v>
      </c>
      <c r="C76" s="13">
        <v>43279</v>
      </c>
      <c r="D76">
        <v>37012</v>
      </c>
      <c r="E76">
        <v>37050</v>
      </c>
      <c r="F76">
        <v>36975</v>
      </c>
      <c r="G76">
        <v>150</v>
      </c>
      <c r="H76">
        <f t="shared" si="17"/>
        <v>-225</v>
      </c>
      <c r="J76">
        <v>2015</v>
      </c>
      <c r="L76">
        <f t="shared" si="18"/>
        <v>-2240</v>
      </c>
      <c r="M76" t="s">
        <v>127</v>
      </c>
      <c r="N76" s="15">
        <v>0</v>
      </c>
      <c r="O76">
        <v>-2240</v>
      </c>
    </row>
    <row r="77" spans="1:17">
      <c r="A77" t="s">
        <v>231</v>
      </c>
      <c r="B77" t="s">
        <v>151</v>
      </c>
      <c r="C77" s="13">
        <v>43280</v>
      </c>
      <c r="D77">
        <v>5227.21</v>
      </c>
      <c r="E77">
        <v>5227.21</v>
      </c>
      <c r="F77">
        <v>8004.72</v>
      </c>
      <c r="H77">
        <f t="shared" ref="H77:H83" si="19">F77-E77-G77</f>
        <v>2777.51</v>
      </c>
      <c r="L77">
        <f t="shared" ref="L77" si="20">H77-J77</f>
        <v>2777.51</v>
      </c>
      <c r="M77" t="s">
        <v>232</v>
      </c>
      <c r="N77" s="15">
        <v>277.75100000000003</v>
      </c>
      <c r="O77">
        <v>2499.759</v>
      </c>
      <c r="P77">
        <v>3254.509</v>
      </c>
      <c r="Q77">
        <v>5</v>
      </c>
    </row>
    <row r="78" spans="1:17">
      <c r="N78" s="15"/>
    </row>
    <row r="79" spans="1:17">
      <c r="A79" t="s">
        <v>233</v>
      </c>
      <c r="B79" t="s">
        <v>151</v>
      </c>
      <c r="C79" s="13">
        <v>43286</v>
      </c>
      <c r="D79">
        <v>23000</v>
      </c>
      <c r="E79">
        <v>23163.87</v>
      </c>
      <c r="F79">
        <v>27610</v>
      </c>
      <c r="G79">
        <v>150</v>
      </c>
      <c r="H79">
        <f t="shared" si="19"/>
        <v>4296.130000000001</v>
      </c>
      <c r="L79">
        <f t="shared" ref="L79" si="21">H79-J79</f>
        <v>4296.130000000001</v>
      </c>
      <c r="M79" t="s">
        <v>127</v>
      </c>
      <c r="N79" s="15">
        <v>0</v>
      </c>
      <c r="O79">
        <v>4296.130000000001</v>
      </c>
    </row>
    <row r="80" spans="1:17">
      <c r="A80" t="s">
        <v>234</v>
      </c>
      <c r="B80" t="s">
        <v>151</v>
      </c>
      <c r="C80" s="13">
        <v>43287</v>
      </c>
      <c r="D80">
        <v>6719.73</v>
      </c>
      <c r="L80">
        <v>2984.38</v>
      </c>
      <c r="M80" t="s">
        <v>127</v>
      </c>
      <c r="N80" s="15">
        <v>0</v>
      </c>
      <c r="O80">
        <v>2984.38</v>
      </c>
    </row>
    <row r="81" spans="1:18">
      <c r="A81" t="s">
        <v>235</v>
      </c>
      <c r="B81" t="s">
        <v>151</v>
      </c>
      <c r="C81" s="13">
        <v>43287</v>
      </c>
      <c r="D81">
        <v>24344.93</v>
      </c>
      <c r="E81">
        <v>24344.93</v>
      </c>
      <c r="F81">
        <v>26745</v>
      </c>
      <c r="G81">
        <v>600</v>
      </c>
      <c r="H81">
        <f t="shared" si="19"/>
        <v>1800.0699999999997</v>
      </c>
      <c r="L81">
        <f t="shared" ref="L81:L83" si="22">H81-J81</f>
        <v>1800.0699999999997</v>
      </c>
      <c r="M81" t="s">
        <v>152</v>
      </c>
      <c r="N81" s="15">
        <v>400</v>
      </c>
      <c r="O81">
        <v>1400.0699999999997</v>
      </c>
    </row>
    <row r="82" spans="1:18">
      <c r="A82" t="s">
        <v>236</v>
      </c>
      <c r="B82" t="s">
        <v>151</v>
      </c>
      <c r="C82" s="13">
        <v>43299</v>
      </c>
      <c r="D82">
        <v>60684.81</v>
      </c>
      <c r="E82">
        <v>60684.81</v>
      </c>
      <c r="F82">
        <v>65865</v>
      </c>
      <c r="H82">
        <f t="shared" si="19"/>
        <v>5180.1900000000023</v>
      </c>
      <c r="L82">
        <f t="shared" si="22"/>
        <v>5180.1900000000023</v>
      </c>
      <c r="M82" t="s">
        <v>237</v>
      </c>
      <c r="N82" s="15">
        <v>400</v>
      </c>
      <c r="O82">
        <v>4780.1900000000023</v>
      </c>
    </row>
    <row r="83" spans="1:18">
      <c r="A83" t="s">
        <v>238</v>
      </c>
      <c r="B83" t="s">
        <v>151</v>
      </c>
      <c r="C83" s="13">
        <v>43304</v>
      </c>
      <c r="D83">
        <v>2500</v>
      </c>
      <c r="E83">
        <v>2500</v>
      </c>
      <c r="F83">
        <v>3300</v>
      </c>
      <c r="H83">
        <f t="shared" si="19"/>
        <v>800</v>
      </c>
      <c r="I83">
        <v>1000</v>
      </c>
      <c r="J83">
        <v>250</v>
      </c>
      <c r="L83">
        <f t="shared" si="22"/>
        <v>550</v>
      </c>
      <c r="M83" t="s">
        <v>127</v>
      </c>
      <c r="N83" s="15">
        <v>0</v>
      </c>
      <c r="O83">
        <v>550</v>
      </c>
    </row>
    <row r="84" spans="1:18">
      <c r="A84" t="s">
        <v>239</v>
      </c>
      <c r="B84" t="s">
        <v>151</v>
      </c>
      <c r="C84" s="13">
        <v>43309</v>
      </c>
      <c r="D84">
        <v>12000</v>
      </c>
      <c r="E84">
        <v>12000</v>
      </c>
      <c r="F84">
        <v>12710</v>
      </c>
      <c r="H84">
        <f t="shared" ref="H84:H99" si="23">F84-E84-G84</f>
        <v>710</v>
      </c>
      <c r="L84">
        <f t="shared" ref="L84:L85" si="24">H84-J84</f>
        <v>710</v>
      </c>
      <c r="M84" t="s">
        <v>240</v>
      </c>
      <c r="N84" s="15">
        <v>100</v>
      </c>
      <c r="O84">
        <v>610</v>
      </c>
    </row>
    <row r="85" spans="1:18">
      <c r="A85" t="s">
        <v>241</v>
      </c>
      <c r="B85" t="s">
        <v>151</v>
      </c>
      <c r="C85" s="13">
        <v>43311</v>
      </c>
      <c r="D85">
        <v>1000</v>
      </c>
      <c r="E85">
        <v>1180</v>
      </c>
      <c r="F85">
        <v>825</v>
      </c>
      <c r="G85">
        <v>150</v>
      </c>
      <c r="H85">
        <f t="shared" si="23"/>
        <v>-505</v>
      </c>
      <c r="L85">
        <f t="shared" si="24"/>
        <v>-505</v>
      </c>
      <c r="M85" t="s">
        <v>127</v>
      </c>
      <c r="N85" s="15">
        <v>0</v>
      </c>
      <c r="O85">
        <v>-505</v>
      </c>
    </row>
    <row r="86" spans="1:18">
      <c r="A86" t="s">
        <v>242</v>
      </c>
      <c r="B86" t="s">
        <v>151</v>
      </c>
      <c r="C86" s="13">
        <v>43312</v>
      </c>
      <c r="D86">
        <v>6239.71</v>
      </c>
      <c r="E86">
        <v>6239.71</v>
      </c>
      <c r="F86">
        <v>8354.2800000000007</v>
      </c>
      <c r="H86">
        <f t="shared" si="23"/>
        <v>2114.5700000000006</v>
      </c>
      <c r="J86">
        <v>165</v>
      </c>
      <c r="L86">
        <f t="shared" ref="L86:L91" si="25">H86-J86</f>
        <v>1949.5700000000006</v>
      </c>
      <c r="M86" t="s">
        <v>127</v>
      </c>
      <c r="N86" s="15">
        <v>0</v>
      </c>
      <c r="O86">
        <v>0</v>
      </c>
      <c r="P86">
        <v>14115.770000000004</v>
      </c>
      <c r="Q86">
        <v>8</v>
      </c>
      <c r="R86">
        <v>1949.57</v>
      </c>
    </row>
    <row r="87" spans="1:18">
      <c r="N87" s="15"/>
    </row>
    <row r="88" spans="1:18">
      <c r="A88" t="s">
        <v>243</v>
      </c>
      <c r="B88" t="s">
        <v>151</v>
      </c>
      <c r="C88" s="13">
        <v>43320</v>
      </c>
      <c r="D88">
        <v>144000</v>
      </c>
      <c r="E88">
        <v>144025</v>
      </c>
      <c r="F88">
        <v>149600</v>
      </c>
      <c r="G88">
        <v>2000</v>
      </c>
      <c r="H88">
        <f t="shared" si="23"/>
        <v>3575</v>
      </c>
      <c r="J88">
        <v>1100</v>
      </c>
      <c r="L88">
        <f t="shared" si="25"/>
        <v>2475</v>
      </c>
      <c r="M88" t="s">
        <v>232</v>
      </c>
      <c r="N88" s="15">
        <v>0</v>
      </c>
      <c r="O88">
        <v>2475</v>
      </c>
    </row>
    <row r="89" spans="1:18">
      <c r="A89" t="s">
        <v>244</v>
      </c>
      <c r="B89" t="s">
        <v>151</v>
      </c>
      <c r="C89" s="13">
        <v>43320</v>
      </c>
      <c r="D89">
        <v>5800</v>
      </c>
      <c r="L89">
        <v>487.87</v>
      </c>
      <c r="M89" t="s">
        <v>127</v>
      </c>
      <c r="N89" s="15">
        <v>0</v>
      </c>
      <c r="O89">
        <v>487.87</v>
      </c>
    </row>
    <row r="90" spans="1:18">
      <c r="A90" t="s">
        <v>245</v>
      </c>
      <c r="B90" t="s">
        <v>151</v>
      </c>
      <c r="C90" s="13">
        <v>43323</v>
      </c>
      <c r="D90">
        <v>500</v>
      </c>
      <c r="E90">
        <v>500</v>
      </c>
      <c r="F90">
        <v>1867.92</v>
      </c>
      <c r="H90">
        <f t="shared" si="23"/>
        <v>1367.92</v>
      </c>
      <c r="L90">
        <f t="shared" si="25"/>
        <v>1367.92</v>
      </c>
      <c r="M90" t="s">
        <v>127</v>
      </c>
      <c r="N90" s="15">
        <v>0</v>
      </c>
      <c r="O90">
        <v>1367.92</v>
      </c>
    </row>
    <row r="91" spans="1:18">
      <c r="A91" t="s">
        <v>246</v>
      </c>
      <c r="B91" t="s">
        <v>151</v>
      </c>
      <c r="C91" s="13">
        <v>43330</v>
      </c>
      <c r="D91">
        <v>7570.22</v>
      </c>
      <c r="E91">
        <v>7570.22</v>
      </c>
      <c r="F91">
        <v>8960</v>
      </c>
      <c r="G91">
        <v>150</v>
      </c>
      <c r="H91">
        <f t="shared" si="23"/>
        <v>1239.7799999999997</v>
      </c>
      <c r="J91">
        <v>50</v>
      </c>
      <c r="L91">
        <f t="shared" si="25"/>
        <v>1189.7799999999997</v>
      </c>
      <c r="M91" t="s">
        <v>127</v>
      </c>
      <c r="N91" s="15">
        <v>0</v>
      </c>
      <c r="O91">
        <v>1189.7799999999997</v>
      </c>
    </row>
    <row r="92" spans="1:18">
      <c r="A92" t="s">
        <v>247</v>
      </c>
      <c r="B92" t="s">
        <v>151</v>
      </c>
      <c r="C92" s="13">
        <v>43331</v>
      </c>
      <c r="D92">
        <v>4256.88</v>
      </c>
      <c r="E92">
        <v>4256.88</v>
      </c>
      <c r="F92">
        <v>4710</v>
      </c>
      <c r="H92">
        <f t="shared" si="23"/>
        <v>453.11999999999989</v>
      </c>
      <c r="J92">
        <v>100</v>
      </c>
      <c r="L92">
        <f t="shared" ref="L92:L99" si="26">H92-J92</f>
        <v>353.11999999999989</v>
      </c>
      <c r="M92" t="s">
        <v>127</v>
      </c>
      <c r="N92" s="15">
        <v>0</v>
      </c>
      <c r="O92">
        <v>353.11999999999989</v>
      </c>
    </row>
    <row r="93" spans="1:18">
      <c r="A93" t="s">
        <v>184</v>
      </c>
      <c r="B93" t="s">
        <v>151</v>
      </c>
      <c r="C93" s="13">
        <v>43333</v>
      </c>
      <c r="D93">
        <v>22926.39</v>
      </c>
      <c r="E93">
        <v>22926.39</v>
      </c>
      <c r="F93">
        <v>25710</v>
      </c>
      <c r="G93">
        <v>500</v>
      </c>
      <c r="H93">
        <f t="shared" si="23"/>
        <v>2283.6100000000006</v>
      </c>
      <c r="J93">
        <v>200</v>
      </c>
      <c r="L93">
        <f t="shared" si="26"/>
        <v>2083.6100000000006</v>
      </c>
      <c r="M93" t="s">
        <v>248</v>
      </c>
      <c r="N93" s="15">
        <v>230</v>
      </c>
      <c r="O93">
        <v>1853.6100000000006</v>
      </c>
    </row>
    <row r="94" spans="1:18">
      <c r="A94" t="s">
        <v>249</v>
      </c>
      <c r="B94" t="s">
        <v>151</v>
      </c>
      <c r="C94" s="13">
        <v>43334</v>
      </c>
      <c r="D94">
        <v>20069.419999999998</v>
      </c>
      <c r="E94">
        <v>20069.419999999998</v>
      </c>
      <c r="F94">
        <v>24266</v>
      </c>
      <c r="G94">
        <v>250</v>
      </c>
      <c r="H94">
        <f t="shared" si="23"/>
        <v>3946.5800000000017</v>
      </c>
      <c r="I94">
        <v>2000</v>
      </c>
      <c r="J94">
        <v>50</v>
      </c>
      <c r="L94">
        <f t="shared" si="26"/>
        <v>3896.5800000000017</v>
      </c>
      <c r="M94" t="s">
        <v>250</v>
      </c>
      <c r="N94" s="15">
        <v>230</v>
      </c>
      <c r="O94">
        <v>3666.5800000000017</v>
      </c>
    </row>
    <row r="95" spans="1:18">
      <c r="A95" t="s">
        <v>251</v>
      </c>
      <c r="B95" t="s">
        <v>151</v>
      </c>
      <c r="C95" s="13">
        <v>43334</v>
      </c>
      <c r="D95">
        <v>55446.87</v>
      </c>
      <c r="E95">
        <v>55446.87</v>
      </c>
      <c r="F95">
        <v>57625</v>
      </c>
      <c r="G95">
        <v>150</v>
      </c>
      <c r="H95">
        <f t="shared" si="23"/>
        <v>2028.1299999999974</v>
      </c>
      <c r="L95">
        <f t="shared" si="26"/>
        <v>2028.1299999999974</v>
      </c>
      <c r="M95" t="s">
        <v>127</v>
      </c>
      <c r="N95" s="15">
        <v>0</v>
      </c>
      <c r="O95">
        <v>2028.1299999999974</v>
      </c>
    </row>
    <row r="96" spans="1:18">
      <c r="A96" t="s">
        <v>252</v>
      </c>
      <c r="B96" t="s">
        <v>151</v>
      </c>
      <c r="C96" s="13">
        <v>43339</v>
      </c>
      <c r="D96">
        <v>25934.400000000001</v>
      </c>
      <c r="E96">
        <v>25934.400000000001</v>
      </c>
      <c r="F96">
        <v>30710</v>
      </c>
      <c r="H96">
        <f t="shared" si="23"/>
        <v>4775.5999999999985</v>
      </c>
      <c r="J96">
        <v>0</v>
      </c>
      <c r="L96">
        <f t="shared" si="26"/>
        <v>4775.5999999999985</v>
      </c>
      <c r="M96" t="s">
        <v>223</v>
      </c>
      <c r="N96" s="15">
        <v>500</v>
      </c>
      <c r="O96">
        <v>4275.5999999999985</v>
      </c>
    </row>
    <row r="97" spans="1:18">
      <c r="A97" t="s">
        <v>253</v>
      </c>
      <c r="B97" t="s">
        <v>151</v>
      </c>
      <c r="C97" s="13">
        <v>43342</v>
      </c>
      <c r="D97">
        <v>12500</v>
      </c>
      <c r="E97">
        <v>12500</v>
      </c>
      <c r="F97">
        <v>13710</v>
      </c>
      <c r="H97">
        <f t="shared" si="23"/>
        <v>1210</v>
      </c>
      <c r="L97">
        <f t="shared" si="26"/>
        <v>1210</v>
      </c>
      <c r="M97" t="s">
        <v>152</v>
      </c>
      <c r="N97" s="15">
        <v>363</v>
      </c>
      <c r="O97">
        <v>847</v>
      </c>
    </row>
    <row r="98" spans="1:18">
      <c r="A98" t="s">
        <v>254</v>
      </c>
      <c r="B98" t="s">
        <v>151</v>
      </c>
      <c r="C98" s="13">
        <v>43342</v>
      </c>
      <c r="D98">
        <v>19276</v>
      </c>
      <c r="E98">
        <v>19276</v>
      </c>
      <c r="F98">
        <v>19710</v>
      </c>
      <c r="H98">
        <f t="shared" si="23"/>
        <v>434</v>
      </c>
      <c r="L98">
        <f t="shared" si="26"/>
        <v>434</v>
      </c>
      <c r="M98" t="s">
        <v>152</v>
      </c>
      <c r="N98" s="15">
        <v>130.19999999999999</v>
      </c>
      <c r="O98">
        <v>303.8</v>
      </c>
    </row>
    <row r="99" spans="1:18">
      <c r="A99" t="s">
        <v>255</v>
      </c>
      <c r="B99" t="s">
        <v>151</v>
      </c>
      <c r="C99" s="13">
        <v>43342</v>
      </c>
      <c r="D99">
        <v>17500</v>
      </c>
      <c r="E99">
        <v>17500</v>
      </c>
      <c r="F99">
        <v>18500</v>
      </c>
      <c r="H99">
        <f t="shared" si="23"/>
        <v>1000</v>
      </c>
      <c r="L99">
        <f t="shared" si="26"/>
        <v>1000</v>
      </c>
      <c r="M99" t="s">
        <v>127</v>
      </c>
      <c r="N99" s="15">
        <v>0</v>
      </c>
      <c r="O99">
        <v>1000</v>
      </c>
      <c r="P99">
        <v>19848.409999999996</v>
      </c>
      <c r="Q99">
        <v>12</v>
      </c>
    </row>
    <row r="101" spans="1:18">
      <c r="N101" t="s">
        <v>256</v>
      </c>
      <c r="O101" s="1">
        <v>112727.15900000003</v>
      </c>
      <c r="P101" t="s">
        <v>213</v>
      </c>
      <c r="Q101" t="s">
        <v>257</v>
      </c>
      <c r="R101">
        <f>AVERAGE(O2:O99)</f>
        <v>1295.7144712643681</v>
      </c>
    </row>
    <row r="102" spans="1:18">
      <c r="N102" t="s">
        <v>258</v>
      </c>
      <c r="O102">
        <v>87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ABC5-7820-4502-963B-66645C0AB870}">
  <sheetPr codeName="Sheet1"/>
  <dimension ref="A1:W909"/>
  <sheetViews>
    <sheetView zoomScale="85" zoomScaleNormal="85" workbookViewId="0">
      <pane ySplit="1" topLeftCell="A2" activePane="bottomLeft" state="frozen"/>
      <selection activeCell="G102" sqref="G102"/>
      <selection pane="bottomLeft" activeCell="A29" sqref="A29"/>
    </sheetView>
  </sheetViews>
  <sheetFormatPr defaultRowHeight="15"/>
  <cols>
    <col min="1" max="1" width="30.42578125" customWidth="1"/>
    <col min="3" max="3" width="8.42578125" customWidth="1"/>
    <col min="4" max="4" width="13.140625" customWidth="1"/>
    <col min="5" max="5" width="21.42578125" customWidth="1"/>
    <col min="6" max="6" width="4.7109375" customWidth="1"/>
    <col min="7" max="7" width="11" customWidth="1"/>
    <col min="11" max="11" width="14.140625" bestFit="1" customWidth="1"/>
    <col min="12" max="12" width="14.140625" customWidth="1"/>
    <col min="13" max="13" width="13.42578125" customWidth="1"/>
    <col min="14" max="14" width="12" customWidth="1"/>
    <col min="16" max="16" width="10.85546875" customWidth="1"/>
    <col min="17" max="17" width="11.28515625" bestFit="1" customWidth="1"/>
    <col min="18" max="18" width="12.28515625" style="68" bestFit="1" customWidth="1"/>
    <col min="20" max="20" width="10.7109375" customWidth="1"/>
  </cols>
  <sheetData>
    <row r="1" spans="1:20">
      <c r="A1" s="1"/>
      <c r="B1" s="1" t="s">
        <v>136</v>
      </c>
      <c r="C1" s="17" t="s">
        <v>259</v>
      </c>
      <c r="D1" s="1" t="s">
        <v>137</v>
      </c>
      <c r="E1" s="17" t="s">
        <v>260</v>
      </c>
      <c r="F1" t="s">
        <v>261</v>
      </c>
      <c r="G1" s="1" t="s">
        <v>138</v>
      </c>
      <c r="H1" s="1" t="s">
        <v>139</v>
      </c>
      <c r="I1" s="1" t="s">
        <v>140</v>
      </c>
      <c r="J1" t="s">
        <v>262</v>
      </c>
      <c r="K1" s="1" t="s">
        <v>141</v>
      </c>
      <c r="L1" s="1" t="s">
        <v>142</v>
      </c>
      <c r="M1" t="s">
        <v>143</v>
      </c>
      <c r="N1" t="s">
        <v>144</v>
      </c>
      <c r="O1" s="1" t="s">
        <v>146</v>
      </c>
      <c r="P1" s="1" t="s">
        <v>147</v>
      </c>
      <c r="Q1" t="s">
        <v>148</v>
      </c>
      <c r="R1" s="67" t="s">
        <v>149</v>
      </c>
      <c r="S1" s="1"/>
      <c r="T1" t="s">
        <v>263</v>
      </c>
    </row>
    <row r="2" spans="1:20">
      <c r="A2" t="s">
        <v>264</v>
      </c>
      <c r="B2" t="s">
        <v>151</v>
      </c>
      <c r="D2" s="13">
        <v>43347</v>
      </c>
      <c r="E2" s="13"/>
      <c r="F2" s="13"/>
      <c r="G2">
        <v>19055</v>
      </c>
      <c r="H2">
        <v>19055</v>
      </c>
      <c r="I2">
        <v>21200</v>
      </c>
      <c r="K2">
        <v>0</v>
      </c>
      <c r="L2">
        <f t="shared" ref="L2:L10" si="0">I2-H2-K2</f>
        <v>2145</v>
      </c>
      <c r="M2" t="s">
        <v>265</v>
      </c>
      <c r="O2">
        <f t="shared" ref="O2:O10" si="1">L2-N2</f>
        <v>2145</v>
      </c>
      <c r="P2" s="16" t="s">
        <v>266</v>
      </c>
      <c r="Q2" s="19">
        <v>320</v>
      </c>
      <c r="R2" s="68">
        <v>1825</v>
      </c>
    </row>
    <row r="3" spans="1:20">
      <c r="A3" t="s">
        <v>267</v>
      </c>
      <c r="B3" t="s">
        <v>151</v>
      </c>
      <c r="D3" s="13">
        <v>43349</v>
      </c>
      <c r="E3" s="13"/>
      <c r="F3" s="13"/>
      <c r="G3">
        <v>95064.17</v>
      </c>
      <c r="H3">
        <v>95271.71</v>
      </c>
      <c r="I3">
        <f>105210+951.06</f>
        <v>106161.06</v>
      </c>
      <c r="K3">
        <v>500</v>
      </c>
      <c r="L3">
        <f t="shared" si="0"/>
        <v>10389.349999999991</v>
      </c>
      <c r="M3">
        <v>72000</v>
      </c>
      <c r="N3">
        <v>385</v>
      </c>
      <c r="O3">
        <f t="shared" si="1"/>
        <v>10004.349999999991</v>
      </c>
      <c r="P3" s="16" t="s">
        <v>268</v>
      </c>
      <c r="Q3" s="19">
        <v>3000</v>
      </c>
      <c r="R3" s="68">
        <v>7004.3499999999913</v>
      </c>
    </row>
    <row r="4" spans="1:20">
      <c r="A4" t="s">
        <v>269</v>
      </c>
      <c r="B4" t="s">
        <v>151</v>
      </c>
      <c r="D4" s="13">
        <v>43354</v>
      </c>
      <c r="E4" s="13"/>
      <c r="F4" s="13"/>
      <c r="G4">
        <v>46150</v>
      </c>
      <c r="H4">
        <v>46175</v>
      </c>
      <c r="I4">
        <v>49245</v>
      </c>
      <c r="K4">
        <v>700</v>
      </c>
      <c r="L4">
        <f t="shared" si="0"/>
        <v>2370</v>
      </c>
      <c r="M4">
        <f>45300+2000</f>
        <v>47300</v>
      </c>
      <c r="O4">
        <f t="shared" si="1"/>
        <v>2370</v>
      </c>
      <c r="P4" s="16" t="s">
        <v>270</v>
      </c>
      <c r="Q4" s="19">
        <v>355.5</v>
      </c>
      <c r="R4" s="68">
        <v>2014.5</v>
      </c>
    </row>
    <row r="5" spans="1:20">
      <c r="A5" t="s">
        <v>271</v>
      </c>
      <c r="B5" t="s">
        <v>151</v>
      </c>
      <c r="D5" s="13">
        <v>43355</v>
      </c>
      <c r="E5" s="13"/>
      <c r="F5" s="13"/>
      <c r="G5">
        <v>24837.27</v>
      </c>
      <c r="H5">
        <v>24837.27</v>
      </c>
      <c r="I5">
        <v>28301</v>
      </c>
      <c r="K5">
        <v>1200</v>
      </c>
      <c r="L5">
        <f t="shared" si="0"/>
        <v>2263.7299999999996</v>
      </c>
      <c r="M5">
        <v>30000</v>
      </c>
      <c r="O5">
        <f t="shared" si="1"/>
        <v>2263.7299999999996</v>
      </c>
      <c r="P5" s="16" t="s">
        <v>248</v>
      </c>
      <c r="Q5" s="19">
        <v>339.5594999999999</v>
      </c>
      <c r="R5" s="68">
        <v>1924.1704999999997</v>
      </c>
    </row>
    <row r="6" spans="1:20">
      <c r="A6" t="s">
        <v>272</v>
      </c>
      <c r="B6" t="s">
        <v>151</v>
      </c>
      <c r="D6" s="13">
        <v>43357</v>
      </c>
      <c r="E6" s="13"/>
      <c r="F6" s="13"/>
      <c r="G6">
        <v>19500</v>
      </c>
      <c r="H6">
        <v>19500</v>
      </c>
      <c r="I6">
        <v>20820</v>
      </c>
      <c r="L6">
        <f t="shared" si="0"/>
        <v>1320</v>
      </c>
      <c r="O6">
        <f t="shared" si="1"/>
        <v>1320</v>
      </c>
      <c r="P6" s="16" t="s">
        <v>127</v>
      </c>
      <c r="Q6" s="19">
        <v>0</v>
      </c>
      <c r="R6" s="68">
        <v>1320</v>
      </c>
    </row>
    <row r="7" spans="1:20">
      <c r="A7" t="s">
        <v>273</v>
      </c>
      <c r="B7" t="s">
        <v>151</v>
      </c>
      <c r="D7" s="13">
        <v>43358</v>
      </c>
      <c r="E7" s="13"/>
      <c r="F7" s="13"/>
      <c r="G7">
        <v>6467.36</v>
      </c>
      <c r="H7">
        <v>6467.36</v>
      </c>
      <c r="I7">
        <v>8350</v>
      </c>
      <c r="K7">
        <v>300</v>
      </c>
      <c r="L7">
        <f t="shared" si="0"/>
        <v>1582.6400000000003</v>
      </c>
      <c r="N7">
        <v>400</v>
      </c>
      <c r="O7">
        <f t="shared" si="1"/>
        <v>1182.6400000000003</v>
      </c>
      <c r="P7" s="16" t="s">
        <v>160</v>
      </c>
      <c r="Q7" s="19">
        <v>177</v>
      </c>
      <c r="R7" s="68">
        <v>1005.6400000000003</v>
      </c>
    </row>
    <row r="8" spans="1:20">
      <c r="A8" t="s">
        <v>274</v>
      </c>
      <c r="B8" t="s">
        <v>151</v>
      </c>
      <c r="D8" s="13">
        <v>43363</v>
      </c>
      <c r="E8" s="13"/>
      <c r="F8" s="13"/>
      <c r="G8">
        <v>17265.91</v>
      </c>
      <c r="H8">
        <v>17265.91</v>
      </c>
      <c r="I8">
        <v>18625</v>
      </c>
      <c r="K8">
        <v>100</v>
      </c>
      <c r="L8">
        <f t="shared" si="0"/>
        <v>1259.0900000000001</v>
      </c>
      <c r="N8">
        <v>200</v>
      </c>
      <c r="O8">
        <f t="shared" si="1"/>
        <v>1059.0900000000001</v>
      </c>
      <c r="P8" s="16" t="s">
        <v>127</v>
      </c>
      <c r="Q8" s="19">
        <v>0</v>
      </c>
      <c r="R8" s="68">
        <v>1059.0900000000001</v>
      </c>
    </row>
    <row r="9" spans="1:20">
      <c r="A9" t="s">
        <v>275</v>
      </c>
      <c r="B9" t="s">
        <v>151</v>
      </c>
      <c r="D9" s="13">
        <v>43334</v>
      </c>
      <c r="E9" s="13"/>
      <c r="F9" s="13"/>
      <c r="G9">
        <v>1300</v>
      </c>
      <c r="H9">
        <v>1300</v>
      </c>
      <c r="I9">
        <v>2100</v>
      </c>
      <c r="L9">
        <f t="shared" si="0"/>
        <v>800</v>
      </c>
      <c r="N9">
        <v>108</v>
      </c>
      <c r="O9">
        <f t="shared" si="1"/>
        <v>692</v>
      </c>
      <c r="P9" s="16" t="s">
        <v>127</v>
      </c>
      <c r="Q9" s="19">
        <v>0</v>
      </c>
      <c r="R9" s="68">
        <v>692</v>
      </c>
    </row>
    <row r="10" spans="1:20">
      <c r="A10" t="s">
        <v>276</v>
      </c>
      <c r="B10" t="s">
        <v>151</v>
      </c>
      <c r="D10" s="13">
        <v>43370</v>
      </c>
      <c r="E10" s="13"/>
      <c r="F10" s="13"/>
      <c r="G10">
        <v>28822</v>
      </c>
      <c r="H10">
        <v>28822</v>
      </c>
      <c r="I10">
        <v>31710</v>
      </c>
      <c r="K10">
        <v>100</v>
      </c>
      <c r="L10">
        <f t="shared" si="0"/>
        <v>2788</v>
      </c>
      <c r="M10">
        <v>2000</v>
      </c>
      <c r="O10">
        <f t="shared" si="1"/>
        <v>2788</v>
      </c>
      <c r="P10" s="16" t="s">
        <v>152</v>
      </c>
      <c r="Q10" s="19">
        <v>770</v>
      </c>
      <c r="R10" s="68">
        <v>2018</v>
      </c>
      <c r="S10">
        <v>18862.750499999991</v>
      </c>
      <c r="T10">
        <v>9</v>
      </c>
    </row>
    <row r="11" spans="1:20">
      <c r="D11" s="13"/>
      <c r="E11" s="13"/>
      <c r="F11" s="13"/>
      <c r="Q11" s="19"/>
    </row>
    <row r="12" spans="1:20">
      <c r="A12" t="s">
        <v>277</v>
      </c>
      <c r="B12" t="s">
        <v>151</v>
      </c>
      <c r="D12" s="13">
        <v>43374</v>
      </c>
      <c r="E12" s="13"/>
      <c r="F12" s="13"/>
      <c r="G12">
        <v>46704</v>
      </c>
      <c r="H12">
        <v>46704.2</v>
      </c>
      <c r="I12">
        <v>49056</v>
      </c>
      <c r="K12">
        <v>500</v>
      </c>
      <c r="L12">
        <f t="shared" ref="L12:L23" si="2">I12-H12-K12</f>
        <v>1851.8000000000029</v>
      </c>
      <c r="O12">
        <f t="shared" ref="O12:O23" si="3">L12-N12</f>
        <v>1851.8000000000029</v>
      </c>
      <c r="P12" s="16" t="s">
        <v>278</v>
      </c>
      <c r="Q12" s="19">
        <v>277.77000000000044</v>
      </c>
      <c r="R12" s="68">
        <v>1574.0300000000025</v>
      </c>
    </row>
    <row r="13" spans="1:20">
      <c r="A13" t="s">
        <v>279</v>
      </c>
      <c r="B13" t="s">
        <v>151</v>
      </c>
      <c r="D13" s="13">
        <v>43376</v>
      </c>
      <c r="E13" s="13"/>
      <c r="F13" s="13"/>
      <c r="G13">
        <v>28780</v>
      </c>
      <c r="H13">
        <f>28780+25</f>
        <v>28805</v>
      </c>
      <c r="I13">
        <f>29950+210+243</f>
        <v>30403</v>
      </c>
      <c r="K13">
        <v>450</v>
      </c>
      <c r="L13">
        <f t="shared" si="2"/>
        <v>1148</v>
      </c>
      <c r="O13">
        <f t="shared" si="3"/>
        <v>1148</v>
      </c>
      <c r="P13" s="16" t="s">
        <v>278</v>
      </c>
      <c r="Q13" s="19">
        <v>0</v>
      </c>
      <c r="R13" s="68">
        <v>1148</v>
      </c>
    </row>
    <row r="14" spans="1:20">
      <c r="A14" t="s">
        <v>280</v>
      </c>
      <c r="B14" t="s">
        <v>151</v>
      </c>
      <c r="D14" s="13">
        <v>43377</v>
      </c>
      <c r="E14" s="13"/>
      <c r="F14" s="13"/>
      <c r="G14">
        <v>32623</v>
      </c>
      <c r="H14">
        <v>32648</v>
      </c>
      <c r="I14">
        <v>35849</v>
      </c>
      <c r="K14">
        <v>500</v>
      </c>
      <c r="L14">
        <f t="shared" si="2"/>
        <v>2701</v>
      </c>
      <c r="O14">
        <f t="shared" si="3"/>
        <v>2701</v>
      </c>
      <c r="P14" s="16" t="s">
        <v>278</v>
      </c>
      <c r="Q14" s="19">
        <v>405.15</v>
      </c>
      <c r="R14" s="68">
        <v>2295.85</v>
      </c>
    </row>
    <row r="15" spans="1:20">
      <c r="A15" t="s">
        <v>281</v>
      </c>
      <c r="B15" t="s">
        <v>151</v>
      </c>
      <c r="D15" s="13">
        <v>43382</v>
      </c>
      <c r="E15" s="13"/>
      <c r="F15" s="13"/>
      <c r="G15">
        <v>19907</v>
      </c>
      <c r="H15">
        <v>20126</v>
      </c>
      <c r="I15">
        <v>20845</v>
      </c>
      <c r="K15">
        <v>125</v>
      </c>
      <c r="L15">
        <f t="shared" si="2"/>
        <v>594</v>
      </c>
      <c r="O15">
        <f t="shared" si="3"/>
        <v>594</v>
      </c>
      <c r="P15" s="16" t="s">
        <v>282</v>
      </c>
      <c r="Q15" s="19">
        <v>0</v>
      </c>
      <c r="R15" s="68">
        <v>594</v>
      </c>
    </row>
    <row r="16" spans="1:20">
      <c r="A16" t="s">
        <v>283</v>
      </c>
      <c r="B16" t="s">
        <v>151</v>
      </c>
      <c r="D16" s="13">
        <v>43382</v>
      </c>
      <c r="E16" s="13"/>
      <c r="F16" s="13"/>
      <c r="G16">
        <v>10080</v>
      </c>
      <c r="H16">
        <v>10080</v>
      </c>
      <c r="I16">
        <v>12585</v>
      </c>
      <c r="K16">
        <v>650</v>
      </c>
      <c r="L16">
        <f t="shared" si="2"/>
        <v>1855</v>
      </c>
      <c r="O16">
        <f t="shared" si="3"/>
        <v>1855</v>
      </c>
      <c r="P16" s="16" t="s">
        <v>248</v>
      </c>
      <c r="Q16" s="19">
        <v>278.25</v>
      </c>
      <c r="R16" s="68">
        <v>1576.75</v>
      </c>
    </row>
    <row r="17" spans="1:20">
      <c r="A17" t="s">
        <v>284</v>
      </c>
      <c r="B17" t="s">
        <v>151</v>
      </c>
      <c r="D17" s="13">
        <v>43382</v>
      </c>
      <c r="E17" s="13"/>
      <c r="F17" s="13"/>
      <c r="G17">
        <v>51500</v>
      </c>
      <c r="H17">
        <v>51525</v>
      </c>
      <c r="I17">
        <v>55052</v>
      </c>
      <c r="K17">
        <v>450</v>
      </c>
      <c r="L17">
        <f t="shared" si="2"/>
        <v>3077</v>
      </c>
      <c r="O17">
        <f t="shared" si="3"/>
        <v>3077</v>
      </c>
      <c r="P17" s="16" t="s">
        <v>278</v>
      </c>
      <c r="Q17" s="19">
        <v>430</v>
      </c>
      <c r="R17" s="68">
        <v>2647</v>
      </c>
    </row>
    <row r="18" spans="1:20">
      <c r="A18" t="s">
        <v>285</v>
      </c>
      <c r="B18" t="s">
        <v>151</v>
      </c>
      <c r="D18" s="13">
        <v>43383</v>
      </c>
      <c r="E18" s="13"/>
      <c r="F18" s="13"/>
      <c r="G18">
        <v>23650</v>
      </c>
      <c r="H18">
        <v>23773.79</v>
      </c>
      <c r="I18">
        <f>26415+420</f>
        <v>26835</v>
      </c>
      <c r="J18">
        <v>410</v>
      </c>
      <c r="K18">
        <v>300</v>
      </c>
      <c r="L18">
        <f t="shared" si="2"/>
        <v>2761.2099999999991</v>
      </c>
      <c r="O18">
        <f t="shared" si="3"/>
        <v>2761.2099999999991</v>
      </c>
      <c r="P18" s="16" t="s">
        <v>286</v>
      </c>
      <c r="Q18" s="19">
        <v>340</v>
      </c>
      <c r="R18" s="68">
        <v>2421.2099999999991</v>
      </c>
    </row>
    <row r="19" spans="1:20">
      <c r="A19" t="s">
        <v>191</v>
      </c>
      <c r="B19" t="s">
        <v>151</v>
      </c>
      <c r="D19" s="13">
        <v>43389</v>
      </c>
      <c r="E19" s="13"/>
      <c r="F19" s="13"/>
      <c r="G19">
        <v>20450</v>
      </c>
      <c r="H19">
        <v>20475</v>
      </c>
      <c r="I19">
        <v>22641</v>
      </c>
      <c r="J19">
        <v>420</v>
      </c>
      <c r="K19">
        <v>700</v>
      </c>
      <c r="L19">
        <f t="shared" si="2"/>
        <v>1466</v>
      </c>
      <c r="O19">
        <f t="shared" si="3"/>
        <v>1466</v>
      </c>
      <c r="P19" s="16" t="s">
        <v>287</v>
      </c>
      <c r="Q19" s="19">
        <v>0</v>
      </c>
      <c r="R19" s="68">
        <v>1886</v>
      </c>
    </row>
    <row r="20" spans="1:20">
      <c r="A20" t="s">
        <v>288</v>
      </c>
      <c r="B20" t="s">
        <v>151</v>
      </c>
      <c r="D20" s="13">
        <v>43391</v>
      </c>
      <c r="E20" s="13"/>
      <c r="F20" s="13"/>
      <c r="G20">
        <v>35726</v>
      </c>
      <c r="H20">
        <v>35751</v>
      </c>
      <c r="I20">
        <v>40556</v>
      </c>
      <c r="J20">
        <v>210</v>
      </c>
      <c r="K20">
        <v>450</v>
      </c>
      <c r="L20">
        <f t="shared" si="2"/>
        <v>4355</v>
      </c>
      <c r="O20">
        <f t="shared" si="3"/>
        <v>4355</v>
      </c>
      <c r="P20" s="16" t="s">
        <v>278</v>
      </c>
      <c r="Q20" s="19">
        <v>653.25</v>
      </c>
      <c r="R20" s="68">
        <v>3911.75</v>
      </c>
    </row>
    <row r="21" spans="1:20">
      <c r="A21" t="s">
        <v>172</v>
      </c>
      <c r="B21" t="s">
        <v>151</v>
      </c>
      <c r="D21" s="13">
        <v>43392</v>
      </c>
      <c r="E21" s="13"/>
      <c r="F21" s="13"/>
      <c r="G21">
        <v>24706.76</v>
      </c>
      <c r="H21">
        <v>24706.76</v>
      </c>
      <c r="I21">
        <v>26415</v>
      </c>
      <c r="J21">
        <v>210</v>
      </c>
      <c r="K21">
        <v>550</v>
      </c>
      <c r="L21">
        <f t="shared" si="2"/>
        <v>1158.2400000000016</v>
      </c>
      <c r="N21">
        <v>400</v>
      </c>
      <c r="O21">
        <f t="shared" si="3"/>
        <v>758.2400000000016</v>
      </c>
      <c r="P21" s="16" t="s">
        <v>278</v>
      </c>
      <c r="Q21" s="19">
        <v>100</v>
      </c>
      <c r="R21" s="68">
        <v>868.2400000000016</v>
      </c>
    </row>
    <row r="22" spans="1:20">
      <c r="A22" t="s">
        <v>289</v>
      </c>
      <c r="B22" t="s">
        <v>151</v>
      </c>
      <c r="D22" s="13">
        <v>43403</v>
      </c>
      <c r="E22" s="13"/>
      <c r="F22" s="13"/>
      <c r="G22">
        <v>27484</v>
      </c>
      <c r="H22">
        <v>27484</v>
      </c>
      <c r="I22">
        <v>31132</v>
      </c>
      <c r="J22">
        <v>217</v>
      </c>
      <c r="K22">
        <v>500</v>
      </c>
      <c r="L22">
        <f t="shared" si="2"/>
        <v>3148</v>
      </c>
      <c r="O22">
        <f t="shared" si="3"/>
        <v>3148</v>
      </c>
      <c r="P22" s="16" t="s">
        <v>286</v>
      </c>
      <c r="Q22" s="19">
        <v>472.2</v>
      </c>
      <c r="R22" s="68">
        <v>2892.8</v>
      </c>
    </row>
    <row r="23" spans="1:20">
      <c r="A23" t="s">
        <v>290</v>
      </c>
      <c r="B23" t="s">
        <v>151</v>
      </c>
      <c r="D23" s="13">
        <v>43403</v>
      </c>
      <c r="E23" s="13"/>
      <c r="F23" s="13"/>
      <c r="G23">
        <v>23094</v>
      </c>
      <c r="H23">
        <v>23094</v>
      </c>
      <c r="I23">
        <v>25943</v>
      </c>
      <c r="J23">
        <v>210</v>
      </c>
      <c r="K23">
        <v>475</v>
      </c>
      <c r="L23">
        <f t="shared" si="2"/>
        <v>2374</v>
      </c>
      <c r="N23">
        <v>220</v>
      </c>
      <c r="O23">
        <f t="shared" si="3"/>
        <v>2154</v>
      </c>
      <c r="P23" s="16" t="s">
        <v>127</v>
      </c>
      <c r="Q23" s="19">
        <v>0</v>
      </c>
      <c r="R23" s="68">
        <v>2364</v>
      </c>
      <c r="S23">
        <v>24179.630000000005</v>
      </c>
      <c r="T23">
        <v>12</v>
      </c>
    </row>
    <row r="24" spans="1:20">
      <c r="D24" s="13"/>
      <c r="E24" s="13"/>
      <c r="F24" s="13"/>
    </row>
    <row r="25" spans="1:20">
      <c r="A25" t="s">
        <v>291</v>
      </c>
      <c r="B25" t="s">
        <v>151</v>
      </c>
      <c r="D25" s="13">
        <v>43405</v>
      </c>
      <c r="E25" s="13"/>
      <c r="F25" s="13"/>
      <c r="G25">
        <v>5500</v>
      </c>
      <c r="H25">
        <v>5500</v>
      </c>
      <c r="I25">
        <v>8015</v>
      </c>
      <c r="K25">
        <v>300</v>
      </c>
      <c r="L25">
        <f t="shared" ref="L25:L33" si="4">I25-H25-K25</f>
        <v>2215</v>
      </c>
      <c r="N25">
        <f>24+25</f>
        <v>49</v>
      </c>
      <c r="O25">
        <f t="shared" ref="O25:O33" si="5">L25-N25</f>
        <v>2166</v>
      </c>
      <c r="P25" s="16" t="s">
        <v>160</v>
      </c>
      <c r="Q25" s="19">
        <v>324.89999999999998</v>
      </c>
      <c r="R25" s="68">
        <v>1841.1</v>
      </c>
    </row>
    <row r="26" spans="1:20">
      <c r="A26" t="s">
        <v>292</v>
      </c>
      <c r="B26" t="s">
        <v>151</v>
      </c>
      <c r="D26" s="13">
        <v>43405</v>
      </c>
      <c r="E26" s="13"/>
      <c r="F26" s="13"/>
      <c r="G26">
        <v>8690.4</v>
      </c>
      <c r="H26">
        <v>8690.4</v>
      </c>
      <c r="I26">
        <v>10300</v>
      </c>
      <c r="K26">
        <v>150</v>
      </c>
      <c r="L26">
        <f t="shared" si="4"/>
        <v>1459.6000000000004</v>
      </c>
      <c r="O26">
        <f t="shared" si="5"/>
        <v>1459.6000000000004</v>
      </c>
      <c r="P26" s="16" t="s">
        <v>227</v>
      </c>
      <c r="Q26" s="19">
        <v>218.94000000000005</v>
      </c>
      <c r="R26" s="68">
        <v>1240.6600000000003</v>
      </c>
    </row>
    <row r="27" spans="1:20">
      <c r="A27" t="s">
        <v>182</v>
      </c>
      <c r="B27" t="s">
        <v>151</v>
      </c>
      <c r="D27" s="13">
        <v>43412</v>
      </c>
      <c r="E27" s="13"/>
      <c r="F27" s="13"/>
      <c r="G27">
        <v>5197.04</v>
      </c>
      <c r="H27">
        <v>5197.04</v>
      </c>
      <c r="I27">
        <v>5735</v>
      </c>
      <c r="K27">
        <v>150</v>
      </c>
      <c r="L27">
        <f t="shared" si="4"/>
        <v>387.96000000000004</v>
      </c>
      <c r="O27">
        <f t="shared" si="5"/>
        <v>387.96000000000004</v>
      </c>
      <c r="P27" s="16" t="s">
        <v>127</v>
      </c>
      <c r="Q27" s="19">
        <v>0</v>
      </c>
      <c r="R27" s="68">
        <v>387.96000000000004</v>
      </c>
    </row>
    <row r="28" spans="1:20">
      <c r="A28" t="s">
        <v>293</v>
      </c>
      <c r="B28" t="s">
        <v>151</v>
      </c>
      <c r="D28" s="13">
        <v>43419</v>
      </c>
      <c r="E28" s="13"/>
      <c r="F28" s="13"/>
      <c r="G28">
        <v>1945.43</v>
      </c>
      <c r="H28">
        <v>1945.43</v>
      </c>
      <c r="I28">
        <v>1290</v>
      </c>
      <c r="K28">
        <v>250</v>
      </c>
      <c r="L28">
        <f t="shared" si="4"/>
        <v>-905.43000000000006</v>
      </c>
      <c r="N28">
        <v>2200</v>
      </c>
      <c r="O28">
        <f t="shared" si="5"/>
        <v>-3105.4300000000003</v>
      </c>
      <c r="P28" s="16" t="s">
        <v>127</v>
      </c>
      <c r="Q28" s="19">
        <v>0</v>
      </c>
      <c r="R28" s="68">
        <v>-3105.4300000000003</v>
      </c>
    </row>
    <row r="29" spans="1:20">
      <c r="A29" t="s">
        <v>172</v>
      </c>
      <c r="B29" t="s">
        <v>151</v>
      </c>
      <c r="D29" s="13">
        <v>43423</v>
      </c>
      <c r="E29" s="13"/>
      <c r="F29" s="13"/>
      <c r="G29">
        <v>19047.73</v>
      </c>
      <c r="H29">
        <v>19047.73</v>
      </c>
      <c r="I29">
        <v>23585</v>
      </c>
      <c r="J29">
        <v>370</v>
      </c>
      <c r="K29">
        <v>250</v>
      </c>
      <c r="L29">
        <f t="shared" si="4"/>
        <v>4287.2700000000004</v>
      </c>
      <c r="N29">
        <f>4+16+20+160+50+404+267+500</f>
        <v>1421</v>
      </c>
      <c r="O29">
        <f t="shared" si="5"/>
        <v>2866.2700000000004</v>
      </c>
      <c r="P29" s="16" t="s">
        <v>127</v>
      </c>
      <c r="Q29" s="19">
        <v>0</v>
      </c>
      <c r="R29" s="68">
        <v>3236.2700000000004</v>
      </c>
    </row>
    <row r="30" spans="1:20">
      <c r="A30" t="s">
        <v>180</v>
      </c>
      <c r="B30" t="s">
        <v>151</v>
      </c>
      <c r="D30" s="13">
        <v>43427</v>
      </c>
      <c r="E30" s="13"/>
      <c r="F30" s="13"/>
      <c r="G30">
        <v>20224.98</v>
      </c>
      <c r="H30">
        <v>20224.98</v>
      </c>
      <c r="I30">
        <v>22850</v>
      </c>
      <c r="J30">
        <v>410</v>
      </c>
      <c r="K30">
        <v>0</v>
      </c>
      <c r="L30">
        <f t="shared" si="4"/>
        <v>2625.0200000000004</v>
      </c>
      <c r="N30">
        <v>165.03</v>
      </c>
      <c r="O30">
        <f t="shared" si="5"/>
        <v>2459.9900000000002</v>
      </c>
      <c r="P30" s="16" t="s">
        <v>127</v>
      </c>
      <c r="Q30" s="19">
        <v>0</v>
      </c>
      <c r="R30" s="68">
        <v>2869.9900000000002</v>
      </c>
    </row>
    <row r="31" spans="1:20">
      <c r="A31" t="s">
        <v>172</v>
      </c>
      <c r="B31" t="s">
        <v>151</v>
      </c>
      <c r="D31" s="13">
        <v>43427</v>
      </c>
      <c r="E31" s="13"/>
      <c r="F31" s="13"/>
      <c r="G31">
        <v>21190.71</v>
      </c>
      <c r="H31">
        <v>21190.71</v>
      </c>
      <c r="I31">
        <v>23500</v>
      </c>
      <c r="J31">
        <v>410</v>
      </c>
      <c r="K31">
        <v>500</v>
      </c>
      <c r="L31">
        <f t="shared" si="4"/>
        <v>1809.2900000000009</v>
      </c>
      <c r="O31">
        <f t="shared" si="5"/>
        <v>1809.2900000000009</v>
      </c>
      <c r="P31" s="16" t="s">
        <v>160</v>
      </c>
      <c r="Q31" s="19">
        <v>271</v>
      </c>
      <c r="R31" s="68">
        <v>1948.2900000000009</v>
      </c>
    </row>
    <row r="32" spans="1:20">
      <c r="A32" t="s">
        <v>168</v>
      </c>
      <c r="B32" t="s">
        <v>151</v>
      </c>
      <c r="D32" s="13">
        <v>43433</v>
      </c>
      <c r="E32" s="13"/>
      <c r="F32" s="13"/>
      <c r="G32">
        <v>17414.75</v>
      </c>
      <c r="H32">
        <v>17414.75</v>
      </c>
      <c r="I32">
        <v>21670</v>
      </c>
      <c r="K32">
        <v>600</v>
      </c>
      <c r="L32">
        <f t="shared" si="4"/>
        <v>3655.25</v>
      </c>
      <c r="N32">
        <v>25</v>
      </c>
      <c r="O32">
        <f t="shared" si="5"/>
        <v>3630.25</v>
      </c>
      <c r="P32" s="16" t="s">
        <v>248</v>
      </c>
      <c r="Q32" s="19">
        <v>500</v>
      </c>
      <c r="R32" s="68">
        <v>3130.25</v>
      </c>
    </row>
    <row r="33" spans="1:20">
      <c r="A33" t="s">
        <v>294</v>
      </c>
      <c r="B33" t="s">
        <v>151</v>
      </c>
      <c r="D33" s="13">
        <v>43434</v>
      </c>
      <c r="E33" s="13"/>
      <c r="F33" s="13"/>
      <c r="G33">
        <v>32000</v>
      </c>
      <c r="H33">
        <v>32409.99</v>
      </c>
      <c r="I33">
        <f>34000-175-35</f>
        <v>33790</v>
      </c>
      <c r="L33">
        <f t="shared" si="4"/>
        <v>1380.0099999999984</v>
      </c>
      <c r="O33">
        <f t="shared" si="5"/>
        <v>1380.0099999999984</v>
      </c>
      <c r="P33" s="16" t="s">
        <v>127</v>
      </c>
      <c r="Q33" s="19">
        <v>0</v>
      </c>
      <c r="R33" s="68">
        <v>1380.0099999999984</v>
      </c>
      <c r="S33">
        <v>12929.1</v>
      </c>
      <c r="T33">
        <v>9</v>
      </c>
    </row>
    <row r="34" spans="1:20">
      <c r="D34" s="13"/>
      <c r="E34" s="13"/>
      <c r="F34" s="13"/>
    </row>
    <row r="35" spans="1:20">
      <c r="A35" t="s">
        <v>295</v>
      </c>
      <c r="B35" t="s">
        <v>151</v>
      </c>
      <c r="D35" s="13">
        <v>43437</v>
      </c>
      <c r="E35" s="13"/>
      <c r="F35" s="13"/>
      <c r="G35">
        <v>15551</v>
      </c>
      <c r="H35">
        <v>15551</v>
      </c>
      <c r="I35">
        <v>17500</v>
      </c>
      <c r="K35">
        <v>225</v>
      </c>
      <c r="L35">
        <f t="shared" ref="L35:L53" si="6">I35-H35-K35</f>
        <v>1724</v>
      </c>
      <c r="M35">
        <v>1000</v>
      </c>
      <c r="O35">
        <f t="shared" ref="O35:O53" si="7">L35-N35</f>
        <v>1724</v>
      </c>
      <c r="P35" s="16" t="s">
        <v>127</v>
      </c>
      <c r="Q35" s="19">
        <v>0</v>
      </c>
      <c r="R35" s="68">
        <v>1724</v>
      </c>
    </row>
    <row r="36" spans="1:20">
      <c r="A36" t="s">
        <v>296</v>
      </c>
      <c r="B36" t="s">
        <v>151</v>
      </c>
      <c r="D36" s="13">
        <v>43437</v>
      </c>
      <c r="E36" s="13"/>
      <c r="F36" s="13"/>
      <c r="G36">
        <v>32981.53</v>
      </c>
      <c r="H36">
        <v>32981.53</v>
      </c>
      <c r="I36">
        <v>37000</v>
      </c>
      <c r="J36">
        <v>410</v>
      </c>
      <c r="K36">
        <v>1300</v>
      </c>
      <c r="L36">
        <f t="shared" si="6"/>
        <v>2718.4700000000012</v>
      </c>
      <c r="M36">
        <v>2000</v>
      </c>
      <c r="N36">
        <f>50+16.1</f>
        <v>66.099999999999994</v>
      </c>
      <c r="O36">
        <f t="shared" si="7"/>
        <v>2652.3700000000013</v>
      </c>
      <c r="P36" s="16" t="s">
        <v>152</v>
      </c>
      <c r="Q36" s="19">
        <v>400</v>
      </c>
      <c r="R36" s="68">
        <v>2662.3700000000013</v>
      </c>
    </row>
    <row r="37" spans="1:20">
      <c r="A37" t="s">
        <v>297</v>
      </c>
      <c r="B37" t="s">
        <v>151</v>
      </c>
      <c r="D37" s="13">
        <v>43438</v>
      </c>
      <c r="E37" s="13"/>
      <c r="F37" s="13"/>
      <c r="G37">
        <v>37318.239999999998</v>
      </c>
      <c r="H37">
        <v>37318.239999999998</v>
      </c>
      <c r="I37">
        <v>38210</v>
      </c>
      <c r="J37">
        <v>210</v>
      </c>
      <c r="K37">
        <v>500</v>
      </c>
      <c r="L37">
        <f t="shared" si="6"/>
        <v>391.76000000000204</v>
      </c>
      <c r="M37">
        <v>2000</v>
      </c>
      <c r="O37">
        <f t="shared" si="7"/>
        <v>391.76000000000204</v>
      </c>
      <c r="P37" s="16" t="s">
        <v>286</v>
      </c>
      <c r="Q37" s="19">
        <v>0</v>
      </c>
      <c r="R37" s="68">
        <v>601.76000000000204</v>
      </c>
    </row>
    <row r="38" spans="1:20">
      <c r="A38" t="s">
        <v>298</v>
      </c>
      <c r="B38" t="s">
        <v>151</v>
      </c>
      <c r="D38" s="13">
        <v>43438</v>
      </c>
      <c r="E38" s="13"/>
      <c r="F38" s="13"/>
      <c r="G38">
        <v>10285.42</v>
      </c>
      <c r="H38">
        <v>10285.42</v>
      </c>
      <c r="I38">
        <v>16000</v>
      </c>
      <c r="J38">
        <v>210</v>
      </c>
      <c r="L38">
        <f t="shared" si="6"/>
        <v>5714.58</v>
      </c>
      <c r="M38">
        <v>1000</v>
      </c>
      <c r="N38">
        <f>60+47+145.99+500+35+15</f>
        <v>802.99</v>
      </c>
      <c r="O38">
        <f t="shared" si="7"/>
        <v>4911.59</v>
      </c>
      <c r="P38" s="16" t="s">
        <v>299</v>
      </c>
      <c r="Q38" s="19">
        <v>500</v>
      </c>
      <c r="R38" s="68">
        <v>4621.59</v>
      </c>
    </row>
    <row r="39" spans="1:20">
      <c r="A39" t="s">
        <v>300</v>
      </c>
      <c r="B39" t="s">
        <v>151</v>
      </c>
      <c r="D39" s="13">
        <v>43439</v>
      </c>
      <c r="E39" s="13"/>
      <c r="F39" s="13"/>
      <c r="G39">
        <v>35189.519999999997</v>
      </c>
      <c r="H39">
        <v>35189.519999999997</v>
      </c>
      <c r="I39">
        <v>38155</v>
      </c>
      <c r="K39">
        <v>900</v>
      </c>
      <c r="L39">
        <f t="shared" si="6"/>
        <v>2065.4800000000032</v>
      </c>
      <c r="M39">
        <f>33000+2000</f>
        <v>35000</v>
      </c>
      <c r="O39">
        <f t="shared" si="7"/>
        <v>2065.4800000000032</v>
      </c>
      <c r="P39" s="16" t="s">
        <v>301</v>
      </c>
      <c r="Q39" s="19">
        <v>300</v>
      </c>
      <c r="R39" s="68">
        <v>1765.4800000000032</v>
      </c>
    </row>
    <row r="40" spans="1:20">
      <c r="A40" t="s">
        <v>204</v>
      </c>
      <c r="B40" t="s">
        <v>151</v>
      </c>
      <c r="D40" s="13">
        <v>43440</v>
      </c>
      <c r="E40" s="13"/>
      <c r="F40" s="13"/>
      <c r="G40">
        <v>22426.13</v>
      </c>
      <c r="H40">
        <v>22426.13</v>
      </c>
      <c r="I40">
        <v>24097.55</v>
      </c>
      <c r="J40">
        <v>210</v>
      </c>
      <c r="K40">
        <v>150</v>
      </c>
      <c r="L40">
        <f t="shared" si="6"/>
        <v>1521.4199999999983</v>
      </c>
      <c r="M40">
        <v>1500</v>
      </c>
      <c r="N40">
        <f>235+197+87.2+150+30</f>
        <v>699.2</v>
      </c>
      <c r="O40">
        <f t="shared" si="7"/>
        <v>822.21999999999821</v>
      </c>
      <c r="P40" s="16" t="s">
        <v>127</v>
      </c>
      <c r="Q40" s="19">
        <v>0</v>
      </c>
      <c r="R40" s="68">
        <v>1032.2199999999982</v>
      </c>
    </row>
    <row r="41" spans="1:20">
      <c r="A41" t="s">
        <v>161</v>
      </c>
      <c r="B41" t="s">
        <v>151</v>
      </c>
      <c r="D41" s="13">
        <v>43441</v>
      </c>
      <c r="E41" s="13"/>
      <c r="F41" s="13"/>
      <c r="G41">
        <v>33187.699999999997</v>
      </c>
      <c r="H41">
        <v>33187.699999999997</v>
      </c>
      <c r="I41">
        <v>36000</v>
      </c>
      <c r="J41">
        <v>410</v>
      </c>
      <c r="L41">
        <f t="shared" si="6"/>
        <v>2812.3000000000029</v>
      </c>
      <c r="M41">
        <v>23500</v>
      </c>
      <c r="O41">
        <f t="shared" si="7"/>
        <v>2812.3000000000029</v>
      </c>
      <c r="P41" s="16" t="s">
        <v>160</v>
      </c>
      <c r="Q41" s="19">
        <v>400</v>
      </c>
      <c r="R41" s="68">
        <v>2822.3000000000029</v>
      </c>
    </row>
    <row r="42" spans="1:20">
      <c r="A42" t="s">
        <v>302</v>
      </c>
      <c r="B42" t="s">
        <v>151</v>
      </c>
      <c r="D42" s="13">
        <v>43445</v>
      </c>
      <c r="E42" s="13"/>
      <c r="F42" s="13"/>
      <c r="G42">
        <v>32500</v>
      </c>
      <c r="H42">
        <v>32500</v>
      </c>
      <c r="I42">
        <v>33600</v>
      </c>
      <c r="K42">
        <f>250+150+35</f>
        <v>435</v>
      </c>
      <c r="L42">
        <f t="shared" si="6"/>
        <v>665</v>
      </c>
      <c r="N42">
        <v>18</v>
      </c>
      <c r="O42">
        <f t="shared" si="7"/>
        <v>647</v>
      </c>
      <c r="P42" s="16" t="s">
        <v>127</v>
      </c>
      <c r="Q42" s="19">
        <v>0</v>
      </c>
      <c r="R42" s="68">
        <v>647</v>
      </c>
    </row>
    <row r="43" spans="1:20">
      <c r="A43" t="s">
        <v>303</v>
      </c>
      <c r="B43" t="s">
        <v>151</v>
      </c>
      <c r="D43" s="13">
        <v>43446</v>
      </c>
      <c r="E43" s="13"/>
      <c r="F43" s="13"/>
      <c r="G43">
        <v>5000</v>
      </c>
      <c r="H43">
        <v>5163.95</v>
      </c>
      <c r="I43">
        <v>8076</v>
      </c>
      <c r="L43">
        <f t="shared" si="6"/>
        <v>2912.05</v>
      </c>
      <c r="O43">
        <f t="shared" si="7"/>
        <v>2912.05</v>
      </c>
      <c r="P43" s="16" t="s">
        <v>127</v>
      </c>
      <c r="Q43" s="19">
        <v>0</v>
      </c>
      <c r="R43" s="68">
        <v>2912.05</v>
      </c>
    </row>
    <row r="44" spans="1:20">
      <c r="A44" t="s">
        <v>242</v>
      </c>
      <c r="B44" t="s">
        <v>151</v>
      </c>
      <c r="D44" s="13">
        <v>43447</v>
      </c>
      <c r="E44" s="13"/>
      <c r="F44" s="13"/>
      <c r="G44">
        <v>6000</v>
      </c>
      <c r="H44">
        <v>6239.71</v>
      </c>
      <c r="I44">
        <v>3500</v>
      </c>
      <c r="L44">
        <f t="shared" si="6"/>
        <v>-2739.71</v>
      </c>
      <c r="N44">
        <v>500</v>
      </c>
      <c r="O44">
        <f t="shared" si="7"/>
        <v>-3239.71</v>
      </c>
      <c r="P44" s="16" t="s">
        <v>127</v>
      </c>
      <c r="Q44" s="19">
        <v>0</v>
      </c>
      <c r="R44" s="68">
        <v>-3239.71</v>
      </c>
    </row>
    <row r="45" spans="1:20">
      <c r="A45" t="s">
        <v>304</v>
      </c>
      <c r="B45" t="s">
        <v>151</v>
      </c>
      <c r="D45" s="13">
        <v>43447</v>
      </c>
      <c r="E45" s="13"/>
      <c r="F45" s="13"/>
      <c r="G45">
        <v>6078</v>
      </c>
      <c r="H45">
        <v>6078</v>
      </c>
      <c r="I45">
        <v>3500</v>
      </c>
      <c r="K45">
        <v>450</v>
      </c>
      <c r="L45">
        <f t="shared" si="6"/>
        <v>-3028</v>
      </c>
      <c r="N45">
        <v>400</v>
      </c>
      <c r="O45">
        <f t="shared" si="7"/>
        <v>-3428</v>
      </c>
      <c r="P45" s="16" t="s">
        <v>127</v>
      </c>
      <c r="Q45" s="19">
        <v>0</v>
      </c>
      <c r="R45" s="68">
        <v>-3428</v>
      </c>
    </row>
    <row r="46" spans="1:20">
      <c r="A46" t="s">
        <v>305</v>
      </c>
      <c r="B46" t="s">
        <v>151</v>
      </c>
      <c r="D46" s="13">
        <v>43451</v>
      </c>
      <c r="E46" s="13"/>
      <c r="F46" s="13"/>
      <c r="G46">
        <v>20100.71</v>
      </c>
      <c r="H46">
        <v>20106.990000000002</v>
      </c>
      <c r="I46">
        <v>22075</v>
      </c>
      <c r="J46">
        <v>410</v>
      </c>
      <c r="K46">
        <v>350</v>
      </c>
      <c r="L46">
        <f t="shared" si="6"/>
        <v>1618.0099999999984</v>
      </c>
      <c r="M46">
        <v>2000</v>
      </c>
      <c r="N46">
        <v>200</v>
      </c>
      <c r="O46">
        <f t="shared" si="7"/>
        <v>1418.0099999999984</v>
      </c>
      <c r="P46" s="16" t="s">
        <v>160</v>
      </c>
      <c r="Q46" s="19">
        <v>212.70149999999975</v>
      </c>
      <c r="R46" s="68">
        <v>1615.3084999999987</v>
      </c>
    </row>
    <row r="47" spans="1:20">
      <c r="A47" t="s">
        <v>306</v>
      </c>
      <c r="B47" t="s">
        <v>151</v>
      </c>
      <c r="D47" s="13">
        <v>43452</v>
      </c>
      <c r="E47" s="13"/>
      <c r="F47" s="13"/>
      <c r="G47">
        <v>9006.43</v>
      </c>
      <c r="H47">
        <v>9006.43</v>
      </c>
      <c r="I47">
        <v>5500</v>
      </c>
      <c r="K47">
        <v>850</v>
      </c>
      <c r="L47">
        <f t="shared" si="6"/>
        <v>-4356.43</v>
      </c>
      <c r="N47">
        <f>2400+185</f>
        <v>2585</v>
      </c>
      <c r="O47">
        <f t="shared" si="7"/>
        <v>-6941.43</v>
      </c>
      <c r="P47" s="16" t="s">
        <v>127</v>
      </c>
      <c r="Q47" s="19">
        <v>0</v>
      </c>
      <c r="R47" s="68">
        <v>-6941.43</v>
      </c>
    </row>
    <row r="48" spans="1:20">
      <c r="A48" t="s">
        <v>190</v>
      </c>
      <c r="B48" t="s">
        <v>151</v>
      </c>
      <c r="D48" s="13">
        <v>43452</v>
      </c>
      <c r="E48" s="13"/>
      <c r="F48" s="13"/>
      <c r="G48">
        <v>48000</v>
      </c>
      <c r="H48">
        <v>48025</v>
      </c>
      <c r="I48">
        <v>50000</v>
      </c>
      <c r="J48">
        <v>410</v>
      </c>
      <c r="K48">
        <v>500</v>
      </c>
      <c r="L48">
        <f t="shared" si="6"/>
        <v>1475</v>
      </c>
      <c r="M48">
        <v>31000</v>
      </c>
      <c r="O48">
        <f t="shared" si="7"/>
        <v>1475</v>
      </c>
      <c r="P48" s="16" t="s">
        <v>301</v>
      </c>
      <c r="Q48" s="19">
        <v>221.25</v>
      </c>
      <c r="R48" s="68">
        <v>1663.75</v>
      </c>
    </row>
    <row r="49" spans="1:20">
      <c r="A49" t="s">
        <v>307</v>
      </c>
      <c r="B49" t="s">
        <v>151</v>
      </c>
      <c r="D49" s="13">
        <v>43454</v>
      </c>
      <c r="E49" s="13"/>
      <c r="F49" s="13"/>
      <c r="G49">
        <v>20005.47</v>
      </c>
      <c r="H49">
        <v>20005.47</v>
      </c>
      <c r="I49">
        <v>22500</v>
      </c>
      <c r="J49">
        <f>410+177.84</f>
        <v>587.84</v>
      </c>
      <c r="K49">
        <v>350</v>
      </c>
      <c r="L49">
        <f t="shared" si="6"/>
        <v>2144.5299999999988</v>
      </c>
      <c r="O49">
        <f t="shared" si="7"/>
        <v>2144.5299999999988</v>
      </c>
      <c r="P49" s="16" t="s">
        <v>127</v>
      </c>
      <c r="Q49" s="19">
        <v>0</v>
      </c>
      <c r="R49" s="68">
        <v>2732.369999999999</v>
      </c>
    </row>
    <row r="50" spans="1:20">
      <c r="A50" t="s">
        <v>308</v>
      </c>
      <c r="B50" t="s">
        <v>151</v>
      </c>
      <c r="D50" s="13">
        <v>43454</v>
      </c>
      <c r="E50" s="13"/>
      <c r="F50" s="13"/>
      <c r="G50">
        <v>10168.459999999999</v>
      </c>
      <c r="H50">
        <v>10168.459999999999</v>
      </c>
      <c r="I50">
        <v>13068</v>
      </c>
      <c r="K50">
        <v>150</v>
      </c>
      <c r="L50">
        <f t="shared" si="6"/>
        <v>2749.5400000000009</v>
      </c>
      <c r="O50">
        <f t="shared" si="7"/>
        <v>2749.5400000000009</v>
      </c>
      <c r="P50" s="16" t="s">
        <v>152</v>
      </c>
      <c r="Q50" s="19">
        <v>400</v>
      </c>
      <c r="R50" s="68">
        <v>2349.5400000000009</v>
      </c>
    </row>
    <row r="51" spans="1:20">
      <c r="A51" t="s">
        <v>309</v>
      </c>
      <c r="B51" t="s">
        <v>151</v>
      </c>
      <c r="D51" s="13">
        <v>43455</v>
      </c>
      <c r="E51" s="13"/>
      <c r="F51" s="13"/>
      <c r="G51">
        <v>57000</v>
      </c>
      <c r="H51">
        <v>57000</v>
      </c>
      <c r="I51">
        <v>61000</v>
      </c>
      <c r="L51">
        <f t="shared" si="6"/>
        <v>4000</v>
      </c>
      <c r="M51">
        <v>2000</v>
      </c>
      <c r="N51">
        <v>60</v>
      </c>
      <c r="O51">
        <f t="shared" si="7"/>
        <v>3940</v>
      </c>
      <c r="P51" s="16" t="s">
        <v>310</v>
      </c>
      <c r="Q51" s="19">
        <v>500</v>
      </c>
      <c r="R51" s="68">
        <v>3440</v>
      </c>
    </row>
    <row r="52" spans="1:20">
      <c r="A52" t="s">
        <v>311</v>
      </c>
      <c r="B52" t="s">
        <v>151</v>
      </c>
      <c r="D52" s="13">
        <v>43455</v>
      </c>
      <c r="E52" s="13"/>
      <c r="F52" s="13"/>
      <c r="G52">
        <v>10290</v>
      </c>
      <c r="H52">
        <f>10290+25</f>
        <v>10315</v>
      </c>
      <c r="I52">
        <v>11792</v>
      </c>
      <c r="J52">
        <v>410</v>
      </c>
      <c r="K52">
        <v>230</v>
      </c>
      <c r="L52">
        <f t="shared" si="6"/>
        <v>1247</v>
      </c>
      <c r="O52">
        <f t="shared" si="7"/>
        <v>1247</v>
      </c>
      <c r="P52" s="16" t="s">
        <v>160</v>
      </c>
      <c r="Q52" s="19">
        <v>187.04999999999998</v>
      </c>
      <c r="R52" s="68">
        <v>1469.95</v>
      </c>
    </row>
    <row r="53" spans="1:20">
      <c r="A53" t="s">
        <v>312</v>
      </c>
      <c r="B53" t="s">
        <v>151</v>
      </c>
      <c r="D53" s="13">
        <v>43462</v>
      </c>
      <c r="E53" s="13"/>
      <c r="F53" s="13"/>
      <c r="G53">
        <v>47000</v>
      </c>
      <c r="H53">
        <v>47778.67</v>
      </c>
      <c r="I53">
        <v>52500</v>
      </c>
      <c r="J53">
        <f>353+256.6</f>
        <v>609.6</v>
      </c>
      <c r="L53">
        <f t="shared" si="6"/>
        <v>4721.3300000000017</v>
      </c>
      <c r="O53">
        <f t="shared" si="7"/>
        <v>4721.3300000000017</v>
      </c>
      <c r="P53" s="16" t="s">
        <v>286</v>
      </c>
      <c r="Q53" s="19">
        <v>708.19950000000028</v>
      </c>
      <c r="R53" s="68">
        <v>4622.7305000000015</v>
      </c>
      <c r="S53">
        <v>23073.27900000001</v>
      </c>
      <c r="T53">
        <v>19</v>
      </c>
    </row>
    <row r="55" spans="1:20">
      <c r="A55" t="s">
        <v>313</v>
      </c>
      <c r="B55" t="s">
        <v>151</v>
      </c>
      <c r="D55" s="13">
        <v>43467</v>
      </c>
      <c r="E55" s="13"/>
      <c r="G55">
        <v>3929.79</v>
      </c>
      <c r="H55">
        <v>3929.79</v>
      </c>
      <c r="I55">
        <v>1500</v>
      </c>
      <c r="K55">
        <v>250</v>
      </c>
      <c r="L55">
        <f t="shared" ref="L55:L67" si="8">I55-H55-K55</f>
        <v>-2679.79</v>
      </c>
      <c r="N55">
        <v>500</v>
      </c>
      <c r="O55">
        <f t="shared" ref="O55:O67" si="9">L55-N55</f>
        <v>-3179.79</v>
      </c>
      <c r="P55" s="16" t="s">
        <v>127</v>
      </c>
      <c r="Q55" s="19">
        <v>0</v>
      </c>
      <c r="R55" s="68">
        <v>-3179.79</v>
      </c>
    </row>
    <row r="56" spans="1:20">
      <c r="A56" t="s">
        <v>314</v>
      </c>
      <c r="B56" t="s">
        <v>151</v>
      </c>
      <c r="D56" s="13">
        <v>43472</v>
      </c>
      <c r="E56" s="13"/>
      <c r="G56">
        <v>27000</v>
      </c>
      <c r="H56">
        <v>27025</v>
      </c>
      <c r="I56">
        <v>30000</v>
      </c>
      <c r="J56">
        <v>410</v>
      </c>
      <c r="L56">
        <f t="shared" si="8"/>
        <v>2975</v>
      </c>
      <c r="N56">
        <v>300</v>
      </c>
      <c r="O56">
        <f t="shared" si="9"/>
        <v>2675</v>
      </c>
      <c r="P56" s="16" t="s">
        <v>315</v>
      </c>
      <c r="Q56" s="19">
        <v>401.25</v>
      </c>
      <c r="R56" s="68">
        <v>2683.75</v>
      </c>
    </row>
    <row r="57" spans="1:20">
      <c r="A57" t="s">
        <v>316</v>
      </c>
      <c r="B57" t="s">
        <v>151</v>
      </c>
      <c r="D57" s="13">
        <v>43473</v>
      </c>
      <c r="E57" s="13"/>
      <c r="F57" s="13"/>
      <c r="G57">
        <v>15337.33</v>
      </c>
      <c r="H57">
        <v>15337.33</v>
      </c>
      <c r="I57">
        <v>18218</v>
      </c>
      <c r="J57">
        <v>410</v>
      </c>
      <c r="K57">
        <v>150</v>
      </c>
      <c r="L57">
        <f t="shared" si="8"/>
        <v>2730.67</v>
      </c>
      <c r="M57">
        <v>2000</v>
      </c>
      <c r="N57">
        <v>483</v>
      </c>
      <c r="O57">
        <f t="shared" si="9"/>
        <v>2247.67</v>
      </c>
      <c r="P57" s="16" t="s">
        <v>317</v>
      </c>
      <c r="Q57" s="19">
        <v>300</v>
      </c>
      <c r="R57" s="68">
        <v>2357.67</v>
      </c>
    </row>
    <row r="58" spans="1:20">
      <c r="A58" t="s">
        <v>318</v>
      </c>
      <c r="B58" t="s">
        <v>151</v>
      </c>
      <c r="D58" s="13">
        <v>43477</v>
      </c>
      <c r="E58" s="13"/>
      <c r="F58" s="13"/>
      <c r="G58">
        <v>12700</v>
      </c>
      <c r="H58">
        <v>12700</v>
      </c>
      <c r="I58">
        <v>13700</v>
      </c>
      <c r="J58">
        <v>410</v>
      </c>
      <c r="L58">
        <f t="shared" si="8"/>
        <v>1000</v>
      </c>
      <c r="M58">
        <v>3000</v>
      </c>
      <c r="O58">
        <f t="shared" si="9"/>
        <v>1000</v>
      </c>
      <c r="P58" s="16" t="s">
        <v>127</v>
      </c>
      <c r="Q58" s="19">
        <v>0</v>
      </c>
      <c r="R58" s="68">
        <v>1410</v>
      </c>
    </row>
    <row r="59" spans="1:20" ht="15.75" customHeight="1">
      <c r="A59" t="s">
        <v>319</v>
      </c>
      <c r="B59" t="s">
        <v>151</v>
      </c>
      <c r="D59" s="13">
        <v>43480</v>
      </c>
      <c r="E59" s="13"/>
      <c r="F59" s="13"/>
      <c r="G59">
        <v>23500</v>
      </c>
      <c r="H59">
        <v>23981.62</v>
      </c>
      <c r="I59">
        <v>25300</v>
      </c>
      <c r="K59">
        <v>300</v>
      </c>
      <c r="L59">
        <f t="shared" si="8"/>
        <v>1018.380000000001</v>
      </c>
      <c r="O59">
        <f t="shared" si="9"/>
        <v>1018.380000000001</v>
      </c>
      <c r="P59" s="16" t="s">
        <v>127</v>
      </c>
      <c r="Q59" s="19">
        <v>0</v>
      </c>
      <c r="R59" s="68">
        <v>1018.380000000001</v>
      </c>
    </row>
    <row r="60" spans="1:20">
      <c r="A60" t="s">
        <v>320</v>
      </c>
      <c r="B60" t="s">
        <v>151</v>
      </c>
      <c r="D60" s="13">
        <v>43481</v>
      </c>
      <c r="E60" s="13"/>
      <c r="F60" s="13"/>
      <c r="G60">
        <v>99000</v>
      </c>
      <c r="H60">
        <v>102976.95</v>
      </c>
      <c r="I60">
        <v>87000</v>
      </c>
      <c r="K60">
        <v>2400</v>
      </c>
      <c r="L60">
        <f t="shared" si="8"/>
        <v>-18376.949999999997</v>
      </c>
      <c r="N60">
        <v>8765</v>
      </c>
      <c r="O60">
        <f t="shared" si="9"/>
        <v>-27141.949999999997</v>
      </c>
      <c r="P60" s="16" t="s">
        <v>127</v>
      </c>
      <c r="Q60" s="19">
        <v>0</v>
      </c>
      <c r="R60" s="68">
        <v>-27141.949999999997</v>
      </c>
    </row>
    <row r="61" spans="1:20">
      <c r="A61" t="s">
        <v>321</v>
      </c>
      <c r="B61" t="s">
        <v>151</v>
      </c>
      <c r="D61" s="13">
        <v>43481</v>
      </c>
      <c r="E61" s="13"/>
      <c r="F61" s="13"/>
      <c r="G61">
        <v>28856.14</v>
      </c>
      <c r="H61">
        <v>28856.14</v>
      </c>
      <c r="I61">
        <v>25000</v>
      </c>
      <c r="J61">
        <v>0</v>
      </c>
      <c r="K61">
        <v>600</v>
      </c>
      <c r="L61">
        <f t="shared" si="8"/>
        <v>-4456.1399999999994</v>
      </c>
      <c r="N61">
        <f>4000+369+650+500+375</f>
        <v>5894</v>
      </c>
      <c r="O61">
        <f t="shared" si="9"/>
        <v>-10350.14</v>
      </c>
      <c r="P61" s="16" t="s">
        <v>127</v>
      </c>
      <c r="Q61" s="19">
        <v>0</v>
      </c>
      <c r="R61" s="68">
        <v>-10350.14</v>
      </c>
    </row>
    <row r="62" spans="1:20">
      <c r="A62" t="s">
        <v>279</v>
      </c>
      <c r="B62" t="s">
        <v>151</v>
      </c>
      <c r="D62" s="13">
        <v>43483</v>
      </c>
      <c r="E62" s="13"/>
      <c r="F62" s="13"/>
      <c r="G62">
        <v>21590</v>
      </c>
      <c r="H62">
        <v>21781.49</v>
      </c>
      <c r="I62">
        <v>24000</v>
      </c>
      <c r="J62">
        <v>410</v>
      </c>
      <c r="K62">
        <v>450</v>
      </c>
      <c r="L62">
        <f t="shared" si="8"/>
        <v>1768.5099999999984</v>
      </c>
      <c r="M62">
        <v>2000</v>
      </c>
      <c r="N62">
        <v>400</v>
      </c>
      <c r="O62">
        <f t="shared" si="9"/>
        <v>1368.5099999999984</v>
      </c>
      <c r="P62" s="16" t="s">
        <v>160</v>
      </c>
      <c r="Q62" s="19">
        <v>205.27649999999974</v>
      </c>
      <c r="R62" s="68">
        <v>1573.2334999999987</v>
      </c>
    </row>
    <row r="63" spans="1:20">
      <c r="A63" t="s">
        <v>246</v>
      </c>
      <c r="B63" t="s">
        <v>151</v>
      </c>
      <c r="D63" s="13">
        <v>43484</v>
      </c>
      <c r="E63" s="13"/>
      <c r="F63" s="13"/>
      <c r="G63">
        <v>7138</v>
      </c>
      <c r="H63">
        <v>7138</v>
      </c>
      <c r="I63">
        <v>4000</v>
      </c>
      <c r="L63">
        <f t="shared" si="8"/>
        <v>-3138</v>
      </c>
      <c r="O63">
        <f t="shared" si="9"/>
        <v>-3138</v>
      </c>
      <c r="P63" s="16" t="s">
        <v>127</v>
      </c>
      <c r="Q63" s="19">
        <v>0</v>
      </c>
      <c r="R63" s="68">
        <v>-3138</v>
      </c>
    </row>
    <row r="64" spans="1:20">
      <c r="A64" t="s">
        <v>322</v>
      </c>
      <c r="B64" t="s">
        <v>151</v>
      </c>
      <c r="D64" s="13">
        <v>43488</v>
      </c>
      <c r="E64" s="13"/>
      <c r="F64" s="13"/>
      <c r="G64">
        <f>33200+347+700+25</f>
        <v>34272</v>
      </c>
      <c r="H64">
        <v>34272</v>
      </c>
      <c r="I64">
        <v>36320</v>
      </c>
      <c r="L64">
        <f t="shared" si="8"/>
        <v>2048</v>
      </c>
      <c r="O64">
        <f t="shared" si="9"/>
        <v>2048</v>
      </c>
      <c r="P64" s="16" t="s">
        <v>286</v>
      </c>
      <c r="Q64" s="19">
        <v>307.2</v>
      </c>
      <c r="R64" s="68">
        <v>1740.8</v>
      </c>
    </row>
    <row r="65" spans="1:22">
      <c r="A65" t="s">
        <v>172</v>
      </c>
      <c r="B65" t="s">
        <v>151</v>
      </c>
      <c r="D65" s="13">
        <v>43489</v>
      </c>
      <c r="E65" s="13"/>
      <c r="F65" s="13"/>
      <c r="G65">
        <v>19248.52</v>
      </c>
      <c r="H65">
        <v>19248.52</v>
      </c>
      <c r="I65">
        <v>22983.96</v>
      </c>
      <c r="J65">
        <v>210</v>
      </c>
      <c r="K65">
        <v>700</v>
      </c>
      <c r="L65">
        <f t="shared" si="8"/>
        <v>3035.4399999999987</v>
      </c>
      <c r="O65">
        <f t="shared" si="9"/>
        <v>3035.4399999999987</v>
      </c>
      <c r="P65" s="16" t="s">
        <v>286</v>
      </c>
      <c r="Q65" s="19">
        <v>455.3159999999998</v>
      </c>
      <c r="R65" s="68">
        <v>2790.1239999999989</v>
      </c>
    </row>
    <row r="66" spans="1:22">
      <c r="A66" t="s">
        <v>323</v>
      </c>
      <c r="B66" t="s">
        <v>151</v>
      </c>
      <c r="D66" s="13">
        <v>43490</v>
      </c>
      <c r="E66" s="13"/>
      <c r="F66" s="13"/>
      <c r="G66">
        <v>23240</v>
      </c>
      <c r="H66">
        <v>23475.8</v>
      </c>
      <c r="I66">
        <v>26648.5</v>
      </c>
      <c r="J66">
        <v>410</v>
      </c>
      <c r="K66">
        <v>450</v>
      </c>
      <c r="L66">
        <f t="shared" si="8"/>
        <v>2722.7000000000007</v>
      </c>
      <c r="M66">
        <v>1000</v>
      </c>
      <c r="N66">
        <v>300</v>
      </c>
      <c r="O66">
        <f t="shared" si="9"/>
        <v>2422.7000000000007</v>
      </c>
      <c r="P66" s="16" t="s">
        <v>310</v>
      </c>
      <c r="Q66" s="19">
        <v>360</v>
      </c>
      <c r="R66" s="68">
        <v>2472.7000000000007</v>
      </c>
    </row>
    <row r="67" spans="1:22">
      <c r="A67" t="s">
        <v>324</v>
      </c>
      <c r="B67" t="s">
        <v>151</v>
      </c>
      <c r="D67" s="13">
        <v>43496</v>
      </c>
      <c r="E67" s="13"/>
      <c r="F67" s="13"/>
      <c r="G67">
        <v>17319</v>
      </c>
      <c r="H67">
        <v>17319</v>
      </c>
      <c r="I67">
        <v>19000</v>
      </c>
      <c r="K67">
        <v>350</v>
      </c>
      <c r="L67">
        <f t="shared" si="8"/>
        <v>1331</v>
      </c>
      <c r="O67">
        <f t="shared" si="9"/>
        <v>1331</v>
      </c>
      <c r="P67" s="16" t="s">
        <v>160</v>
      </c>
      <c r="Q67" s="19">
        <v>199.65</v>
      </c>
      <c r="R67" s="68">
        <v>1131.3499999999999</v>
      </c>
      <c r="S67">
        <v>-26631.872499999998</v>
      </c>
      <c r="T67">
        <v>13</v>
      </c>
      <c r="V67" t="s">
        <v>325</v>
      </c>
    </row>
    <row r="68" spans="1:22">
      <c r="D68" s="13"/>
      <c r="E68" s="13"/>
      <c r="F68" s="13"/>
    </row>
    <row r="69" spans="1:22">
      <c r="A69" t="s">
        <v>326</v>
      </c>
      <c r="B69" t="s">
        <v>151</v>
      </c>
      <c r="D69" s="13">
        <v>43497</v>
      </c>
      <c r="E69" s="13"/>
      <c r="F69" s="13"/>
      <c r="G69">
        <v>14445</v>
      </c>
      <c r="H69">
        <v>14445</v>
      </c>
      <c r="I69">
        <v>16000</v>
      </c>
      <c r="L69">
        <f t="shared" ref="L69:L75" si="10">I69-H69-K69</f>
        <v>1555</v>
      </c>
      <c r="O69">
        <f t="shared" ref="O69:O75" si="11">L69-N69</f>
        <v>1555</v>
      </c>
      <c r="P69" s="16" t="s">
        <v>327</v>
      </c>
      <c r="Q69" s="19">
        <v>933</v>
      </c>
      <c r="R69" s="68">
        <v>622</v>
      </c>
    </row>
    <row r="70" spans="1:22">
      <c r="A70" t="s">
        <v>328</v>
      </c>
      <c r="B70" t="s">
        <v>151</v>
      </c>
      <c r="D70" s="13">
        <v>43506</v>
      </c>
      <c r="E70" s="13"/>
      <c r="F70" s="13"/>
      <c r="G70">
        <v>33801.089999999997</v>
      </c>
      <c r="H70">
        <v>33801.089999999997</v>
      </c>
      <c r="I70">
        <v>34600</v>
      </c>
      <c r="K70">
        <v>150</v>
      </c>
      <c r="L70">
        <f t="shared" si="10"/>
        <v>648.91000000000349</v>
      </c>
      <c r="O70">
        <f t="shared" si="11"/>
        <v>648.91000000000349</v>
      </c>
      <c r="P70" s="16" t="s">
        <v>127</v>
      </c>
      <c r="Q70" s="19">
        <v>0</v>
      </c>
      <c r="R70" s="68">
        <v>648.91000000000349</v>
      </c>
    </row>
    <row r="71" spans="1:22">
      <c r="A71" t="s">
        <v>329</v>
      </c>
      <c r="B71" t="s">
        <v>151</v>
      </c>
      <c r="D71" s="13">
        <v>43509</v>
      </c>
      <c r="E71" s="13"/>
      <c r="F71" s="13"/>
      <c r="G71">
        <v>25971.74</v>
      </c>
      <c r="H71">
        <v>25971.74</v>
      </c>
      <c r="I71">
        <v>30500</v>
      </c>
      <c r="K71">
        <v>600</v>
      </c>
      <c r="L71">
        <f t="shared" si="10"/>
        <v>3928.2599999999984</v>
      </c>
      <c r="N71">
        <v>160</v>
      </c>
      <c r="O71">
        <f t="shared" si="11"/>
        <v>3768.2599999999984</v>
      </c>
      <c r="P71" s="16" t="s">
        <v>286</v>
      </c>
      <c r="Q71" s="19">
        <v>565.23899999999969</v>
      </c>
      <c r="R71" s="68">
        <v>3203.0209999999988</v>
      </c>
    </row>
    <row r="72" spans="1:22">
      <c r="A72" t="s">
        <v>330</v>
      </c>
      <c r="B72" t="s">
        <v>151</v>
      </c>
      <c r="D72" s="13">
        <v>43515</v>
      </c>
      <c r="E72" s="13"/>
      <c r="F72" s="13"/>
      <c r="G72">
        <v>25110</v>
      </c>
      <c r="H72">
        <v>25150</v>
      </c>
      <c r="I72">
        <v>25978.3</v>
      </c>
      <c r="J72">
        <v>410</v>
      </c>
      <c r="L72">
        <f t="shared" si="10"/>
        <v>828.29999999999927</v>
      </c>
      <c r="O72">
        <f t="shared" si="11"/>
        <v>828.29999999999927</v>
      </c>
      <c r="P72" s="16" t="s">
        <v>331</v>
      </c>
      <c r="Q72" s="19">
        <v>300</v>
      </c>
      <c r="R72" s="68">
        <v>938.29999999999927</v>
      </c>
    </row>
    <row r="73" spans="1:22">
      <c r="A73" t="s">
        <v>328</v>
      </c>
      <c r="B73" t="s">
        <v>151</v>
      </c>
      <c r="D73" s="13">
        <v>43518</v>
      </c>
      <c r="E73" s="13"/>
      <c r="F73" s="13"/>
      <c r="G73">
        <v>36900</v>
      </c>
      <c r="H73">
        <v>36900</v>
      </c>
      <c r="I73">
        <v>39500</v>
      </c>
      <c r="J73">
        <v>410</v>
      </c>
      <c r="K73">
        <v>80</v>
      </c>
      <c r="L73">
        <f t="shared" si="10"/>
        <v>2520</v>
      </c>
      <c r="N73">
        <v>150</v>
      </c>
      <c r="O73">
        <f t="shared" si="11"/>
        <v>2370</v>
      </c>
      <c r="P73" s="16" t="s">
        <v>332</v>
      </c>
      <c r="Q73" s="19">
        <v>355.5</v>
      </c>
      <c r="R73" s="68">
        <v>2424.5</v>
      </c>
    </row>
    <row r="74" spans="1:22">
      <c r="A74" t="s">
        <v>333</v>
      </c>
      <c r="B74" t="s">
        <v>151</v>
      </c>
      <c r="D74" s="13">
        <v>43519</v>
      </c>
      <c r="E74" s="13"/>
      <c r="F74" s="13"/>
      <c r="G74">
        <v>8393.02</v>
      </c>
      <c r="H74">
        <v>8393.02</v>
      </c>
      <c r="I74">
        <v>9033.6</v>
      </c>
      <c r="K74">
        <v>110</v>
      </c>
      <c r="L74">
        <f t="shared" si="10"/>
        <v>530.57999999999993</v>
      </c>
      <c r="O74">
        <f t="shared" si="11"/>
        <v>530.57999999999993</v>
      </c>
      <c r="P74" s="16" t="s">
        <v>127</v>
      </c>
      <c r="Q74" s="19">
        <v>0</v>
      </c>
      <c r="R74" s="68">
        <v>530.57999999999993</v>
      </c>
    </row>
    <row r="75" spans="1:22">
      <c r="A75" t="s">
        <v>249</v>
      </c>
      <c r="B75" t="s">
        <v>151</v>
      </c>
      <c r="D75" s="13">
        <v>43521</v>
      </c>
      <c r="E75" s="13"/>
      <c r="G75">
        <v>20135.009999999998</v>
      </c>
      <c r="H75">
        <v>20135.009999999998</v>
      </c>
      <c r="I75">
        <v>22542</v>
      </c>
      <c r="J75">
        <v>410</v>
      </c>
      <c r="K75">
        <v>400</v>
      </c>
      <c r="L75">
        <f t="shared" si="10"/>
        <v>2006.9900000000016</v>
      </c>
      <c r="N75">
        <v>160</v>
      </c>
      <c r="O75">
        <f t="shared" si="11"/>
        <v>1846.9900000000016</v>
      </c>
      <c r="P75" s="16" t="s">
        <v>286</v>
      </c>
      <c r="Q75" s="19">
        <v>277.04850000000022</v>
      </c>
      <c r="R75" s="68">
        <v>1979.9415000000013</v>
      </c>
      <c r="S75">
        <v>10347.252500000002</v>
      </c>
      <c r="T75">
        <v>7</v>
      </c>
      <c r="V75" t="s">
        <v>334</v>
      </c>
    </row>
    <row r="76" spans="1:22">
      <c r="D76" s="13"/>
      <c r="E76" s="13"/>
    </row>
    <row r="77" spans="1:22">
      <c r="A77" t="s">
        <v>335</v>
      </c>
      <c r="B77" t="s">
        <v>151</v>
      </c>
      <c r="D77" s="13">
        <v>43525</v>
      </c>
      <c r="E77" s="13"/>
      <c r="F77" s="13"/>
      <c r="G77">
        <v>7500</v>
      </c>
      <c r="H77">
        <v>7500</v>
      </c>
      <c r="I77">
        <v>7500</v>
      </c>
      <c r="J77">
        <v>410</v>
      </c>
      <c r="L77">
        <f>I77-H77-K77</f>
        <v>0</v>
      </c>
      <c r="O77">
        <f>L77-N77</f>
        <v>0</v>
      </c>
      <c r="P77" s="16" t="s">
        <v>127</v>
      </c>
      <c r="Q77" s="19">
        <v>0</v>
      </c>
      <c r="R77" s="68">
        <v>410</v>
      </c>
    </row>
    <row r="78" spans="1:22">
      <c r="A78" t="s">
        <v>336</v>
      </c>
      <c r="B78" t="s">
        <v>151</v>
      </c>
      <c r="D78" s="13">
        <v>43536</v>
      </c>
      <c r="E78" s="13"/>
      <c r="F78" s="13"/>
      <c r="G78">
        <v>17530</v>
      </c>
      <c r="H78">
        <v>17555</v>
      </c>
      <c r="I78">
        <v>18300</v>
      </c>
      <c r="J78">
        <v>410</v>
      </c>
      <c r="K78">
        <v>450</v>
      </c>
      <c r="L78">
        <f>I78-H78-K78</f>
        <v>295</v>
      </c>
      <c r="O78">
        <f>L78-N78</f>
        <v>295</v>
      </c>
      <c r="P78" s="16" t="s">
        <v>127</v>
      </c>
      <c r="Q78" s="19">
        <v>0</v>
      </c>
      <c r="R78" s="68">
        <v>705</v>
      </c>
    </row>
    <row r="79" spans="1:22">
      <c r="A79" t="s">
        <v>311</v>
      </c>
      <c r="B79" t="s">
        <v>151</v>
      </c>
      <c r="D79" s="13">
        <v>43545</v>
      </c>
      <c r="E79" s="13"/>
      <c r="F79" s="13"/>
      <c r="G79">
        <v>8746.01</v>
      </c>
      <c r="H79">
        <v>8746.01</v>
      </c>
      <c r="I79">
        <v>11308</v>
      </c>
      <c r="J79">
        <v>220</v>
      </c>
      <c r="K79">
        <v>400</v>
      </c>
      <c r="L79">
        <f>I79-H79-K79</f>
        <v>2161.9899999999998</v>
      </c>
      <c r="M79">
        <v>2000</v>
      </c>
      <c r="N79">
        <v>300</v>
      </c>
      <c r="O79">
        <f>L79-N79</f>
        <v>1861.9899999999998</v>
      </c>
      <c r="P79" s="16" t="s">
        <v>337</v>
      </c>
      <c r="Q79" s="19">
        <v>279.29849999999993</v>
      </c>
      <c r="R79" s="68">
        <v>1802.6914999999999</v>
      </c>
    </row>
    <row r="80" spans="1:22">
      <c r="A80" t="s">
        <v>338</v>
      </c>
      <c r="B80" t="s">
        <v>151</v>
      </c>
      <c r="D80" s="13">
        <v>43552</v>
      </c>
      <c r="E80" s="13"/>
      <c r="F80" s="13"/>
      <c r="G80">
        <v>39116</v>
      </c>
      <c r="H80">
        <v>39116</v>
      </c>
      <c r="I80">
        <v>40567</v>
      </c>
      <c r="J80">
        <v>410</v>
      </c>
      <c r="K80">
        <v>450</v>
      </c>
      <c r="L80">
        <f>I80-H80-K80</f>
        <v>1001</v>
      </c>
      <c r="M80">
        <v>25500</v>
      </c>
      <c r="N80">
        <v>200</v>
      </c>
      <c r="O80">
        <f>L80-N80</f>
        <v>801</v>
      </c>
      <c r="P80" s="16" t="s">
        <v>127</v>
      </c>
      <c r="Q80" s="19">
        <v>0</v>
      </c>
      <c r="R80" s="68">
        <v>1211</v>
      </c>
      <c r="S80">
        <v>4128.6914999999999</v>
      </c>
      <c r="T80">
        <v>4</v>
      </c>
    </row>
    <row r="81" spans="1:18">
      <c r="D81" s="13"/>
      <c r="E81" s="13"/>
      <c r="F81" s="13"/>
    </row>
    <row r="82" spans="1:18">
      <c r="A82" t="s">
        <v>339</v>
      </c>
      <c r="B82" t="s">
        <v>151</v>
      </c>
      <c r="C82" s="18">
        <v>43556</v>
      </c>
      <c r="D82" s="13">
        <v>43556</v>
      </c>
      <c r="E82" s="13"/>
      <c r="F82" s="13"/>
      <c r="G82">
        <v>31691.86</v>
      </c>
      <c r="H82">
        <v>31691.86</v>
      </c>
      <c r="I82">
        <v>33515.85</v>
      </c>
      <c r="J82">
        <v>220</v>
      </c>
      <c r="K82">
        <v>550</v>
      </c>
      <c r="L82">
        <f t="shared" ref="L82:L97" si="12">I82-H82-K82</f>
        <v>1273.989999999998</v>
      </c>
      <c r="M82">
        <v>2000</v>
      </c>
      <c r="N82">
        <v>0</v>
      </c>
      <c r="O82">
        <f t="shared" ref="O82:O97" si="13">L82-N82</f>
        <v>1273.989999999998</v>
      </c>
      <c r="P82" s="16" t="s">
        <v>331</v>
      </c>
      <c r="Q82" s="19">
        <v>191.09849999999969</v>
      </c>
      <c r="R82" s="68">
        <v>1302.8914999999984</v>
      </c>
    </row>
    <row r="83" spans="1:18">
      <c r="A83" t="s">
        <v>340</v>
      </c>
      <c r="B83" t="s">
        <v>151</v>
      </c>
      <c r="C83" s="18">
        <v>43556</v>
      </c>
      <c r="D83" s="13">
        <v>43557</v>
      </c>
      <c r="E83" s="13"/>
      <c r="G83">
        <v>12263.6</v>
      </c>
      <c r="H83">
        <v>12263.6</v>
      </c>
      <c r="I83">
        <v>13680</v>
      </c>
      <c r="J83">
        <v>410</v>
      </c>
      <c r="K83">
        <v>300</v>
      </c>
      <c r="L83">
        <f t="shared" si="12"/>
        <v>1116.3999999999996</v>
      </c>
      <c r="M83">
        <v>2000</v>
      </c>
      <c r="N83">
        <v>0</v>
      </c>
      <c r="O83">
        <f t="shared" si="13"/>
        <v>1116.3999999999996</v>
      </c>
      <c r="P83" s="16" t="s">
        <v>341</v>
      </c>
      <c r="Q83" s="19">
        <v>160</v>
      </c>
      <c r="R83" s="68">
        <v>1366.3999999999996</v>
      </c>
    </row>
    <row r="84" spans="1:18">
      <c r="A84" t="s">
        <v>342</v>
      </c>
      <c r="B84" t="s">
        <v>151</v>
      </c>
      <c r="C84" s="18">
        <v>43556</v>
      </c>
      <c r="D84" s="13">
        <v>43561</v>
      </c>
      <c r="E84" s="13"/>
      <c r="G84">
        <f>2850+350</f>
        <v>3200</v>
      </c>
      <c r="H84">
        <v>3200</v>
      </c>
      <c r="I84">
        <v>5548.87</v>
      </c>
      <c r="J84">
        <v>220</v>
      </c>
      <c r="K84">
        <v>650</v>
      </c>
      <c r="L84">
        <f t="shared" si="12"/>
        <v>1698.87</v>
      </c>
      <c r="M84">
        <v>0</v>
      </c>
      <c r="N84">
        <v>0</v>
      </c>
      <c r="O84">
        <f t="shared" si="13"/>
        <v>1698.87</v>
      </c>
      <c r="P84" s="16" t="s">
        <v>343</v>
      </c>
      <c r="Q84" s="19">
        <v>1019.3219999999999</v>
      </c>
      <c r="R84" s="68">
        <v>899.548</v>
      </c>
    </row>
    <row r="85" spans="1:18">
      <c r="A85" t="s">
        <v>344</v>
      </c>
      <c r="B85" t="s">
        <v>151</v>
      </c>
      <c r="C85" s="18">
        <v>43556</v>
      </c>
      <c r="D85" s="13">
        <v>43564</v>
      </c>
      <c r="E85" s="13"/>
      <c r="G85">
        <v>43475.11</v>
      </c>
      <c r="H85">
        <v>43475.11</v>
      </c>
      <c r="I85">
        <v>40035</v>
      </c>
      <c r="K85">
        <v>283</v>
      </c>
      <c r="L85">
        <f t="shared" si="12"/>
        <v>-3723.1100000000006</v>
      </c>
      <c r="O85">
        <f t="shared" si="13"/>
        <v>-3723.1100000000006</v>
      </c>
      <c r="P85" s="16" t="s">
        <v>127</v>
      </c>
      <c r="Q85" s="19">
        <v>0</v>
      </c>
      <c r="R85" s="68">
        <v>-3723.1100000000006</v>
      </c>
    </row>
    <row r="86" spans="1:18">
      <c r="A86" t="s">
        <v>345</v>
      </c>
      <c r="B86" t="s">
        <v>151</v>
      </c>
      <c r="C86" s="18">
        <v>43556</v>
      </c>
      <c r="D86" s="13">
        <v>43566</v>
      </c>
      <c r="E86" s="13"/>
      <c r="G86">
        <v>25785.56</v>
      </c>
      <c r="H86">
        <v>25785.56</v>
      </c>
      <c r="I86">
        <v>25040</v>
      </c>
      <c r="K86">
        <v>283</v>
      </c>
      <c r="L86">
        <f t="shared" si="12"/>
        <v>-1028.5600000000013</v>
      </c>
      <c r="O86">
        <f t="shared" si="13"/>
        <v>-1028.5600000000013</v>
      </c>
      <c r="P86" s="16" t="s">
        <v>127</v>
      </c>
      <c r="Q86" s="19">
        <v>0</v>
      </c>
      <c r="R86" s="68">
        <v>-1028.5600000000013</v>
      </c>
    </row>
    <row r="87" spans="1:18">
      <c r="A87" t="s">
        <v>346</v>
      </c>
      <c r="B87" t="s">
        <v>151</v>
      </c>
      <c r="C87" s="18">
        <v>43556</v>
      </c>
      <c r="D87" s="13">
        <v>43572</v>
      </c>
      <c r="E87" s="13"/>
      <c r="G87">
        <v>2477.63</v>
      </c>
      <c r="H87">
        <v>2477.63</v>
      </c>
      <c r="I87">
        <v>800</v>
      </c>
      <c r="L87">
        <f t="shared" si="12"/>
        <v>-1677.63</v>
      </c>
      <c r="O87">
        <f t="shared" si="13"/>
        <v>-1677.63</v>
      </c>
      <c r="P87" s="16" t="s">
        <v>127</v>
      </c>
      <c r="Q87" s="19">
        <v>0</v>
      </c>
      <c r="R87" s="68">
        <v>-1677.63</v>
      </c>
    </row>
    <row r="88" spans="1:18">
      <c r="A88" t="s">
        <v>347</v>
      </c>
      <c r="B88" t="s">
        <v>151</v>
      </c>
      <c r="C88" s="18">
        <v>43556</v>
      </c>
      <c r="D88" s="13">
        <v>43572</v>
      </c>
      <c r="E88" s="13"/>
      <c r="G88">
        <v>39094.22</v>
      </c>
      <c r="H88">
        <v>39094.22</v>
      </c>
      <c r="I88">
        <v>38500</v>
      </c>
      <c r="J88">
        <v>410</v>
      </c>
      <c r="L88">
        <f t="shared" si="12"/>
        <v>-594.22000000000116</v>
      </c>
      <c r="M88">
        <v>20500</v>
      </c>
      <c r="O88">
        <f t="shared" si="13"/>
        <v>-594.22000000000116</v>
      </c>
      <c r="P88" s="16" t="s">
        <v>348</v>
      </c>
      <c r="Q88" s="19">
        <v>0</v>
      </c>
      <c r="R88" s="68">
        <v>-184.22000000000116</v>
      </c>
    </row>
    <row r="89" spans="1:18">
      <c r="A89" t="s">
        <v>349</v>
      </c>
      <c r="B89" t="s">
        <v>151</v>
      </c>
      <c r="C89" s="18">
        <v>43556</v>
      </c>
      <c r="D89" s="13">
        <v>43572</v>
      </c>
      <c r="E89" s="13"/>
      <c r="G89">
        <v>21530</v>
      </c>
      <c r="H89">
        <v>21530</v>
      </c>
      <c r="I89">
        <v>25562.080000000002</v>
      </c>
      <c r="J89">
        <v>220</v>
      </c>
      <c r="K89">
        <v>500</v>
      </c>
      <c r="L89">
        <f t="shared" si="12"/>
        <v>3532.0800000000017</v>
      </c>
      <c r="M89">
        <v>2000</v>
      </c>
      <c r="O89">
        <f t="shared" si="13"/>
        <v>3532.0800000000017</v>
      </c>
      <c r="P89" s="16" t="s">
        <v>317</v>
      </c>
      <c r="Q89" s="19">
        <v>1059.6240000000005</v>
      </c>
      <c r="R89" s="68">
        <v>2692.456000000001</v>
      </c>
    </row>
    <row r="90" spans="1:18">
      <c r="A90" t="s">
        <v>350</v>
      </c>
      <c r="B90" t="s">
        <v>151</v>
      </c>
      <c r="C90" s="18">
        <v>43556</v>
      </c>
      <c r="D90" s="13">
        <v>43573</v>
      </c>
      <c r="E90" s="13"/>
      <c r="G90">
        <v>16285.93</v>
      </c>
      <c r="H90">
        <v>16285.93</v>
      </c>
      <c r="I90">
        <v>19030</v>
      </c>
      <c r="J90">
        <v>220</v>
      </c>
      <c r="K90">
        <v>400</v>
      </c>
      <c r="L90">
        <f t="shared" si="12"/>
        <v>2344.0699999999997</v>
      </c>
      <c r="M90">
        <v>2000</v>
      </c>
      <c r="O90">
        <f t="shared" si="13"/>
        <v>2344.0699999999997</v>
      </c>
      <c r="P90" s="16" t="s">
        <v>317</v>
      </c>
      <c r="Q90" s="19">
        <v>703.22099999999989</v>
      </c>
      <c r="R90" s="68">
        <v>1860.8489999999997</v>
      </c>
    </row>
    <row r="91" spans="1:18">
      <c r="A91" t="s">
        <v>351</v>
      </c>
      <c r="B91" t="s">
        <v>151</v>
      </c>
      <c r="C91" s="18">
        <v>43556</v>
      </c>
      <c r="D91" s="13">
        <v>43574</v>
      </c>
      <c r="E91" s="13"/>
      <c r="G91">
        <v>2204.17</v>
      </c>
      <c r="H91">
        <v>2204.17</v>
      </c>
      <c r="I91">
        <v>1050</v>
      </c>
      <c r="K91">
        <v>40</v>
      </c>
      <c r="L91">
        <f t="shared" si="12"/>
        <v>-1194.17</v>
      </c>
      <c r="O91">
        <f t="shared" si="13"/>
        <v>-1194.17</v>
      </c>
      <c r="P91" s="16" t="s">
        <v>127</v>
      </c>
      <c r="Q91" s="19">
        <v>0</v>
      </c>
      <c r="R91" s="68">
        <v>-1194.17</v>
      </c>
    </row>
    <row r="92" spans="1:18">
      <c r="A92" t="s">
        <v>352</v>
      </c>
      <c r="B92" t="s">
        <v>151</v>
      </c>
      <c r="C92" s="18">
        <v>43556</v>
      </c>
      <c r="D92" s="13">
        <v>43577</v>
      </c>
      <c r="E92" s="13" t="s">
        <v>353</v>
      </c>
      <c r="G92">
        <v>23563.25</v>
      </c>
      <c r="H92">
        <v>23563.25</v>
      </c>
      <c r="I92">
        <v>25660.720000000001</v>
      </c>
      <c r="J92">
        <v>220</v>
      </c>
      <c r="K92">
        <v>400</v>
      </c>
      <c r="L92">
        <f t="shared" si="12"/>
        <v>1697.4700000000012</v>
      </c>
      <c r="O92">
        <f t="shared" si="13"/>
        <v>1697.4700000000012</v>
      </c>
      <c r="P92" s="16" t="s">
        <v>127</v>
      </c>
      <c r="Q92" s="19">
        <v>0</v>
      </c>
      <c r="R92" s="68">
        <v>1917.4700000000012</v>
      </c>
    </row>
    <row r="93" spans="1:18">
      <c r="A93" t="s">
        <v>354</v>
      </c>
      <c r="B93" t="s">
        <v>151</v>
      </c>
      <c r="C93" s="18">
        <v>43556</v>
      </c>
      <c r="D93" s="13">
        <v>43578</v>
      </c>
      <c r="E93" s="13"/>
      <c r="G93">
        <v>26804.63</v>
      </c>
      <c r="H93">
        <v>26804.63</v>
      </c>
      <c r="I93">
        <v>30189</v>
      </c>
      <c r="J93">
        <v>410</v>
      </c>
      <c r="K93">
        <v>450</v>
      </c>
      <c r="L93">
        <f t="shared" si="12"/>
        <v>2934.369999999999</v>
      </c>
      <c r="M93">
        <v>1000</v>
      </c>
      <c r="N93">
        <v>600</v>
      </c>
      <c r="O93">
        <f t="shared" si="13"/>
        <v>2334.369999999999</v>
      </c>
      <c r="P93" s="16" t="s">
        <v>331</v>
      </c>
      <c r="Q93" s="19">
        <v>350.15549999999985</v>
      </c>
      <c r="R93" s="68">
        <v>2394.2144999999991</v>
      </c>
    </row>
    <row r="94" spans="1:18">
      <c r="A94" t="s">
        <v>355</v>
      </c>
      <c r="B94" t="s">
        <v>151</v>
      </c>
      <c r="C94" s="18">
        <v>43556</v>
      </c>
      <c r="D94" s="13">
        <v>43584</v>
      </c>
      <c r="E94" s="13" t="s">
        <v>356</v>
      </c>
      <c r="G94">
        <v>44070</v>
      </c>
      <c r="H94">
        <v>44070</v>
      </c>
      <c r="I94">
        <v>50945</v>
      </c>
      <c r="J94">
        <v>410</v>
      </c>
      <c r="K94">
        <v>950</v>
      </c>
      <c r="L94">
        <f t="shared" si="12"/>
        <v>5925</v>
      </c>
      <c r="M94">
        <v>2000</v>
      </c>
      <c r="N94">
        <v>300</v>
      </c>
      <c r="O94">
        <f t="shared" si="13"/>
        <v>5625</v>
      </c>
      <c r="P94" s="16" t="s">
        <v>127</v>
      </c>
      <c r="Q94" s="19">
        <v>0</v>
      </c>
      <c r="R94" s="68">
        <v>6035</v>
      </c>
    </row>
    <row r="95" spans="1:18">
      <c r="A95" t="s">
        <v>349</v>
      </c>
      <c r="B95" t="s">
        <v>151</v>
      </c>
      <c r="C95" s="18">
        <v>43556</v>
      </c>
      <c r="D95" s="13">
        <v>43584</v>
      </c>
      <c r="E95" s="13" t="s">
        <v>357</v>
      </c>
      <c r="G95">
        <v>20550</v>
      </c>
      <c r="H95">
        <v>20550</v>
      </c>
      <c r="I95">
        <v>25000</v>
      </c>
      <c r="J95">
        <v>410</v>
      </c>
      <c r="K95">
        <v>250</v>
      </c>
      <c r="L95">
        <f t="shared" si="12"/>
        <v>4200</v>
      </c>
      <c r="M95">
        <v>2000</v>
      </c>
      <c r="O95">
        <f t="shared" si="13"/>
        <v>4200</v>
      </c>
      <c r="P95" s="16" t="s">
        <v>348</v>
      </c>
      <c r="Q95" s="19">
        <v>1260</v>
      </c>
      <c r="R95" s="68">
        <v>3350</v>
      </c>
    </row>
    <row r="96" spans="1:18">
      <c r="A96" t="s">
        <v>358</v>
      </c>
      <c r="B96" t="s">
        <v>151</v>
      </c>
      <c r="C96" s="18">
        <v>43556</v>
      </c>
      <c r="D96" s="13">
        <v>43584</v>
      </c>
      <c r="E96" s="13" t="s">
        <v>359</v>
      </c>
      <c r="G96">
        <v>44037</v>
      </c>
      <c r="H96">
        <v>44037</v>
      </c>
      <c r="I96">
        <v>48114</v>
      </c>
      <c r="J96">
        <v>810</v>
      </c>
      <c r="K96">
        <v>400</v>
      </c>
      <c r="L96">
        <f t="shared" si="12"/>
        <v>3677</v>
      </c>
      <c r="N96">
        <v>155</v>
      </c>
      <c r="O96">
        <f t="shared" si="13"/>
        <v>3522</v>
      </c>
      <c r="P96" s="16" t="s">
        <v>127</v>
      </c>
      <c r="Q96" s="19">
        <v>0</v>
      </c>
      <c r="R96" s="68">
        <v>4332</v>
      </c>
    </row>
    <row r="97" spans="1:23">
      <c r="A97" t="s">
        <v>191</v>
      </c>
      <c r="B97" t="s">
        <v>151</v>
      </c>
      <c r="C97" s="18">
        <v>43556</v>
      </c>
      <c r="D97" s="13">
        <v>43585</v>
      </c>
      <c r="E97" s="13" t="s">
        <v>360</v>
      </c>
      <c r="G97">
        <v>19760.419999999998</v>
      </c>
      <c r="H97">
        <v>19760.419999999998</v>
      </c>
      <c r="I97">
        <v>23072.45</v>
      </c>
      <c r="J97">
        <v>220</v>
      </c>
      <c r="K97">
        <v>1000</v>
      </c>
      <c r="L97">
        <f t="shared" si="12"/>
        <v>2312.0300000000025</v>
      </c>
      <c r="M97">
        <v>2000</v>
      </c>
      <c r="O97">
        <f t="shared" si="13"/>
        <v>2312.0300000000025</v>
      </c>
      <c r="P97" s="16" t="s">
        <v>317</v>
      </c>
      <c r="Q97" s="19">
        <v>693.60900000000072</v>
      </c>
      <c r="R97" s="68">
        <v>1838.4210000000016</v>
      </c>
      <c r="S97">
        <v>20181.559999999998</v>
      </c>
      <c r="T97">
        <v>16</v>
      </c>
    </row>
    <row r="98" spans="1:23">
      <c r="C98" s="18"/>
      <c r="D98" s="13"/>
      <c r="E98" s="13"/>
    </row>
    <row r="99" spans="1:23">
      <c r="A99" t="s">
        <v>361</v>
      </c>
      <c r="B99" t="s">
        <v>151</v>
      </c>
      <c r="C99" s="18">
        <v>43586</v>
      </c>
      <c r="D99" s="13">
        <v>43586</v>
      </c>
      <c r="E99" s="13" t="s">
        <v>362</v>
      </c>
      <c r="G99">
        <v>8000</v>
      </c>
      <c r="H99">
        <v>8000</v>
      </c>
      <c r="I99">
        <v>10500</v>
      </c>
      <c r="J99">
        <v>410</v>
      </c>
      <c r="L99">
        <f t="shared" ref="L99:L107" si="14">I99-H99-K99</f>
        <v>2500</v>
      </c>
      <c r="O99">
        <f t="shared" ref="O99:O107" si="15">L99-N99</f>
        <v>2500</v>
      </c>
      <c r="P99" s="16" t="s">
        <v>331</v>
      </c>
      <c r="Q99" s="19">
        <v>375</v>
      </c>
      <c r="R99" s="68">
        <v>2535</v>
      </c>
    </row>
    <row r="100" spans="1:23">
      <c r="A100" t="s">
        <v>307</v>
      </c>
      <c r="B100" t="s">
        <v>151</v>
      </c>
      <c r="C100" s="18">
        <v>43556</v>
      </c>
      <c r="D100" s="13">
        <v>43587</v>
      </c>
      <c r="E100" s="13" t="s">
        <v>363</v>
      </c>
      <c r="G100">
        <v>20350</v>
      </c>
      <c r="H100">
        <v>20350</v>
      </c>
      <c r="I100">
        <v>24412</v>
      </c>
      <c r="J100">
        <v>220</v>
      </c>
      <c r="K100">
        <v>900</v>
      </c>
      <c r="L100">
        <f t="shared" si="14"/>
        <v>3162</v>
      </c>
      <c r="M100">
        <v>2000</v>
      </c>
      <c r="O100">
        <f t="shared" si="15"/>
        <v>3162</v>
      </c>
      <c r="P100" s="16" t="s">
        <v>317</v>
      </c>
      <c r="Q100" s="19">
        <v>948.59999999999991</v>
      </c>
      <c r="R100" s="68">
        <v>2433.4</v>
      </c>
    </row>
    <row r="101" spans="1:23">
      <c r="A101" t="s">
        <v>364</v>
      </c>
      <c r="B101" t="s">
        <v>151</v>
      </c>
      <c r="C101" s="18">
        <v>43556</v>
      </c>
      <c r="D101" s="13">
        <v>43588</v>
      </c>
      <c r="E101" s="13" t="s">
        <v>365</v>
      </c>
      <c r="G101">
        <v>11986.6</v>
      </c>
      <c r="H101">
        <v>11986.6</v>
      </c>
      <c r="I101">
        <v>14335</v>
      </c>
      <c r="J101">
        <v>410</v>
      </c>
      <c r="K101">
        <v>500</v>
      </c>
      <c r="L101">
        <f t="shared" si="14"/>
        <v>1848.3999999999996</v>
      </c>
      <c r="M101">
        <v>2000</v>
      </c>
      <c r="O101">
        <f t="shared" si="15"/>
        <v>1848.3999999999996</v>
      </c>
      <c r="P101" s="16" t="s">
        <v>317</v>
      </c>
      <c r="Q101" s="19">
        <v>554.51999999999987</v>
      </c>
      <c r="R101" s="68">
        <v>1703.8799999999997</v>
      </c>
    </row>
    <row r="102" spans="1:23">
      <c r="A102" t="s">
        <v>366</v>
      </c>
      <c r="B102" t="s">
        <v>151</v>
      </c>
      <c r="C102" s="18">
        <v>43604</v>
      </c>
      <c r="D102" s="13">
        <v>43594</v>
      </c>
      <c r="E102" s="13" t="s">
        <v>367</v>
      </c>
      <c r="G102">
        <v>9736.58</v>
      </c>
      <c r="H102">
        <v>9736.58</v>
      </c>
      <c r="I102">
        <v>10513.02</v>
      </c>
      <c r="J102">
        <v>220</v>
      </c>
      <c r="K102">
        <v>70</v>
      </c>
      <c r="L102">
        <f t="shared" si="14"/>
        <v>706.44000000000051</v>
      </c>
      <c r="N102">
        <v>470</v>
      </c>
      <c r="O102">
        <f t="shared" si="15"/>
        <v>236.44000000000051</v>
      </c>
      <c r="P102" s="16" t="s">
        <v>127</v>
      </c>
      <c r="Q102" s="19">
        <v>0</v>
      </c>
      <c r="R102" s="68">
        <v>456.44000000000051</v>
      </c>
    </row>
    <row r="103" spans="1:23">
      <c r="A103" t="s">
        <v>368</v>
      </c>
      <c r="B103" t="s">
        <v>151</v>
      </c>
      <c r="C103" s="18">
        <v>43604</v>
      </c>
      <c r="D103" s="13">
        <v>43595</v>
      </c>
      <c r="E103" s="13" t="s">
        <v>369</v>
      </c>
      <c r="G103">
        <v>6002.63</v>
      </c>
      <c r="H103">
        <v>6002.63</v>
      </c>
      <c r="I103">
        <v>3845</v>
      </c>
      <c r="K103">
        <v>70</v>
      </c>
      <c r="L103">
        <f t="shared" si="14"/>
        <v>-2227.63</v>
      </c>
      <c r="O103">
        <f t="shared" si="15"/>
        <v>-2227.63</v>
      </c>
      <c r="P103" s="16" t="s">
        <v>127</v>
      </c>
      <c r="Q103" s="19">
        <v>0</v>
      </c>
      <c r="R103" s="68">
        <v>-2227.63</v>
      </c>
    </row>
    <row r="104" spans="1:23">
      <c r="A104" t="s">
        <v>370</v>
      </c>
      <c r="B104" t="s">
        <v>151</v>
      </c>
      <c r="C104" s="18">
        <v>43556</v>
      </c>
      <c r="D104" s="13">
        <v>43601</v>
      </c>
      <c r="E104" s="13" t="s">
        <v>371</v>
      </c>
      <c r="G104">
        <v>18826.439999999999</v>
      </c>
      <c r="H104">
        <v>18826.439999999999</v>
      </c>
      <c r="I104">
        <v>23585</v>
      </c>
      <c r="J104">
        <v>310</v>
      </c>
      <c r="K104">
        <v>1000</v>
      </c>
      <c r="L104">
        <f t="shared" si="14"/>
        <v>3758.5600000000013</v>
      </c>
      <c r="M104">
        <v>2000</v>
      </c>
      <c r="N104">
        <v>100</v>
      </c>
      <c r="O104">
        <f t="shared" si="15"/>
        <v>3658.5600000000013</v>
      </c>
      <c r="P104" s="16" t="s">
        <v>348</v>
      </c>
      <c r="Q104" s="19">
        <v>1097.5680000000004</v>
      </c>
      <c r="R104" s="68">
        <v>2870.9920000000011</v>
      </c>
    </row>
    <row r="105" spans="1:23">
      <c r="A105" t="s">
        <v>372</v>
      </c>
      <c r="B105" t="s">
        <v>151</v>
      </c>
      <c r="C105" s="18">
        <v>43604</v>
      </c>
      <c r="D105" s="13">
        <v>43607</v>
      </c>
      <c r="E105" s="13"/>
      <c r="G105">
        <v>11000</v>
      </c>
      <c r="H105">
        <v>11000</v>
      </c>
      <c r="I105">
        <v>12500</v>
      </c>
      <c r="J105">
        <v>220</v>
      </c>
      <c r="L105">
        <f t="shared" si="14"/>
        <v>1500</v>
      </c>
      <c r="O105">
        <f t="shared" si="15"/>
        <v>1500</v>
      </c>
      <c r="P105" s="16" t="s">
        <v>373</v>
      </c>
      <c r="Q105" s="19">
        <v>225</v>
      </c>
      <c r="R105" s="68">
        <v>1495</v>
      </c>
    </row>
    <row r="106" spans="1:23">
      <c r="A106" t="s">
        <v>374</v>
      </c>
      <c r="B106" t="s">
        <v>151</v>
      </c>
      <c r="C106" s="18">
        <v>43604</v>
      </c>
      <c r="D106" s="13">
        <v>43610</v>
      </c>
      <c r="E106" s="13" t="s">
        <v>375</v>
      </c>
      <c r="G106">
        <v>7028</v>
      </c>
      <c r="H106">
        <v>7028</v>
      </c>
      <c r="I106">
        <v>7313</v>
      </c>
      <c r="J106">
        <v>220</v>
      </c>
      <c r="K106">
        <v>70</v>
      </c>
      <c r="L106">
        <f t="shared" si="14"/>
        <v>215</v>
      </c>
      <c r="O106">
        <f t="shared" si="15"/>
        <v>215</v>
      </c>
      <c r="P106" s="16" t="s">
        <v>331</v>
      </c>
      <c r="Q106" s="19">
        <v>64.5</v>
      </c>
      <c r="R106" s="68">
        <v>370.5</v>
      </c>
      <c r="W106" t="e">
        <f>SUMPRODUCT(--(FREQUENCY(MATCH(P2:P169,P2:P169,0),ROW(P2:P169)-ROW(P2)+1)&gt;0))</f>
        <v>#N/A</v>
      </c>
    </row>
    <row r="107" spans="1:23">
      <c r="A107" t="s">
        <v>242</v>
      </c>
      <c r="B107" t="s">
        <v>151</v>
      </c>
      <c r="C107" s="18">
        <v>43604</v>
      </c>
      <c r="D107" s="13">
        <v>43614</v>
      </c>
      <c r="E107" s="13" t="s">
        <v>376</v>
      </c>
      <c r="G107">
        <v>3500</v>
      </c>
      <c r="H107">
        <v>3500</v>
      </c>
      <c r="I107">
        <v>5500</v>
      </c>
      <c r="J107">
        <v>410</v>
      </c>
      <c r="L107">
        <f t="shared" si="14"/>
        <v>2000</v>
      </c>
      <c r="O107">
        <f t="shared" si="15"/>
        <v>2000</v>
      </c>
      <c r="P107" s="16" t="s">
        <v>331</v>
      </c>
      <c r="Q107" s="19">
        <v>600</v>
      </c>
      <c r="R107" s="68">
        <v>1810</v>
      </c>
      <c r="S107">
        <v>11447.582</v>
      </c>
      <c r="T107">
        <v>9</v>
      </c>
    </row>
    <row r="108" spans="1:23">
      <c r="C108" s="18"/>
      <c r="D108" s="13"/>
      <c r="E108" s="13"/>
    </row>
    <row r="109" spans="1:23">
      <c r="A109" t="s">
        <v>377</v>
      </c>
      <c r="B109" t="s">
        <v>151</v>
      </c>
      <c r="C109" s="18">
        <v>43604</v>
      </c>
      <c r="D109" s="13">
        <v>43621</v>
      </c>
      <c r="E109" s="13" t="s">
        <v>378</v>
      </c>
      <c r="G109">
        <v>29129.5</v>
      </c>
      <c r="H109">
        <v>29129.5</v>
      </c>
      <c r="I109">
        <f>29425+2000</f>
        <v>31425</v>
      </c>
      <c r="J109">
        <v>0</v>
      </c>
      <c r="K109">
        <v>1050</v>
      </c>
      <c r="L109">
        <f t="shared" ref="L109:L124" si="16">I109-H109-K109</f>
        <v>1245.5</v>
      </c>
      <c r="O109">
        <f t="shared" ref="O109:O124" si="17">L109-N109</f>
        <v>1245.5</v>
      </c>
      <c r="P109" s="16" t="s">
        <v>331</v>
      </c>
      <c r="Q109" s="19">
        <v>186.82499999999999</v>
      </c>
      <c r="R109" s="68">
        <v>1058.675</v>
      </c>
    </row>
    <row r="110" spans="1:23">
      <c r="A110" t="s">
        <v>379</v>
      </c>
      <c r="B110" t="s">
        <v>151</v>
      </c>
      <c r="C110" s="18">
        <v>43635</v>
      </c>
      <c r="D110" s="13">
        <v>43622</v>
      </c>
      <c r="E110" s="13" t="s">
        <v>376</v>
      </c>
      <c r="G110">
        <v>6046.42</v>
      </c>
      <c r="H110">
        <v>6046.42</v>
      </c>
      <c r="I110">
        <v>6500</v>
      </c>
      <c r="J110">
        <v>410</v>
      </c>
      <c r="K110">
        <v>70</v>
      </c>
      <c r="L110">
        <f t="shared" si="16"/>
        <v>383.57999999999993</v>
      </c>
      <c r="O110">
        <f t="shared" si="17"/>
        <v>383.57999999999993</v>
      </c>
      <c r="P110" s="16" t="s">
        <v>286</v>
      </c>
      <c r="Q110" s="19">
        <v>115.07399999999997</v>
      </c>
      <c r="R110" s="68">
        <v>678.50599999999997</v>
      </c>
    </row>
    <row r="111" spans="1:23">
      <c r="A111" t="s">
        <v>252</v>
      </c>
      <c r="B111" t="s">
        <v>151</v>
      </c>
      <c r="C111" s="18">
        <v>43556</v>
      </c>
      <c r="D111" s="13">
        <v>43626</v>
      </c>
      <c r="E111" s="13" t="s">
        <v>380</v>
      </c>
      <c r="G111">
        <v>25979.5</v>
      </c>
      <c r="H111">
        <v>25979.5</v>
      </c>
      <c r="I111">
        <v>27300</v>
      </c>
      <c r="J111">
        <v>220</v>
      </c>
      <c r="K111">
        <v>400</v>
      </c>
      <c r="L111">
        <f t="shared" si="16"/>
        <v>920.5</v>
      </c>
      <c r="M111">
        <v>2000</v>
      </c>
      <c r="O111">
        <f t="shared" si="17"/>
        <v>920.5</v>
      </c>
      <c r="P111" s="16" t="s">
        <v>381</v>
      </c>
      <c r="Q111" s="19">
        <v>0</v>
      </c>
      <c r="R111" s="68">
        <v>1140.5</v>
      </c>
    </row>
    <row r="112" spans="1:23">
      <c r="A112" t="s">
        <v>297</v>
      </c>
      <c r="B112" t="s">
        <v>151</v>
      </c>
      <c r="C112" s="18">
        <v>43556</v>
      </c>
      <c r="D112" s="13">
        <v>43627</v>
      </c>
      <c r="E112" s="13" t="s">
        <v>382</v>
      </c>
      <c r="G112">
        <v>35892.06</v>
      </c>
      <c r="H112">
        <v>35892.06</v>
      </c>
      <c r="I112">
        <v>42700</v>
      </c>
      <c r="J112">
        <v>410</v>
      </c>
      <c r="K112">
        <v>1300</v>
      </c>
      <c r="L112">
        <f t="shared" si="16"/>
        <v>5507.9400000000023</v>
      </c>
      <c r="M112">
        <v>2000</v>
      </c>
      <c r="O112">
        <f t="shared" si="17"/>
        <v>5507.9400000000023</v>
      </c>
      <c r="P112" s="16" t="s">
        <v>348</v>
      </c>
      <c r="Q112" s="19">
        <v>1652.3820000000007</v>
      </c>
      <c r="R112" s="68">
        <v>4265.5580000000018</v>
      </c>
    </row>
    <row r="113" spans="1:20">
      <c r="A113" t="s">
        <v>204</v>
      </c>
      <c r="B113" t="s">
        <v>151</v>
      </c>
      <c r="C113" s="18">
        <v>43635</v>
      </c>
      <c r="D113" s="13">
        <v>43627</v>
      </c>
      <c r="E113" s="13" t="s">
        <v>383</v>
      </c>
      <c r="G113">
        <v>14703.89</v>
      </c>
      <c r="H113">
        <v>14703.89</v>
      </c>
      <c r="I113">
        <v>16270</v>
      </c>
      <c r="K113">
        <v>250</v>
      </c>
      <c r="L113">
        <f t="shared" si="16"/>
        <v>1316.1100000000006</v>
      </c>
      <c r="O113">
        <f t="shared" si="17"/>
        <v>1316.1100000000006</v>
      </c>
      <c r="P113" s="16" t="s">
        <v>127</v>
      </c>
      <c r="Q113" s="19">
        <v>0</v>
      </c>
      <c r="R113" s="68">
        <v>1316.1100000000006</v>
      </c>
    </row>
    <row r="114" spans="1:20">
      <c r="A114" t="s">
        <v>384</v>
      </c>
      <c r="B114" t="s">
        <v>151</v>
      </c>
      <c r="C114" s="18">
        <v>43635</v>
      </c>
      <c r="D114" s="13">
        <v>43628</v>
      </c>
      <c r="E114" s="13" t="s">
        <v>385</v>
      </c>
      <c r="G114">
        <v>4978.88</v>
      </c>
      <c r="H114">
        <v>4978.88</v>
      </c>
      <c r="I114">
        <v>6000</v>
      </c>
      <c r="K114">
        <v>70</v>
      </c>
      <c r="L114">
        <f t="shared" si="16"/>
        <v>951.11999999999989</v>
      </c>
      <c r="O114">
        <f t="shared" si="17"/>
        <v>951.11999999999989</v>
      </c>
      <c r="P114" s="16" t="s">
        <v>331</v>
      </c>
      <c r="Q114" s="19">
        <v>300</v>
      </c>
      <c r="R114" s="68">
        <v>651.11999999999989</v>
      </c>
    </row>
    <row r="115" spans="1:20">
      <c r="A115" t="s">
        <v>386</v>
      </c>
      <c r="B115" t="s">
        <v>151</v>
      </c>
      <c r="C115" s="18">
        <v>43635</v>
      </c>
      <c r="D115" s="13">
        <v>43633</v>
      </c>
      <c r="E115" s="13" t="s">
        <v>387</v>
      </c>
      <c r="G115">
        <v>11000</v>
      </c>
      <c r="H115">
        <v>11000</v>
      </c>
      <c r="I115">
        <v>13135</v>
      </c>
      <c r="K115">
        <v>250</v>
      </c>
      <c r="L115">
        <f t="shared" si="16"/>
        <v>1885</v>
      </c>
      <c r="O115">
        <f t="shared" si="17"/>
        <v>1885</v>
      </c>
      <c r="P115" s="16" t="s">
        <v>331</v>
      </c>
      <c r="Q115" s="19">
        <v>565.5</v>
      </c>
      <c r="R115" s="68">
        <v>1319.5</v>
      </c>
    </row>
    <row r="116" spans="1:20">
      <c r="A116" t="s">
        <v>388</v>
      </c>
      <c r="B116" t="s">
        <v>151</v>
      </c>
      <c r="C116" s="18">
        <v>43635</v>
      </c>
      <c r="D116" s="13">
        <v>43634</v>
      </c>
      <c r="E116" s="13" t="s">
        <v>389</v>
      </c>
      <c r="G116">
        <v>265000</v>
      </c>
      <c r="H116">
        <v>265000</v>
      </c>
      <c r="I116">
        <v>284663.96000000002</v>
      </c>
      <c r="J116">
        <f>1000+220</f>
        <v>1220</v>
      </c>
      <c r="K116">
        <v>0</v>
      </c>
      <c r="L116">
        <f t="shared" si="16"/>
        <v>19663.960000000021</v>
      </c>
      <c r="N116">
        <f>2500+750+2000</f>
        <v>5250</v>
      </c>
      <c r="O116">
        <f t="shared" si="17"/>
        <v>14413.960000000021</v>
      </c>
      <c r="P116" s="16" t="s">
        <v>331</v>
      </c>
      <c r="Q116" s="19">
        <v>4324.1880000000065</v>
      </c>
      <c r="R116" s="68">
        <v>11309.772000000015</v>
      </c>
    </row>
    <row r="117" spans="1:20">
      <c r="A117" t="s">
        <v>390</v>
      </c>
      <c r="B117" t="s">
        <v>151</v>
      </c>
      <c r="C117" s="18">
        <v>43635</v>
      </c>
      <c r="D117" s="13">
        <v>43635</v>
      </c>
      <c r="E117" s="13" t="s">
        <v>391</v>
      </c>
      <c r="G117">
        <v>16443.099999999999</v>
      </c>
      <c r="H117">
        <v>16443.099999999999</v>
      </c>
      <c r="I117">
        <v>17591.32</v>
      </c>
      <c r="J117">
        <v>220</v>
      </c>
      <c r="K117">
        <v>150</v>
      </c>
      <c r="L117">
        <f t="shared" si="16"/>
        <v>998.22000000000116</v>
      </c>
      <c r="M117">
        <v>500</v>
      </c>
      <c r="O117">
        <f t="shared" si="17"/>
        <v>998.22000000000116</v>
      </c>
      <c r="P117" s="16" t="s">
        <v>331</v>
      </c>
      <c r="Q117" s="19">
        <v>299.46600000000035</v>
      </c>
      <c r="R117" s="68">
        <v>918.75400000000081</v>
      </c>
    </row>
    <row r="118" spans="1:20">
      <c r="A118" t="s">
        <v>392</v>
      </c>
      <c r="B118" t="s">
        <v>151</v>
      </c>
      <c r="C118" s="18">
        <v>43635</v>
      </c>
      <c r="D118" s="13">
        <v>43636</v>
      </c>
      <c r="E118" s="13" t="s">
        <v>393</v>
      </c>
      <c r="G118">
        <v>18500</v>
      </c>
      <c r="H118">
        <v>18500</v>
      </c>
      <c r="I118">
        <v>21645</v>
      </c>
      <c r="K118">
        <v>150</v>
      </c>
      <c r="L118">
        <f t="shared" si="16"/>
        <v>2995</v>
      </c>
      <c r="O118">
        <f t="shared" si="17"/>
        <v>2995</v>
      </c>
      <c r="P118" s="16" t="s">
        <v>331</v>
      </c>
      <c r="Q118" s="19">
        <v>898.5</v>
      </c>
      <c r="R118" s="68">
        <v>2096.5</v>
      </c>
    </row>
    <row r="119" spans="1:20">
      <c r="A119" t="s">
        <v>394</v>
      </c>
      <c r="B119" t="s">
        <v>151</v>
      </c>
      <c r="C119" s="18">
        <v>43635</v>
      </c>
      <c r="D119" s="13">
        <v>43637</v>
      </c>
      <c r="E119" s="13" t="s">
        <v>395</v>
      </c>
      <c r="G119">
        <f>27500+240.88</f>
        <v>27740.880000000001</v>
      </c>
      <c r="H119">
        <f>27500+240.88</f>
        <v>27740.880000000001</v>
      </c>
      <c r="I119">
        <v>30900</v>
      </c>
      <c r="J119">
        <v>220</v>
      </c>
      <c r="L119">
        <f t="shared" si="16"/>
        <v>3159.119999999999</v>
      </c>
      <c r="M119">
        <v>0</v>
      </c>
      <c r="O119">
        <f t="shared" si="17"/>
        <v>3159.119999999999</v>
      </c>
      <c r="P119" s="16" t="s">
        <v>286</v>
      </c>
      <c r="Q119" s="19">
        <v>947.73599999999965</v>
      </c>
      <c r="R119" s="68">
        <v>2431.3839999999991</v>
      </c>
    </row>
    <row r="120" spans="1:20">
      <c r="A120" t="s">
        <v>396</v>
      </c>
      <c r="B120" t="s">
        <v>151</v>
      </c>
      <c r="C120" s="18">
        <v>43635</v>
      </c>
      <c r="D120" s="13">
        <v>43637</v>
      </c>
      <c r="E120" s="13" t="s">
        <v>397</v>
      </c>
      <c r="G120">
        <v>13815</v>
      </c>
      <c r="H120">
        <v>13815</v>
      </c>
      <c r="I120">
        <v>11580</v>
      </c>
      <c r="K120">
        <v>450</v>
      </c>
      <c r="L120">
        <f t="shared" si="16"/>
        <v>-2685</v>
      </c>
      <c r="N120">
        <f>550+600</f>
        <v>1150</v>
      </c>
      <c r="O120">
        <f t="shared" si="17"/>
        <v>-3835</v>
      </c>
      <c r="P120" s="16" t="s">
        <v>127</v>
      </c>
      <c r="Q120" s="19">
        <v>0</v>
      </c>
      <c r="R120" s="68">
        <v>-3835</v>
      </c>
    </row>
    <row r="121" spans="1:20">
      <c r="A121" t="s">
        <v>398</v>
      </c>
      <c r="B121" t="s">
        <v>151</v>
      </c>
      <c r="C121" s="18">
        <v>43635</v>
      </c>
      <c r="D121" s="13">
        <v>43638</v>
      </c>
      <c r="E121" s="13" t="s">
        <v>399</v>
      </c>
      <c r="G121">
        <v>75900</v>
      </c>
      <c r="H121">
        <v>75900</v>
      </c>
      <c r="I121">
        <v>81565</v>
      </c>
      <c r="K121">
        <v>250</v>
      </c>
      <c r="L121">
        <f t="shared" si="16"/>
        <v>5415</v>
      </c>
      <c r="O121">
        <f t="shared" si="17"/>
        <v>5415</v>
      </c>
      <c r="P121" s="16" t="s">
        <v>127</v>
      </c>
      <c r="Q121" s="19">
        <v>0</v>
      </c>
      <c r="R121" s="68">
        <v>5415</v>
      </c>
    </row>
    <row r="122" spans="1:20">
      <c r="A122" t="s">
        <v>400</v>
      </c>
      <c r="B122" t="s">
        <v>151</v>
      </c>
      <c r="C122" s="18">
        <v>43635</v>
      </c>
      <c r="D122" s="13">
        <v>43641</v>
      </c>
      <c r="E122" s="13" t="s">
        <v>401</v>
      </c>
      <c r="G122">
        <v>21032.91</v>
      </c>
      <c r="H122">
        <v>21032.91</v>
      </c>
      <c r="I122">
        <v>20550</v>
      </c>
      <c r="K122">
        <v>250</v>
      </c>
      <c r="L122">
        <f t="shared" si="16"/>
        <v>-732.90999999999985</v>
      </c>
      <c r="N122">
        <f>550+550</f>
        <v>1100</v>
      </c>
      <c r="O122">
        <f t="shared" si="17"/>
        <v>-1832.9099999999999</v>
      </c>
      <c r="P122" s="16" t="s">
        <v>127</v>
      </c>
      <c r="Q122" s="19">
        <v>0</v>
      </c>
      <c r="R122" s="68">
        <v>-1832.9099999999999</v>
      </c>
    </row>
    <row r="123" spans="1:20">
      <c r="A123" t="s">
        <v>402</v>
      </c>
      <c r="B123" t="s">
        <v>151</v>
      </c>
      <c r="C123" s="18">
        <v>43635</v>
      </c>
      <c r="D123" s="13">
        <v>43642</v>
      </c>
      <c r="E123" s="13" t="s">
        <v>403</v>
      </c>
      <c r="G123">
        <v>10481.36</v>
      </c>
      <c r="H123">
        <v>10481.36</v>
      </c>
      <c r="I123">
        <v>12310</v>
      </c>
      <c r="J123">
        <v>220</v>
      </c>
      <c r="L123">
        <f t="shared" si="16"/>
        <v>1828.6399999999994</v>
      </c>
      <c r="N123">
        <v>100</v>
      </c>
      <c r="O123">
        <f t="shared" si="17"/>
        <v>1728.6399999999994</v>
      </c>
      <c r="P123" s="16" t="s">
        <v>331</v>
      </c>
      <c r="Q123" s="19">
        <v>518.59199999999976</v>
      </c>
      <c r="R123" s="68">
        <v>1430.0479999999998</v>
      </c>
    </row>
    <row r="124" spans="1:20">
      <c r="A124" t="s">
        <v>404</v>
      </c>
      <c r="B124" t="s">
        <v>151</v>
      </c>
      <c r="C124" s="18">
        <v>43635</v>
      </c>
      <c r="D124" s="13">
        <v>43644</v>
      </c>
      <c r="E124" s="13" t="s">
        <v>405</v>
      </c>
      <c r="G124">
        <v>17303.849999999999</v>
      </c>
      <c r="H124">
        <v>17303.849999999999</v>
      </c>
      <c r="I124">
        <v>21338.07</v>
      </c>
      <c r="J124">
        <v>220</v>
      </c>
      <c r="K124">
        <v>250</v>
      </c>
      <c r="L124">
        <f t="shared" si="16"/>
        <v>3784.2200000000012</v>
      </c>
      <c r="M124">
        <v>2000</v>
      </c>
      <c r="O124">
        <f t="shared" si="17"/>
        <v>3784.2200000000012</v>
      </c>
      <c r="P124" s="16" t="s">
        <v>317</v>
      </c>
      <c r="Q124" s="19">
        <v>756.84400000000028</v>
      </c>
      <c r="R124" s="68">
        <v>3247.3760000000011</v>
      </c>
      <c r="S124">
        <v>31610.893000000015</v>
      </c>
      <c r="T124">
        <v>16</v>
      </c>
    </row>
    <row r="125" spans="1:20">
      <c r="C125" s="18"/>
      <c r="D125" s="13"/>
      <c r="E125" s="13"/>
      <c r="R125" s="61"/>
    </row>
    <row r="126" spans="1:20">
      <c r="A126" t="s">
        <v>406</v>
      </c>
      <c r="B126" t="s">
        <v>151</v>
      </c>
      <c r="C126" s="18">
        <v>43665</v>
      </c>
      <c r="D126" s="13">
        <v>43648</v>
      </c>
      <c r="E126" s="13" t="s">
        <v>407</v>
      </c>
      <c r="G126">
        <v>3999.45</v>
      </c>
      <c r="H126">
        <v>3999.45</v>
      </c>
      <c r="I126">
        <v>6000</v>
      </c>
      <c r="J126">
        <v>220</v>
      </c>
      <c r="K126">
        <v>800</v>
      </c>
      <c r="L126">
        <f t="shared" ref="L126:L138" si="18">I126-H126-K126</f>
        <v>1200.5500000000002</v>
      </c>
      <c r="O126">
        <f t="shared" ref="O126:O138" si="19">L126-N126</f>
        <v>1200.5500000000002</v>
      </c>
      <c r="P126" s="16" t="s">
        <v>408</v>
      </c>
      <c r="Q126" s="19">
        <v>600.27500000000009</v>
      </c>
      <c r="R126" s="68">
        <v>820.27500000000009</v>
      </c>
    </row>
    <row r="127" spans="1:20">
      <c r="A127" t="s">
        <v>279</v>
      </c>
      <c r="B127" t="s">
        <v>151</v>
      </c>
      <c r="C127" s="18">
        <v>43635</v>
      </c>
      <c r="D127" s="13">
        <v>43638</v>
      </c>
      <c r="E127" s="13" t="s">
        <v>409</v>
      </c>
      <c r="G127">
        <v>23636.69</v>
      </c>
      <c r="H127">
        <v>23636.69</v>
      </c>
      <c r="I127">
        <v>26000</v>
      </c>
      <c r="J127">
        <v>220</v>
      </c>
      <c r="K127">
        <v>700</v>
      </c>
      <c r="L127">
        <f t="shared" si="18"/>
        <v>1663.3100000000013</v>
      </c>
      <c r="M127">
        <v>2000</v>
      </c>
      <c r="N127">
        <f>75+30</f>
        <v>105</v>
      </c>
      <c r="O127">
        <f t="shared" si="19"/>
        <v>1558.3100000000013</v>
      </c>
      <c r="P127" s="16" t="s">
        <v>410</v>
      </c>
      <c r="Q127" s="19">
        <v>233.7465000000002</v>
      </c>
      <c r="R127" s="68">
        <v>1544.5635000000011</v>
      </c>
    </row>
    <row r="128" spans="1:20">
      <c r="A128" t="s">
        <v>411</v>
      </c>
      <c r="B128" t="s">
        <v>151</v>
      </c>
      <c r="C128" s="18">
        <v>43665</v>
      </c>
      <c r="D128" s="13">
        <v>43650</v>
      </c>
      <c r="E128" s="13" t="s">
        <v>412</v>
      </c>
      <c r="G128">
        <v>8670</v>
      </c>
      <c r="H128">
        <v>8670</v>
      </c>
      <c r="I128">
        <v>10000</v>
      </c>
      <c r="J128">
        <v>220</v>
      </c>
      <c r="L128">
        <f t="shared" si="18"/>
        <v>1330</v>
      </c>
      <c r="O128">
        <f t="shared" si="19"/>
        <v>1330</v>
      </c>
      <c r="P128" s="16" t="s">
        <v>331</v>
      </c>
      <c r="Q128" s="19">
        <v>266</v>
      </c>
      <c r="R128" s="68">
        <v>1284</v>
      </c>
    </row>
    <row r="129" spans="1:20">
      <c r="A129" t="s">
        <v>413</v>
      </c>
      <c r="B129" t="s">
        <v>151</v>
      </c>
      <c r="C129" s="18">
        <v>43665</v>
      </c>
      <c r="D129" s="13">
        <v>43654</v>
      </c>
      <c r="E129" s="13" t="s">
        <v>414</v>
      </c>
      <c r="G129">
        <v>7472.51</v>
      </c>
      <c r="H129">
        <v>7472.51</v>
      </c>
      <c r="I129">
        <v>7700</v>
      </c>
      <c r="J129">
        <v>220</v>
      </c>
      <c r="K129">
        <v>70</v>
      </c>
      <c r="L129">
        <f t="shared" si="18"/>
        <v>157.48999999999978</v>
      </c>
      <c r="N129">
        <v>220</v>
      </c>
      <c r="O129">
        <f t="shared" si="19"/>
        <v>-62.510000000000218</v>
      </c>
      <c r="P129" s="16" t="s">
        <v>331</v>
      </c>
      <c r="Q129" s="19">
        <v>100</v>
      </c>
      <c r="R129" s="68">
        <v>57.489999999999782</v>
      </c>
    </row>
    <row r="130" spans="1:20">
      <c r="A130" t="s">
        <v>415</v>
      </c>
      <c r="B130" t="s">
        <v>151</v>
      </c>
      <c r="C130" s="18">
        <v>43665</v>
      </c>
      <c r="D130" s="13">
        <v>43655</v>
      </c>
      <c r="E130" s="13" t="s">
        <v>416</v>
      </c>
      <c r="G130">
        <v>9558.6299999999992</v>
      </c>
      <c r="H130">
        <v>9558.6299999999992</v>
      </c>
      <c r="I130">
        <v>10230</v>
      </c>
      <c r="J130">
        <v>220</v>
      </c>
      <c r="L130">
        <f t="shared" si="18"/>
        <v>671.3700000000008</v>
      </c>
      <c r="N130">
        <v>220</v>
      </c>
      <c r="O130">
        <f t="shared" si="19"/>
        <v>451.3700000000008</v>
      </c>
      <c r="P130" s="16" t="s">
        <v>331</v>
      </c>
      <c r="Q130" s="19">
        <v>135.41100000000023</v>
      </c>
      <c r="R130" s="68">
        <v>535.95900000000051</v>
      </c>
    </row>
    <row r="131" spans="1:20">
      <c r="A131" t="s">
        <v>417</v>
      </c>
      <c r="B131" t="s">
        <v>151</v>
      </c>
      <c r="C131" s="18">
        <v>43665</v>
      </c>
      <c r="D131" s="13">
        <v>43661</v>
      </c>
      <c r="E131" s="13" t="s">
        <v>418</v>
      </c>
      <c r="G131">
        <v>5386.26</v>
      </c>
      <c r="H131">
        <v>5386.26</v>
      </c>
      <c r="I131">
        <v>5900</v>
      </c>
      <c r="J131">
        <v>220</v>
      </c>
      <c r="L131">
        <f t="shared" si="18"/>
        <v>513.73999999999978</v>
      </c>
      <c r="N131">
        <v>210</v>
      </c>
      <c r="O131">
        <f t="shared" si="19"/>
        <v>303.73999999999978</v>
      </c>
      <c r="P131" s="16" t="s">
        <v>127</v>
      </c>
      <c r="Q131" s="19">
        <v>0</v>
      </c>
      <c r="R131" s="68">
        <v>523.73999999999978</v>
      </c>
    </row>
    <row r="132" spans="1:20">
      <c r="A132" t="s">
        <v>419</v>
      </c>
      <c r="B132" t="s">
        <v>151</v>
      </c>
      <c r="C132" s="18">
        <v>43665</v>
      </c>
      <c r="D132" s="13">
        <v>43662</v>
      </c>
      <c r="E132" s="13" t="s">
        <v>420</v>
      </c>
      <c r="G132">
        <v>12208.96</v>
      </c>
      <c r="H132">
        <v>12208.96</v>
      </c>
      <c r="I132">
        <v>16450</v>
      </c>
      <c r="J132">
        <v>220</v>
      </c>
      <c r="L132">
        <f t="shared" si="18"/>
        <v>4241.0400000000009</v>
      </c>
      <c r="O132">
        <f t="shared" si="19"/>
        <v>4241.0400000000009</v>
      </c>
      <c r="P132" s="16" t="s">
        <v>421</v>
      </c>
      <c r="Q132" s="19">
        <v>848.2080000000002</v>
      </c>
      <c r="R132" s="68">
        <v>3612.8320000000008</v>
      </c>
    </row>
    <row r="133" spans="1:20">
      <c r="A133" t="s">
        <v>422</v>
      </c>
      <c r="B133" t="s">
        <v>151</v>
      </c>
      <c r="C133" s="18">
        <v>43665</v>
      </c>
      <c r="D133" s="13">
        <v>43662</v>
      </c>
      <c r="E133" s="13" t="s">
        <v>423</v>
      </c>
      <c r="G133">
        <v>7177.61</v>
      </c>
      <c r="H133">
        <v>7177.61</v>
      </c>
      <c r="I133">
        <v>8700</v>
      </c>
      <c r="J133">
        <v>220</v>
      </c>
      <c r="K133">
        <v>70</v>
      </c>
      <c r="L133">
        <f t="shared" si="18"/>
        <v>1452.3900000000003</v>
      </c>
      <c r="O133">
        <f t="shared" si="19"/>
        <v>1452.3900000000003</v>
      </c>
      <c r="P133" s="16" t="s">
        <v>331</v>
      </c>
      <c r="Q133" s="19">
        <v>435.7170000000001</v>
      </c>
      <c r="R133" s="68">
        <v>1236.6730000000002</v>
      </c>
    </row>
    <row r="134" spans="1:20">
      <c r="A134" t="s">
        <v>368</v>
      </c>
      <c r="B134" t="s">
        <v>151</v>
      </c>
      <c r="C134" s="18">
        <v>43665</v>
      </c>
      <c r="D134" s="13">
        <v>43668</v>
      </c>
      <c r="E134" s="13" t="s">
        <v>424</v>
      </c>
      <c r="G134">
        <v>4594</v>
      </c>
      <c r="H134">
        <v>4594</v>
      </c>
      <c r="I134">
        <v>5900</v>
      </c>
      <c r="J134">
        <v>210</v>
      </c>
      <c r="K134">
        <v>70</v>
      </c>
      <c r="L134">
        <f t="shared" si="18"/>
        <v>1236</v>
      </c>
      <c r="N134">
        <v>210</v>
      </c>
      <c r="O134">
        <f t="shared" si="19"/>
        <v>1026</v>
      </c>
      <c r="P134" s="16" t="s">
        <v>286</v>
      </c>
      <c r="Q134" s="19">
        <v>205.20000000000002</v>
      </c>
      <c r="R134" s="68">
        <v>1030.8</v>
      </c>
    </row>
    <row r="135" spans="1:20">
      <c r="A135" t="s">
        <v>425</v>
      </c>
      <c r="B135" t="s">
        <v>151</v>
      </c>
      <c r="C135" s="18">
        <v>43665</v>
      </c>
      <c r="D135" s="13">
        <v>43668</v>
      </c>
      <c r="E135" s="13" t="s">
        <v>426</v>
      </c>
      <c r="G135">
        <v>6000</v>
      </c>
      <c r="H135">
        <v>6000</v>
      </c>
      <c r="I135">
        <v>10800</v>
      </c>
      <c r="J135">
        <v>220</v>
      </c>
      <c r="L135">
        <f t="shared" si="18"/>
        <v>4800</v>
      </c>
      <c r="O135">
        <f t="shared" si="19"/>
        <v>4800</v>
      </c>
      <c r="P135" s="16" t="s">
        <v>331</v>
      </c>
      <c r="Q135" s="19">
        <v>1920</v>
      </c>
      <c r="R135" s="68">
        <v>3100</v>
      </c>
    </row>
    <row r="136" spans="1:20">
      <c r="A136" t="s">
        <v>427</v>
      </c>
      <c r="B136" t="s">
        <v>151</v>
      </c>
      <c r="C136" s="18">
        <v>43665</v>
      </c>
      <c r="D136" s="13">
        <v>43672</v>
      </c>
      <c r="E136" s="13" t="s">
        <v>428</v>
      </c>
      <c r="G136">
        <v>8177.99</v>
      </c>
      <c r="H136">
        <v>8177.99</v>
      </c>
      <c r="I136">
        <v>10000</v>
      </c>
      <c r="L136">
        <f t="shared" si="18"/>
        <v>1822.0100000000002</v>
      </c>
      <c r="O136">
        <f t="shared" si="19"/>
        <v>1822.0100000000002</v>
      </c>
      <c r="P136" s="16" t="s">
        <v>127</v>
      </c>
      <c r="Q136" s="19">
        <v>0</v>
      </c>
      <c r="R136" s="68">
        <v>1822.0100000000002</v>
      </c>
    </row>
    <row r="137" spans="1:20">
      <c r="A137" t="s">
        <v>429</v>
      </c>
      <c r="B137" t="s">
        <v>156</v>
      </c>
      <c r="C137" s="18">
        <v>43665</v>
      </c>
      <c r="D137" s="13">
        <v>43676</v>
      </c>
      <c r="E137" s="13" t="s">
        <v>430</v>
      </c>
      <c r="G137">
        <v>16000</v>
      </c>
      <c r="H137">
        <v>16000</v>
      </c>
      <c r="I137">
        <v>17265</v>
      </c>
      <c r="K137">
        <v>250</v>
      </c>
      <c r="L137">
        <f t="shared" si="18"/>
        <v>1015</v>
      </c>
      <c r="O137">
        <f t="shared" si="19"/>
        <v>1015</v>
      </c>
      <c r="P137" s="16" t="s">
        <v>431</v>
      </c>
      <c r="Q137" s="19">
        <v>0</v>
      </c>
      <c r="R137" s="68">
        <v>1015</v>
      </c>
    </row>
    <row r="138" spans="1:20">
      <c r="A138" t="s">
        <v>432</v>
      </c>
      <c r="B138" t="s">
        <v>151</v>
      </c>
      <c r="C138" s="18">
        <v>43665</v>
      </c>
      <c r="D138" s="13">
        <v>43676</v>
      </c>
      <c r="E138" s="13" t="s">
        <v>433</v>
      </c>
      <c r="G138">
        <v>14688</v>
      </c>
      <c r="H138">
        <v>14688</v>
      </c>
      <c r="I138">
        <f>14688+1400</f>
        <v>16088</v>
      </c>
      <c r="J138">
        <v>220</v>
      </c>
      <c r="K138">
        <v>400</v>
      </c>
      <c r="L138">
        <f t="shared" si="18"/>
        <v>1000</v>
      </c>
      <c r="O138">
        <f t="shared" si="19"/>
        <v>1000</v>
      </c>
      <c r="P138" s="16" t="s">
        <v>331</v>
      </c>
      <c r="Q138" s="19">
        <v>300</v>
      </c>
      <c r="R138" s="68">
        <v>920</v>
      </c>
      <c r="S138">
        <v>17503.342500000002</v>
      </c>
      <c r="T138">
        <v>13</v>
      </c>
    </row>
    <row r="139" spans="1:20">
      <c r="C139" s="18"/>
      <c r="D139" s="13"/>
      <c r="E139" s="13"/>
      <c r="R139" s="61"/>
    </row>
    <row r="140" spans="1:20">
      <c r="A140" t="s">
        <v>434</v>
      </c>
      <c r="B140" t="s">
        <v>151</v>
      </c>
      <c r="C140" s="18">
        <v>43696</v>
      </c>
      <c r="D140" s="13">
        <v>43678</v>
      </c>
      <c r="E140" s="13" t="s">
        <v>435</v>
      </c>
      <c r="G140">
        <v>8512.26</v>
      </c>
      <c r="H140">
        <v>8512.26</v>
      </c>
      <c r="I140">
        <v>12500</v>
      </c>
      <c r="J140">
        <v>220</v>
      </c>
      <c r="K140">
        <v>1000</v>
      </c>
      <c r="L140">
        <f t="shared" ref="L140:L157" si="20">I140-H140-K140</f>
        <v>2987.74</v>
      </c>
      <c r="N140">
        <v>1000</v>
      </c>
      <c r="O140">
        <f t="shared" ref="O140:O157" si="21">L140-N140</f>
        <v>1987.7399999999998</v>
      </c>
      <c r="P140" s="16" t="s">
        <v>436</v>
      </c>
      <c r="Q140" s="19">
        <v>1192.6439999999998</v>
      </c>
      <c r="R140" s="68">
        <v>1015.096</v>
      </c>
    </row>
    <row r="141" spans="1:20">
      <c r="A141" t="s">
        <v>437</v>
      </c>
      <c r="B141" t="s">
        <v>151</v>
      </c>
      <c r="C141" s="18">
        <v>43696</v>
      </c>
      <c r="D141" s="13">
        <v>43678</v>
      </c>
      <c r="E141" s="13" t="s">
        <v>438</v>
      </c>
      <c r="G141">
        <v>45033.57</v>
      </c>
      <c r="H141">
        <v>45033.57</v>
      </c>
      <c r="I141">
        <v>49500</v>
      </c>
      <c r="J141">
        <v>0</v>
      </c>
      <c r="L141">
        <f t="shared" si="20"/>
        <v>4466.43</v>
      </c>
      <c r="M141">
        <v>38000</v>
      </c>
      <c r="N141">
        <v>700</v>
      </c>
      <c r="O141">
        <f t="shared" si="21"/>
        <v>3766.4300000000003</v>
      </c>
      <c r="P141" s="16" t="s">
        <v>127</v>
      </c>
      <c r="Q141" s="19">
        <v>0</v>
      </c>
      <c r="R141" s="68">
        <v>3766.4300000000003</v>
      </c>
    </row>
    <row r="142" spans="1:20">
      <c r="A142" t="s">
        <v>191</v>
      </c>
      <c r="B142" t="s">
        <v>151</v>
      </c>
      <c r="C142" s="18">
        <v>43574</v>
      </c>
      <c r="D142" s="13">
        <v>43680</v>
      </c>
      <c r="E142" s="13" t="s">
        <v>439</v>
      </c>
      <c r="G142">
        <v>25000</v>
      </c>
      <c r="H142">
        <v>25000</v>
      </c>
      <c r="I142">
        <v>27050</v>
      </c>
      <c r="J142">
        <v>220</v>
      </c>
      <c r="L142">
        <f t="shared" si="20"/>
        <v>2050</v>
      </c>
      <c r="M142">
        <v>2000</v>
      </c>
      <c r="N142">
        <v>480</v>
      </c>
      <c r="O142">
        <f t="shared" si="21"/>
        <v>1570</v>
      </c>
      <c r="P142" s="16" t="s">
        <v>286</v>
      </c>
      <c r="Q142" s="19">
        <v>314</v>
      </c>
      <c r="R142" s="68">
        <v>1476</v>
      </c>
    </row>
    <row r="143" spans="1:20">
      <c r="A143" t="s">
        <v>440</v>
      </c>
      <c r="B143" t="s">
        <v>151</v>
      </c>
      <c r="C143" s="18">
        <v>43696</v>
      </c>
      <c r="D143" s="13">
        <v>43682</v>
      </c>
      <c r="E143" s="13" t="s">
        <v>441</v>
      </c>
      <c r="G143">
        <v>10230.129999999999</v>
      </c>
      <c r="H143">
        <v>10230.129999999999</v>
      </c>
      <c r="I143">
        <v>13500</v>
      </c>
      <c r="J143">
        <v>220</v>
      </c>
      <c r="L143">
        <f t="shared" si="20"/>
        <v>3269.8700000000008</v>
      </c>
      <c r="O143">
        <f t="shared" si="21"/>
        <v>3269.8700000000008</v>
      </c>
      <c r="P143" s="16" t="s">
        <v>286</v>
      </c>
      <c r="Q143" s="19">
        <v>653.97400000000016</v>
      </c>
      <c r="R143" s="68">
        <v>2835.8960000000006</v>
      </c>
    </row>
    <row r="144" spans="1:20">
      <c r="A144" t="s">
        <v>442</v>
      </c>
      <c r="B144" t="s">
        <v>151</v>
      </c>
      <c r="C144" s="18">
        <v>43604</v>
      </c>
      <c r="D144" s="13">
        <v>43686</v>
      </c>
      <c r="E144" s="13" t="s">
        <v>443</v>
      </c>
      <c r="G144">
        <v>27601.8</v>
      </c>
      <c r="H144">
        <v>27601.8</v>
      </c>
      <c r="I144">
        <v>30598.87</v>
      </c>
      <c r="J144">
        <v>220</v>
      </c>
      <c r="L144">
        <f t="shared" si="20"/>
        <v>2997.0699999999997</v>
      </c>
      <c r="M144">
        <v>5000</v>
      </c>
      <c r="O144">
        <f t="shared" si="21"/>
        <v>2997.0699999999997</v>
      </c>
      <c r="P144" s="16" t="s">
        <v>317</v>
      </c>
      <c r="Q144" s="19">
        <v>599.41399999999999</v>
      </c>
      <c r="R144" s="68">
        <v>2617.6559999999999</v>
      </c>
    </row>
    <row r="145" spans="1:18">
      <c r="A145" t="s">
        <v>444</v>
      </c>
      <c r="B145" t="s">
        <v>151</v>
      </c>
      <c r="C145" s="18">
        <v>43696</v>
      </c>
      <c r="D145" s="13">
        <v>43685</v>
      </c>
      <c r="E145" s="13" t="s">
        <v>445</v>
      </c>
      <c r="G145">
        <v>23212</v>
      </c>
      <c r="H145">
        <v>23212</v>
      </c>
      <c r="I145">
        <v>24865</v>
      </c>
      <c r="J145">
        <v>220</v>
      </c>
      <c r="K145">
        <v>300</v>
      </c>
      <c r="L145">
        <f t="shared" si="20"/>
        <v>1353</v>
      </c>
      <c r="N145">
        <f>65</f>
        <v>65</v>
      </c>
      <c r="O145">
        <f t="shared" si="21"/>
        <v>1288</v>
      </c>
      <c r="P145" s="16" t="s">
        <v>446</v>
      </c>
      <c r="Q145" s="19">
        <v>257.60000000000002</v>
      </c>
      <c r="R145" s="68">
        <v>1250.4000000000001</v>
      </c>
    </row>
    <row r="146" spans="1:18">
      <c r="A146" t="s">
        <v>447</v>
      </c>
      <c r="B146" t="s">
        <v>151</v>
      </c>
      <c r="C146" s="18">
        <v>43696</v>
      </c>
      <c r="D146" s="13">
        <v>43689</v>
      </c>
      <c r="E146" s="13" t="s">
        <v>448</v>
      </c>
      <c r="G146">
        <v>22670.06</v>
      </c>
      <c r="H146">
        <v>22670.06</v>
      </c>
      <c r="I146">
        <v>25000</v>
      </c>
      <c r="J146">
        <v>220</v>
      </c>
      <c r="K146">
        <v>150</v>
      </c>
      <c r="L146">
        <f t="shared" si="20"/>
        <v>2179.9399999999987</v>
      </c>
      <c r="M146">
        <v>4000</v>
      </c>
      <c r="N146">
        <v>300</v>
      </c>
      <c r="O146">
        <f t="shared" si="21"/>
        <v>1879.9399999999987</v>
      </c>
      <c r="P146" s="16" t="s">
        <v>127</v>
      </c>
      <c r="Q146" s="19">
        <v>0</v>
      </c>
      <c r="R146" s="68">
        <v>2099.9399999999987</v>
      </c>
    </row>
    <row r="147" spans="1:18">
      <c r="A147" t="s">
        <v>449</v>
      </c>
      <c r="B147" t="s">
        <v>151</v>
      </c>
      <c r="C147" s="18">
        <v>43696</v>
      </c>
      <c r="D147" s="13">
        <v>43689</v>
      </c>
      <c r="E147" s="13" t="s">
        <v>450</v>
      </c>
      <c r="G147">
        <v>16633.54</v>
      </c>
      <c r="H147">
        <v>16633.54</v>
      </c>
      <c r="I147">
        <v>19000</v>
      </c>
      <c r="J147">
        <v>220</v>
      </c>
      <c r="K147">
        <v>70</v>
      </c>
      <c r="L147">
        <f t="shared" si="20"/>
        <v>2296.4599999999991</v>
      </c>
      <c r="N147">
        <v>575</v>
      </c>
      <c r="O147">
        <f t="shared" si="21"/>
        <v>1721.4599999999991</v>
      </c>
      <c r="P147" s="16" t="s">
        <v>286</v>
      </c>
      <c r="Q147" s="19">
        <v>516.43799999999976</v>
      </c>
      <c r="R147" s="68">
        <v>1425.0219999999995</v>
      </c>
    </row>
    <row r="148" spans="1:18">
      <c r="A148" t="s">
        <v>451</v>
      </c>
      <c r="B148" t="s">
        <v>151</v>
      </c>
      <c r="C148" s="18">
        <v>43696</v>
      </c>
      <c r="D148" s="13">
        <v>43693</v>
      </c>
      <c r="E148" s="13" t="s">
        <v>452</v>
      </c>
      <c r="G148">
        <v>20044</v>
      </c>
      <c r="H148">
        <v>20044</v>
      </c>
      <c r="I148">
        <v>24600</v>
      </c>
      <c r="K148">
        <v>550</v>
      </c>
      <c r="L148">
        <f t="shared" si="20"/>
        <v>4006</v>
      </c>
      <c r="M148">
        <v>12300</v>
      </c>
      <c r="N148">
        <v>300</v>
      </c>
      <c r="O148">
        <f t="shared" si="21"/>
        <v>3706</v>
      </c>
      <c r="P148" s="16" t="s">
        <v>453</v>
      </c>
      <c r="Q148" s="19">
        <v>741.2</v>
      </c>
      <c r="R148" s="68">
        <v>2964.8</v>
      </c>
    </row>
    <row r="149" spans="1:18">
      <c r="A149" t="s">
        <v>454</v>
      </c>
      <c r="B149" t="s">
        <v>151</v>
      </c>
      <c r="C149" s="18">
        <v>43696</v>
      </c>
      <c r="D149" s="13">
        <v>43693</v>
      </c>
      <c r="E149" s="13" t="s">
        <v>455</v>
      </c>
      <c r="G149">
        <v>20875</v>
      </c>
      <c r="H149">
        <v>20875</v>
      </c>
      <c r="I149">
        <v>23702.639999999999</v>
      </c>
      <c r="J149">
        <v>220</v>
      </c>
      <c r="K149">
        <v>400</v>
      </c>
      <c r="L149">
        <f t="shared" si="20"/>
        <v>2427.6399999999994</v>
      </c>
      <c r="M149">
        <v>5100</v>
      </c>
      <c r="O149">
        <f t="shared" si="21"/>
        <v>2427.6399999999994</v>
      </c>
      <c r="P149" s="16" t="s">
        <v>348</v>
      </c>
      <c r="Q149" s="19">
        <v>485.52799999999991</v>
      </c>
      <c r="R149" s="68">
        <v>2162.1119999999996</v>
      </c>
    </row>
    <row r="150" spans="1:18">
      <c r="A150" t="s">
        <v>456</v>
      </c>
      <c r="B150" t="s">
        <v>151</v>
      </c>
      <c r="C150" s="18">
        <v>43635</v>
      </c>
      <c r="D150" s="13">
        <v>43694</v>
      </c>
      <c r="E150" s="13" t="s">
        <v>457</v>
      </c>
      <c r="G150">
        <v>65213.13</v>
      </c>
      <c r="H150">
        <v>65213.13</v>
      </c>
      <c r="I150">
        <v>69806.41</v>
      </c>
      <c r="J150">
        <v>220</v>
      </c>
      <c r="K150">
        <v>100</v>
      </c>
      <c r="L150">
        <f t="shared" si="20"/>
        <v>4493.2800000000061</v>
      </c>
      <c r="M150">
        <f>15000+29000</f>
        <v>44000</v>
      </c>
      <c r="O150">
        <f t="shared" si="21"/>
        <v>4493.2800000000061</v>
      </c>
      <c r="P150" s="16" t="s">
        <v>127</v>
      </c>
      <c r="Q150" s="19">
        <v>0</v>
      </c>
      <c r="R150" s="68">
        <v>4713.2800000000061</v>
      </c>
    </row>
    <row r="151" spans="1:18">
      <c r="A151" t="s">
        <v>458</v>
      </c>
      <c r="B151" t="s">
        <v>151</v>
      </c>
      <c r="C151" s="18">
        <v>43665</v>
      </c>
      <c r="D151" s="13">
        <v>43697</v>
      </c>
      <c r="E151" s="13" t="s">
        <v>459</v>
      </c>
      <c r="G151">
        <v>23162.32</v>
      </c>
      <c r="H151">
        <v>23162.32</v>
      </c>
      <c r="I151">
        <v>26946</v>
      </c>
      <c r="J151">
        <v>220</v>
      </c>
      <c r="K151">
        <v>550</v>
      </c>
      <c r="L151">
        <f t="shared" si="20"/>
        <v>3233.6800000000003</v>
      </c>
      <c r="M151">
        <v>5000</v>
      </c>
      <c r="N151">
        <v>300</v>
      </c>
      <c r="O151">
        <f t="shared" si="21"/>
        <v>2933.6800000000003</v>
      </c>
      <c r="P151" s="16" t="s">
        <v>348</v>
      </c>
      <c r="Q151" s="19">
        <v>586.7360000000001</v>
      </c>
      <c r="R151" s="68">
        <v>2566.9440000000004</v>
      </c>
    </row>
    <row r="152" spans="1:18">
      <c r="A152" t="s">
        <v>460</v>
      </c>
      <c r="B152" t="s">
        <v>151</v>
      </c>
      <c r="C152" s="18">
        <v>43696</v>
      </c>
      <c r="D152" s="13">
        <v>43697</v>
      </c>
      <c r="E152" s="13" t="s">
        <v>461</v>
      </c>
      <c r="G152">
        <v>11584</v>
      </c>
      <c r="H152">
        <v>11584</v>
      </c>
      <c r="I152">
        <v>12850</v>
      </c>
      <c r="J152">
        <v>220</v>
      </c>
      <c r="K152">
        <v>80</v>
      </c>
      <c r="L152">
        <f t="shared" si="20"/>
        <v>1186</v>
      </c>
      <c r="M152">
        <v>2000</v>
      </c>
      <c r="N152">
        <f>150+230</f>
        <v>380</v>
      </c>
      <c r="O152">
        <f t="shared" si="21"/>
        <v>806</v>
      </c>
      <c r="P152" s="16" t="s">
        <v>446</v>
      </c>
      <c r="Q152" s="19">
        <v>161.20000000000002</v>
      </c>
      <c r="R152" s="68">
        <v>864.8</v>
      </c>
    </row>
    <row r="153" spans="1:18">
      <c r="A153" t="s">
        <v>462</v>
      </c>
      <c r="B153" t="s">
        <v>151</v>
      </c>
      <c r="C153" s="18">
        <v>43696</v>
      </c>
      <c r="D153" s="13">
        <v>43697</v>
      </c>
      <c r="E153" s="13" t="s">
        <v>463</v>
      </c>
      <c r="G153">
        <v>19780</v>
      </c>
      <c r="H153">
        <v>19780</v>
      </c>
      <c r="I153">
        <v>22839.21</v>
      </c>
      <c r="J153">
        <v>220</v>
      </c>
      <c r="K153">
        <v>400</v>
      </c>
      <c r="L153">
        <f t="shared" si="20"/>
        <v>2659.2099999999991</v>
      </c>
      <c r="M153">
        <v>2000</v>
      </c>
      <c r="N153">
        <v>300</v>
      </c>
      <c r="O153">
        <f t="shared" si="21"/>
        <v>2359.2099999999991</v>
      </c>
      <c r="P153" s="16" t="s">
        <v>286</v>
      </c>
      <c r="Q153" s="19">
        <v>943.68399999999974</v>
      </c>
      <c r="R153" s="68">
        <v>1635.5259999999994</v>
      </c>
    </row>
    <row r="154" spans="1:18">
      <c r="A154" t="s">
        <v>394</v>
      </c>
      <c r="B154" t="s">
        <v>151</v>
      </c>
      <c r="C154" s="18">
        <v>43556</v>
      </c>
      <c r="D154" s="13">
        <v>43698</v>
      </c>
      <c r="E154" s="13" t="s">
        <v>464</v>
      </c>
      <c r="G154">
        <v>30911</v>
      </c>
      <c r="H154">
        <v>30911</v>
      </c>
      <c r="I154">
        <v>34422.980000000003</v>
      </c>
      <c r="J154">
        <v>220</v>
      </c>
      <c r="K154">
        <v>1100</v>
      </c>
      <c r="L154">
        <f t="shared" si="20"/>
        <v>2411.9800000000032</v>
      </c>
      <c r="M154">
        <v>20000</v>
      </c>
      <c r="O154">
        <f t="shared" si="21"/>
        <v>2411.9800000000032</v>
      </c>
      <c r="P154" s="16" t="s">
        <v>286</v>
      </c>
      <c r="Q154" s="19">
        <v>723.59400000000096</v>
      </c>
      <c r="R154" s="68">
        <v>1908.3860000000022</v>
      </c>
    </row>
    <row r="155" spans="1:18">
      <c r="A155" t="s">
        <v>267</v>
      </c>
      <c r="B155" t="s">
        <v>151</v>
      </c>
      <c r="C155" s="18">
        <v>43678</v>
      </c>
      <c r="D155" s="13">
        <v>43700</v>
      </c>
      <c r="E155" s="13" t="s">
        <v>465</v>
      </c>
      <c r="G155">
        <v>82583.38</v>
      </c>
      <c r="H155">
        <v>82583.38</v>
      </c>
      <c r="I155">
        <v>83000</v>
      </c>
      <c r="L155">
        <f t="shared" si="20"/>
        <v>416.61999999999534</v>
      </c>
      <c r="M155">
        <v>5000</v>
      </c>
      <c r="O155">
        <f t="shared" si="21"/>
        <v>416.61999999999534</v>
      </c>
      <c r="P155" s="16" t="s">
        <v>127</v>
      </c>
      <c r="Q155" s="19">
        <v>0</v>
      </c>
      <c r="R155" s="68">
        <v>416.61999999999534</v>
      </c>
    </row>
    <row r="156" spans="1:18">
      <c r="A156" t="s">
        <v>466</v>
      </c>
      <c r="B156" t="s">
        <v>151</v>
      </c>
      <c r="C156" s="18">
        <v>43696</v>
      </c>
      <c r="D156" s="13">
        <v>43700</v>
      </c>
      <c r="E156" s="13" t="s">
        <v>467</v>
      </c>
      <c r="G156">
        <v>10581</v>
      </c>
      <c r="H156">
        <v>10581</v>
      </c>
      <c r="I156">
        <v>9795</v>
      </c>
      <c r="K156">
        <v>80</v>
      </c>
      <c r="L156">
        <f t="shared" si="20"/>
        <v>-866</v>
      </c>
      <c r="O156">
        <f t="shared" si="21"/>
        <v>-866</v>
      </c>
      <c r="P156" s="16" t="s">
        <v>127</v>
      </c>
      <c r="Q156" s="19">
        <v>0</v>
      </c>
      <c r="R156" s="68">
        <v>-866</v>
      </c>
    </row>
    <row r="157" spans="1:18">
      <c r="A157" t="s">
        <v>468</v>
      </c>
      <c r="B157" t="s">
        <v>151</v>
      </c>
      <c r="C157" s="18">
        <v>43696</v>
      </c>
      <c r="D157" s="13">
        <v>43703</v>
      </c>
      <c r="E157" s="13" t="s">
        <v>469</v>
      </c>
      <c r="G157">
        <v>37967.46</v>
      </c>
      <c r="H157">
        <v>37697.49</v>
      </c>
      <c r="I157">
        <v>42885.66</v>
      </c>
      <c r="J157">
        <v>220</v>
      </c>
      <c r="K157">
        <v>1100</v>
      </c>
      <c r="L157">
        <f t="shared" si="20"/>
        <v>4088.1700000000055</v>
      </c>
      <c r="M157">
        <f>2000+10000</f>
        <v>12000</v>
      </c>
      <c r="O157">
        <f t="shared" si="21"/>
        <v>4088.1700000000055</v>
      </c>
      <c r="P157" s="16" t="s">
        <v>127</v>
      </c>
      <c r="Q157" s="19">
        <v>0</v>
      </c>
      <c r="R157" s="68">
        <v>4308.1700000000055</v>
      </c>
    </row>
    <row r="158" spans="1:18">
      <c r="A158" t="s">
        <v>470</v>
      </c>
      <c r="B158" t="s">
        <v>151</v>
      </c>
      <c r="C158" s="18">
        <v>43696</v>
      </c>
      <c r="D158" s="13">
        <v>43704</v>
      </c>
      <c r="E158" s="13" t="s">
        <v>471</v>
      </c>
      <c r="G158">
        <v>13223.36</v>
      </c>
      <c r="H158">
        <v>13223.36</v>
      </c>
      <c r="I158">
        <v>14000</v>
      </c>
      <c r="L158">
        <f t="shared" ref="L158:L166" si="22">I158-H158-K158</f>
        <v>776.63999999999942</v>
      </c>
      <c r="O158">
        <f t="shared" ref="O158:O166" si="23">L158-N158</f>
        <v>776.63999999999942</v>
      </c>
      <c r="P158" s="16" t="s">
        <v>127</v>
      </c>
      <c r="Q158" s="19">
        <v>0</v>
      </c>
      <c r="R158" s="68">
        <v>776.63999999999942</v>
      </c>
    </row>
    <row r="159" spans="1:18">
      <c r="A159" t="s">
        <v>472</v>
      </c>
      <c r="B159" t="s">
        <v>151</v>
      </c>
      <c r="C159" s="18">
        <v>43696</v>
      </c>
      <c r="D159" s="13">
        <v>43704</v>
      </c>
      <c r="E159" s="13" t="s">
        <v>473</v>
      </c>
      <c r="G159">
        <v>15500</v>
      </c>
      <c r="H159">
        <v>15500</v>
      </c>
      <c r="I159">
        <v>16938.490000000002</v>
      </c>
      <c r="J159">
        <v>220</v>
      </c>
      <c r="L159">
        <f t="shared" si="22"/>
        <v>1438.4900000000016</v>
      </c>
      <c r="O159">
        <f t="shared" si="23"/>
        <v>1438.4900000000016</v>
      </c>
      <c r="P159" s="16" t="s">
        <v>127</v>
      </c>
      <c r="Q159" s="19">
        <v>0</v>
      </c>
      <c r="R159" s="68">
        <v>1658.4900000000016</v>
      </c>
    </row>
    <row r="160" spans="1:18">
      <c r="A160" t="s">
        <v>474</v>
      </c>
      <c r="B160" t="s">
        <v>151</v>
      </c>
      <c r="C160" s="18">
        <v>43696</v>
      </c>
      <c r="D160" s="13">
        <v>43705</v>
      </c>
      <c r="E160" s="13" t="s">
        <v>475</v>
      </c>
      <c r="G160">
        <v>7300</v>
      </c>
      <c r="H160">
        <v>7300</v>
      </c>
      <c r="I160">
        <v>8700</v>
      </c>
      <c r="J160">
        <v>220</v>
      </c>
      <c r="L160">
        <f t="shared" si="22"/>
        <v>1400</v>
      </c>
      <c r="N160">
        <v>200</v>
      </c>
      <c r="O160">
        <f t="shared" si="23"/>
        <v>1200</v>
      </c>
      <c r="P160" s="16" t="s">
        <v>127</v>
      </c>
      <c r="Q160" s="19">
        <v>0</v>
      </c>
      <c r="R160" s="68">
        <v>1420</v>
      </c>
    </row>
    <row r="161" spans="1:21">
      <c r="A161" t="s">
        <v>476</v>
      </c>
      <c r="B161" t="s">
        <v>151</v>
      </c>
      <c r="C161" s="18">
        <v>43696</v>
      </c>
      <c r="D161" s="13">
        <v>43706</v>
      </c>
      <c r="E161" s="13" t="s">
        <v>477</v>
      </c>
      <c r="G161">
        <v>32906</v>
      </c>
      <c r="H161">
        <v>32906</v>
      </c>
      <c r="I161">
        <v>34955</v>
      </c>
      <c r="J161">
        <v>220</v>
      </c>
      <c r="K161">
        <v>400</v>
      </c>
      <c r="L161">
        <f t="shared" si="22"/>
        <v>1649</v>
      </c>
      <c r="O161">
        <f t="shared" si="23"/>
        <v>1649</v>
      </c>
      <c r="P161" s="16" t="s">
        <v>331</v>
      </c>
      <c r="Q161" s="19">
        <v>329.8</v>
      </c>
      <c r="R161" s="68">
        <v>1539.2</v>
      </c>
    </row>
    <row r="162" spans="1:21">
      <c r="A162" t="s">
        <v>478</v>
      </c>
      <c r="B162" t="s">
        <v>151</v>
      </c>
      <c r="C162" s="18">
        <v>43696</v>
      </c>
      <c r="D162" s="13">
        <v>43706</v>
      </c>
      <c r="E162" s="13" t="s">
        <v>479</v>
      </c>
      <c r="G162">
        <v>18935.669999999998</v>
      </c>
      <c r="H162">
        <v>18935.669999999998</v>
      </c>
      <c r="I162">
        <v>23585</v>
      </c>
      <c r="J162">
        <v>220</v>
      </c>
      <c r="K162">
        <v>1100</v>
      </c>
      <c r="L162">
        <f t="shared" si="22"/>
        <v>3549.3300000000017</v>
      </c>
      <c r="M162">
        <v>2000</v>
      </c>
      <c r="O162">
        <f t="shared" si="23"/>
        <v>3549.3300000000017</v>
      </c>
      <c r="P162" s="16" t="s">
        <v>348</v>
      </c>
      <c r="Q162" s="19">
        <v>1064.7990000000004</v>
      </c>
      <c r="R162" s="68">
        <v>2704.5310000000013</v>
      </c>
    </row>
    <row r="163" spans="1:21">
      <c r="A163" t="s">
        <v>480</v>
      </c>
      <c r="B163" t="s">
        <v>151</v>
      </c>
      <c r="C163" s="18">
        <v>43696</v>
      </c>
      <c r="D163" s="13">
        <v>43706</v>
      </c>
      <c r="E163" s="13" t="s">
        <v>479</v>
      </c>
      <c r="G163">
        <v>137000</v>
      </c>
      <c r="H163">
        <v>137025</v>
      </c>
      <c r="I163">
        <v>140000</v>
      </c>
      <c r="J163">
        <v>220</v>
      </c>
      <c r="K163">
        <v>500</v>
      </c>
      <c r="L163">
        <f t="shared" si="22"/>
        <v>2475</v>
      </c>
      <c r="M163">
        <v>2000</v>
      </c>
      <c r="O163">
        <f t="shared" si="23"/>
        <v>2475</v>
      </c>
      <c r="P163" s="16" t="s">
        <v>127</v>
      </c>
      <c r="Q163" s="19">
        <v>0</v>
      </c>
      <c r="R163" s="68">
        <v>2695</v>
      </c>
    </row>
    <row r="164" spans="1:21">
      <c r="A164" t="s">
        <v>481</v>
      </c>
      <c r="B164" t="s">
        <v>151</v>
      </c>
      <c r="C164" s="18">
        <v>43696</v>
      </c>
      <c r="D164" s="13">
        <v>43706</v>
      </c>
      <c r="E164" s="13" t="s">
        <v>482</v>
      </c>
      <c r="G164">
        <v>150500</v>
      </c>
      <c r="H164">
        <v>150500</v>
      </c>
      <c r="I164">
        <v>159376.23000000001</v>
      </c>
      <c r="J164">
        <v>220</v>
      </c>
      <c r="L164">
        <f t="shared" si="22"/>
        <v>8876.2300000000105</v>
      </c>
      <c r="M164">
        <v>55000</v>
      </c>
      <c r="O164">
        <f t="shared" si="23"/>
        <v>8876.2300000000105</v>
      </c>
      <c r="P164" s="16" t="s">
        <v>152</v>
      </c>
      <c r="Q164" s="19">
        <v>1775.2460000000021</v>
      </c>
      <c r="R164" s="68">
        <v>7320.9840000000086</v>
      </c>
    </row>
    <row r="165" spans="1:21">
      <c r="A165" t="s">
        <v>483</v>
      </c>
      <c r="B165" t="s">
        <v>151</v>
      </c>
      <c r="C165" s="18">
        <v>43696</v>
      </c>
      <c r="D165" s="13">
        <v>43706</v>
      </c>
      <c r="E165" s="13" t="s">
        <v>484</v>
      </c>
      <c r="G165">
        <v>12000</v>
      </c>
      <c r="H165">
        <v>12000</v>
      </c>
      <c r="I165">
        <v>12600</v>
      </c>
      <c r="L165">
        <f t="shared" si="22"/>
        <v>600</v>
      </c>
      <c r="N165">
        <v>0</v>
      </c>
      <c r="O165">
        <f t="shared" si="23"/>
        <v>600</v>
      </c>
      <c r="P165" s="16" t="s">
        <v>127</v>
      </c>
      <c r="Q165" s="19">
        <v>0</v>
      </c>
      <c r="R165" s="68">
        <v>600</v>
      </c>
    </row>
    <row r="166" spans="1:21">
      <c r="A166" t="s">
        <v>485</v>
      </c>
      <c r="B166" t="s">
        <v>156</v>
      </c>
      <c r="C166" s="18">
        <v>43696</v>
      </c>
      <c r="D166" s="13">
        <v>43706</v>
      </c>
      <c r="E166" s="13" t="s">
        <v>486</v>
      </c>
      <c r="G166">
        <v>22343</v>
      </c>
      <c r="H166">
        <v>22343</v>
      </c>
      <c r="I166">
        <v>22778</v>
      </c>
      <c r="J166">
        <v>220</v>
      </c>
      <c r="K166">
        <v>250</v>
      </c>
      <c r="L166">
        <f t="shared" si="22"/>
        <v>185</v>
      </c>
      <c r="O166">
        <f t="shared" si="23"/>
        <v>185</v>
      </c>
      <c r="P166" s="16" t="s">
        <v>152</v>
      </c>
      <c r="Q166" s="19">
        <v>0</v>
      </c>
      <c r="R166" s="68">
        <v>405</v>
      </c>
    </row>
    <row r="167" spans="1:21">
      <c r="A167" t="s">
        <v>487</v>
      </c>
      <c r="B167" t="s">
        <v>151</v>
      </c>
      <c r="C167" s="18">
        <v>43696</v>
      </c>
      <c r="D167" s="13">
        <v>43706</v>
      </c>
      <c r="E167" s="13" t="s">
        <v>488</v>
      </c>
      <c r="G167">
        <v>40808.120000000003</v>
      </c>
      <c r="H167">
        <v>40808.120000000003</v>
      </c>
      <c r="I167">
        <v>42422.99</v>
      </c>
      <c r="J167">
        <v>220</v>
      </c>
      <c r="L167">
        <f>I167-H167-K167</f>
        <v>1614.8699999999953</v>
      </c>
      <c r="M167">
        <v>2000</v>
      </c>
      <c r="O167">
        <f>L167-N167</f>
        <v>1614.8699999999953</v>
      </c>
      <c r="P167" s="16" t="s">
        <v>286</v>
      </c>
      <c r="Q167" s="19">
        <v>645.94799999999816</v>
      </c>
      <c r="R167" s="68">
        <v>1188.9219999999973</v>
      </c>
    </row>
    <row r="168" spans="1:21">
      <c r="A168" t="s">
        <v>489</v>
      </c>
      <c r="B168" t="s">
        <v>151</v>
      </c>
      <c r="C168" s="18">
        <v>43696</v>
      </c>
      <c r="D168" s="13">
        <v>43706</v>
      </c>
      <c r="E168" s="13" t="s">
        <v>490</v>
      </c>
      <c r="G168">
        <v>37054</v>
      </c>
      <c r="H168">
        <v>37054</v>
      </c>
      <c r="I168">
        <v>41200</v>
      </c>
      <c r="J168">
        <v>220</v>
      </c>
      <c r="K168">
        <v>700</v>
      </c>
      <c r="L168">
        <f>I168-H168-K168</f>
        <v>3446</v>
      </c>
      <c r="M168">
        <v>2000</v>
      </c>
      <c r="O168">
        <f>L168-N168</f>
        <v>3446</v>
      </c>
      <c r="P168" s="16" t="s">
        <v>348</v>
      </c>
      <c r="Q168" s="19">
        <v>1033.8</v>
      </c>
      <c r="R168" s="68">
        <v>2632.2</v>
      </c>
    </row>
    <row r="169" spans="1:21">
      <c r="A169" t="s">
        <v>491</v>
      </c>
      <c r="B169" t="s">
        <v>151</v>
      </c>
      <c r="C169" s="18">
        <v>43696</v>
      </c>
      <c r="D169" s="13">
        <v>43727</v>
      </c>
      <c r="E169" s="13" t="s">
        <v>492</v>
      </c>
      <c r="G169">
        <v>31360</v>
      </c>
      <c r="H169">
        <v>31360</v>
      </c>
      <c r="I169">
        <v>34466</v>
      </c>
      <c r="J169">
        <v>220</v>
      </c>
      <c r="K169">
        <v>250</v>
      </c>
      <c r="L169">
        <f>I169-H169-K169</f>
        <v>2856</v>
      </c>
      <c r="M169">
        <v>2000</v>
      </c>
      <c r="O169">
        <f>L169-N169</f>
        <v>2856</v>
      </c>
      <c r="P169" s="16" t="s">
        <v>331</v>
      </c>
      <c r="Q169" s="19">
        <v>571.20000000000005</v>
      </c>
      <c r="R169" s="68">
        <v>2504.8000000000002</v>
      </c>
      <c r="S169">
        <v>62606.845000000008</v>
      </c>
      <c r="T169">
        <v>30</v>
      </c>
    </row>
    <row r="170" spans="1:21">
      <c r="D170" s="13"/>
      <c r="E170" s="13"/>
      <c r="R170" s="61"/>
    </row>
    <row r="171" spans="1:21">
      <c r="D171" s="13"/>
      <c r="E171" s="13"/>
      <c r="R171" s="61"/>
    </row>
    <row r="172" spans="1:21">
      <c r="Q172" t="s">
        <v>493</v>
      </c>
      <c r="R172" s="67">
        <v>210239.05349999992</v>
      </c>
      <c r="S172" t="s">
        <v>213</v>
      </c>
      <c r="T172" t="s">
        <v>257</v>
      </c>
      <c r="U172">
        <f>AVERAGE(R2:R169)</f>
        <v>1339.1022515923562</v>
      </c>
    </row>
    <row r="173" spans="1:21">
      <c r="P173" s="22"/>
      <c r="Q173" s="22" t="s">
        <v>494</v>
      </c>
      <c r="R173" s="62">
        <v>157</v>
      </c>
      <c r="S173" s="22"/>
      <c r="T173" t="s">
        <v>495</v>
      </c>
      <c r="U173" s="22"/>
    </row>
    <row r="174" spans="1:21">
      <c r="P174" s="22"/>
      <c r="Q174" s="22"/>
      <c r="R174" s="62"/>
      <c r="S174" s="22"/>
      <c r="T174" s="22">
        <v>55510.186499999989</v>
      </c>
      <c r="U174" s="22"/>
    </row>
    <row r="175" spans="1:21">
      <c r="P175" s="22"/>
      <c r="Q175" s="22"/>
      <c r="R175" s="62"/>
      <c r="S175" s="22"/>
      <c r="T175" s="22"/>
      <c r="U175" s="22"/>
    </row>
    <row r="176" spans="1:21">
      <c r="P176" s="22"/>
      <c r="Q176" s="22"/>
      <c r="R176" s="62"/>
      <c r="S176" s="22"/>
      <c r="T176" s="22"/>
      <c r="U176" s="22"/>
    </row>
    <row r="177" spans="14:21">
      <c r="P177" s="22"/>
      <c r="Q177" s="22"/>
      <c r="R177" s="62"/>
      <c r="S177" s="22"/>
      <c r="T177" s="22"/>
      <c r="U177" s="22"/>
    </row>
    <row r="178" spans="14:21">
      <c r="N178" s="22"/>
      <c r="O178" s="22"/>
      <c r="P178" s="22"/>
      <c r="Q178" s="22"/>
      <c r="R178" s="62"/>
      <c r="S178" s="22"/>
      <c r="T178" s="22"/>
      <c r="U178" s="22"/>
    </row>
    <row r="179" spans="14:21">
      <c r="N179" s="22"/>
      <c r="O179" s="22"/>
      <c r="P179" s="22"/>
      <c r="Q179" s="22"/>
      <c r="R179" s="62"/>
      <c r="S179" s="22"/>
      <c r="T179" s="22"/>
      <c r="U179" s="22"/>
    </row>
    <row r="180" spans="14:21">
      <c r="N180" s="22"/>
      <c r="O180" s="22"/>
      <c r="P180" s="22"/>
      <c r="Q180" s="22"/>
      <c r="R180" s="62"/>
      <c r="S180" s="22"/>
      <c r="T180" s="22"/>
      <c r="U180" s="22"/>
    </row>
    <row r="181" spans="14:21">
      <c r="N181" s="22"/>
      <c r="O181" s="22"/>
      <c r="P181" s="22"/>
      <c r="Q181" s="22"/>
      <c r="R181" s="62"/>
      <c r="S181" s="22"/>
      <c r="T181" s="22"/>
      <c r="U181" s="22"/>
    </row>
    <row r="182" spans="14:21">
      <c r="N182" s="22"/>
      <c r="O182" s="22"/>
      <c r="P182" s="22"/>
      <c r="Q182" s="22"/>
      <c r="R182" s="62"/>
      <c r="S182" s="22"/>
      <c r="T182" s="22"/>
      <c r="U182" s="22"/>
    </row>
    <row r="183" spans="14:21">
      <c r="N183" s="22"/>
      <c r="O183" s="22"/>
      <c r="P183" s="22"/>
      <c r="Q183" s="22"/>
      <c r="R183" s="62"/>
      <c r="S183" s="22"/>
    </row>
    <row r="184" spans="14:21">
      <c r="N184" s="22"/>
      <c r="O184" s="22"/>
      <c r="P184" s="22"/>
      <c r="Q184" s="22"/>
      <c r="R184" s="62"/>
      <c r="S184" s="22"/>
    </row>
    <row r="185" spans="14:21">
      <c r="N185" s="22"/>
      <c r="O185" s="22"/>
      <c r="P185" s="22"/>
      <c r="Q185" s="22"/>
      <c r="R185" s="62"/>
      <c r="S185" s="22"/>
    </row>
    <row r="186" spans="14:21">
      <c r="N186" s="22"/>
      <c r="O186" s="22"/>
      <c r="P186" s="22"/>
      <c r="Q186" s="22"/>
      <c r="R186" s="62"/>
      <c r="S186" s="22"/>
    </row>
    <row r="187" spans="14:21">
      <c r="N187" s="22"/>
      <c r="O187" s="22"/>
      <c r="P187" s="22"/>
      <c r="Q187" s="22"/>
      <c r="R187" s="62"/>
      <c r="S187" s="22"/>
    </row>
    <row r="188" spans="14:21">
      <c r="N188" s="22"/>
      <c r="O188" s="22"/>
      <c r="P188" s="22"/>
      <c r="Q188" s="22"/>
      <c r="R188" s="62"/>
      <c r="S188" s="22"/>
    </row>
    <row r="189" spans="14:21">
      <c r="N189" s="22"/>
      <c r="O189" s="22"/>
      <c r="P189" s="22"/>
      <c r="Q189" s="22"/>
      <c r="R189" s="62"/>
      <c r="S189" s="22"/>
    </row>
    <row r="190" spans="14:21">
      <c r="N190" s="22"/>
      <c r="O190" s="22"/>
      <c r="P190" s="22"/>
      <c r="Q190" s="22"/>
      <c r="R190" s="62"/>
      <c r="S190" s="22"/>
    </row>
    <row r="191" spans="14:21">
      <c r="N191" s="22"/>
      <c r="O191" s="22"/>
      <c r="P191" s="22"/>
      <c r="Q191" s="22"/>
      <c r="R191" s="62"/>
      <c r="S191" s="22"/>
    </row>
    <row r="192" spans="14:21">
      <c r="N192" s="22"/>
      <c r="O192" s="22"/>
      <c r="P192" s="22"/>
      <c r="Q192" s="22"/>
      <c r="R192" s="62"/>
      <c r="S192" s="22"/>
    </row>
    <row r="193" spans="14:19">
      <c r="N193" s="22"/>
      <c r="O193" s="22"/>
      <c r="P193" s="22"/>
      <c r="Q193" s="22"/>
      <c r="R193" s="62"/>
      <c r="S193" s="22"/>
    </row>
    <row r="194" spans="14:19">
      <c r="N194" s="22"/>
      <c r="O194" s="22"/>
      <c r="P194" s="22"/>
      <c r="Q194" s="22"/>
      <c r="R194" s="62"/>
      <c r="S194" s="22"/>
    </row>
    <row r="195" spans="14:19">
      <c r="N195" s="22"/>
      <c r="O195" s="22"/>
      <c r="P195" s="22"/>
      <c r="Q195" s="22"/>
      <c r="R195" s="62"/>
      <c r="S195" s="22"/>
    </row>
    <row r="196" spans="14:19">
      <c r="N196" s="22"/>
      <c r="O196" s="22"/>
      <c r="P196" s="22"/>
      <c r="Q196" s="22"/>
      <c r="R196" s="62"/>
      <c r="S196" s="22"/>
    </row>
    <row r="197" spans="14:19">
      <c r="N197" s="22"/>
      <c r="O197" s="22"/>
      <c r="P197" s="22"/>
      <c r="Q197" s="22"/>
      <c r="R197" s="62"/>
      <c r="S197" s="22"/>
    </row>
    <row r="198" spans="14:19">
      <c r="N198" s="22"/>
      <c r="O198" s="22"/>
      <c r="P198" s="22"/>
      <c r="Q198" s="22"/>
      <c r="R198" s="62"/>
      <c r="S198" s="22"/>
    </row>
    <row r="199" spans="14:19">
      <c r="N199" s="22"/>
      <c r="O199" s="22"/>
      <c r="P199" s="22"/>
      <c r="Q199" s="22"/>
      <c r="R199" s="62"/>
      <c r="S199" s="22"/>
    </row>
    <row r="200" spans="14:19">
      <c r="N200" s="22"/>
      <c r="O200" s="22"/>
      <c r="P200" s="22"/>
      <c r="Q200" s="22"/>
      <c r="R200" s="62"/>
      <c r="S200" s="22"/>
    </row>
    <row r="201" spans="14:19">
      <c r="N201" s="22"/>
      <c r="O201" s="22"/>
      <c r="P201" s="22"/>
      <c r="Q201" s="22"/>
      <c r="R201" s="62"/>
      <c r="S201" s="22"/>
    </row>
    <row r="202" spans="14:19">
      <c r="N202" s="22"/>
      <c r="O202" s="22"/>
      <c r="P202" s="22"/>
      <c r="Q202" s="22"/>
      <c r="R202" s="62"/>
      <c r="S202" s="22"/>
    </row>
    <row r="203" spans="14:19">
      <c r="N203" s="22"/>
      <c r="O203" s="22"/>
      <c r="P203" s="22"/>
      <c r="Q203" s="22"/>
      <c r="R203" s="62"/>
      <c r="S203" s="22"/>
    </row>
    <row r="204" spans="14:19">
      <c r="N204" s="22"/>
      <c r="O204" s="22"/>
      <c r="P204" s="22"/>
      <c r="Q204" s="22"/>
      <c r="R204" s="62"/>
      <c r="S204" s="22"/>
    </row>
    <row r="205" spans="14:19">
      <c r="N205" s="22"/>
      <c r="O205" s="22"/>
      <c r="P205" s="22"/>
      <c r="Q205" s="22"/>
      <c r="R205" s="62"/>
      <c r="S205" s="22"/>
    </row>
    <row r="206" spans="14:19">
      <c r="N206" s="22"/>
      <c r="O206" s="22"/>
      <c r="P206" s="22"/>
      <c r="Q206" s="22"/>
      <c r="R206" s="62"/>
      <c r="S206" s="22"/>
    </row>
    <row r="207" spans="14:19">
      <c r="N207" s="22"/>
      <c r="O207" s="22"/>
      <c r="P207" s="22"/>
      <c r="Q207" s="22"/>
      <c r="R207" s="62"/>
      <c r="S207" s="22"/>
    </row>
    <row r="208" spans="14:19">
      <c r="N208" s="22"/>
      <c r="O208" s="22"/>
      <c r="P208" s="22"/>
      <c r="Q208" s="22"/>
      <c r="R208" s="62"/>
      <c r="S208" s="22"/>
    </row>
    <row r="209" spans="14:19">
      <c r="N209" s="22"/>
      <c r="O209" s="22"/>
      <c r="P209" s="22"/>
      <c r="Q209" s="22"/>
      <c r="R209" s="62"/>
      <c r="S209" s="22"/>
    </row>
    <row r="210" spans="14:19">
      <c r="N210" s="22"/>
      <c r="O210" s="22"/>
      <c r="P210" s="22"/>
      <c r="Q210" s="22"/>
      <c r="R210" s="62"/>
      <c r="S210" s="22"/>
    </row>
    <row r="211" spans="14:19">
      <c r="N211" s="22"/>
      <c r="O211" s="22"/>
      <c r="P211" s="22"/>
      <c r="Q211" s="22"/>
      <c r="R211" s="62"/>
      <c r="S211" s="22"/>
    </row>
    <row r="212" spans="14:19">
      <c r="N212" s="22"/>
      <c r="O212" s="22"/>
      <c r="P212" s="22"/>
      <c r="Q212" s="22"/>
      <c r="R212" s="62"/>
      <c r="S212" s="22"/>
    </row>
    <row r="213" spans="14:19">
      <c r="N213" s="22"/>
      <c r="O213" s="22"/>
      <c r="P213" s="22"/>
      <c r="Q213" s="22"/>
      <c r="R213" s="62"/>
      <c r="S213" s="22"/>
    </row>
    <row r="214" spans="14:19">
      <c r="N214" s="22"/>
      <c r="O214" s="22"/>
      <c r="P214" s="22"/>
      <c r="Q214" s="22"/>
      <c r="R214" s="62"/>
      <c r="S214" s="22"/>
    </row>
    <row r="215" spans="14:19">
      <c r="N215" s="22"/>
      <c r="O215" s="22"/>
      <c r="P215" s="22"/>
      <c r="Q215" s="22"/>
      <c r="R215" s="62"/>
      <c r="S215" s="22"/>
    </row>
    <row r="216" spans="14:19">
      <c r="N216" s="22"/>
      <c r="O216" s="22"/>
      <c r="P216" s="22"/>
      <c r="Q216" s="22"/>
      <c r="R216" s="62"/>
      <c r="S216" s="22"/>
    </row>
    <row r="217" spans="14:19">
      <c r="N217" s="22"/>
      <c r="O217" s="22"/>
      <c r="P217" s="22"/>
      <c r="Q217" s="22"/>
      <c r="R217" s="62"/>
      <c r="S217" s="22"/>
    </row>
    <row r="218" spans="14:19">
      <c r="N218" s="22"/>
      <c r="O218" s="22"/>
      <c r="P218" s="22"/>
      <c r="Q218" s="22"/>
      <c r="R218" s="62"/>
      <c r="S218" s="22"/>
    </row>
    <row r="219" spans="14:19">
      <c r="N219" s="22"/>
      <c r="O219" s="22"/>
      <c r="P219" s="22"/>
      <c r="Q219" s="22"/>
      <c r="R219" s="62"/>
      <c r="S219" s="22"/>
    </row>
    <row r="220" spans="14:19">
      <c r="N220" s="22"/>
      <c r="O220" s="22"/>
      <c r="P220" s="22"/>
      <c r="Q220" s="22"/>
      <c r="R220" s="62"/>
      <c r="S220" s="22"/>
    </row>
    <row r="221" spans="14:19">
      <c r="N221" s="22"/>
      <c r="O221" s="22"/>
      <c r="P221" s="22"/>
      <c r="Q221" s="22"/>
      <c r="R221" s="62"/>
      <c r="S221" s="22"/>
    </row>
    <row r="222" spans="14:19">
      <c r="N222" s="22"/>
      <c r="O222" s="22"/>
      <c r="P222" s="22"/>
      <c r="Q222" s="22"/>
      <c r="R222" s="62"/>
      <c r="S222" s="22"/>
    </row>
    <row r="223" spans="14:19">
      <c r="N223" s="22"/>
      <c r="O223" s="22"/>
      <c r="P223" s="22"/>
      <c r="Q223" s="22"/>
      <c r="R223" s="62"/>
      <c r="S223" s="22"/>
    </row>
    <row r="224" spans="14:19">
      <c r="N224" s="22"/>
      <c r="O224" s="22"/>
      <c r="P224" s="22"/>
      <c r="Q224" s="22"/>
      <c r="R224" s="62"/>
      <c r="S224" s="22"/>
    </row>
    <row r="225" spans="14:19">
      <c r="N225" s="22"/>
      <c r="O225" s="22"/>
      <c r="P225" s="22"/>
      <c r="Q225" s="22"/>
      <c r="R225" s="62"/>
      <c r="S225" s="22"/>
    </row>
    <row r="226" spans="14:19">
      <c r="N226" s="22"/>
      <c r="O226" s="22"/>
      <c r="P226" s="22"/>
      <c r="Q226" s="22"/>
      <c r="R226" s="62"/>
      <c r="S226" s="22"/>
    </row>
    <row r="227" spans="14:19">
      <c r="N227" s="22"/>
      <c r="O227" s="22"/>
      <c r="P227" s="22"/>
      <c r="Q227" s="22"/>
      <c r="R227" s="62"/>
      <c r="S227" s="22"/>
    </row>
    <row r="228" spans="14:19">
      <c r="N228" s="22"/>
      <c r="O228" s="22"/>
      <c r="P228" s="22"/>
      <c r="Q228" s="22"/>
      <c r="R228" s="62"/>
      <c r="S228" s="22"/>
    </row>
    <row r="229" spans="14:19">
      <c r="N229" s="22"/>
      <c r="O229" s="22"/>
      <c r="P229" s="22"/>
      <c r="Q229" s="22"/>
      <c r="R229" s="62"/>
      <c r="S229" s="22"/>
    </row>
    <row r="230" spans="14:19">
      <c r="N230" s="22"/>
      <c r="O230" s="22"/>
      <c r="P230" s="22"/>
      <c r="Q230" s="22"/>
      <c r="R230" s="62"/>
      <c r="S230" s="22"/>
    </row>
    <row r="231" spans="14:19">
      <c r="N231" s="22"/>
      <c r="O231" s="22"/>
      <c r="P231" s="22"/>
      <c r="Q231" s="22"/>
      <c r="R231" s="62"/>
      <c r="S231" s="22"/>
    </row>
    <row r="232" spans="14:19">
      <c r="N232" s="22"/>
      <c r="O232" s="22"/>
      <c r="P232" s="22"/>
      <c r="Q232" s="22"/>
      <c r="R232" s="62"/>
      <c r="S232" s="22"/>
    </row>
    <row r="233" spans="14:19">
      <c r="N233" s="22"/>
      <c r="O233" s="22"/>
      <c r="P233" s="22"/>
      <c r="Q233" s="22"/>
      <c r="R233" s="62"/>
      <c r="S233" s="22"/>
    </row>
    <row r="234" spans="14:19">
      <c r="N234" s="22"/>
      <c r="O234" s="22"/>
      <c r="P234" s="22"/>
      <c r="Q234" s="22"/>
      <c r="R234" s="62"/>
      <c r="S234" s="22"/>
    </row>
    <row r="235" spans="14:19">
      <c r="N235" s="22"/>
      <c r="O235" s="22"/>
      <c r="P235" s="22"/>
      <c r="Q235" s="22"/>
      <c r="R235" s="62"/>
      <c r="S235" s="22"/>
    </row>
    <row r="236" spans="14:19">
      <c r="N236" s="22"/>
      <c r="O236" s="22"/>
      <c r="P236" s="22"/>
      <c r="Q236" s="22"/>
      <c r="R236" s="62"/>
      <c r="S236" s="22"/>
    </row>
    <row r="237" spans="14:19">
      <c r="N237" s="22"/>
      <c r="O237" s="22"/>
      <c r="P237" s="22"/>
      <c r="Q237" s="22"/>
      <c r="R237" s="62"/>
      <c r="S237" s="22"/>
    </row>
    <row r="238" spans="14:19">
      <c r="N238" s="22"/>
      <c r="O238" s="22"/>
      <c r="P238" s="22"/>
      <c r="Q238" s="22"/>
      <c r="R238" s="62"/>
      <c r="S238" s="22"/>
    </row>
    <row r="239" spans="14:19">
      <c r="N239" s="22"/>
      <c r="O239" s="22"/>
      <c r="P239" s="22"/>
      <c r="Q239" s="22"/>
      <c r="R239" s="62"/>
      <c r="S239" s="22"/>
    </row>
    <row r="240" spans="14:19">
      <c r="N240" s="22"/>
      <c r="O240" s="22"/>
      <c r="P240" s="22"/>
      <c r="Q240" s="22"/>
      <c r="R240" s="62"/>
      <c r="S240" s="22"/>
    </row>
    <row r="241" spans="14:19">
      <c r="N241" s="22"/>
      <c r="O241" s="22"/>
      <c r="P241" s="22"/>
      <c r="Q241" s="22"/>
      <c r="R241" s="62"/>
      <c r="S241" s="22"/>
    </row>
    <row r="242" spans="14:19">
      <c r="N242" s="22"/>
      <c r="O242" s="22"/>
      <c r="P242" s="22"/>
      <c r="Q242" s="22"/>
      <c r="R242" s="62"/>
      <c r="S242" s="22"/>
    </row>
    <row r="243" spans="14:19">
      <c r="N243" s="22"/>
      <c r="O243" s="22"/>
      <c r="P243" s="22"/>
      <c r="Q243" s="22"/>
      <c r="R243" s="62"/>
      <c r="S243" s="22"/>
    </row>
    <row r="244" spans="14:19">
      <c r="N244" s="22"/>
      <c r="O244" s="22"/>
      <c r="P244" s="22"/>
      <c r="Q244" s="22"/>
      <c r="R244" s="62"/>
      <c r="S244" s="22"/>
    </row>
    <row r="245" spans="14:19">
      <c r="N245" s="22"/>
      <c r="O245" s="22"/>
      <c r="P245" s="22"/>
      <c r="Q245" s="22"/>
      <c r="R245" s="62"/>
      <c r="S245" s="22"/>
    </row>
    <row r="246" spans="14:19">
      <c r="N246" s="22"/>
      <c r="O246" s="22"/>
      <c r="P246" s="22"/>
      <c r="Q246" s="22"/>
      <c r="R246" s="62"/>
      <c r="S246" s="22"/>
    </row>
    <row r="247" spans="14:19">
      <c r="N247" s="22"/>
      <c r="O247" s="22"/>
      <c r="P247" s="22"/>
      <c r="Q247" s="22"/>
      <c r="R247" s="62"/>
      <c r="S247" s="22"/>
    </row>
    <row r="248" spans="14:19">
      <c r="N248" s="22"/>
      <c r="O248" s="22"/>
      <c r="P248" s="22"/>
      <c r="Q248" s="22"/>
      <c r="R248" s="62"/>
      <c r="S248" s="22"/>
    </row>
    <row r="249" spans="14:19">
      <c r="N249" s="22"/>
      <c r="O249" s="22"/>
      <c r="P249" s="22"/>
      <c r="Q249" s="22"/>
      <c r="R249" s="62"/>
      <c r="S249" s="22"/>
    </row>
    <row r="250" spans="14:19">
      <c r="N250" s="22"/>
      <c r="O250" s="22"/>
      <c r="P250" s="22"/>
      <c r="Q250" s="22"/>
      <c r="R250" s="62"/>
      <c r="S250" s="22"/>
    </row>
    <row r="251" spans="14:19">
      <c r="N251" s="22"/>
      <c r="O251" s="22"/>
      <c r="P251" s="22"/>
      <c r="Q251" s="22"/>
      <c r="R251" s="62"/>
      <c r="S251" s="22"/>
    </row>
    <row r="252" spans="14:19">
      <c r="N252" s="22"/>
      <c r="O252" s="22"/>
      <c r="P252" s="22"/>
      <c r="Q252" s="22"/>
      <c r="R252" s="62"/>
      <c r="S252" s="22"/>
    </row>
    <row r="253" spans="14:19">
      <c r="N253" s="22"/>
      <c r="O253" s="22"/>
      <c r="P253" s="22"/>
      <c r="Q253" s="22"/>
      <c r="R253" s="62"/>
      <c r="S253" s="22"/>
    </row>
    <row r="254" spans="14:19">
      <c r="N254" s="22"/>
      <c r="O254" s="22"/>
      <c r="P254" s="22"/>
      <c r="Q254" s="22"/>
      <c r="R254" s="62"/>
      <c r="S254" s="22"/>
    </row>
    <row r="255" spans="14:19">
      <c r="N255" s="22"/>
      <c r="O255" s="22"/>
      <c r="P255" s="22"/>
      <c r="Q255" s="22"/>
      <c r="R255" s="62"/>
      <c r="S255" s="22"/>
    </row>
    <row r="256" spans="14:19">
      <c r="N256" s="22"/>
      <c r="O256" s="22"/>
      <c r="P256" s="22"/>
      <c r="Q256" s="22"/>
      <c r="R256" s="62"/>
      <c r="S256" s="22"/>
    </row>
    <row r="257" spans="14:19">
      <c r="N257" s="22"/>
      <c r="O257" s="22"/>
      <c r="P257" s="22"/>
      <c r="Q257" s="22"/>
      <c r="R257" s="62"/>
      <c r="S257" s="22"/>
    </row>
    <row r="258" spans="14:19">
      <c r="N258" s="22"/>
      <c r="O258" s="22"/>
      <c r="P258" s="22"/>
      <c r="Q258" s="22"/>
      <c r="R258" s="62"/>
      <c r="S258" s="22"/>
    </row>
    <row r="259" spans="14:19">
      <c r="N259" s="22"/>
      <c r="O259" s="22"/>
      <c r="P259" s="22"/>
      <c r="Q259" s="22"/>
      <c r="R259" s="62"/>
      <c r="S259" s="22"/>
    </row>
    <row r="260" spans="14:19">
      <c r="N260" s="22"/>
      <c r="O260" s="22"/>
      <c r="P260" s="22"/>
      <c r="Q260" s="22"/>
      <c r="R260" s="62"/>
      <c r="S260" s="22"/>
    </row>
    <row r="261" spans="14:19">
      <c r="N261" s="22"/>
      <c r="O261" s="22"/>
      <c r="P261" s="22"/>
      <c r="Q261" s="22"/>
      <c r="R261" s="62"/>
      <c r="S261" s="22"/>
    </row>
    <row r="262" spans="14:19">
      <c r="N262" s="22"/>
      <c r="O262" s="22"/>
      <c r="P262" s="22"/>
      <c r="Q262" s="22"/>
      <c r="R262" s="62"/>
      <c r="S262" s="22"/>
    </row>
    <row r="263" spans="14:19">
      <c r="N263" s="22"/>
      <c r="O263" s="22"/>
      <c r="P263" s="22"/>
      <c r="Q263" s="22"/>
      <c r="R263" s="62"/>
      <c r="S263" s="22"/>
    </row>
    <row r="264" spans="14:19">
      <c r="N264" s="22"/>
      <c r="O264" s="22"/>
      <c r="P264" s="22"/>
      <c r="Q264" s="22"/>
      <c r="R264" s="62"/>
      <c r="S264" s="22"/>
    </row>
    <row r="265" spans="14:19">
      <c r="N265" s="22"/>
      <c r="O265" s="22"/>
      <c r="P265" s="22"/>
      <c r="Q265" s="22"/>
      <c r="R265" s="62"/>
      <c r="S265" s="22"/>
    </row>
    <row r="266" spans="14:19">
      <c r="N266" s="22"/>
      <c r="O266" s="22"/>
      <c r="P266" s="22"/>
      <c r="Q266" s="22"/>
      <c r="R266" s="62"/>
      <c r="S266" s="22"/>
    </row>
    <row r="267" spans="14:19">
      <c r="N267" s="22"/>
      <c r="O267" s="22"/>
      <c r="P267" s="22"/>
      <c r="Q267" s="22"/>
      <c r="R267" s="62"/>
      <c r="S267" s="22"/>
    </row>
    <row r="268" spans="14:19">
      <c r="N268" s="22"/>
      <c r="O268" s="22"/>
      <c r="P268" s="22"/>
      <c r="Q268" s="22"/>
      <c r="R268" s="62"/>
      <c r="S268" s="22"/>
    </row>
    <row r="269" spans="14:19">
      <c r="N269" s="22"/>
      <c r="O269" s="22"/>
      <c r="P269" s="22"/>
      <c r="Q269" s="22"/>
      <c r="R269" s="62"/>
      <c r="S269" s="22"/>
    </row>
    <row r="270" spans="14:19">
      <c r="N270" s="22"/>
      <c r="O270" s="22"/>
      <c r="P270" s="22"/>
      <c r="Q270" s="22"/>
      <c r="R270" s="62"/>
      <c r="S270" s="22"/>
    </row>
    <row r="271" spans="14:19">
      <c r="N271" s="22"/>
      <c r="O271" s="22"/>
      <c r="P271" s="22"/>
      <c r="Q271" s="22"/>
      <c r="R271" s="62"/>
      <c r="S271" s="22"/>
    </row>
    <row r="272" spans="14:19">
      <c r="N272" s="22"/>
      <c r="O272" s="22"/>
      <c r="P272" s="22"/>
      <c r="Q272" s="22"/>
      <c r="R272" s="62"/>
      <c r="S272" s="22"/>
    </row>
    <row r="273" spans="14:19">
      <c r="N273" s="22"/>
      <c r="O273" s="22"/>
      <c r="P273" s="22"/>
      <c r="Q273" s="22"/>
      <c r="R273" s="62"/>
      <c r="S273" s="22"/>
    </row>
    <row r="274" spans="14:19">
      <c r="N274" s="22"/>
      <c r="O274" s="22"/>
      <c r="P274" s="22"/>
      <c r="Q274" s="22"/>
      <c r="R274" s="62"/>
      <c r="S274" s="22"/>
    </row>
    <row r="275" spans="14:19">
      <c r="N275" s="22"/>
      <c r="O275" s="22"/>
      <c r="P275" s="22"/>
      <c r="Q275" s="22"/>
      <c r="R275" s="62"/>
      <c r="S275" s="22"/>
    </row>
    <row r="276" spans="14:19">
      <c r="N276" s="22"/>
      <c r="O276" s="22"/>
      <c r="P276" s="22"/>
      <c r="Q276" s="22"/>
      <c r="R276" s="62"/>
      <c r="S276" s="22"/>
    </row>
    <row r="277" spans="14:19">
      <c r="N277" s="22"/>
      <c r="O277" s="22"/>
      <c r="P277" s="22"/>
      <c r="Q277" s="22"/>
      <c r="R277" s="62"/>
      <c r="S277" s="22"/>
    </row>
    <row r="278" spans="14:19">
      <c r="N278" s="22"/>
      <c r="O278" s="22"/>
      <c r="P278" s="22"/>
      <c r="Q278" s="22"/>
      <c r="R278" s="62"/>
      <c r="S278" s="22"/>
    </row>
    <row r="279" spans="14:19">
      <c r="N279" s="22"/>
      <c r="O279" s="22"/>
      <c r="P279" s="22"/>
      <c r="Q279" s="22"/>
      <c r="R279" s="62"/>
      <c r="S279" s="22"/>
    </row>
    <row r="280" spans="14:19">
      <c r="N280" s="22"/>
      <c r="O280" s="22"/>
      <c r="P280" s="22"/>
      <c r="Q280" s="22"/>
      <c r="R280" s="62"/>
      <c r="S280" s="22"/>
    </row>
    <row r="281" spans="14:19">
      <c r="N281" s="22"/>
      <c r="O281" s="22"/>
      <c r="P281" s="22"/>
      <c r="Q281" s="22"/>
      <c r="R281" s="62"/>
      <c r="S281" s="22"/>
    </row>
    <row r="282" spans="14:19">
      <c r="N282" s="22"/>
      <c r="O282" s="22"/>
      <c r="P282" s="22"/>
      <c r="Q282" s="22"/>
      <c r="R282" s="62"/>
      <c r="S282" s="22"/>
    </row>
    <row r="283" spans="14:19">
      <c r="N283" s="22"/>
      <c r="O283" s="22"/>
      <c r="P283" s="22"/>
      <c r="Q283" s="22"/>
      <c r="R283" s="62"/>
      <c r="S283" s="22"/>
    </row>
    <row r="284" spans="14:19">
      <c r="N284" s="22"/>
      <c r="O284" s="22"/>
      <c r="P284" s="22"/>
      <c r="Q284" s="22"/>
      <c r="R284" s="62"/>
      <c r="S284" s="22"/>
    </row>
    <row r="285" spans="14:19">
      <c r="N285" s="22"/>
      <c r="O285" s="22"/>
      <c r="P285" s="22"/>
      <c r="Q285" s="22"/>
      <c r="R285" s="62"/>
      <c r="S285" s="22"/>
    </row>
    <row r="286" spans="14:19">
      <c r="N286" s="22"/>
      <c r="O286" s="22"/>
      <c r="P286" s="22"/>
      <c r="Q286" s="22"/>
      <c r="R286" s="62"/>
      <c r="S286" s="22"/>
    </row>
    <row r="287" spans="14:19">
      <c r="N287" s="22"/>
      <c r="O287" s="22"/>
      <c r="P287" s="22"/>
      <c r="Q287" s="22"/>
      <c r="R287" s="62"/>
      <c r="S287" s="22"/>
    </row>
    <row r="288" spans="14:19">
      <c r="N288" s="22"/>
      <c r="O288" s="22"/>
      <c r="P288" s="22"/>
      <c r="Q288" s="22"/>
      <c r="R288" s="62"/>
      <c r="S288" s="22"/>
    </row>
    <row r="289" spans="14:19">
      <c r="N289" s="22"/>
      <c r="O289" s="22"/>
      <c r="P289" s="22"/>
      <c r="Q289" s="22"/>
      <c r="R289" s="62"/>
      <c r="S289" s="22"/>
    </row>
    <row r="290" spans="14:19">
      <c r="N290" s="22"/>
      <c r="O290" s="22"/>
      <c r="P290" s="22"/>
      <c r="Q290" s="22"/>
      <c r="R290" s="62"/>
      <c r="S290" s="22"/>
    </row>
    <row r="291" spans="14:19">
      <c r="N291" s="22"/>
      <c r="O291" s="22"/>
      <c r="P291" s="22"/>
      <c r="Q291" s="22"/>
      <c r="R291" s="62"/>
      <c r="S291" s="22"/>
    </row>
    <row r="292" spans="14:19">
      <c r="N292" s="22"/>
      <c r="O292" s="22"/>
      <c r="P292" s="22"/>
      <c r="Q292" s="22"/>
      <c r="R292" s="62"/>
      <c r="S292" s="22"/>
    </row>
    <row r="293" spans="14:19">
      <c r="N293" s="22"/>
      <c r="O293" s="22"/>
      <c r="P293" s="22"/>
      <c r="Q293" s="22"/>
      <c r="R293" s="62"/>
      <c r="S293" s="22"/>
    </row>
    <row r="294" spans="14:19">
      <c r="N294" s="22"/>
      <c r="O294" s="22"/>
      <c r="P294" s="22"/>
      <c r="Q294" s="22"/>
      <c r="R294" s="62"/>
      <c r="S294" s="22"/>
    </row>
    <row r="295" spans="14:19">
      <c r="N295" s="22"/>
      <c r="O295" s="22"/>
      <c r="P295" s="22"/>
      <c r="Q295" s="22"/>
      <c r="R295" s="62"/>
      <c r="S295" s="22"/>
    </row>
    <row r="296" spans="14:19">
      <c r="N296" s="22"/>
      <c r="O296" s="22"/>
      <c r="P296" s="22"/>
      <c r="Q296" s="22"/>
      <c r="R296" s="62"/>
      <c r="S296" s="22"/>
    </row>
    <row r="297" spans="14:19">
      <c r="N297" s="22"/>
      <c r="O297" s="22"/>
      <c r="P297" s="22"/>
      <c r="Q297" s="22"/>
      <c r="R297" s="62"/>
      <c r="S297" s="22"/>
    </row>
    <row r="298" spans="14:19">
      <c r="N298" s="22"/>
      <c r="O298" s="22"/>
      <c r="P298" s="22"/>
      <c r="Q298" s="22"/>
      <c r="R298" s="62"/>
      <c r="S298" s="22"/>
    </row>
    <row r="299" spans="14:19">
      <c r="N299" s="22"/>
      <c r="O299" s="22"/>
      <c r="P299" s="22"/>
      <c r="Q299" s="22"/>
      <c r="R299" s="62"/>
      <c r="S299" s="22"/>
    </row>
    <row r="300" spans="14:19">
      <c r="N300" s="22"/>
      <c r="O300" s="22"/>
      <c r="P300" s="22"/>
      <c r="Q300" s="22"/>
      <c r="R300" s="62"/>
      <c r="S300" s="22"/>
    </row>
    <row r="301" spans="14:19">
      <c r="N301" s="22"/>
      <c r="O301" s="22"/>
      <c r="P301" s="22"/>
      <c r="Q301" s="22"/>
      <c r="R301" s="62"/>
      <c r="S301" s="22"/>
    </row>
    <row r="302" spans="14:19">
      <c r="N302" s="22"/>
      <c r="O302" s="22"/>
      <c r="P302" s="22"/>
      <c r="Q302" s="22"/>
      <c r="R302" s="62"/>
      <c r="S302" s="22"/>
    </row>
    <row r="303" spans="14:19">
      <c r="N303" s="22"/>
      <c r="O303" s="22"/>
      <c r="P303" s="22"/>
      <c r="Q303" s="22"/>
      <c r="R303" s="62"/>
      <c r="S303" s="22"/>
    </row>
    <row r="304" spans="14:19">
      <c r="N304" s="22"/>
      <c r="O304" s="22"/>
      <c r="P304" s="22"/>
      <c r="Q304" s="22"/>
      <c r="R304" s="62"/>
      <c r="S304" s="22"/>
    </row>
    <row r="305" spans="14:19">
      <c r="N305" s="22"/>
      <c r="O305" s="22"/>
      <c r="P305" s="22"/>
      <c r="Q305" s="22"/>
      <c r="R305" s="62"/>
      <c r="S305" s="22"/>
    </row>
    <row r="306" spans="14:19">
      <c r="N306" s="22"/>
      <c r="O306" s="22"/>
      <c r="P306" s="22"/>
      <c r="Q306" s="22"/>
      <c r="R306" s="62"/>
      <c r="S306" s="22"/>
    </row>
    <row r="307" spans="14:19">
      <c r="N307" s="22"/>
      <c r="O307" s="22"/>
      <c r="P307" s="22"/>
      <c r="Q307" s="22"/>
      <c r="R307" s="62"/>
      <c r="S307" s="22"/>
    </row>
    <row r="308" spans="14:19">
      <c r="N308" s="22"/>
      <c r="O308" s="22"/>
      <c r="P308" s="22"/>
      <c r="Q308" s="22"/>
      <c r="R308" s="62"/>
      <c r="S308" s="22"/>
    </row>
    <row r="309" spans="14:19">
      <c r="N309" s="22"/>
      <c r="O309" s="22"/>
      <c r="P309" s="22"/>
      <c r="Q309" s="22"/>
      <c r="R309" s="62"/>
      <c r="S309" s="22"/>
    </row>
    <row r="310" spans="14:19">
      <c r="N310" s="22"/>
      <c r="O310" s="22"/>
      <c r="P310" s="22"/>
      <c r="Q310" s="22"/>
      <c r="R310" s="62"/>
      <c r="S310" s="22"/>
    </row>
    <row r="311" spans="14:19">
      <c r="N311" s="22"/>
      <c r="O311" s="22"/>
      <c r="P311" s="22"/>
      <c r="Q311" s="22"/>
      <c r="R311" s="62"/>
      <c r="S311" s="22"/>
    </row>
    <row r="312" spans="14:19">
      <c r="N312" s="22"/>
      <c r="O312" s="22"/>
      <c r="P312" s="22"/>
      <c r="Q312" s="22"/>
      <c r="R312" s="62"/>
      <c r="S312" s="22"/>
    </row>
    <row r="313" spans="14:19">
      <c r="N313" s="22"/>
      <c r="O313" s="22"/>
      <c r="P313" s="22"/>
      <c r="Q313" s="22"/>
      <c r="R313" s="62"/>
      <c r="S313" s="22"/>
    </row>
    <row r="314" spans="14:19">
      <c r="N314" s="22"/>
      <c r="O314" s="22"/>
      <c r="P314" s="22"/>
      <c r="Q314" s="22"/>
      <c r="R314" s="62"/>
      <c r="S314" s="22"/>
    </row>
    <row r="315" spans="14:19">
      <c r="N315" s="22"/>
      <c r="O315" s="22"/>
      <c r="P315" s="22"/>
      <c r="Q315" s="22"/>
      <c r="R315" s="62"/>
      <c r="S315" s="22"/>
    </row>
    <row r="316" spans="14:19">
      <c r="N316" s="22"/>
      <c r="O316" s="22"/>
      <c r="P316" s="22"/>
      <c r="Q316" s="22"/>
      <c r="R316" s="62"/>
      <c r="S316" s="22"/>
    </row>
    <row r="317" spans="14:19">
      <c r="N317" s="22"/>
      <c r="O317" s="22"/>
      <c r="P317" s="22"/>
      <c r="Q317" s="22"/>
      <c r="R317" s="62"/>
      <c r="S317" s="22"/>
    </row>
    <row r="318" spans="14:19">
      <c r="N318" s="22"/>
      <c r="O318" s="22"/>
      <c r="P318" s="22"/>
      <c r="Q318" s="22"/>
      <c r="R318" s="62"/>
      <c r="S318" s="22"/>
    </row>
    <row r="319" spans="14:19">
      <c r="N319" s="22"/>
      <c r="O319" s="22"/>
      <c r="P319" s="22"/>
      <c r="Q319" s="22"/>
      <c r="R319" s="62"/>
      <c r="S319" s="22"/>
    </row>
    <row r="320" spans="14:19">
      <c r="N320" s="22"/>
      <c r="O320" s="22"/>
      <c r="P320" s="22"/>
      <c r="Q320" s="22"/>
      <c r="R320" s="62"/>
      <c r="S320" s="22"/>
    </row>
    <row r="321" spans="14:19">
      <c r="N321" s="22"/>
      <c r="O321" s="22"/>
      <c r="P321" s="22"/>
      <c r="Q321" s="22"/>
      <c r="R321" s="62"/>
      <c r="S321" s="22"/>
    </row>
    <row r="322" spans="14:19">
      <c r="N322" s="22"/>
      <c r="O322" s="22"/>
      <c r="P322" s="22"/>
      <c r="Q322" s="22"/>
      <c r="R322" s="62"/>
      <c r="S322" s="22"/>
    </row>
    <row r="323" spans="14:19">
      <c r="N323" s="22"/>
      <c r="O323" s="22"/>
      <c r="P323" s="22"/>
      <c r="Q323" s="22"/>
      <c r="R323" s="62"/>
      <c r="S323" s="22"/>
    </row>
    <row r="324" spans="14:19">
      <c r="N324" s="22"/>
      <c r="O324" s="22"/>
      <c r="P324" s="22"/>
      <c r="Q324" s="22"/>
      <c r="R324" s="62"/>
      <c r="S324" s="22"/>
    </row>
    <row r="325" spans="14:19">
      <c r="N325" s="22"/>
      <c r="O325" s="22"/>
      <c r="P325" s="22"/>
      <c r="Q325" s="22"/>
      <c r="R325" s="62"/>
      <c r="S325" s="22"/>
    </row>
    <row r="326" spans="14:19">
      <c r="N326" s="22"/>
      <c r="O326" s="22"/>
      <c r="P326" s="22"/>
      <c r="Q326" s="22"/>
      <c r="R326" s="62"/>
      <c r="S326" s="22"/>
    </row>
    <row r="327" spans="14:19">
      <c r="N327" s="22"/>
      <c r="O327" s="22"/>
      <c r="P327" s="22"/>
      <c r="Q327" s="22"/>
      <c r="R327" s="62"/>
      <c r="S327" s="22"/>
    </row>
    <row r="328" spans="14:19">
      <c r="N328" s="22"/>
      <c r="O328" s="22"/>
      <c r="P328" s="22"/>
      <c r="Q328" s="22"/>
      <c r="R328" s="62"/>
      <c r="S328" s="22"/>
    </row>
    <row r="329" spans="14:19">
      <c r="N329" s="22"/>
      <c r="O329" s="22"/>
      <c r="P329" s="22"/>
      <c r="Q329" s="22"/>
      <c r="R329" s="62"/>
      <c r="S329" s="22"/>
    </row>
    <row r="330" spans="14:19">
      <c r="N330" s="22"/>
      <c r="O330" s="22"/>
      <c r="P330" s="22"/>
      <c r="Q330" s="22"/>
      <c r="R330" s="62"/>
      <c r="S330" s="22"/>
    </row>
    <row r="331" spans="14:19">
      <c r="N331" s="22"/>
      <c r="O331" s="22"/>
      <c r="P331" s="22"/>
      <c r="Q331" s="22"/>
      <c r="R331" s="62"/>
      <c r="S331" s="22"/>
    </row>
    <row r="332" spans="14:19">
      <c r="N332" s="22"/>
      <c r="O332" s="22"/>
      <c r="P332" s="22"/>
      <c r="Q332" s="22"/>
      <c r="R332" s="62"/>
      <c r="S332" s="22"/>
    </row>
    <row r="333" spans="14:19">
      <c r="N333" s="22"/>
      <c r="O333" s="22"/>
      <c r="P333" s="22"/>
      <c r="Q333" s="22"/>
      <c r="R333" s="62"/>
      <c r="S333" s="22"/>
    </row>
    <row r="334" spans="14:19">
      <c r="N334" s="22"/>
      <c r="O334" s="22"/>
      <c r="P334" s="22"/>
      <c r="Q334" s="22"/>
      <c r="R334" s="62"/>
      <c r="S334" s="22"/>
    </row>
    <row r="335" spans="14:19">
      <c r="N335" s="22"/>
      <c r="O335" s="22"/>
      <c r="P335" s="22"/>
      <c r="Q335" s="22"/>
      <c r="R335" s="62"/>
      <c r="S335" s="22"/>
    </row>
    <row r="336" spans="14:19">
      <c r="N336" s="22"/>
      <c r="O336" s="22"/>
      <c r="P336" s="22"/>
      <c r="Q336" s="22"/>
      <c r="R336" s="62"/>
      <c r="S336" s="22"/>
    </row>
    <row r="337" spans="14:19">
      <c r="N337" s="22"/>
      <c r="O337" s="22"/>
      <c r="P337" s="22"/>
      <c r="Q337" s="22"/>
      <c r="R337" s="62"/>
      <c r="S337" s="22"/>
    </row>
    <row r="338" spans="14:19">
      <c r="N338" s="22"/>
      <c r="O338" s="22"/>
      <c r="P338" s="22"/>
      <c r="Q338" s="22"/>
      <c r="R338" s="62"/>
      <c r="S338" s="22"/>
    </row>
    <row r="339" spans="14:19">
      <c r="N339" s="22"/>
      <c r="O339" s="22"/>
      <c r="P339" s="22"/>
      <c r="Q339" s="22"/>
      <c r="R339" s="62"/>
      <c r="S339" s="22"/>
    </row>
    <row r="340" spans="14:19">
      <c r="N340" s="22"/>
      <c r="O340" s="22"/>
      <c r="P340" s="22"/>
      <c r="Q340" s="22"/>
      <c r="R340" s="62"/>
      <c r="S340" s="22"/>
    </row>
    <row r="341" spans="14:19">
      <c r="N341" s="22"/>
      <c r="O341" s="22"/>
      <c r="P341" s="22"/>
      <c r="Q341" s="22"/>
      <c r="R341" s="62"/>
      <c r="S341" s="22"/>
    </row>
    <row r="342" spans="14:19">
      <c r="N342" s="22"/>
      <c r="O342" s="22"/>
      <c r="P342" s="22"/>
      <c r="Q342" s="22"/>
      <c r="R342" s="62"/>
      <c r="S342" s="22"/>
    </row>
    <row r="343" spans="14:19">
      <c r="N343" s="22"/>
      <c r="O343" s="22"/>
      <c r="P343" s="22"/>
      <c r="Q343" s="22"/>
      <c r="R343" s="62"/>
      <c r="S343" s="22"/>
    </row>
    <row r="344" spans="14:19">
      <c r="N344" s="22"/>
      <c r="O344" s="22"/>
      <c r="P344" s="22"/>
      <c r="Q344" s="22"/>
      <c r="R344" s="62"/>
      <c r="S344" s="22"/>
    </row>
    <row r="345" spans="14:19">
      <c r="N345" s="22"/>
      <c r="O345" s="22"/>
      <c r="P345" s="22"/>
      <c r="Q345" s="22"/>
      <c r="R345" s="62"/>
      <c r="S345" s="22"/>
    </row>
    <row r="346" spans="14:19">
      <c r="N346" s="22"/>
      <c r="O346" s="22"/>
      <c r="P346" s="22"/>
      <c r="Q346" s="22"/>
      <c r="R346" s="62"/>
      <c r="S346" s="22"/>
    </row>
    <row r="347" spans="14:19">
      <c r="N347" s="22"/>
      <c r="O347" s="22"/>
      <c r="P347" s="22"/>
      <c r="Q347" s="22"/>
      <c r="R347" s="62"/>
      <c r="S347" s="22"/>
    </row>
    <row r="348" spans="14:19">
      <c r="N348" s="22"/>
      <c r="O348" s="22"/>
      <c r="P348" s="22"/>
      <c r="Q348" s="22"/>
      <c r="R348" s="62"/>
      <c r="S348" s="22"/>
    </row>
    <row r="349" spans="14:19">
      <c r="N349" s="22"/>
      <c r="O349" s="22"/>
      <c r="P349" s="22"/>
      <c r="Q349" s="22"/>
      <c r="R349" s="62"/>
      <c r="S349" s="22"/>
    </row>
    <row r="350" spans="14:19">
      <c r="N350" s="22"/>
      <c r="O350" s="22"/>
      <c r="P350" s="22"/>
      <c r="Q350" s="22"/>
      <c r="R350" s="62"/>
      <c r="S350" s="22"/>
    </row>
    <row r="351" spans="14:19">
      <c r="N351" s="22"/>
      <c r="O351" s="22"/>
      <c r="P351" s="22"/>
      <c r="Q351" s="22"/>
      <c r="R351" s="62"/>
      <c r="S351" s="22"/>
    </row>
    <row r="352" spans="14:19">
      <c r="N352" s="22"/>
      <c r="O352" s="22"/>
      <c r="P352" s="22"/>
      <c r="Q352" s="22"/>
      <c r="R352" s="62"/>
      <c r="S352" s="22"/>
    </row>
    <row r="353" spans="14:19">
      <c r="N353" s="22"/>
      <c r="O353" s="22"/>
      <c r="P353" s="22"/>
      <c r="Q353" s="22"/>
      <c r="R353" s="62"/>
      <c r="S353" s="22"/>
    </row>
    <row r="354" spans="14:19">
      <c r="N354" s="22"/>
      <c r="O354" s="22"/>
      <c r="P354" s="22"/>
      <c r="Q354" s="22"/>
      <c r="R354" s="62"/>
      <c r="S354" s="22"/>
    </row>
    <row r="355" spans="14:19">
      <c r="N355" s="22"/>
      <c r="O355" s="22"/>
      <c r="P355" s="22"/>
      <c r="Q355" s="22"/>
      <c r="R355" s="62"/>
      <c r="S355" s="22"/>
    </row>
    <row r="356" spans="14:19">
      <c r="N356" s="22"/>
      <c r="O356" s="22"/>
      <c r="P356" s="22"/>
      <c r="Q356" s="22"/>
      <c r="R356" s="62"/>
      <c r="S356" s="22"/>
    </row>
    <row r="357" spans="14:19">
      <c r="N357" s="22"/>
      <c r="O357" s="22"/>
      <c r="P357" s="22"/>
      <c r="Q357" s="22"/>
      <c r="R357" s="62"/>
      <c r="S357" s="22"/>
    </row>
    <row r="358" spans="14:19">
      <c r="N358" s="22"/>
      <c r="O358" s="22"/>
      <c r="P358" s="22"/>
      <c r="Q358" s="22"/>
      <c r="R358" s="62"/>
      <c r="S358" s="22"/>
    </row>
    <row r="359" spans="14:19">
      <c r="N359" s="22"/>
      <c r="O359" s="22"/>
      <c r="P359" s="22"/>
      <c r="Q359" s="22"/>
      <c r="R359" s="62"/>
      <c r="S359" s="22"/>
    </row>
    <row r="360" spans="14:19">
      <c r="N360" s="22"/>
      <c r="O360" s="22"/>
      <c r="P360" s="22"/>
      <c r="Q360" s="22"/>
      <c r="R360" s="62"/>
      <c r="S360" s="22"/>
    </row>
    <row r="361" spans="14:19">
      <c r="N361" s="22"/>
      <c r="O361" s="22"/>
      <c r="P361" s="22"/>
      <c r="Q361" s="22"/>
      <c r="R361" s="62"/>
      <c r="S361" s="22"/>
    </row>
    <row r="362" spans="14:19">
      <c r="N362" s="22"/>
      <c r="O362" s="22"/>
      <c r="P362" s="22"/>
      <c r="Q362" s="22"/>
      <c r="R362" s="62"/>
      <c r="S362" s="22"/>
    </row>
    <row r="363" spans="14:19">
      <c r="N363" s="22"/>
      <c r="O363" s="22"/>
      <c r="P363" s="22"/>
      <c r="Q363" s="22"/>
      <c r="R363" s="62"/>
      <c r="S363" s="22"/>
    </row>
    <row r="364" spans="14:19">
      <c r="N364" s="22"/>
      <c r="O364" s="22"/>
      <c r="P364" s="22"/>
      <c r="Q364" s="22"/>
      <c r="R364" s="62"/>
      <c r="S364" s="22"/>
    </row>
    <row r="365" spans="14:19">
      <c r="N365" s="22"/>
      <c r="O365" s="22"/>
      <c r="P365" s="22"/>
      <c r="Q365" s="22"/>
      <c r="R365" s="62"/>
      <c r="S365" s="22"/>
    </row>
    <row r="366" spans="14:19">
      <c r="N366" s="22"/>
      <c r="O366" s="22"/>
      <c r="P366" s="22"/>
      <c r="Q366" s="22"/>
      <c r="R366" s="62"/>
      <c r="S366" s="22"/>
    </row>
    <row r="367" spans="14:19">
      <c r="N367" s="22"/>
      <c r="O367" s="22"/>
      <c r="P367" s="22"/>
      <c r="Q367" s="22"/>
      <c r="R367" s="62"/>
      <c r="S367" s="22"/>
    </row>
    <row r="368" spans="14:19">
      <c r="N368" s="22"/>
      <c r="O368" s="22"/>
      <c r="P368" s="22"/>
      <c r="Q368" s="22"/>
      <c r="R368" s="62"/>
      <c r="S368" s="22"/>
    </row>
    <row r="369" spans="14:19">
      <c r="N369" s="22"/>
      <c r="O369" s="22"/>
      <c r="P369" s="22"/>
      <c r="Q369" s="22"/>
      <c r="R369" s="62"/>
      <c r="S369" s="22"/>
    </row>
    <row r="370" spans="14:19">
      <c r="N370" s="22"/>
      <c r="O370" s="22"/>
      <c r="P370" s="22"/>
      <c r="Q370" s="22"/>
      <c r="R370" s="62"/>
      <c r="S370" s="22"/>
    </row>
    <row r="371" spans="14:19">
      <c r="N371" s="22"/>
      <c r="O371" s="22"/>
      <c r="P371" s="22"/>
      <c r="Q371" s="22"/>
      <c r="R371" s="62"/>
      <c r="S371" s="22"/>
    </row>
    <row r="372" spans="14:19">
      <c r="N372" s="22"/>
      <c r="O372" s="22"/>
      <c r="P372" s="22"/>
      <c r="Q372" s="22"/>
      <c r="R372" s="62"/>
      <c r="S372" s="22"/>
    </row>
    <row r="373" spans="14:19">
      <c r="N373" s="22"/>
      <c r="O373" s="22"/>
      <c r="P373" s="22"/>
      <c r="Q373" s="22"/>
      <c r="R373" s="62"/>
      <c r="S373" s="22"/>
    </row>
    <row r="374" spans="14:19">
      <c r="N374" s="22"/>
      <c r="O374" s="22"/>
      <c r="P374" s="22"/>
      <c r="Q374" s="22"/>
      <c r="R374" s="62"/>
      <c r="S374" s="22"/>
    </row>
    <row r="375" spans="14:19">
      <c r="N375" s="22"/>
      <c r="O375" s="22"/>
      <c r="P375" s="22"/>
      <c r="Q375" s="22"/>
      <c r="R375" s="62"/>
      <c r="S375" s="22"/>
    </row>
    <row r="376" spans="14:19">
      <c r="N376" s="22"/>
      <c r="O376" s="22"/>
      <c r="P376" s="22"/>
      <c r="Q376" s="22"/>
      <c r="R376" s="62"/>
      <c r="S376" s="22"/>
    </row>
    <row r="377" spans="14:19">
      <c r="N377" s="22"/>
      <c r="O377" s="22"/>
      <c r="P377" s="22"/>
      <c r="Q377" s="22"/>
      <c r="R377" s="62"/>
      <c r="S377" s="22"/>
    </row>
    <row r="378" spans="14:19">
      <c r="N378" s="22"/>
      <c r="O378" s="22"/>
      <c r="P378" s="22"/>
      <c r="Q378" s="22"/>
      <c r="R378" s="62"/>
      <c r="S378" s="22"/>
    </row>
    <row r="379" spans="14:19">
      <c r="N379" s="22"/>
      <c r="O379" s="22"/>
      <c r="P379" s="22"/>
      <c r="Q379" s="22"/>
      <c r="R379" s="62"/>
      <c r="S379" s="22"/>
    </row>
    <row r="380" spans="14:19">
      <c r="N380" s="22"/>
      <c r="O380" s="22"/>
      <c r="P380" s="22"/>
      <c r="Q380" s="22"/>
      <c r="R380" s="62"/>
      <c r="S380" s="22"/>
    </row>
    <row r="381" spans="14:19">
      <c r="N381" s="22"/>
      <c r="O381" s="22"/>
      <c r="P381" s="22"/>
      <c r="Q381" s="22"/>
      <c r="R381" s="62"/>
      <c r="S381" s="22"/>
    </row>
    <row r="382" spans="14:19">
      <c r="N382" s="22"/>
      <c r="O382" s="22"/>
      <c r="P382" s="22"/>
      <c r="Q382" s="22"/>
      <c r="R382" s="62"/>
      <c r="S382" s="22"/>
    </row>
    <row r="383" spans="14:19">
      <c r="N383" s="22"/>
      <c r="O383" s="22"/>
      <c r="P383" s="22"/>
      <c r="Q383" s="22"/>
      <c r="R383" s="62"/>
      <c r="S383" s="22"/>
    </row>
    <row r="384" spans="14:19">
      <c r="N384" s="22"/>
      <c r="O384" s="22"/>
      <c r="P384" s="22"/>
      <c r="Q384" s="22"/>
      <c r="R384" s="62"/>
      <c r="S384" s="22"/>
    </row>
    <row r="385" spans="14:19">
      <c r="N385" s="22"/>
      <c r="O385" s="22"/>
      <c r="P385" s="22"/>
      <c r="Q385" s="22"/>
      <c r="R385" s="62"/>
      <c r="S385" s="22"/>
    </row>
    <row r="386" spans="14:19">
      <c r="N386" s="22"/>
      <c r="O386" s="22"/>
      <c r="P386" s="22"/>
      <c r="Q386" s="22"/>
      <c r="R386" s="62"/>
      <c r="S386" s="22"/>
    </row>
    <row r="387" spans="14:19">
      <c r="N387" s="22"/>
      <c r="O387" s="22"/>
      <c r="P387" s="22"/>
      <c r="Q387" s="22"/>
      <c r="R387" s="62"/>
      <c r="S387" s="22"/>
    </row>
    <row r="388" spans="14:19">
      <c r="N388" s="22"/>
      <c r="O388" s="22"/>
      <c r="P388" s="22"/>
      <c r="Q388" s="22"/>
      <c r="R388" s="62"/>
      <c r="S388" s="22"/>
    </row>
    <row r="389" spans="14:19">
      <c r="N389" s="22"/>
      <c r="O389" s="22"/>
      <c r="P389" s="22"/>
      <c r="Q389" s="22"/>
      <c r="R389" s="62"/>
      <c r="S389" s="22"/>
    </row>
    <row r="390" spans="14:19">
      <c r="N390" s="22"/>
      <c r="O390" s="22"/>
      <c r="P390" s="22"/>
      <c r="Q390" s="22"/>
      <c r="R390" s="62"/>
      <c r="S390" s="22"/>
    </row>
    <row r="391" spans="14:19">
      <c r="N391" s="22"/>
      <c r="O391" s="22"/>
      <c r="P391" s="22"/>
      <c r="Q391" s="22"/>
      <c r="R391" s="62"/>
      <c r="S391" s="22"/>
    </row>
    <row r="392" spans="14:19">
      <c r="N392" s="22"/>
      <c r="O392" s="22"/>
      <c r="P392" s="22"/>
      <c r="Q392" s="22"/>
      <c r="R392" s="62"/>
      <c r="S392" s="22"/>
    </row>
    <row r="393" spans="14:19">
      <c r="N393" s="22"/>
      <c r="O393" s="22"/>
      <c r="P393" s="22"/>
      <c r="Q393" s="22"/>
      <c r="R393" s="62"/>
      <c r="S393" s="22"/>
    </row>
    <row r="394" spans="14:19">
      <c r="N394" s="22"/>
      <c r="O394" s="22"/>
      <c r="P394" s="22"/>
      <c r="Q394" s="22"/>
      <c r="R394" s="62"/>
      <c r="S394" s="22"/>
    </row>
    <row r="395" spans="14:19">
      <c r="N395" s="22"/>
      <c r="O395" s="22"/>
      <c r="P395" s="22"/>
      <c r="Q395" s="22"/>
      <c r="R395" s="62"/>
      <c r="S395" s="22"/>
    </row>
    <row r="396" spans="14:19">
      <c r="N396" s="22"/>
      <c r="O396" s="22"/>
      <c r="P396" s="22"/>
      <c r="Q396" s="22"/>
      <c r="R396" s="62"/>
      <c r="S396" s="22"/>
    </row>
    <row r="397" spans="14:19">
      <c r="N397" s="22"/>
      <c r="O397" s="22"/>
      <c r="P397" s="22"/>
      <c r="Q397" s="22"/>
      <c r="R397" s="62"/>
      <c r="S397" s="22"/>
    </row>
    <row r="398" spans="14:19">
      <c r="N398" s="22"/>
      <c r="O398" s="22"/>
      <c r="P398" s="22"/>
      <c r="Q398" s="22"/>
      <c r="R398" s="62"/>
      <c r="S398" s="22"/>
    </row>
    <row r="399" spans="14:19">
      <c r="N399" s="22"/>
      <c r="O399" s="22"/>
      <c r="P399" s="22"/>
      <c r="Q399" s="22"/>
      <c r="R399" s="62"/>
      <c r="S399" s="22"/>
    </row>
    <row r="400" spans="14:19">
      <c r="N400" s="22"/>
      <c r="O400" s="22"/>
      <c r="P400" s="22"/>
      <c r="Q400" s="22"/>
      <c r="R400" s="62"/>
      <c r="S400" s="22"/>
    </row>
    <row r="401" spans="14:19">
      <c r="N401" s="22"/>
      <c r="O401" s="22"/>
      <c r="P401" s="22"/>
      <c r="Q401" s="22"/>
      <c r="R401" s="62"/>
      <c r="S401" s="22"/>
    </row>
    <row r="402" spans="14:19">
      <c r="N402" s="22"/>
      <c r="O402" s="22"/>
      <c r="P402" s="22"/>
      <c r="Q402" s="22"/>
      <c r="R402" s="62"/>
      <c r="S402" s="22"/>
    </row>
    <row r="403" spans="14:19">
      <c r="N403" s="22"/>
      <c r="O403" s="22"/>
      <c r="P403" s="22"/>
      <c r="Q403" s="22"/>
      <c r="R403" s="62"/>
      <c r="S403" s="22"/>
    </row>
    <row r="404" spans="14:19">
      <c r="N404" s="22"/>
      <c r="O404" s="22"/>
      <c r="P404" s="22"/>
      <c r="Q404" s="22"/>
      <c r="R404" s="62"/>
      <c r="S404" s="22"/>
    </row>
    <row r="405" spans="14:19">
      <c r="N405" s="22"/>
      <c r="O405" s="22"/>
      <c r="P405" s="22"/>
      <c r="Q405" s="22"/>
      <c r="R405" s="62"/>
      <c r="S405" s="22"/>
    </row>
    <row r="406" spans="14:19">
      <c r="N406" s="22"/>
      <c r="O406" s="22"/>
      <c r="P406" s="22"/>
      <c r="Q406" s="22"/>
      <c r="R406" s="62"/>
      <c r="S406" s="22"/>
    </row>
    <row r="407" spans="14:19">
      <c r="N407" s="22"/>
      <c r="O407" s="22"/>
      <c r="P407" s="22"/>
      <c r="Q407" s="22"/>
      <c r="R407" s="62"/>
      <c r="S407" s="22"/>
    </row>
    <row r="408" spans="14:19">
      <c r="N408" s="22"/>
      <c r="O408" s="22"/>
      <c r="P408" s="22"/>
      <c r="Q408" s="22"/>
      <c r="R408" s="62"/>
      <c r="S408" s="22"/>
    </row>
    <row r="409" spans="14:19">
      <c r="N409" s="22"/>
      <c r="O409" s="22"/>
      <c r="P409" s="22"/>
      <c r="Q409" s="22"/>
      <c r="R409" s="62"/>
      <c r="S409" s="22"/>
    </row>
    <row r="410" spans="14:19">
      <c r="N410" s="22"/>
      <c r="O410" s="22"/>
      <c r="P410" s="22"/>
      <c r="Q410" s="22"/>
      <c r="R410" s="62"/>
      <c r="S410" s="22"/>
    </row>
    <row r="411" spans="14:19">
      <c r="N411" s="22"/>
      <c r="O411" s="22"/>
      <c r="P411" s="22"/>
      <c r="Q411" s="22"/>
      <c r="R411" s="62"/>
      <c r="S411" s="22"/>
    </row>
    <row r="412" spans="14:19">
      <c r="N412" s="22"/>
      <c r="O412" s="22"/>
      <c r="P412" s="22"/>
      <c r="Q412" s="22"/>
      <c r="R412" s="62"/>
      <c r="S412" s="22"/>
    </row>
    <row r="413" spans="14:19">
      <c r="N413" s="22"/>
      <c r="O413" s="22"/>
      <c r="P413" s="22"/>
      <c r="Q413" s="22"/>
      <c r="R413" s="62"/>
      <c r="S413" s="22"/>
    </row>
    <row r="414" spans="14:19">
      <c r="N414" s="22"/>
      <c r="O414" s="22"/>
      <c r="P414" s="22"/>
      <c r="Q414" s="22"/>
      <c r="R414" s="62"/>
      <c r="S414" s="22"/>
    </row>
    <row r="415" spans="14:19">
      <c r="N415" s="22"/>
      <c r="O415" s="22"/>
      <c r="P415" s="22"/>
      <c r="Q415" s="22"/>
      <c r="R415" s="62"/>
      <c r="S415" s="22"/>
    </row>
    <row r="416" spans="14:19">
      <c r="N416" s="22"/>
      <c r="O416" s="22"/>
      <c r="P416" s="22"/>
      <c r="Q416" s="22"/>
      <c r="R416" s="62"/>
      <c r="S416" s="22"/>
    </row>
    <row r="417" spans="14:19">
      <c r="N417" s="22"/>
      <c r="O417" s="22"/>
      <c r="P417" s="22"/>
      <c r="Q417" s="22"/>
      <c r="R417" s="62"/>
      <c r="S417" s="22"/>
    </row>
    <row r="418" spans="14:19">
      <c r="N418" s="22"/>
      <c r="O418" s="22"/>
      <c r="P418" s="22"/>
      <c r="Q418" s="22"/>
      <c r="R418" s="62"/>
      <c r="S418" s="22"/>
    </row>
    <row r="419" spans="14:19">
      <c r="N419" s="22"/>
      <c r="O419" s="22"/>
      <c r="P419" s="22"/>
      <c r="Q419" s="22"/>
      <c r="R419" s="62"/>
      <c r="S419" s="22"/>
    </row>
    <row r="420" spans="14:19">
      <c r="N420" s="22"/>
      <c r="O420" s="22"/>
      <c r="P420" s="22"/>
      <c r="Q420" s="22"/>
      <c r="R420" s="62"/>
      <c r="S420" s="22"/>
    </row>
    <row r="421" spans="14:19">
      <c r="N421" s="22"/>
      <c r="O421" s="22"/>
      <c r="P421" s="22"/>
      <c r="Q421" s="22"/>
      <c r="R421" s="62"/>
      <c r="S421" s="22"/>
    </row>
    <row r="422" spans="14:19">
      <c r="N422" s="22"/>
      <c r="O422" s="22"/>
      <c r="P422" s="22"/>
      <c r="Q422" s="22"/>
      <c r="R422" s="62"/>
      <c r="S422" s="22"/>
    </row>
    <row r="423" spans="14:19">
      <c r="N423" s="22"/>
      <c r="O423" s="22"/>
      <c r="P423" s="22"/>
      <c r="Q423" s="22"/>
      <c r="R423" s="62"/>
      <c r="S423" s="22"/>
    </row>
    <row r="424" spans="14:19">
      <c r="N424" s="22"/>
      <c r="O424" s="22"/>
      <c r="P424" s="22"/>
      <c r="Q424" s="22"/>
      <c r="R424" s="62"/>
      <c r="S424" s="22"/>
    </row>
    <row r="425" spans="14:19">
      <c r="N425" s="22"/>
      <c r="O425" s="22"/>
      <c r="P425" s="22"/>
      <c r="Q425" s="22"/>
      <c r="R425" s="62"/>
      <c r="S425" s="22"/>
    </row>
    <row r="426" spans="14:19">
      <c r="N426" s="22"/>
      <c r="O426" s="22"/>
      <c r="P426" s="22"/>
      <c r="Q426" s="22"/>
      <c r="R426" s="62"/>
      <c r="S426" s="22"/>
    </row>
    <row r="427" spans="14:19">
      <c r="N427" s="22"/>
      <c r="O427" s="22"/>
      <c r="P427" s="22"/>
      <c r="Q427" s="22"/>
      <c r="R427" s="62"/>
      <c r="S427" s="22"/>
    </row>
    <row r="428" spans="14:19">
      <c r="N428" s="22"/>
      <c r="O428" s="22"/>
      <c r="P428" s="22"/>
      <c r="Q428" s="22"/>
      <c r="R428" s="62"/>
      <c r="S428" s="22"/>
    </row>
    <row r="429" spans="14:19">
      <c r="N429" s="22"/>
      <c r="O429" s="22"/>
      <c r="P429" s="22"/>
      <c r="Q429" s="22"/>
      <c r="R429" s="62"/>
      <c r="S429" s="22"/>
    </row>
    <row r="430" spans="14:19">
      <c r="N430" s="22"/>
      <c r="O430" s="22"/>
      <c r="P430" s="22"/>
      <c r="Q430" s="22"/>
      <c r="R430" s="62"/>
      <c r="S430" s="22"/>
    </row>
    <row r="431" spans="14:19">
      <c r="N431" s="22"/>
      <c r="O431" s="22"/>
      <c r="P431" s="22"/>
      <c r="Q431" s="22"/>
      <c r="R431" s="62"/>
      <c r="S431" s="22"/>
    </row>
    <row r="432" spans="14:19">
      <c r="N432" s="22"/>
      <c r="O432" s="22"/>
      <c r="P432" s="22"/>
      <c r="Q432" s="22"/>
      <c r="R432" s="62"/>
      <c r="S432" s="22"/>
    </row>
    <row r="433" spans="14:19">
      <c r="N433" s="22"/>
      <c r="O433" s="22"/>
      <c r="P433" s="22"/>
      <c r="Q433" s="22"/>
      <c r="R433" s="62"/>
      <c r="S433" s="22"/>
    </row>
    <row r="434" spans="14:19">
      <c r="N434" s="22"/>
      <c r="O434" s="22"/>
      <c r="P434" s="22"/>
      <c r="Q434" s="22"/>
      <c r="R434" s="62"/>
      <c r="S434" s="22"/>
    </row>
    <row r="435" spans="14:19">
      <c r="N435" s="22"/>
      <c r="O435" s="22"/>
      <c r="P435" s="22"/>
      <c r="Q435" s="22"/>
      <c r="R435" s="62"/>
      <c r="S435" s="22"/>
    </row>
    <row r="436" spans="14:19">
      <c r="N436" s="22"/>
      <c r="O436" s="22"/>
      <c r="P436" s="22"/>
      <c r="Q436" s="22"/>
      <c r="R436" s="62"/>
      <c r="S436" s="22"/>
    </row>
    <row r="437" spans="14:19">
      <c r="N437" s="22"/>
      <c r="O437" s="22"/>
      <c r="P437" s="22"/>
      <c r="Q437" s="22"/>
      <c r="R437" s="62"/>
      <c r="S437" s="22"/>
    </row>
    <row r="438" spans="14:19">
      <c r="N438" s="22"/>
      <c r="O438" s="22"/>
      <c r="P438" s="22"/>
      <c r="Q438" s="22"/>
      <c r="R438" s="62"/>
      <c r="S438" s="22"/>
    </row>
    <row r="439" spans="14:19">
      <c r="N439" s="22"/>
      <c r="O439" s="22"/>
      <c r="P439" s="22"/>
      <c r="Q439" s="22"/>
      <c r="R439" s="62"/>
      <c r="S439" s="22"/>
    </row>
    <row r="440" spans="14:19">
      <c r="N440" s="22"/>
      <c r="O440" s="22"/>
      <c r="P440" s="22"/>
      <c r="Q440" s="22"/>
      <c r="R440" s="62"/>
      <c r="S440" s="22"/>
    </row>
    <row r="441" spans="14:19">
      <c r="N441" s="22"/>
      <c r="O441" s="22"/>
      <c r="P441" s="22"/>
      <c r="Q441" s="22"/>
      <c r="R441" s="62"/>
      <c r="S441" s="22"/>
    </row>
    <row r="442" spans="14:19">
      <c r="N442" s="22"/>
      <c r="O442" s="22"/>
      <c r="P442" s="22"/>
      <c r="Q442" s="22"/>
      <c r="R442" s="62"/>
      <c r="S442" s="22"/>
    </row>
    <row r="443" spans="14:19">
      <c r="N443" s="22"/>
      <c r="O443" s="22"/>
      <c r="P443" s="22"/>
      <c r="Q443" s="22"/>
      <c r="R443" s="62"/>
      <c r="S443" s="22"/>
    </row>
    <row r="444" spans="14:19">
      <c r="N444" s="22"/>
      <c r="O444" s="22"/>
      <c r="P444" s="22"/>
      <c r="Q444" s="22"/>
      <c r="R444" s="62"/>
      <c r="S444" s="22"/>
    </row>
    <row r="445" spans="14:19">
      <c r="N445" s="22"/>
      <c r="O445" s="22"/>
      <c r="P445" s="22"/>
      <c r="Q445" s="22"/>
      <c r="R445" s="62"/>
      <c r="S445" s="22"/>
    </row>
    <row r="446" spans="14:19">
      <c r="N446" s="22"/>
      <c r="O446" s="22"/>
      <c r="P446" s="22"/>
      <c r="Q446" s="22"/>
      <c r="R446" s="62"/>
      <c r="S446" s="22"/>
    </row>
    <row r="447" spans="14:19">
      <c r="N447" s="22"/>
      <c r="O447" s="22"/>
      <c r="P447" s="22"/>
      <c r="Q447" s="22"/>
      <c r="R447" s="62"/>
      <c r="S447" s="22"/>
    </row>
    <row r="448" spans="14:19">
      <c r="N448" s="22"/>
      <c r="O448" s="22"/>
      <c r="P448" s="22"/>
      <c r="Q448" s="22"/>
      <c r="R448" s="62"/>
      <c r="S448" s="22"/>
    </row>
    <row r="449" spans="14:19">
      <c r="N449" s="22"/>
      <c r="O449" s="22"/>
      <c r="P449" s="22"/>
      <c r="Q449" s="22"/>
      <c r="R449" s="62"/>
      <c r="S449" s="22"/>
    </row>
    <row r="450" spans="14:19">
      <c r="N450" s="22"/>
      <c r="O450" s="22"/>
      <c r="P450" s="22"/>
      <c r="Q450" s="22"/>
      <c r="R450" s="62"/>
      <c r="S450" s="22"/>
    </row>
    <row r="451" spans="14:19">
      <c r="N451" s="22"/>
      <c r="O451" s="22"/>
      <c r="P451" s="22"/>
      <c r="Q451" s="22"/>
      <c r="R451" s="62"/>
      <c r="S451" s="22"/>
    </row>
    <row r="452" spans="14:19">
      <c r="N452" s="22"/>
      <c r="O452" s="22"/>
      <c r="P452" s="22"/>
      <c r="Q452" s="22"/>
      <c r="R452" s="62"/>
      <c r="S452" s="22"/>
    </row>
    <row r="453" spans="14:19">
      <c r="N453" s="22"/>
      <c r="O453" s="22"/>
      <c r="P453" s="22"/>
      <c r="Q453" s="22"/>
      <c r="R453" s="62"/>
      <c r="S453" s="22"/>
    </row>
    <row r="454" spans="14:19">
      <c r="N454" s="22"/>
      <c r="O454" s="22"/>
      <c r="P454" s="22"/>
      <c r="Q454" s="22"/>
      <c r="R454" s="62"/>
      <c r="S454" s="22"/>
    </row>
    <row r="455" spans="14:19">
      <c r="N455" s="22"/>
      <c r="O455" s="22"/>
      <c r="P455" s="22"/>
      <c r="Q455" s="22"/>
      <c r="R455" s="62"/>
      <c r="S455" s="22"/>
    </row>
    <row r="456" spans="14:19">
      <c r="N456" s="22"/>
      <c r="O456" s="22"/>
      <c r="P456" s="22"/>
      <c r="Q456" s="22"/>
      <c r="R456" s="62"/>
      <c r="S456" s="22"/>
    </row>
    <row r="457" spans="14:19">
      <c r="N457" s="22"/>
      <c r="O457" s="22"/>
      <c r="P457" s="22"/>
      <c r="Q457" s="22"/>
      <c r="R457" s="62"/>
      <c r="S457" s="22"/>
    </row>
    <row r="458" spans="14:19">
      <c r="N458" s="22"/>
      <c r="O458" s="22"/>
      <c r="P458" s="22"/>
      <c r="Q458" s="22"/>
      <c r="R458" s="62"/>
      <c r="S458" s="22"/>
    </row>
    <row r="459" spans="14:19">
      <c r="N459" s="22"/>
      <c r="O459" s="22"/>
      <c r="P459" s="22"/>
      <c r="Q459" s="22"/>
      <c r="R459" s="62"/>
      <c r="S459" s="22"/>
    </row>
    <row r="460" spans="14:19">
      <c r="N460" s="22"/>
      <c r="O460" s="22"/>
      <c r="P460" s="22"/>
      <c r="Q460" s="22"/>
      <c r="R460" s="62"/>
      <c r="S460" s="22"/>
    </row>
    <row r="461" spans="14:19">
      <c r="N461" s="22"/>
      <c r="O461" s="22"/>
      <c r="P461" s="22"/>
      <c r="Q461" s="22"/>
      <c r="R461" s="62"/>
      <c r="S461" s="22"/>
    </row>
    <row r="462" spans="14:19">
      <c r="N462" s="22"/>
      <c r="O462" s="22"/>
      <c r="P462" s="22"/>
      <c r="Q462" s="22"/>
      <c r="R462" s="62"/>
      <c r="S462" s="22"/>
    </row>
    <row r="463" spans="14:19">
      <c r="N463" s="22"/>
      <c r="O463" s="22"/>
      <c r="P463" s="22"/>
      <c r="Q463" s="22"/>
      <c r="R463" s="62"/>
      <c r="S463" s="22"/>
    </row>
    <row r="464" spans="14:19">
      <c r="N464" s="22"/>
      <c r="O464" s="22"/>
      <c r="P464" s="22"/>
      <c r="Q464" s="22"/>
      <c r="R464" s="62"/>
      <c r="S464" s="22"/>
    </row>
    <row r="465" spans="14:19">
      <c r="N465" s="22"/>
      <c r="O465" s="22"/>
      <c r="P465" s="22"/>
      <c r="Q465" s="22"/>
      <c r="R465" s="62"/>
      <c r="S465" s="22"/>
    </row>
    <row r="466" spans="14:19">
      <c r="N466" s="22"/>
      <c r="O466" s="22"/>
      <c r="P466" s="22"/>
      <c r="Q466" s="22"/>
      <c r="R466" s="62"/>
      <c r="S466" s="22"/>
    </row>
    <row r="467" spans="14:19">
      <c r="N467" s="22"/>
      <c r="O467" s="22"/>
      <c r="P467" s="22"/>
      <c r="Q467" s="22"/>
      <c r="R467" s="62"/>
      <c r="S467" s="22"/>
    </row>
    <row r="468" spans="14:19">
      <c r="N468" s="22"/>
      <c r="O468" s="22"/>
      <c r="P468" s="22"/>
      <c r="Q468" s="22"/>
      <c r="R468" s="62"/>
      <c r="S468" s="22"/>
    </row>
    <row r="469" spans="14:19">
      <c r="N469" s="22"/>
      <c r="O469" s="22"/>
      <c r="P469" s="22"/>
      <c r="Q469" s="22"/>
      <c r="R469" s="62"/>
      <c r="S469" s="22"/>
    </row>
    <row r="470" spans="14:19">
      <c r="N470" s="22"/>
      <c r="O470" s="22"/>
      <c r="P470" s="22"/>
      <c r="Q470" s="22"/>
      <c r="R470" s="62"/>
      <c r="S470" s="22"/>
    </row>
    <row r="471" spans="14:19">
      <c r="N471" s="22"/>
      <c r="O471" s="22"/>
      <c r="P471" s="22"/>
      <c r="Q471" s="22"/>
      <c r="R471" s="62"/>
      <c r="S471" s="22"/>
    </row>
    <row r="472" spans="14:19">
      <c r="N472" s="22"/>
      <c r="O472" s="22"/>
      <c r="P472" s="22"/>
      <c r="Q472" s="22"/>
      <c r="R472" s="62"/>
      <c r="S472" s="22"/>
    </row>
    <row r="473" spans="14:19">
      <c r="N473" s="22"/>
      <c r="O473" s="22"/>
      <c r="P473" s="22"/>
      <c r="Q473" s="22"/>
      <c r="R473" s="62"/>
      <c r="S473" s="22"/>
    </row>
    <row r="474" spans="14:19">
      <c r="N474" s="22"/>
      <c r="O474" s="22"/>
      <c r="P474" s="22"/>
      <c r="Q474" s="22"/>
      <c r="R474" s="62"/>
      <c r="S474" s="22"/>
    </row>
    <row r="475" spans="14:19">
      <c r="N475" s="22"/>
      <c r="O475" s="22"/>
      <c r="P475" s="22"/>
      <c r="Q475" s="22"/>
      <c r="R475" s="62"/>
      <c r="S475" s="22"/>
    </row>
    <row r="476" spans="14:19">
      <c r="N476" s="22"/>
      <c r="O476" s="22"/>
      <c r="P476" s="22"/>
      <c r="Q476" s="22"/>
      <c r="R476" s="62"/>
      <c r="S476" s="22"/>
    </row>
    <row r="477" spans="14:19">
      <c r="N477" s="22"/>
      <c r="O477" s="22"/>
      <c r="P477" s="22"/>
      <c r="Q477" s="22"/>
      <c r="R477" s="62"/>
      <c r="S477" s="22"/>
    </row>
    <row r="478" spans="14:19">
      <c r="N478" s="22"/>
      <c r="O478" s="22"/>
      <c r="P478" s="22"/>
      <c r="Q478" s="22"/>
      <c r="R478" s="62"/>
      <c r="S478" s="22"/>
    </row>
    <row r="479" spans="14:19">
      <c r="N479" s="22"/>
      <c r="O479" s="22"/>
      <c r="P479" s="22"/>
      <c r="Q479" s="22"/>
      <c r="R479" s="62"/>
      <c r="S479" s="22"/>
    </row>
    <row r="480" spans="14:19">
      <c r="N480" s="22"/>
      <c r="O480" s="22"/>
      <c r="P480" s="22"/>
      <c r="Q480" s="22"/>
      <c r="R480" s="62"/>
      <c r="S480" s="22"/>
    </row>
    <row r="481" spans="14:19">
      <c r="N481" s="22"/>
      <c r="O481" s="22"/>
      <c r="P481" s="22"/>
      <c r="Q481" s="22"/>
      <c r="R481" s="62"/>
      <c r="S481" s="22"/>
    </row>
    <row r="482" spans="14:19">
      <c r="N482" s="22"/>
      <c r="O482" s="22"/>
      <c r="P482" s="22"/>
      <c r="Q482" s="22"/>
      <c r="R482" s="62"/>
      <c r="S482" s="22"/>
    </row>
    <row r="483" spans="14:19">
      <c r="N483" s="22"/>
      <c r="O483" s="22"/>
      <c r="P483" s="22"/>
      <c r="Q483" s="22"/>
      <c r="R483" s="62"/>
      <c r="S483" s="22"/>
    </row>
    <row r="484" spans="14:19">
      <c r="N484" s="22"/>
      <c r="O484" s="22"/>
      <c r="P484" s="22"/>
      <c r="Q484" s="22"/>
      <c r="R484" s="62"/>
      <c r="S484" s="22"/>
    </row>
    <row r="485" spans="14:19">
      <c r="N485" s="22"/>
      <c r="O485" s="22"/>
      <c r="P485" s="22"/>
      <c r="Q485" s="22"/>
      <c r="R485" s="62"/>
      <c r="S485" s="22"/>
    </row>
    <row r="486" spans="14:19">
      <c r="N486" s="22"/>
      <c r="O486" s="22"/>
      <c r="P486" s="22"/>
      <c r="Q486" s="22"/>
      <c r="R486" s="62"/>
      <c r="S486" s="22"/>
    </row>
    <row r="487" spans="14:19">
      <c r="N487" s="22"/>
      <c r="O487" s="22"/>
      <c r="P487" s="22"/>
      <c r="Q487" s="22"/>
      <c r="R487" s="62"/>
      <c r="S487" s="22"/>
    </row>
    <row r="488" spans="14:19">
      <c r="N488" s="22"/>
      <c r="O488" s="22"/>
      <c r="P488" s="22"/>
      <c r="Q488" s="22"/>
      <c r="R488" s="62"/>
      <c r="S488" s="22"/>
    </row>
    <row r="489" spans="14:19">
      <c r="N489" s="22"/>
      <c r="O489" s="22"/>
      <c r="P489" s="22"/>
      <c r="Q489" s="22"/>
      <c r="R489" s="62"/>
      <c r="S489" s="22"/>
    </row>
    <row r="490" spans="14:19">
      <c r="N490" s="22"/>
      <c r="O490" s="22"/>
      <c r="P490" s="22"/>
      <c r="Q490" s="22"/>
      <c r="R490" s="62"/>
      <c r="S490" s="22"/>
    </row>
    <row r="491" spans="14:19">
      <c r="N491" s="22"/>
      <c r="O491" s="22"/>
      <c r="P491" s="22"/>
      <c r="Q491" s="22"/>
      <c r="R491" s="62"/>
      <c r="S491" s="22"/>
    </row>
    <row r="492" spans="14:19">
      <c r="N492" s="22"/>
      <c r="O492" s="22"/>
      <c r="P492" s="22"/>
      <c r="Q492" s="22"/>
      <c r="R492" s="62"/>
      <c r="S492" s="22"/>
    </row>
    <row r="493" spans="14:19">
      <c r="N493" s="22"/>
      <c r="O493" s="22"/>
      <c r="P493" s="22"/>
      <c r="Q493" s="22"/>
      <c r="R493" s="62"/>
      <c r="S493" s="22"/>
    </row>
    <row r="494" spans="14:19">
      <c r="N494" s="22"/>
      <c r="O494" s="22"/>
      <c r="P494" s="22"/>
      <c r="Q494" s="22"/>
      <c r="R494" s="62"/>
      <c r="S494" s="22"/>
    </row>
    <row r="495" spans="14:19">
      <c r="N495" s="22"/>
      <c r="O495" s="22"/>
      <c r="P495" s="22"/>
      <c r="Q495" s="22"/>
      <c r="R495" s="62"/>
      <c r="S495" s="22"/>
    </row>
    <row r="496" spans="14:19">
      <c r="N496" s="22"/>
      <c r="O496" s="22"/>
      <c r="P496" s="22"/>
      <c r="Q496" s="22"/>
      <c r="R496" s="62"/>
      <c r="S496" s="22"/>
    </row>
    <row r="497" spans="14:19">
      <c r="N497" s="22"/>
      <c r="O497" s="22"/>
      <c r="P497" s="22"/>
      <c r="Q497" s="22"/>
      <c r="R497" s="62"/>
      <c r="S497" s="22"/>
    </row>
    <row r="498" spans="14:19">
      <c r="N498" s="22"/>
      <c r="O498" s="22"/>
      <c r="P498" s="22"/>
      <c r="Q498" s="22"/>
      <c r="R498" s="62"/>
      <c r="S498" s="22"/>
    </row>
    <row r="499" spans="14:19">
      <c r="N499" s="22"/>
      <c r="O499" s="22"/>
      <c r="P499" s="22"/>
      <c r="Q499" s="22"/>
      <c r="R499" s="62"/>
      <c r="S499" s="22"/>
    </row>
    <row r="500" spans="14:19">
      <c r="N500" s="22"/>
      <c r="O500" s="22"/>
      <c r="P500" s="22"/>
      <c r="Q500" s="22"/>
      <c r="R500" s="62"/>
      <c r="S500" s="22"/>
    </row>
    <row r="501" spans="14:19">
      <c r="N501" s="22"/>
      <c r="O501" s="22"/>
      <c r="P501" s="22"/>
      <c r="Q501" s="22"/>
      <c r="R501" s="62"/>
      <c r="S501" s="22"/>
    </row>
    <row r="502" spans="14:19">
      <c r="N502" s="22"/>
      <c r="O502" s="22"/>
      <c r="P502" s="22"/>
      <c r="Q502" s="22"/>
      <c r="R502" s="62"/>
      <c r="S502" s="22"/>
    </row>
    <row r="503" spans="14:19">
      <c r="N503" s="22"/>
      <c r="O503" s="22"/>
      <c r="P503" s="22"/>
      <c r="Q503" s="22"/>
      <c r="R503" s="62"/>
      <c r="S503" s="22"/>
    </row>
    <row r="504" spans="14:19">
      <c r="N504" s="22"/>
      <c r="O504" s="22"/>
      <c r="P504" s="22"/>
      <c r="Q504" s="22"/>
      <c r="R504" s="62"/>
      <c r="S504" s="22"/>
    </row>
    <row r="505" spans="14:19">
      <c r="N505" s="22"/>
      <c r="O505" s="22"/>
      <c r="P505" s="22"/>
      <c r="Q505" s="22"/>
      <c r="R505" s="62"/>
      <c r="S505" s="22"/>
    </row>
    <row r="506" spans="14:19">
      <c r="N506" s="22"/>
      <c r="O506" s="22"/>
      <c r="P506" s="22"/>
      <c r="Q506" s="22"/>
      <c r="R506" s="62"/>
      <c r="S506" s="22"/>
    </row>
    <row r="507" spans="14:19">
      <c r="N507" s="22"/>
      <c r="O507" s="22"/>
      <c r="P507" s="22"/>
      <c r="Q507" s="22"/>
      <c r="R507" s="62"/>
      <c r="S507" s="22"/>
    </row>
    <row r="508" spans="14:19">
      <c r="N508" s="22"/>
      <c r="O508" s="22"/>
      <c r="P508" s="22"/>
      <c r="Q508" s="22"/>
      <c r="R508" s="62"/>
      <c r="S508" s="22"/>
    </row>
    <row r="509" spans="14:19">
      <c r="N509" s="22"/>
      <c r="O509" s="22"/>
      <c r="P509" s="22"/>
      <c r="Q509" s="22"/>
      <c r="R509" s="62"/>
      <c r="S509" s="22"/>
    </row>
    <row r="510" spans="14:19">
      <c r="N510" s="22"/>
      <c r="O510" s="22"/>
      <c r="P510" s="22"/>
      <c r="Q510" s="22"/>
      <c r="R510" s="62"/>
      <c r="S510" s="22"/>
    </row>
    <row r="511" spans="14:19">
      <c r="N511" s="22"/>
      <c r="O511" s="22"/>
      <c r="P511" s="22"/>
      <c r="Q511" s="22"/>
      <c r="R511" s="62"/>
      <c r="S511" s="22"/>
    </row>
    <row r="512" spans="14:19">
      <c r="N512" s="22"/>
      <c r="O512" s="22"/>
      <c r="P512" s="22"/>
      <c r="Q512" s="22"/>
      <c r="R512" s="62"/>
      <c r="S512" s="22"/>
    </row>
    <row r="513" spans="14:19">
      <c r="N513" s="22"/>
      <c r="O513" s="22"/>
      <c r="P513" s="22"/>
      <c r="Q513" s="22"/>
      <c r="R513" s="62"/>
      <c r="S513" s="22"/>
    </row>
    <row r="514" spans="14:19">
      <c r="N514" s="22"/>
      <c r="O514" s="22"/>
      <c r="P514" s="22"/>
      <c r="Q514" s="22"/>
      <c r="R514" s="62"/>
      <c r="S514" s="22"/>
    </row>
    <row r="515" spans="14:19">
      <c r="N515" s="22"/>
      <c r="O515" s="22"/>
      <c r="P515" s="22"/>
      <c r="Q515" s="22"/>
      <c r="R515" s="62"/>
      <c r="S515" s="22"/>
    </row>
    <row r="516" spans="14:19">
      <c r="N516" s="22"/>
      <c r="O516" s="22"/>
      <c r="P516" s="22"/>
      <c r="Q516" s="22"/>
      <c r="R516" s="62"/>
      <c r="S516" s="22"/>
    </row>
    <row r="517" spans="14:19">
      <c r="N517" s="22"/>
      <c r="O517" s="22"/>
      <c r="P517" s="22"/>
      <c r="Q517" s="22"/>
      <c r="R517" s="62"/>
      <c r="S517" s="22"/>
    </row>
    <row r="518" spans="14:19">
      <c r="N518" s="22"/>
      <c r="O518" s="22"/>
      <c r="P518" s="22"/>
      <c r="Q518" s="22"/>
      <c r="R518" s="62"/>
      <c r="S518" s="22"/>
    </row>
    <row r="519" spans="14:19">
      <c r="N519" s="22"/>
      <c r="O519" s="22"/>
      <c r="P519" s="22"/>
      <c r="Q519" s="22"/>
      <c r="R519" s="62"/>
      <c r="S519" s="22"/>
    </row>
    <row r="520" spans="14:19">
      <c r="N520" s="22"/>
      <c r="O520" s="22"/>
      <c r="P520" s="22"/>
      <c r="Q520" s="22"/>
      <c r="R520" s="62"/>
      <c r="S520" s="22"/>
    </row>
    <row r="521" spans="14:19">
      <c r="N521" s="22"/>
      <c r="O521" s="22"/>
      <c r="P521" s="22"/>
      <c r="Q521" s="22"/>
      <c r="R521" s="62"/>
      <c r="S521" s="22"/>
    </row>
    <row r="522" spans="14:19">
      <c r="N522" s="22"/>
      <c r="O522" s="22"/>
      <c r="P522" s="22"/>
      <c r="Q522" s="22"/>
      <c r="R522" s="62"/>
      <c r="S522" s="22"/>
    </row>
    <row r="523" spans="14:19">
      <c r="N523" s="22"/>
      <c r="O523" s="22"/>
      <c r="P523" s="22"/>
      <c r="Q523" s="22"/>
      <c r="R523" s="62"/>
      <c r="S523" s="22"/>
    </row>
    <row r="524" spans="14:19">
      <c r="N524" s="22"/>
      <c r="O524" s="22"/>
      <c r="P524" s="22"/>
      <c r="Q524" s="22"/>
      <c r="R524" s="62"/>
      <c r="S524" s="22"/>
    </row>
    <row r="525" spans="14:19">
      <c r="N525" s="22"/>
      <c r="O525" s="22"/>
      <c r="P525" s="22"/>
      <c r="Q525" s="22"/>
      <c r="R525" s="62"/>
      <c r="S525" s="22"/>
    </row>
    <row r="526" spans="14:19">
      <c r="N526" s="22"/>
      <c r="O526" s="22"/>
      <c r="P526" s="22"/>
      <c r="Q526" s="22"/>
      <c r="R526" s="62"/>
      <c r="S526" s="22"/>
    </row>
    <row r="527" spans="14:19">
      <c r="N527" s="22"/>
      <c r="O527" s="22"/>
      <c r="P527" s="22"/>
      <c r="Q527" s="22"/>
      <c r="R527" s="62"/>
      <c r="S527" s="22"/>
    </row>
    <row r="528" spans="14:19">
      <c r="N528" s="22"/>
      <c r="O528" s="22"/>
      <c r="P528" s="22"/>
      <c r="Q528" s="22"/>
      <c r="R528" s="62"/>
      <c r="S528" s="22"/>
    </row>
    <row r="529" spans="14:19">
      <c r="N529" s="22"/>
      <c r="O529" s="22"/>
      <c r="P529" s="22"/>
      <c r="Q529" s="22"/>
      <c r="R529" s="62"/>
      <c r="S529" s="22"/>
    </row>
    <row r="530" spans="14:19">
      <c r="N530" s="22"/>
      <c r="O530" s="22"/>
      <c r="P530" s="22"/>
      <c r="Q530" s="22"/>
      <c r="R530" s="62"/>
      <c r="S530" s="22"/>
    </row>
    <row r="531" spans="14:19">
      <c r="N531" s="22"/>
      <c r="O531" s="22"/>
      <c r="P531" s="22"/>
      <c r="Q531" s="22"/>
      <c r="R531" s="62"/>
      <c r="S531" s="22"/>
    </row>
    <row r="532" spans="14:19">
      <c r="N532" s="22"/>
      <c r="O532" s="22"/>
      <c r="P532" s="22"/>
      <c r="Q532" s="22"/>
      <c r="R532" s="62"/>
      <c r="S532" s="22"/>
    </row>
    <row r="533" spans="14:19">
      <c r="N533" s="22"/>
      <c r="O533" s="22"/>
      <c r="P533" s="22"/>
      <c r="Q533" s="22"/>
      <c r="R533" s="62"/>
      <c r="S533" s="22"/>
    </row>
    <row r="534" spans="14:19">
      <c r="N534" s="22"/>
      <c r="O534" s="22"/>
      <c r="P534" s="22"/>
      <c r="Q534" s="22"/>
      <c r="R534" s="62"/>
      <c r="S534" s="22"/>
    </row>
    <row r="535" spans="14:19">
      <c r="N535" s="22"/>
      <c r="O535" s="22"/>
      <c r="P535" s="22"/>
      <c r="Q535" s="22"/>
      <c r="R535" s="62"/>
      <c r="S535" s="22"/>
    </row>
    <row r="536" spans="14:19">
      <c r="N536" s="22"/>
      <c r="O536" s="22"/>
      <c r="P536" s="22"/>
      <c r="Q536" s="22"/>
      <c r="R536" s="62"/>
      <c r="S536" s="22"/>
    </row>
    <row r="537" spans="14:19">
      <c r="N537" s="22"/>
      <c r="O537" s="22"/>
      <c r="P537" s="22"/>
      <c r="Q537" s="22"/>
      <c r="R537" s="62"/>
      <c r="S537" s="22"/>
    </row>
    <row r="538" spans="14:19">
      <c r="N538" s="22"/>
      <c r="O538" s="22"/>
      <c r="P538" s="22"/>
      <c r="Q538" s="22"/>
      <c r="R538" s="62"/>
      <c r="S538" s="22"/>
    </row>
    <row r="539" spans="14:19">
      <c r="N539" s="22"/>
      <c r="O539" s="22"/>
      <c r="P539" s="22"/>
      <c r="Q539" s="22"/>
      <c r="R539" s="62"/>
      <c r="S539" s="22"/>
    </row>
    <row r="540" spans="14:19">
      <c r="N540" s="22"/>
      <c r="O540" s="22"/>
      <c r="P540" s="22"/>
      <c r="Q540" s="22"/>
      <c r="R540" s="62"/>
      <c r="S540" s="22"/>
    </row>
    <row r="541" spans="14:19">
      <c r="N541" s="22"/>
      <c r="O541" s="22"/>
      <c r="P541" s="22"/>
      <c r="Q541" s="22"/>
      <c r="R541" s="62"/>
      <c r="S541" s="22"/>
    </row>
    <row r="542" spans="14:19">
      <c r="N542" s="22"/>
      <c r="O542" s="22"/>
      <c r="P542" s="22"/>
      <c r="Q542" s="22"/>
      <c r="R542" s="62"/>
      <c r="S542" s="22"/>
    </row>
    <row r="543" spans="14:19">
      <c r="N543" s="22"/>
      <c r="O543" s="22"/>
      <c r="P543" s="22"/>
      <c r="Q543" s="22"/>
      <c r="R543" s="62"/>
      <c r="S543" s="22"/>
    </row>
    <row r="544" spans="14:19">
      <c r="N544" s="22"/>
      <c r="O544" s="22"/>
      <c r="P544" s="22"/>
      <c r="Q544" s="22"/>
      <c r="R544" s="62"/>
      <c r="S544" s="22"/>
    </row>
    <row r="545" spans="14:19">
      <c r="N545" s="22"/>
      <c r="O545" s="22"/>
      <c r="P545" s="22"/>
      <c r="Q545" s="22"/>
      <c r="R545" s="62"/>
      <c r="S545" s="22"/>
    </row>
    <row r="546" spans="14:19">
      <c r="N546" s="22"/>
      <c r="O546" s="22"/>
      <c r="P546" s="22"/>
      <c r="Q546" s="22"/>
      <c r="R546" s="62"/>
      <c r="S546" s="22"/>
    </row>
    <row r="547" spans="14:19">
      <c r="N547" s="22"/>
      <c r="O547" s="22"/>
      <c r="P547" s="22"/>
      <c r="Q547" s="22"/>
      <c r="R547" s="62"/>
      <c r="S547" s="22"/>
    </row>
    <row r="548" spans="14:19">
      <c r="N548" s="22"/>
      <c r="O548" s="22"/>
      <c r="P548" s="22"/>
      <c r="Q548" s="22"/>
      <c r="R548" s="62"/>
      <c r="S548" s="22"/>
    </row>
    <row r="549" spans="14:19">
      <c r="N549" s="22"/>
      <c r="O549" s="22"/>
      <c r="P549" s="22"/>
      <c r="Q549" s="22"/>
      <c r="R549" s="62"/>
      <c r="S549" s="22"/>
    </row>
    <row r="550" spans="14:19">
      <c r="N550" s="22"/>
      <c r="O550" s="22"/>
      <c r="P550" s="22"/>
      <c r="Q550" s="22"/>
      <c r="R550" s="62"/>
      <c r="S550" s="22"/>
    </row>
    <row r="551" spans="14:19">
      <c r="N551" s="22"/>
      <c r="O551" s="22"/>
      <c r="P551" s="22"/>
      <c r="Q551" s="22"/>
      <c r="R551" s="62"/>
      <c r="S551" s="22"/>
    </row>
    <row r="552" spans="14:19">
      <c r="N552" s="22"/>
      <c r="O552" s="22"/>
      <c r="P552" s="22"/>
      <c r="Q552" s="22"/>
      <c r="R552" s="62"/>
      <c r="S552" s="22"/>
    </row>
    <row r="553" spans="14:19">
      <c r="N553" s="22"/>
      <c r="O553" s="22"/>
      <c r="P553" s="22"/>
      <c r="Q553" s="22"/>
      <c r="R553" s="62"/>
      <c r="S553" s="22"/>
    </row>
    <row r="554" spans="14:19">
      <c r="N554" s="22"/>
      <c r="O554" s="22"/>
      <c r="P554" s="22"/>
      <c r="Q554" s="22"/>
      <c r="R554" s="62"/>
      <c r="S554" s="22"/>
    </row>
    <row r="555" spans="14:19">
      <c r="N555" s="22"/>
      <c r="O555" s="22"/>
      <c r="P555" s="22"/>
      <c r="Q555" s="22"/>
      <c r="R555" s="62"/>
      <c r="S555" s="22"/>
    </row>
    <row r="556" spans="14:19">
      <c r="N556" s="22"/>
      <c r="O556" s="22"/>
      <c r="P556" s="22"/>
      <c r="Q556" s="22"/>
      <c r="R556" s="62"/>
      <c r="S556" s="22"/>
    </row>
    <row r="557" spans="14:19">
      <c r="N557" s="22"/>
      <c r="O557" s="22"/>
      <c r="P557" s="22"/>
      <c r="Q557" s="22"/>
      <c r="R557" s="62"/>
      <c r="S557" s="22"/>
    </row>
    <row r="558" spans="14:19">
      <c r="N558" s="22"/>
      <c r="O558" s="22"/>
      <c r="P558" s="22"/>
      <c r="Q558" s="22"/>
      <c r="R558" s="62"/>
      <c r="S558" s="22"/>
    </row>
    <row r="559" spans="14:19">
      <c r="N559" s="22"/>
      <c r="O559" s="22"/>
      <c r="P559" s="22"/>
      <c r="Q559" s="22"/>
      <c r="R559" s="62"/>
      <c r="S559" s="22"/>
    </row>
    <row r="560" spans="14:19">
      <c r="N560" s="22"/>
      <c r="O560" s="22"/>
      <c r="P560" s="22"/>
      <c r="Q560" s="22"/>
      <c r="R560" s="62"/>
      <c r="S560" s="22"/>
    </row>
    <row r="561" spans="14:19">
      <c r="N561" s="22"/>
      <c r="O561" s="22"/>
      <c r="P561" s="22"/>
      <c r="Q561" s="22"/>
      <c r="R561" s="62"/>
      <c r="S561" s="22"/>
    </row>
    <row r="562" spans="14:19">
      <c r="N562" s="22"/>
      <c r="O562" s="22"/>
      <c r="P562" s="22"/>
      <c r="Q562" s="22"/>
      <c r="R562" s="62"/>
      <c r="S562" s="22"/>
    </row>
    <row r="563" spans="14:19">
      <c r="N563" s="22"/>
      <c r="O563" s="22"/>
      <c r="P563" s="22"/>
      <c r="Q563" s="22"/>
      <c r="R563" s="62"/>
      <c r="S563" s="22"/>
    </row>
    <row r="564" spans="14:19">
      <c r="N564" s="22"/>
      <c r="O564" s="22"/>
      <c r="P564" s="22"/>
      <c r="Q564" s="22"/>
      <c r="R564" s="62"/>
      <c r="S564" s="22"/>
    </row>
    <row r="565" spans="14:19">
      <c r="N565" s="22"/>
      <c r="O565" s="22"/>
      <c r="P565" s="22"/>
      <c r="Q565" s="22"/>
      <c r="R565" s="62"/>
      <c r="S565" s="22"/>
    </row>
    <row r="566" spans="14:19">
      <c r="N566" s="22"/>
      <c r="O566" s="22"/>
      <c r="P566" s="22"/>
      <c r="Q566" s="22"/>
      <c r="R566" s="62"/>
      <c r="S566" s="22"/>
    </row>
    <row r="567" spans="14:19">
      <c r="N567" s="22"/>
      <c r="O567" s="22"/>
      <c r="P567" s="22"/>
      <c r="Q567" s="22"/>
      <c r="R567" s="62"/>
      <c r="S567" s="22"/>
    </row>
    <row r="568" spans="14:19">
      <c r="N568" s="22"/>
      <c r="O568" s="22"/>
      <c r="P568" s="22"/>
      <c r="Q568" s="22"/>
      <c r="R568" s="62"/>
      <c r="S568" s="22"/>
    </row>
    <row r="569" spans="14:19">
      <c r="N569" s="22"/>
      <c r="O569" s="22"/>
      <c r="P569" s="22"/>
      <c r="Q569" s="22"/>
      <c r="R569" s="62"/>
      <c r="S569" s="22"/>
    </row>
    <row r="570" spans="14:19">
      <c r="N570" s="22"/>
      <c r="O570" s="22"/>
      <c r="P570" s="22"/>
      <c r="Q570" s="22"/>
      <c r="R570" s="62"/>
      <c r="S570" s="22"/>
    </row>
    <row r="571" spans="14:19">
      <c r="N571" s="22"/>
      <c r="O571" s="22"/>
      <c r="P571" s="22"/>
      <c r="Q571" s="22"/>
      <c r="R571" s="62"/>
      <c r="S571" s="22"/>
    </row>
    <row r="572" spans="14:19">
      <c r="N572" s="22"/>
      <c r="O572" s="22"/>
      <c r="P572" s="22"/>
      <c r="Q572" s="22"/>
      <c r="R572" s="62"/>
      <c r="S572" s="22"/>
    </row>
    <row r="573" spans="14:19">
      <c r="N573" s="22"/>
      <c r="O573" s="22"/>
      <c r="P573" s="22"/>
      <c r="Q573" s="22"/>
      <c r="R573" s="62"/>
      <c r="S573" s="22"/>
    </row>
    <row r="574" spans="14:19">
      <c r="N574" s="22"/>
      <c r="O574" s="22"/>
      <c r="P574" s="22"/>
      <c r="Q574" s="22"/>
      <c r="R574" s="62"/>
      <c r="S574" s="22"/>
    </row>
    <row r="575" spans="14:19">
      <c r="N575" s="22"/>
      <c r="O575" s="22"/>
      <c r="P575" s="22"/>
      <c r="Q575" s="22"/>
      <c r="R575" s="62"/>
      <c r="S575" s="22"/>
    </row>
    <row r="576" spans="14:19">
      <c r="N576" s="22"/>
      <c r="O576" s="22"/>
      <c r="P576" s="22"/>
      <c r="Q576" s="22"/>
      <c r="R576" s="62"/>
      <c r="S576" s="22"/>
    </row>
    <row r="577" spans="14:19">
      <c r="N577" s="22"/>
      <c r="O577" s="22"/>
      <c r="P577" s="22"/>
      <c r="Q577" s="22"/>
      <c r="R577" s="62"/>
      <c r="S577" s="22"/>
    </row>
    <row r="578" spans="14:19">
      <c r="N578" s="22"/>
      <c r="O578" s="22"/>
      <c r="P578" s="22"/>
      <c r="Q578" s="22"/>
      <c r="R578" s="62"/>
      <c r="S578" s="22"/>
    </row>
    <row r="579" spans="14:19">
      <c r="N579" s="22"/>
      <c r="O579" s="22"/>
      <c r="P579" s="22"/>
      <c r="Q579" s="22"/>
      <c r="R579" s="62"/>
      <c r="S579" s="22"/>
    </row>
    <row r="580" spans="14:19">
      <c r="N580" s="22"/>
      <c r="O580" s="22"/>
      <c r="P580" s="22"/>
      <c r="Q580" s="22"/>
      <c r="R580" s="62"/>
      <c r="S580" s="22"/>
    </row>
    <row r="581" spans="14:19">
      <c r="N581" s="22"/>
      <c r="O581" s="22"/>
      <c r="P581" s="22"/>
      <c r="Q581" s="22"/>
      <c r="R581" s="62"/>
      <c r="S581" s="22"/>
    </row>
    <row r="582" spans="14:19">
      <c r="N582" s="22"/>
      <c r="O582" s="22"/>
      <c r="P582" s="22"/>
      <c r="Q582" s="22"/>
      <c r="R582" s="62"/>
      <c r="S582" s="22"/>
    </row>
    <row r="583" spans="14:19">
      <c r="N583" s="22"/>
      <c r="O583" s="22"/>
      <c r="P583" s="22"/>
      <c r="Q583" s="22"/>
      <c r="R583" s="62"/>
      <c r="S583" s="22"/>
    </row>
    <row r="584" spans="14:19">
      <c r="N584" s="22"/>
      <c r="O584" s="22"/>
      <c r="P584" s="22"/>
      <c r="Q584" s="22"/>
      <c r="R584" s="62"/>
      <c r="S584" s="22"/>
    </row>
    <row r="585" spans="14:19">
      <c r="N585" s="22"/>
      <c r="O585" s="22"/>
      <c r="P585" s="22"/>
      <c r="Q585" s="22"/>
      <c r="R585" s="62"/>
      <c r="S585" s="22"/>
    </row>
    <row r="586" spans="14:19">
      <c r="N586" s="22"/>
      <c r="O586" s="22"/>
      <c r="P586" s="22"/>
      <c r="Q586" s="22"/>
      <c r="R586" s="62"/>
      <c r="S586" s="22"/>
    </row>
    <row r="587" spans="14:19">
      <c r="N587" s="22"/>
      <c r="O587" s="22"/>
      <c r="P587" s="22"/>
      <c r="Q587" s="22"/>
      <c r="R587" s="62"/>
      <c r="S587" s="22"/>
    </row>
    <row r="588" spans="14:19">
      <c r="N588" s="22"/>
      <c r="O588" s="22"/>
      <c r="P588" s="22"/>
      <c r="Q588" s="22"/>
      <c r="R588" s="62"/>
      <c r="S588" s="22"/>
    </row>
    <row r="589" spans="14:19">
      <c r="N589" s="22"/>
      <c r="O589" s="22"/>
      <c r="P589" s="22"/>
      <c r="Q589" s="22"/>
      <c r="R589" s="62"/>
      <c r="S589" s="22"/>
    </row>
    <row r="590" spans="14:19">
      <c r="N590" s="22"/>
      <c r="O590" s="22"/>
      <c r="P590" s="22"/>
      <c r="Q590" s="22"/>
      <c r="R590" s="62"/>
      <c r="S590" s="22"/>
    </row>
    <row r="591" spans="14:19">
      <c r="N591" s="22"/>
      <c r="O591" s="22"/>
      <c r="P591" s="22"/>
      <c r="Q591" s="22"/>
      <c r="R591" s="62"/>
      <c r="S591" s="22"/>
    </row>
    <row r="592" spans="14:19">
      <c r="N592" s="22"/>
      <c r="O592" s="22"/>
      <c r="P592" s="22"/>
      <c r="Q592" s="22"/>
      <c r="R592" s="62"/>
      <c r="S592" s="22"/>
    </row>
    <row r="593" spans="14:19">
      <c r="N593" s="22"/>
      <c r="O593" s="22"/>
      <c r="P593" s="22"/>
      <c r="Q593" s="22"/>
      <c r="R593" s="62"/>
      <c r="S593" s="22"/>
    </row>
    <row r="594" spans="14:19">
      <c r="N594" s="22"/>
      <c r="O594" s="22"/>
      <c r="P594" s="22"/>
      <c r="Q594" s="22"/>
      <c r="R594" s="62"/>
      <c r="S594" s="22"/>
    </row>
    <row r="595" spans="14:19">
      <c r="N595" s="22"/>
      <c r="O595" s="22"/>
      <c r="P595" s="22"/>
      <c r="Q595" s="22"/>
      <c r="R595" s="62"/>
      <c r="S595" s="22"/>
    </row>
    <row r="596" spans="14:19">
      <c r="N596" s="22"/>
      <c r="O596" s="22"/>
      <c r="P596" s="22"/>
      <c r="Q596" s="22"/>
      <c r="R596" s="62"/>
      <c r="S596" s="22"/>
    </row>
    <row r="597" spans="14:19">
      <c r="N597" s="22"/>
      <c r="O597" s="22"/>
      <c r="P597" s="22"/>
      <c r="Q597" s="22"/>
      <c r="R597" s="62"/>
      <c r="S597" s="22"/>
    </row>
    <row r="598" spans="14:19">
      <c r="N598" s="22"/>
      <c r="O598" s="22"/>
      <c r="P598" s="22"/>
      <c r="Q598" s="22"/>
      <c r="R598" s="62"/>
      <c r="S598" s="22"/>
    </row>
    <row r="599" spans="14:19">
      <c r="N599" s="22"/>
      <c r="O599" s="22"/>
      <c r="P599" s="22"/>
      <c r="Q599" s="22"/>
      <c r="R599" s="62"/>
      <c r="S599" s="22"/>
    </row>
    <row r="600" spans="14:19">
      <c r="N600" s="22"/>
      <c r="O600" s="22"/>
      <c r="P600" s="22"/>
      <c r="Q600" s="22"/>
      <c r="R600" s="62"/>
      <c r="S600" s="22"/>
    </row>
    <row r="601" spans="14:19">
      <c r="N601" s="22"/>
      <c r="O601" s="22"/>
      <c r="P601" s="22"/>
      <c r="Q601" s="22"/>
      <c r="R601" s="62"/>
      <c r="S601" s="22"/>
    </row>
    <row r="602" spans="14:19">
      <c r="N602" s="22"/>
      <c r="O602" s="22"/>
      <c r="P602" s="22"/>
      <c r="Q602" s="22"/>
      <c r="R602" s="62"/>
      <c r="S602" s="22"/>
    </row>
    <row r="603" spans="14:19">
      <c r="N603" s="22"/>
      <c r="O603" s="22"/>
      <c r="P603" s="22"/>
      <c r="Q603" s="22"/>
      <c r="R603" s="62"/>
      <c r="S603" s="22"/>
    </row>
    <row r="604" spans="14:19">
      <c r="N604" s="22"/>
      <c r="O604" s="22"/>
      <c r="P604" s="22"/>
      <c r="Q604" s="22"/>
      <c r="R604" s="62"/>
      <c r="S604" s="22"/>
    </row>
    <row r="605" spans="14:19">
      <c r="N605" s="22"/>
      <c r="O605" s="22"/>
      <c r="P605" s="22"/>
      <c r="Q605" s="22"/>
      <c r="R605" s="62"/>
      <c r="S605" s="22"/>
    </row>
    <row r="606" spans="14:19">
      <c r="N606" s="22"/>
      <c r="O606" s="22"/>
      <c r="P606" s="22"/>
      <c r="Q606" s="22"/>
      <c r="R606" s="62"/>
      <c r="S606" s="22"/>
    </row>
    <row r="607" spans="14:19">
      <c r="N607" s="22"/>
      <c r="O607" s="22"/>
      <c r="P607" s="22"/>
      <c r="Q607" s="22"/>
      <c r="R607" s="62"/>
      <c r="S607" s="22"/>
    </row>
    <row r="608" spans="14:19">
      <c r="N608" s="22"/>
      <c r="O608" s="22"/>
      <c r="P608" s="22"/>
      <c r="Q608" s="22"/>
      <c r="R608" s="62"/>
      <c r="S608" s="22"/>
    </row>
    <row r="609" spans="14:19">
      <c r="N609" s="22"/>
      <c r="O609" s="22"/>
      <c r="P609" s="22"/>
      <c r="Q609" s="22"/>
      <c r="R609" s="62"/>
      <c r="S609" s="22"/>
    </row>
    <row r="610" spans="14:19">
      <c r="N610" s="22"/>
      <c r="O610" s="22"/>
      <c r="P610" s="22"/>
      <c r="Q610" s="22"/>
      <c r="R610" s="62"/>
      <c r="S610" s="22"/>
    </row>
    <row r="611" spans="14:19">
      <c r="N611" s="22"/>
      <c r="O611" s="22"/>
      <c r="P611" s="22"/>
      <c r="Q611" s="22"/>
      <c r="R611" s="62"/>
      <c r="S611" s="22"/>
    </row>
    <row r="612" spans="14:19">
      <c r="N612" s="22"/>
      <c r="O612" s="22"/>
      <c r="P612" s="22"/>
      <c r="Q612" s="22"/>
      <c r="R612" s="62"/>
      <c r="S612" s="22"/>
    </row>
    <row r="613" spans="14:19">
      <c r="N613" s="22"/>
      <c r="O613" s="22"/>
      <c r="P613" s="22"/>
      <c r="Q613" s="22"/>
      <c r="R613" s="62"/>
      <c r="S613" s="22"/>
    </row>
    <row r="614" spans="14:19">
      <c r="N614" s="22"/>
      <c r="O614" s="22"/>
      <c r="P614" s="22"/>
      <c r="Q614" s="22"/>
      <c r="R614" s="62"/>
      <c r="S614" s="22"/>
    </row>
    <row r="615" spans="14:19">
      <c r="N615" s="22"/>
      <c r="O615" s="22"/>
      <c r="P615" s="22"/>
      <c r="Q615" s="22"/>
      <c r="R615" s="62"/>
      <c r="S615" s="22"/>
    </row>
    <row r="616" spans="14:19">
      <c r="N616" s="22"/>
      <c r="O616" s="22"/>
      <c r="P616" s="22"/>
      <c r="Q616" s="22"/>
      <c r="R616" s="62"/>
      <c r="S616" s="22"/>
    </row>
    <row r="617" spans="14:19">
      <c r="N617" s="22"/>
      <c r="O617" s="22"/>
      <c r="P617" s="22"/>
      <c r="Q617" s="22"/>
      <c r="R617" s="62"/>
      <c r="S617" s="22"/>
    </row>
    <row r="618" spans="14:19">
      <c r="N618" s="22"/>
      <c r="O618" s="22"/>
      <c r="P618" s="22"/>
      <c r="Q618" s="22"/>
      <c r="R618" s="62"/>
      <c r="S618" s="22"/>
    </row>
    <row r="619" spans="14:19">
      <c r="N619" s="22"/>
      <c r="O619" s="22"/>
      <c r="P619" s="22"/>
      <c r="Q619" s="22"/>
      <c r="R619" s="62"/>
      <c r="S619" s="22"/>
    </row>
    <row r="620" spans="14:19">
      <c r="N620" s="22"/>
      <c r="O620" s="22"/>
      <c r="P620" s="22"/>
      <c r="Q620" s="22"/>
      <c r="R620" s="62"/>
      <c r="S620" s="22"/>
    </row>
    <row r="621" spans="14:19">
      <c r="N621" s="22"/>
      <c r="O621" s="22"/>
      <c r="P621" s="22"/>
      <c r="Q621" s="22"/>
      <c r="R621" s="62"/>
      <c r="S621" s="22"/>
    </row>
    <row r="622" spans="14:19">
      <c r="N622" s="22"/>
      <c r="O622" s="22"/>
      <c r="P622" s="22"/>
      <c r="Q622" s="22"/>
      <c r="R622" s="62"/>
      <c r="S622" s="22"/>
    </row>
    <row r="623" spans="14:19">
      <c r="N623" s="22"/>
      <c r="O623" s="22"/>
      <c r="P623" s="22"/>
      <c r="Q623" s="22"/>
      <c r="R623" s="62"/>
      <c r="S623" s="22"/>
    </row>
    <row r="624" spans="14:19">
      <c r="N624" s="22"/>
      <c r="O624" s="22"/>
      <c r="P624" s="22"/>
      <c r="Q624" s="22"/>
      <c r="R624" s="62"/>
      <c r="S624" s="22"/>
    </row>
    <row r="625" spans="14:19">
      <c r="N625" s="22"/>
      <c r="O625" s="22"/>
      <c r="P625" s="22"/>
      <c r="Q625" s="22"/>
      <c r="R625" s="62"/>
      <c r="S625" s="22"/>
    </row>
    <row r="626" spans="14:19">
      <c r="N626" s="22"/>
      <c r="O626" s="22"/>
      <c r="P626" s="22"/>
      <c r="Q626" s="22"/>
      <c r="R626" s="62"/>
      <c r="S626" s="22"/>
    </row>
    <row r="627" spans="14:19">
      <c r="N627" s="22"/>
      <c r="O627" s="22"/>
      <c r="P627" s="22"/>
      <c r="Q627" s="22"/>
      <c r="R627" s="62"/>
      <c r="S627" s="22"/>
    </row>
    <row r="628" spans="14:19">
      <c r="N628" s="22"/>
      <c r="O628" s="22"/>
      <c r="P628" s="22"/>
      <c r="Q628" s="22"/>
      <c r="R628" s="62"/>
      <c r="S628" s="22"/>
    </row>
    <row r="629" spans="14:19">
      <c r="N629" s="22"/>
      <c r="O629" s="22"/>
      <c r="P629" s="22"/>
      <c r="Q629" s="22"/>
      <c r="R629" s="62"/>
      <c r="S629" s="22"/>
    </row>
    <row r="630" spans="14:19">
      <c r="N630" s="22"/>
      <c r="O630" s="22"/>
      <c r="P630" s="22"/>
      <c r="Q630" s="22"/>
      <c r="R630" s="62"/>
      <c r="S630" s="22"/>
    </row>
    <row r="631" spans="14:19">
      <c r="N631" s="22"/>
      <c r="O631" s="22"/>
      <c r="P631" s="22"/>
      <c r="Q631" s="22"/>
      <c r="R631" s="62"/>
      <c r="S631" s="22"/>
    </row>
    <row r="632" spans="14:19">
      <c r="N632" s="22"/>
      <c r="O632" s="22"/>
      <c r="P632" s="22"/>
      <c r="Q632" s="22"/>
      <c r="R632" s="62"/>
      <c r="S632" s="22"/>
    </row>
    <row r="633" spans="14:19">
      <c r="N633" s="22"/>
      <c r="O633" s="22"/>
      <c r="P633" s="22"/>
      <c r="Q633" s="22"/>
      <c r="R633" s="62"/>
      <c r="S633" s="22"/>
    </row>
    <row r="634" spans="14:19">
      <c r="N634" s="22"/>
      <c r="O634" s="22"/>
      <c r="P634" s="22"/>
      <c r="Q634" s="22"/>
      <c r="R634" s="62"/>
      <c r="S634" s="22"/>
    </row>
    <row r="635" spans="14:19">
      <c r="N635" s="22"/>
      <c r="O635" s="22"/>
      <c r="P635" s="22"/>
      <c r="Q635" s="22"/>
      <c r="R635" s="62"/>
      <c r="S635" s="22"/>
    </row>
    <row r="636" spans="14:19">
      <c r="N636" s="22"/>
      <c r="O636" s="22"/>
      <c r="P636" s="22"/>
      <c r="Q636" s="22"/>
      <c r="R636" s="62"/>
      <c r="S636" s="22"/>
    </row>
    <row r="637" spans="14:19">
      <c r="N637" s="22"/>
      <c r="O637" s="22"/>
      <c r="P637" s="22"/>
      <c r="Q637" s="22"/>
      <c r="R637" s="62"/>
      <c r="S637" s="22"/>
    </row>
    <row r="638" spans="14:19">
      <c r="N638" s="22"/>
      <c r="O638" s="22"/>
      <c r="P638" s="22"/>
      <c r="Q638" s="22"/>
      <c r="R638" s="62"/>
      <c r="S638" s="22"/>
    </row>
    <row r="639" spans="14:19">
      <c r="N639" s="22"/>
      <c r="O639" s="22"/>
      <c r="P639" s="22"/>
      <c r="Q639" s="22"/>
      <c r="R639" s="62"/>
      <c r="S639" s="22"/>
    </row>
    <row r="640" spans="14:19">
      <c r="N640" s="22"/>
      <c r="O640" s="22"/>
      <c r="P640" s="22"/>
      <c r="Q640" s="22"/>
      <c r="R640" s="62"/>
      <c r="S640" s="22"/>
    </row>
    <row r="641" spans="14:19">
      <c r="N641" s="22"/>
      <c r="O641" s="22"/>
      <c r="P641" s="22"/>
      <c r="Q641" s="22"/>
      <c r="R641" s="62"/>
      <c r="S641" s="22"/>
    </row>
    <row r="642" spans="14:19">
      <c r="N642" s="22"/>
      <c r="O642" s="22"/>
      <c r="P642" s="22"/>
      <c r="Q642" s="22"/>
      <c r="R642" s="62"/>
      <c r="S642" s="22"/>
    </row>
    <row r="643" spans="14:19">
      <c r="N643" s="22"/>
      <c r="O643" s="22"/>
      <c r="P643" s="22"/>
      <c r="Q643" s="22"/>
      <c r="R643" s="62"/>
      <c r="S643" s="22"/>
    </row>
    <row r="644" spans="14:19">
      <c r="N644" s="22"/>
      <c r="O644" s="22"/>
      <c r="P644" s="22"/>
      <c r="Q644" s="22"/>
      <c r="R644" s="62"/>
      <c r="S644" s="22"/>
    </row>
    <row r="645" spans="14:19">
      <c r="N645" s="22"/>
      <c r="O645" s="22"/>
      <c r="P645" s="22"/>
      <c r="Q645" s="22"/>
      <c r="R645" s="62"/>
      <c r="S645" s="22"/>
    </row>
    <row r="646" spans="14:19">
      <c r="N646" s="22"/>
      <c r="O646" s="22"/>
      <c r="P646" s="22"/>
      <c r="Q646" s="22"/>
      <c r="R646" s="62"/>
      <c r="S646" s="22"/>
    </row>
    <row r="647" spans="14:19">
      <c r="N647" s="22"/>
      <c r="O647" s="22"/>
      <c r="P647" s="22"/>
      <c r="Q647" s="22"/>
      <c r="R647" s="62"/>
      <c r="S647" s="22"/>
    </row>
    <row r="648" spans="14:19">
      <c r="N648" s="22"/>
      <c r="O648" s="22"/>
      <c r="P648" s="22"/>
      <c r="Q648" s="22"/>
      <c r="R648" s="62"/>
      <c r="S648" s="22"/>
    </row>
    <row r="649" spans="14:19">
      <c r="N649" s="22"/>
      <c r="O649" s="22"/>
      <c r="P649" s="22"/>
      <c r="Q649" s="22"/>
      <c r="R649" s="62"/>
      <c r="S649" s="22"/>
    </row>
    <row r="650" spans="14:19">
      <c r="N650" s="22"/>
      <c r="O650" s="22"/>
      <c r="P650" s="22"/>
      <c r="Q650" s="22"/>
      <c r="R650" s="62"/>
      <c r="S650" s="22"/>
    </row>
    <row r="651" spans="14:19">
      <c r="N651" s="22"/>
      <c r="O651" s="22"/>
      <c r="P651" s="22"/>
      <c r="Q651" s="22"/>
      <c r="R651" s="62"/>
      <c r="S651" s="22"/>
    </row>
    <row r="652" spans="14:19">
      <c r="N652" s="22"/>
      <c r="O652" s="22"/>
      <c r="P652" s="22"/>
      <c r="Q652" s="22"/>
      <c r="R652" s="62"/>
      <c r="S652" s="22"/>
    </row>
    <row r="653" spans="14:19">
      <c r="N653" s="22"/>
      <c r="O653" s="22"/>
      <c r="P653" s="22"/>
      <c r="Q653" s="22"/>
      <c r="R653" s="62"/>
      <c r="S653" s="22"/>
    </row>
    <row r="654" spans="14:19">
      <c r="N654" s="22"/>
      <c r="O654" s="22"/>
      <c r="P654" s="22"/>
      <c r="Q654" s="22"/>
      <c r="R654" s="62"/>
      <c r="S654" s="22"/>
    </row>
    <row r="655" spans="14:19">
      <c r="N655" s="22"/>
      <c r="O655" s="22"/>
      <c r="P655" s="22"/>
      <c r="Q655" s="22"/>
      <c r="R655" s="62"/>
      <c r="S655" s="22"/>
    </row>
    <row r="656" spans="14:19">
      <c r="N656" s="22"/>
      <c r="O656" s="22"/>
      <c r="P656" s="22"/>
      <c r="Q656" s="22"/>
      <c r="R656" s="62"/>
      <c r="S656" s="22"/>
    </row>
    <row r="657" spans="14:19">
      <c r="N657" s="22"/>
      <c r="O657" s="22"/>
      <c r="P657" s="22"/>
      <c r="Q657" s="22"/>
      <c r="R657" s="62"/>
      <c r="S657" s="22"/>
    </row>
    <row r="658" spans="14:19">
      <c r="N658" s="22"/>
      <c r="O658" s="22"/>
      <c r="P658" s="22"/>
      <c r="Q658" s="22"/>
      <c r="R658" s="62"/>
      <c r="S658" s="22"/>
    </row>
    <row r="659" spans="14:19">
      <c r="N659" s="22"/>
      <c r="O659" s="22"/>
      <c r="P659" s="22"/>
      <c r="Q659" s="22"/>
      <c r="R659" s="62"/>
      <c r="S659" s="22"/>
    </row>
    <row r="660" spans="14:19">
      <c r="N660" s="22"/>
      <c r="O660" s="22"/>
      <c r="P660" s="22"/>
      <c r="Q660" s="22"/>
      <c r="R660" s="62"/>
      <c r="S660" s="22"/>
    </row>
    <row r="661" spans="14:19">
      <c r="N661" s="22"/>
      <c r="O661" s="22"/>
      <c r="P661" s="22"/>
      <c r="Q661" s="22"/>
      <c r="R661" s="62"/>
      <c r="S661" s="22"/>
    </row>
    <row r="662" spans="14:19">
      <c r="N662" s="22"/>
      <c r="O662" s="22"/>
      <c r="P662" s="22"/>
      <c r="Q662" s="22"/>
      <c r="R662" s="62"/>
      <c r="S662" s="22"/>
    </row>
    <row r="663" spans="14:19">
      <c r="N663" s="22"/>
      <c r="O663" s="22"/>
      <c r="P663" s="22"/>
      <c r="Q663" s="22"/>
      <c r="R663" s="62"/>
      <c r="S663" s="22"/>
    </row>
    <row r="664" spans="14:19">
      <c r="N664" s="22"/>
      <c r="O664" s="22"/>
      <c r="P664" s="22"/>
      <c r="Q664" s="22"/>
      <c r="R664" s="62"/>
      <c r="S664" s="22"/>
    </row>
    <row r="665" spans="14:19">
      <c r="N665" s="22"/>
      <c r="O665" s="22"/>
      <c r="P665" s="22"/>
      <c r="Q665" s="22"/>
      <c r="R665" s="62"/>
      <c r="S665" s="22"/>
    </row>
    <row r="666" spans="14:19">
      <c r="N666" s="22"/>
      <c r="O666" s="22"/>
      <c r="P666" s="22"/>
      <c r="Q666" s="22"/>
      <c r="R666" s="62"/>
      <c r="S666" s="22"/>
    </row>
    <row r="667" spans="14:19">
      <c r="N667" s="22"/>
      <c r="O667" s="22"/>
      <c r="P667" s="22"/>
      <c r="Q667" s="22"/>
      <c r="R667" s="62"/>
      <c r="S667" s="22"/>
    </row>
    <row r="668" spans="14:19">
      <c r="N668" s="22"/>
      <c r="O668" s="22"/>
      <c r="P668" s="22"/>
      <c r="Q668" s="22"/>
      <c r="R668" s="62"/>
      <c r="S668" s="22"/>
    </row>
    <row r="669" spans="14:19">
      <c r="N669" s="22"/>
      <c r="O669" s="22"/>
      <c r="P669" s="22"/>
      <c r="Q669" s="22"/>
      <c r="R669" s="62"/>
      <c r="S669" s="22"/>
    </row>
    <row r="670" spans="14:19">
      <c r="N670" s="22"/>
      <c r="O670" s="22"/>
      <c r="P670" s="22"/>
      <c r="Q670" s="22"/>
      <c r="R670" s="62"/>
      <c r="S670" s="22"/>
    </row>
    <row r="671" spans="14:19">
      <c r="N671" s="22"/>
      <c r="O671" s="22"/>
      <c r="P671" s="22"/>
      <c r="Q671" s="22"/>
      <c r="R671" s="62"/>
      <c r="S671" s="22"/>
    </row>
    <row r="672" spans="14:19">
      <c r="N672" s="22"/>
      <c r="O672" s="22"/>
      <c r="P672" s="22"/>
      <c r="Q672" s="22"/>
      <c r="R672" s="62"/>
      <c r="S672" s="22"/>
    </row>
    <row r="673" spans="14:19">
      <c r="N673" s="22"/>
      <c r="O673" s="22"/>
      <c r="P673" s="22"/>
      <c r="Q673" s="22"/>
      <c r="R673" s="62"/>
      <c r="S673" s="22"/>
    </row>
    <row r="674" spans="14:19">
      <c r="N674" s="22"/>
      <c r="O674" s="22"/>
      <c r="P674" s="22"/>
      <c r="Q674" s="22"/>
      <c r="R674" s="62"/>
      <c r="S674" s="22"/>
    </row>
    <row r="675" spans="14:19">
      <c r="N675" s="22"/>
      <c r="O675" s="22"/>
      <c r="P675" s="22"/>
      <c r="Q675" s="22"/>
      <c r="R675" s="62"/>
      <c r="S675" s="22"/>
    </row>
    <row r="676" spans="14:19">
      <c r="N676" s="22"/>
      <c r="O676" s="22"/>
      <c r="P676" s="22"/>
      <c r="Q676" s="22"/>
      <c r="R676" s="62"/>
      <c r="S676" s="22"/>
    </row>
    <row r="677" spans="14:19">
      <c r="N677" s="22"/>
      <c r="O677" s="22"/>
      <c r="P677" s="22"/>
      <c r="Q677" s="22"/>
      <c r="R677" s="62"/>
      <c r="S677" s="22"/>
    </row>
    <row r="678" spans="14:19">
      <c r="N678" s="22"/>
      <c r="O678" s="22"/>
      <c r="P678" s="22"/>
      <c r="Q678" s="22"/>
      <c r="R678" s="62"/>
      <c r="S678" s="22"/>
    </row>
    <row r="679" spans="14:19">
      <c r="N679" s="22"/>
      <c r="O679" s="22"/>
      <c r="P679" s="22"/>
      <c r="Q679" s="22"/>
      <c r="R679" s="62"/>
      <c r="S679" s="22"/>
    </row>
    <row r="680" spans="14:19">
      <c r="N680" s="22"/>
      <c r="O680" s="22"/>
      <c r="P680" s="22"/>
      <c r="Q680" s="22"/>
      <c r="R680" s="62"/>
      <c r="S680" s="22"/>
    </row>
    <row r="681" spans="14:19">
      <c r="N681" s="22"/>
      <c r="O681" s="22"/>
      <c r="P681" s="22"/>
      <c r="Q681" s="22"/>
      <c r="R681" s="62"/>
      <c r="S681" s="22"/>
    </row>
    <row r="682" spans="14:19">
      <c r="N682" s="22"/>
      <c r="O682" s="22"/>
      <c r="P682" s="22"/>
      <c r="Q682" s="22"/>
      <c r="R682" s="62"/>
      <c r="S682" s="22"/>
    </row>
    <row r="683" spans="14:19">
      <c r="N683" s="22"/>
      <c r="O683" s="22"/>
      <c r="P683" s="22"/>
      <c r="Q683" s="22"/>
      <c r="R683" s="62"/>
      <c r="S683" s="22"/>
    </row>
    <row r="684" spans="14:19">
      <c r="N684" s="22"/>
      <c r="O684" s="22"/>
      <c r="P684" s="22"/>
      <c r="Q684" s="22"/>
      <c r="R684" s="62"/>
      <c r="S684" s="22"/>
    </row>
    <row r="685" spans="14:19">
      <c r="N685" s="22"/>
      <c r="O685" s="22"/>
      <c r="P685" s="22"/>
      <c r="Q685" s="22"/>
      <c r="R685" s="62"/>
      <c r="S685" s="22"/>
    </row>
    <row r="686" spans="14:19">
      <c r="N686" s="22"/>
      <c r="O686" s="22"/>
      <c r="P686" s="22"/>
      <c r="Q686" s="22"/>
      <c r="R686" s="62"/>
      <c r="S686" s="22"/>
    </row>
    <row r="687" spans="14:19">
      <c r="N687" s="22"/>
      <c r="O687" s="22"/>
      <c r="P687" s="22"/>
      <c r="Q687" s="22"/>
      <c r="R687" s="62"/>
      <c r="S687" s="22"/>
    </row>
    <row r="688" spans="14:19">
      <c r="N688" s="22"/>
      <c r="O688" s="22"/>
      <c r="P688" s="22"/>
      <c r="Q688" s="22"/>
      <c r="R688" s="62"/>
      <c r="S688" s="22"/>
    </row>
    <row r="689" spans="14:19">
      <c r="N689" s="22"/>
      <c r="O689" s="22"/>
      <c r="P689" s="22"/>
      <c r="Q689" s="22"/>
      <c r="R689" s="62"/>
      <c r="S689" s="22"/>
    </row>
    <row r="690" spans="14:19">
      <c r="N690" s="22"/>
      <c r="O690" s="22"/>
      <c r="P690" s="22"/>
      <c r="Q690" s="22"/>
      <c r="R690" s="62"/>
      <c r="S690" s="22"/>
    </row>
    <row r="691" spans="14:19">
      <c r="N691" s="22"/>
      <c r="O691" s="22"/>
      <c r="P691" s="22"/>
      <c r="Q691" s="22"/>
      <c r="R691" s="62"/>
      <c r="S691" s="22"/>
    </row>
    <row r="692" spans="14:19">
      <c r="N692" s="22"/>
      <c r="O692" s="22"/>
      <c r="P692" s="22"/>
      <c r="Q692" s="22"/>
      <c r="R692" s="62"/>
      <c r="S692" s="22"/>
    </row>
    <row r="693" spans="14:19">
      <c r="N693" s="22"/>
      <c r="O693" s="22"/>
      <c r="P693" s="22"/>
      <c r="Q693" s="22"/>
      <c r="R693" s="62"/>
      <c r="S693" s="22"/>
    </row>
    <row r="694" spans="14:19">
      <c r="N694" s="22"/>
      <c r="O694" s="22"/>
      <c r="P694" s="22"/>
      <c r="Q694" s="22"/>
      <c r="R694" s="62"/>
      <c r="S694" s="22"/>
    </row>
    <row r="695" spans="14:19">
      <c r="N695" s="22"/>
      <c r="O695" s="22"/>
      <c r="P695" s="22"/>
      <c r="Q695" s="22"/>
      <c r="R695" s="62"/>
      <c r="S695" s="22"/>
    </row>
    <row r="696" spans="14:19">
      <c r="N696" s="22"/>
      <c r="O696" s="22"/>
      <c r="P696" s="22"/>
      <c r="Q696" s="22"/>
      <c r="R696" s="62"/>
      <c r="S696" s="22"/>
    </row>
    <row r="697" spans="14:19">
      <c r="N697" s="22"/>
      <c r="O697" s="22"/>
      <c r="P697" s="22"/>
      <c r="Q697" s="22"/>
      <c r="R697" s="62"/>
      <c r="S697" s="22"/>
    </row>
    <row r="698" spans="14:19">
      <c r="N698" s="22"/>
      <c r="O698" s="22"/>
      <c r="P698" s="22"/>
      <c r="Q698" s="22"/>
      <c r="R698" s="62"/>
      <c r="S698" s="22"/>
    </row>
    <row r="699" spans="14:19">
      <c r="N699" s="22"/>
      <c r="O699" s="22"/>
      <c r="P699" s="22"/>
      <c r="Q699" s="22"/>
      <c r="R699" s="62"/>
      <c r="S699" s="22"/>
    </row>
    <row r="700" spans="14:19">
      <c r="N700" s="22"/>
      <c r="O700" s="22"/>
      <c r="P700" s="22"/>
      <c r="Q700" s="22"/>
      <c r="R700" s="62"/>
      <c r="S700" s="22"/>
    </row>
    <row r="701" spans="14:19">
      <c r="N701" s="22"/>
      <c r="O701" s="22"/>
      <c r="P701" s="22"/>
      <c r="Q701" s="22"/>
      <c r="R701" s="62"/>
      <c r="S701" s="22"/>
    </row>
    <row r="702" spans="14:19">
      <c r="N702" s="22"/>
      <c r="O702" s="22"/>
      <c r="P702" s="22"/>
      <c r="Q702" s="22"/>
      <c r="R702" s="62"/>
      <c r="S702" s="22"/>
    </row>
    <row r="703" spans="14:19">
      <c r="N703" s="22"/>
      <c r="O703" s="22"/>
      <c r="P703" s="22"/>
      <c r="Q703" s="22"/>
      <c r="R703" s="62"/>
      <c r="S703" s="22"/>
    </row>
    <row r="704" spans="14:19">
      <c r="N704" s="22"/>
      <c r="O704" s="22"/>
      <c r="P704" s="22"/>
      <c r="Q704" s="22"/>
      <c r="R704" s="62"/>
      <c r="S704" s="22"/>
    </row>
    <row r="705" spans="14:19">
      <c r="N705" s="22"/>
      <c r="O705" s="22"/>
      <c r="P705" s="22"/>
      <c r="Q705" s="22"/>
      <c r="R705" s="62"/>
      <c r="S705" s="22"/>
    </row>
    <row r="706" spans="14:19">
      <c r="N706" s="22"/>
      <c r="O706" s="22"/>
      <c r="P706" s="22"/>
      <c r="Q706" s="22"/>
      <c r="R706" s="62"/>
      <c r="S706" s="22"/>
    </row>
    <row r="707" spans="14:19">
      <c r="N707" s="22"/>
      <c r="O707" s="22"/>
      <c r="P707" s="22"/>
      <c r="Q707" s="22"/>
      <c r="R707" s="62"/>
      <c r="S707" s="22"/>
    </row>
    <row r="708" spans="14:19">
      <c r="N708" s="22"/>
      <c r="O708" s="22"/>
      <c r="P708" s="22"/>
      <c r="Q708" s="22"/>
      <c r="R708" s="62"/>
      <c r="S708" s="22"/>
    </row>
    <row r="709" spans="14:19">
      <c r="N709" s="22"/>
      <c r="O709" s="22"/>
      <c r="P709" s="22"/>
      <c r="Q709" s="22"/>
      <c r="R709" s="62"/>
      <c r="S709" s="22"/>
    </row>
    <row r="710" spans="14:19">
      <c r="N710" s="22"/>
      <c r="O710" s="22"/>
      <c r="P710" s="22"/>
      <c r="Q710" s="22"/>
      <c r="R710" s="62"/>
      <c r="S710" s="22"/>
    </row>
    <row r="711" spans="14:19">
      <c r="N711" s="22"/>
      <c r="O711" s="22"/>
      <c r="P711" s="22"/>
      <c r="Q711" s="22"/>
      <c r="R711" s="62"/>
      <c r="S711" s="22"/>
    </row>
    <row r="712" spans="14:19">
      <c r="N712" s="22"/>
      <c r="O712" s="22"/>
      <c r="P712" s="22"/>
      <c r="Q712" s="22"/>
      <c r="R712" s="62"/>
      <c r="S712" s="22"/>
    </row>
    <row r="713" spans="14:19">
      <c r="N713" s="22"/>
      <c r="O713" s="22"/>
      <c r="P713" s="22"/>
      <c r="Q713" s="22"/>
      <c r="R713" s="62"/>
      <c r="S713" s="22"/>
    </row>
    <row r="714" spans="14:19">
      <c r="N714" s="22"/>
      <c r="O714" s="22"/>
      <c r="P714" s="22"/>
      <c r="Q714" s="22"/>
      <c r="R714" s="62"/>
      <c r="S714" s="22"/>
    </row>
    <row r="715" spans="14:19">
      <c r="N715" s="22"/>
      <c r="O715" s="22"/>
      <c r="P715" s="22"/>
      <c r="Q715" s="22"/>
      <c r="R715" s="62"/>
      <c r="S715" s="22"/>
    </row>
    <row r="716" spans="14:19">
      <c r="N716" s="22"/>
      <c r="O716" s="22"/>
      <c r="P716" s="22"/>
      <c r="Q716" s="22"/>
      <c r="R716" s="62"/>
      <c r="S716" s="22"/>
    </row>
    <row r="717" spans="14:19">
      <c r="N717" s="22"/>
      <c r="O717" s="22"/>
      <c r="P717" s="22"/>
      <c r="Q717" s="22"/>
      <c r="R717" s="62"/>
      <c r="S717" s="22"/>
    </row>
    <row r="718" spans="14:19">
      <c r="N718" s="22"/>
      <c r="O718" s="22"/>
      <c r="P718" s="22"/>
      <c r="Q718" s="22"/>
      <c r="R718" s="62"/>
      <c r="S718" s="22"/>
    </row>
    <row r="719" spans="14:19">
      <c r="N719" s="22"/>
      <c r="O719" s="22"/>
      <c r="P719" s="22"/>
      <c r="Q719" s="22"/>
      <c r="R719" s="62"/>
      <c r="S719" s="22"/>
    </row>
    <row r="720" spans="14:19">
      <c r="N720" s="22"/>
      <c r="O720" s="22"/>
      <c r="P720" s="22"/>
      <c r="Q720" s="22"/>
      <c r="R720" s="62"/>
      <c r="S720" s="22"/>
    </row>
    <row r="721" spans="14:19">
      <c r="N721" s="22"/>
      <c r="O721" s="22"/>
      <c r="P721" s="22"/>
      <c r="Q721" s="22"/>
      <c r="R721" s="62"/>
      <c r="S721" s="22"/>
    </row>
    <row r="722" spans="14:19">
      <c r="N722" s="22"/>
      <c r="O722" s="22"/>
      <c r="P722" s="22"/>
      <c r="Q722" s="22"/>
      <c r="R722" s="62"/>
      <c r="S722" s="22"/>
    </row>
    <row r="723" spans="14:19">
      <c r="N723" s="22"/>
      <c r="O723" s="22"/>
      <c r="P723" s="22"/>
      <c r="Q723" s="22"/>
      <c r="R723" s="62"/>
      <c r="S723" s="22"/>
    </row>
    <row r="724" spans="14:19">
      <c r="N724" s="22"/>
      <c r="O724" s="22"/>
      <c r="P724" s="22"/>
      <c r="Q724" s="22"/>
      <c r="R724" s="62"/>
      <c r="S724" s="22"/>
    </row>
    <row r="725" spans="14:19">
      <c r="N725" s="22"/>
      <c r="O725" s="22"/>
      <c r="P725" s="22"/>
      <c r="Q725" s="22"/>
      <c r="R725" s="62"/>
      <c r="S725" s="22"/>
    </row>
    <row r="726" spans="14:19">
      <c r="N726" s="22"/>
      <c r="O726" s="22"/>
      <c r="P726" s="22"/>
      <c r="Q726" s="22"/>
      <c r="R726" s="62"/>
      <c r="S726" s="22"/>
    </row>
    <row r="727" spans="14:19">
      <c r="N727" s="22"/>
      <c r="O727" s="22"/>
      <c r="P727" s="22"/>
      <c r="Q727" s="22"/>
      <c r="R727" s="62"/>
      <c r="S727" s="22"/>
    </row>
    <row r="728" spans="14:19">
      <c r="N728" s="22"/>
      <c r="O728" s="22"/>
      <c r="P728" s="22"/>
      <c r="Q728" s="22"/>
      <c r="R728" s="62"/>
      <c r="S728" s="22"/>
    </row>
    <row r="729" spans="14:19">
      <c r="N729" s="22"/>
      <c r="O729" s="22"/>
      <c r="P729" s="22"/>
      <c r="Q729" s="22"/>
      <c r="R729" s="62"/>
      <c r="S729" s="22"/>
    </row>
    <row r="730" spans="14:19">
      <c r="N730" s="22"/>
      <c r="O730" s="22"/>
      <c r="P730" s="22"/>
      <c r="Q730" s="22"/>
      <c r="R730" s="62"/>
      <c r="S730" s="22"/>
    </row>
    <row r="731" spans="14:19">
      <c r="N731" s="22"/>
      <c r="O731" s="22"/>
      <c r="P731" s="22"/>
      <c r="Q731" s="22"/>
      <c r="R731" s="62"/>
      <c r="S731" s="22"/>
    </row>
    <row r="732" spans="14:19">
      <c r="N732" s="22"/>
      <c r="O732" s="22"/>
      <c r="P732" s="22"/>
      <c r="Q732" s="22"/>
      <c r="R732" s="62"/>
      <c r="S732" s="22"/>
    </row>
    <row r="733" spans="14:19">
      <c r="N733" s="22"/>
      <c r="O733" s="22"/>
      <c r="P733" s="22"/>
      <c r="Q733" s="22"/>
      <c r="R733" s="62"/>
      <c r="S733" s="22"/>
    </row>
    <row r="734" spans="14:19">
      <c r="N734" s="22"/>
      <c r="O734" s="22"/>
      <c r="P734" s="22"/>
      <c r="Q734" s="22"/>
      <c r="R734" s="62"/>
      <c r="S734" s="22"/>
    </row>
    <row r="735" spans="14:19">
      <c r="N735" s="22"/>
      <c r="O735" s="22"/>
      <c r="P735" s="22"/>
      <c r="Q735" s="22"/>
      <c r="R735" s="62"/>
      <c r="S735" s="22"/>
    </row>
    <row r="736" spans="14:19">
      <c r="N736" s="22"/>
      <c r="O736" s="22"/>
      <c r="P736" s="22"/>
      <c r="Q736" s="22"/>
      <c r="R736" s="62"/>
      <c r="S736" s="22"/>
    </row>
    <row r="737" spans="14:19">
      <c r="N737" s="22"/>
      <c r="O737" s="22"/>
      <c r="P737" s="22"/>
      <c r="Q737" s="22"/>
      <c r="R737" s="62"/>
      <c r="S737" s="22"/>
    </row>
    <row r="738" spans="14:19">
      <c r="N738" s="22"/>
      <c r="O738" s="22"/>
      <c r="P738" s="22"/>
      <c r="Q738" s="22"/>
      <c r="R738" s="62"/>
      <c r="S738" s="22"/>
    </row>
    <row r="739" spans="14:19">
      <c r="N739" s="22"/>
      <c r="O739" s="22"/>
      <c r="P739" s="22"/>
      <c r="Q739" s="22"/>
      <c r="R739" s="62"/>
      <c r="S739" s="22"/>
    </row>
    <row r="740" spans="14:19">
      <c r="N740" s="22"/>
      <c r="O740" s="22"/>
      <c r="P740" s="22"/>
      <c r="Q740" s="22"/>
      <c r="R740" s="62"/>
      <c r="S740" s="22"/>
    </row>
    <row r="741" spans="14:19">
      <c r="N741" s="22"/>
      <c r="O741" s="22"/>
      <c r="P741" s="22"/>
      <c r="Q741" s="22"/>
      <c r="R741" s="62"/>
      <c r="S741" s="22"/>
    </row>
    <row r="742" spans="14:19">
      <c r="N742" s="22"/>
      <c r="O742" s="22"/>
      <c r="P742" s="22"/>
      <c r="Q742" s="22"/>
      <c r="R742" s="62"/>
      <c r="S742" s="22"/>
    </row>
    <row r="743" spans="14:19">
      <c r="N743" s="22"/>
      <c r="O743" s="22"/>
      <c r="P743" s="22"/>
      <c r="Q743" s="22"/>
      <c r="R743" s="62"/>
      <c r="S743" s="22"/>
    </row>
    <row r="744" spans="14:19">
      <c r="N744" s="22"/>
      <c r="O744" s="22"/>
      <c r="P744" s="22"/>
      <c r="Q744" s="22"/>
      <c r="R744" s="62"/>
      <c r="S744" s="22"/>
    </row>
    <row r="745" spans="14:19">
      <c r="N745" s="22"/>
      <c r="O745" s="22"/>
      <c r="P745" s="22"/>
      <c r="Q745" s="22"/>
      <c r="R745" s="62"/>
      <c r="S745" s="22"/>
    </row>
    <row r="746" spans="14:19">
      <c r="N746" s="22"/>
      <c r="O746" s="22"/>
      <c r="P746" s="22"/>
      <c r="Q746" s="22"/>
      <c r="R746" s="62"/>
      <c r="S746" s="22"/>
    </row>
    <row r="747" spans="14:19">
      <c r="N747" s="22"/>
      <c r="O747" s="22"/>
      <c r="P747" s="22"/>
      <c r="Q747" s="22"/>
      <c r="R747" s="62"/>
      <c r="S747" s="22"/>
    </row>
    <row r="748" spans="14:19">
      <c r="N748" s="22"/>
      <c r="O748" s="22"/>
      <c r="P748" s="22"/>
      <c r="Q748" s="22"/>
      <c r="R748" s="62"/>
      <c r="S748" s="22"/>
    </row>
    <row r="749" spans="14:19">
      <c r="N749" s="22"/>
      <c r="O749" s="22"/>
      <c r="P749" s="22"/>
      <c r="Q749" s="22"/>
      <c r="R749" s="62"/>
      <c r="S749" s="22"/>
    </row>
    <row r="750" spans="14:19">
      <c r="N750" s="22"/>
      <c r="O750" s="22"/>
      <c r="P750" s="22"/>
      <c r="Q750" s="22"/>
      <c r="R750" s="62"/>
      <c r="S750" s="22"/>
    </row>
    <row r="751" spans="14:19">
      <c r="N751" s="22"/>
      <c r="O751" s="22"/>
      <c r="P751" s="22"/>
      <c r="Q751" s="22"/>
      <c r="R751" s="62"/>
      <c r="S751" s="22"/>
    </row>
    <row r="752" spans="14:19">
      <c r="N752" s="22"/>
      <c r="O752" s="22"/>
      <c r="P752" s="22"/>
      <c r="Q752" s="22"/>
      <c r="R752" s="62"/>
      <c r="S752" s="22"/>
    </row>
    <row r="753" spans="14:19">
      <c r="N753" s="22"/>
      <c r="O753" s="22"/>
      <c r="P753" s="22"/>
      <c r="Q753" s="22"/>
      <c r="R753" s="62"/>
      <c r="S753" s="22"/>
    </row>
    <row r="754" spans="14:19">
      <c r="N754" s="22"/>
      <c r="O754" s="22"/>
      <c r="P754" s="22"/>
      <c r="Q754" s="22"/>
      <c r="R754" s="62"/>
      <c r="S754" s="22"/>
    </row>
    <row r="755" spans="14:19">
      <c r="N755" s="22"/>
      <c r="O755" s="22"/>
      <c r="P755" s="22"/>
      <c r="Q755" s="22"/>
      <c r="R755" s="62"/>
      <c r="S755" s="22"/>
    </row>
    <row r="756" spans="14:19">
      <c r="N756" s="22"/>
      <c r="O756" s="22"/>
      <c r="P756" s="22"/>
      <c r="Q756" s="22"/>
      <c r="R756" s="62"/>
      <c r="S756" s="22"/>
    </row>
    <row r="757" spans="14:19">
      <c r="N757" s="22"/>
      <c r="O757" s="22"/>
      <c r="P757" s="22"/>
      <c r="Q757" s="22"/>
      <c r="R757" s="62"/>
      <c r="S757" s="22"/>
    </row>
    <row r="758" spans="14:19">
      <c r="N758" s="22"/>
      <c r="O758" s="22"/>
      <c r="P758" s="22"/>
      <c r="Q758" s="22"/>
      <c r="R758" s="62"/>
      <c r="S758" s="22"/>
    </row>
    <row r="759" spans="14:19">
      <c r="N759" s="22"/>
      <c r="O759" s="22"/>
      <c r="P759" s="22"/>
      <c r="Q759" s="22"/>
      <c r="R759" s="62"/>
      <c r="S759" s="22"/>
    </row>
    <row r="760" spans="14:19">
      <c r="N760" s="22"/>
      <c r="O760" s="22"/>
      <c r="P760" s="22"/>
      <c r="Q760" s="22"/>
      <c r="R760" s="62"/>
      <c r="S760" s="22"/>
    </row>
    <row r="761" spans="14:19">
      <c r="N761" s="22"/>
      <c r="O761" s="22"/>
      <c r="P761" s="22"/>
      <c r="Q761" s="22"/>
      <c r="R761" s="62"/>
      <c r="S761" s="22"/>
    </row>
    <row r="762" spans="14:19">
      <c r="N762" s="22"/>
      <c r="O762" s="22"/>
      <c r="P762" s="22"/>
      <c r="Q762" s="22"/>
      <c r="R762" s="62"/>
      <c r="S762" s="22"/>
    </row>
    <row r="763" spans="14:19">
      <c r="N763" s="22"/>
      <c r="O763" s="22"/>
      <c r="P763" s="22"/>
      <c r="Q763" s="22"/>
      <c r="R763" s="62"/>
      <c r="S763" s="22"/>
    </row>
    <row r="764" spans="14:19">
      <c r="N764" s="22"/>
      <c r="O764" s="22"/>
      <c r="P764" s="22"/>
      <c r="Q764" s="22"/>
      <c r="R764" s="62"/>
      <c r="S764" s="22"/>
    </row>
    <row r="765" spans="14:19">
      <c r="N765" s="22"/>
      <c r="O765" s="22"/>
      <c r="P765" s="22"/>
      <c r="Q765" s="22"/>
      <c r="R765" s="62"/>
      <c r="S765" s="22"/>
    </row>
    <row r="766" spans="14:19">
      <c r="N766" s="22"/>
      <c r="O766" s="22"/>
      <c r="P766" s="22"/>
      <c r="Q766" s="22"/>
      <c r="R766" s="62"/>
      <c r="S766" s="22"/>
    </row>
    <row r="767" spans="14:19">
      <c r="N767" s="22"/>
      <c r="O767" s="22"/>
      <c r="P767" s="22"/>
      <c r="Q767" s="22"/>
      <c r="R767" s="62"/>
      <c r="S767" s="22"/>
    </row>
    <row r="768" spans="14:19">
      <c r="N768" s="22"/>
      <c r="O768" s="22"/>
      <c r="P768" s="22"/>
      <c r="Q768" s="22"/>
      <c r="R768" s="62"/>
      <c r="S768" s="22"/>
    </row>
    <row r="769" spans="14:19">
      <c r="N769" s="22"/>
      <c r="O769" s="22"/>
      <c r="P769" s="22"/>
      <c r="Q769" s="22"/>
      <c r="R769" s="62"/>
      <c r="S769" s="22"/>
    </row>
    <row r="770" spans="14:19">
      <c r="N770" s="22"/>
      <c r="O770" s="22"/>
      <c r="P770" s="22"/>
      <c r="Q770" s="22"/>
      <c r="R770" s="62"/>
      <c r="S770" s="22"/>
    </row>
    <row r="771" spans="14:19">
      <c r="N771" s="22"/>
      <c r="O771" s="22"/>
      <c r="P771" s="22"/>
      <c r="Q771" s="22"/>
      <c r="R771" s="62"/>
      <c r="S771" s="22"/>
    </row>
    <row r="772" spans="14:19">
      <c r="N772" s="22"/>
      <c r="O772" s="22"/>
      <c r="P772" s="22"/>
      <c r="Q772" s="22"/>
      <c r="R772" s="62"/>
      <c r="S772" s="22"/>
    </row>
    <row r="773" spans="14:19">
      <c r="N773" s="22"/>
      <c r="O773" s="22"/>
      <c r="P773" s="22"/>
      <c r="Q773" s="22"/>
      <c r="R773" s="62"/>
      <c r="S773" s="22"/>
    </row>
    <row r="774" spans="14:19">
      <c r="N774" s="22"/>
      <c r="O774" s="22"/>
      <c r="P774" s="22"/>
      <c r="Q774" s="22"/>
      <c r="R774" s="62"/>
      <c r="S774" s="22"/>
    </row>
    <row r="775" spans="14:19">
      <c r="N775" s="22"/>
      <c r="O775" s="22"/>
      <c r="P775" s="22"/>
      <c r="Q775" s="22"/>
      <c r="R775" s="62"/>
      <c r="S775" s="22"/>
    </row>
    <row r="776" spans="14:19">
      <c r="N776" s="22"/>
      <c r="O776" s="22"/>
      <c r="P776" s="22"/>
      <c r="Q776" s="22"/>
      <c r="R776" s="62"/>
      <c r="S776" s="22"/>
    </row>
    <row r="777" spans="14:19">
      <c r="N777" s="22"/>
      <c r="O777" s="22"/>
      <c r="P777" s="22"/>
      <c r="Q777" s="22"/>
      <c r="R777" s="62"/>
      <c r="S777" s="22"/>
    </row>
    <row r="778" spans="14:19">
      <c r="N778" s="22"/>
      <c r="O778" s="22"/>
      <c r="P778" s="22"/>
      <c r="Q778" s="22"/>
      <c r="R778" s="62"/>
      <c r="S778" s="22"/>
    </row>
    <row r="779" spans="14:19">
      <c r="N779" s="22"/>
      <c r="O779" s="22"/>
      <c r="P779" s="22"/>
      <c r="Q779" s="22"/>
      <c r="R779" s="62"/>
      <c r="S779" s="22"/>
    </row>
    <row r="780" spans="14:19">
      <c r="N780" s="22"/>
      <c r="O780" s="22"/>
      <c r="P780" s="22"/>
      <c r="Q780" s="22"/>
      <c r="R780" s="62"/>
      <c r="S780" s="22"/>
    </row>
    <row r="781" spans="14:19">
      <c r="N781" s="22"/>
      <c r="O781" s="22"/>
      <c r="P781" s="22"/>
      <c r="Q781" s="22"/>
      <c r="R781" s="62"/>
      <c r="S781" s="22"/>
    </row>
    <row r="782" spans="14:19">
      <c r="N782" s="22"/>
      <c r="O782" s="22"/>
      <c r="P782" s="22"/>
      <c r="Q782" s="22"/>
      <c r="R782" s="62"/>
      <c r="S782" s="22"/>
    </row>
    <row r="783" spans="14:19">
      <c r="N783" s="22"/>
      <c r="O783" s="22"/>
      <c r="P783" s="22"/>
      <c r="Q783" s="22"/>
      <c r="R783" s="62"/>
      <c r="S783" s="22"/>
    </row>
    <row r="784" spans="14:19">
      <c r="N784" s="22"/>
      <c r="O784" s="22"/>
      <c r="P784" s="22"/>
      <c r="Q784" s="22"/>
      <c r="R784" s="62"/>
      <c r="S784" s="22"/>
    </row>
    <row r="785" spans="14:19">
      <c r="N785" s="22"/>
      <c r="O785" s="22"/>
      <c r="P785" s="22"/>
      <c r="Q785" s="22"/>
      <c r="R785" s="62"/>
      <c r="S785" s="22"/>
    </row>
    <row r="786" spans="14:19">
      <c r="N786" s="22"/>
      <c r="O786" s="22"/>
      <c r="P786" s="22"/>
      <c r="Q786" s="22"/>
      <c r="R786" s="62"/>
      <c r="S786" s="22"/>
    </row>
    <row r="787" spans="14:19">
      <c r="N787" s="22"/>
      <c r="O787" s="22"/>
      <c r="P787" s="22"/>
      <c r="Q787" s="22"/>
      <c r="R787" s="62"/>
      <c r="S787" s="22"/>
    </row>
    <row r="788" spans="14:19">
      <c r="N788" s="22"/>
      <c r="O788" s="22"/>
      <c r="P788" s="22"/>
      <c r="Q788" s="22"/>
      <c r="R788" s="62"/>
      <c r="S788" s="22"/>
    </row>
    <row r="789" spans="14:19">
      <c r="N789" s="22"/>
      <c r="O789" s="22"/>
      <c r="P789" s="22"/>
      <c r="Q789" s="22"/>
      <c r="R789" s="62"/>
      <c r="S789" s="22"/>
    </row>
    <row r="790" spans="14:19">
      <c r="N790" s="22"/>
      <c r="O790" s="22"/>
      <c r="P790" s="22"/>
      <c r="Q790" s="22"/>
      <c r="R790" s="62"/>
      <c r="S790" s="22"/>
    </row>
    <row r="791" spans="14:19">
      <c r="N791" s="22"/>
      <c r="O791" s="22"/>
      <c r="P791" s="22"/>
      <c r="Q791" s="22"/>
      <c r="R791" s="62"/>
      <c r="S791" s="22"/>
    </row>
    <row r="792" spans="14:19">
      <c r="N792" s="22"/>
      <c r="O792" s="22"/>
      <c r="P792" s="22"/>
      <c r="Q792" s="22"/>
      <c r="R792" s="62"/>
      <c r="S792" s="22"/>
    </row>
    <row r="793" spans="14:19">
      <c r="N793" s="22"/>
      <c r="O793" s="22"/>
      <c r="P793" s="22"/>
      <c r="Q793" s="22"/>
      <c r="R793" s="62"/>
      <c r="S793" s="22"/>
    </row>
    <row r="794" spans="14:19">
      <c r="N794" s="22"/>
      <c r="O794" s="22"/>
      <c r="P794" s="22"/>
      <c r="Q794" s="22"/>
      <c r="R794" s="62"/>
      <c r="S794" s="22"/>
    </row>
    <row r="795" spans="14:19">
      <c r="N795" s="22"/>
      <c r="O795" s="22"/>
      <c r="P795" s="22"/>
      <c r="Q795" s="22"/>
      <c r="R795" s="62"/>
      <c r="S795" s="22"/>
    </row>
    <row r="796" spans="14:19">
      <c r="N796" s="22"/>
      <c r="O796" s="22"/>
      <c r="P796" s="22"/>
      <c r="Q796" s="22"/>
      <c r="R796" s="62"/>
      <c r="S796" s="22"/>
    </row>
    <row r="797" spans="14:19">
      <c r="N797" s="22"/>
      <c r="O797" s="22"/>
      <c r="P797" s="22"/>
      <c r="Q797" s="22"/>
      <c r="R797" s="62"/>
      <c r="S797" s="22"/>
    </row>
    <row r="798" spans="14:19">
      <c r="N798" s="22"/>
      <c r="O798" s="22"/>
      <c r="P798" s="22"/>
      <c r="Q798" s="22"/>
      <c r="R798" s="62"/>
      <c r="S798" s="22"/>
    </row>
    <row r="799" spans="14:19">
      <c r="N799" s="22"/>
      <c r="O799" s="22"/>
      <c r="P799" s="22"/>
      <c r="Q799" s="22"/>
      <c r="R799" s="62"/>
      <c r="S799" s="22"/>
    </row>
    <row r="800" spans="14:19">
      <c r="N800" s="22"/>
      <c r="O800" s="22"/>
      <c r="P800" s="22"/>
      <c r="Q800" s="22"/>
      <c r="R800" s="62"/>
      <c r="S800" s="22"/>
    </row>
    <row r="801" spans="14:19">
      <c r="N801" s="22"/>
      <c r="O801" s="22"/>
      <c r="P801" s="22"/>
      <c r="Q801" s="22"/>
      <c r="R801" s="62"/>
      <c r="S801" s="22"/>
    </row>
    <row r="802" spans="14:19">
      <c r="N802" s="22"/>
      <c r="O802" s="22"/>
      <c r="P802" s="22"/>
      <c r="Q802" s="22"/>
      <c r="R802" s="62"/>
      <c r="S802" s="22"/>
    </row>
    <row r="803" spans="14:19">
      <c r="N803" s="22"/>
      <c r="O803" s="22"/>
      <c r="P803" s="22"/>
      <c r="Q803" s="22"/>
      <c r="R803" s="62"/>
      <c r="S803" s="22"/>
    </row>
    <row r="804" spans="14:19">
      <c r="N804" s="22"/>
      <c r="O804" s="22"/>
      <c r="P804" s="22"/>
      <c r="Q804" s="22"/>
      <c r="R804" s="62"/>
      <c r="S804" s="22"/>
    </row>
    <row r="805" spans="14:19">
      <c r="N805" s="22"/>
      <c r="O805" s="22"/>
      <c r="P805" s="22"/>
      <c r="Q805" s="22"/>
      <c r="R805" s="62"/>
      <c r="S805" s="22"/>
    </row>
    <row r="806" spans="14:19">
      <c r="N806" s="22"/>
      <c r="O806" s="22"/>
      <c r="P806" s="22"/>
      <c r="Q806" s="22"/>
      <c r="R806" s="62"/>
      <c r="S806" s="22"/>
    </row>
    <row r="807" spans="14:19">
      <c r="N807" s="22"/>
      <c r="O807" s="22"/>
      <c r="P807" s="22"/>
      <c r="Q807" s="22"/>
      <c r="R807" s="62"/>
      <c r="S807" s="22"/>
    </row>
    <row r="808" spans="14:19">
      <c r="N808" s="22"/>
      <c r="O808" s="22"/>
      <c r="P808" s="22"/>
      <c r="Q808" s="22"/>
      <c r="R808" s="62"/>
      <c r="S808" s="22"/>
    </row>
    <row r="809" spans="14:19">
      <c r="N809" s="22"/>
      <c r="O809" s="22"/>
      <c r="P809" s="22"/>
      <c r="Q809" s="22"/>
      <c r="R809" s="62"/>
      <c r="S809" s="22"/>
    </row>
    <row r="810" spans="14:19">
      <c r="N810" s="22"/>
      <c r="O810" s="22"/>
      <c r="P810" s="22"/>
      <c r="Q810" s="22"/>
      <c r="R810" s="62"/>
      <c r="S810" s="22"/>
    </row>
    <row r="811" spans="14:19">
      <c r="N811" s="22"/>
      <c r="O811" s="22"/>
      <c r="P811" s="22"/>
      <c r="Q811" s="22"/>
      <c r="R811" s="62"/>
      <c r="S811" s="22"/>
    </row>
    <row r="812" spans="14:19">
      <c r="N812" s="22"/>
      <c r="O812" s="22"/>
      <c r="P812" s="22"/>
      <c r="Q812" s="22"/>
      <c r="R812" s="62"/>
      <c r="S812" s="22"/>
    </row>
    <row r="813" spans="14:19">
      <c r="N813" s="22"/>
      <c r="O813" s="22"/>
      <c r="P813" s="22"/>
      <c r="Q813" s="22"/>
      <c r="R813" s="62"/>
      <c r="S813" s="22"/>
    </row>
    <row r="814" spans="14:19">
      <c r="N814" s="22"/>
      <c r="O814" s="22"/>
      <c r="P814" s="22"/>
      <c r="Q814" s="22"/>
      <c r="R814" s="62"/>
      <c r="S814" s="22"/>
    </row>
    <row r="815" spans="14:19">
      <c r="N815" s="22"/>
      <c r="O815" s="22"/>
      <c r="P815" s="22"/>
      <c r="Q815" s="22"/>
      <c r="R815" s="62"/>
      <c r="S815" s="22"/>
    </row>
    <row r="816" spans="14:19">
      <c r="N816" s="22"/>
      <c r="O816" s="22"/>
      <c r="P816" s="22"/>
      <c r="Q816" s="22"/>
      <c r="R816" s="62"/>
      <c r="S816" s="22"/>
    </row>
    <row r="817" spans="14:19">
      <c r="N817" s="22"/>
      <c r="O817" s="22"/>
      <c r="P817" s="22"/>
      <c r="Q817" s="22"/>
      <c r="R817" s="62"/>
      <c r="S817" s="22"/>
    </row>
    <row r="818" spans="14:19">
      <c r="N818" s="22"/>
      <c r="O818" s="22"/>
      <c r="P818" s="22"/>
      <c r="Q818" s="22"/>
      <c r="R818" s="62"/>
      <c r="S818" s="22"/>
    </row>
    <row r="819" spans="14:19">
      <c r="N819" s="22"/>
      <c r="O819" s="22"/>
      <c r="P819" s="22"/>
      <c r="Q819" s="22"/>
      <c r="R819" s="62"/>
      <c r="S819" s="22"/>
    </row>
    <row r="820" spans="14:19">
      <c r="N820" s="22"/>
      <c r="O820" s="22"/>
      <c r="P820" s="22"/>
      <c r="Q820" s="22"/>
      <c r="R820" s="62"/>
      <c r="S820" s="22"/>
    </row>
    <row r="821" spans="14:19">
      <c r="N821" s="22"/>
      <c r="O821" s="22"/>
      <c r="P821" s="22"/>
      <c r="Q821" s="22"/>
      <c r="R821" s="62"/>
      <c r="S821" s="22"/>
    </row>
    <row r="822" spans="14:19">
      <c r="N822" s="22"/>
      <c r="O822" s="22"/>
      <c r="P822" s="22"/>
      <c r="Q822" s="22"/>
      <c r="R822" s="62"/>
      <c r="S822" s="22"/>
    </row>
    <row r="823" spans="14:19">
      <c r="N823" s="22"/>
      <c r="O823" s="22"/>
      <c r="P823" s="22"/>
      <c r="Q823" s="22"/>
      <c r="R823" s="62"/>
      <c r="S823" s="22"/>
    </row>
    <row r="824" spans="14:19">
      <c r="N824" s="22"/>
      <c r="O824" s="22"/>
      <c r="P824" s="22"/>
      <c r="Q824" s="22"/>
      <c r="R824" s="62"/>
      <c r="S824" s="22"/>
    </row>
    <row r="825" spans="14:19">
      <c r="N825" s="22"/>
      <c r="O825" s="22"/>
      <c r="P825" s="22"/>
      <c r="Q825" s="22"/>
      <c r="R825" s="62"/>
      <c r="S825" s="22"/>
    </row>
    <row r="826" spans="14:19">
      <c r="N826" s="22"/>
      <c r="O826" s="22"/>
      <c r="P826" s="22"/>
      <c r="Q826" s="22"/>
      <c r="R826" s="62"/>
      <c r="S826" s="22"/>
    </row>
    <row r="827" spans="14:19">
      <c r="N827" s="22"/>
      <c r="O827" s="22"/>
      <c r="P827" s="22"/>
      <c r="Q827" s="22"/>
      <c r="R827" s="62"/>
      <c r="S827" s="22"/>
    </row>
    <row r="828" spans="14:19">
      <c r="N828" s="22"/>
      <c r="O828" s="22"/>
      <c r="P828" s="22"/>
      <c r="Q828" s="22"/>
      <c r="R828" s="62"/>
      <c r="S828" s="22"/>
    </row>
    <row r="829" spans="14:19">
      <c r="N829" s="22"/>
      <c r="O829" s="22"/>
      <c r="P829" s="22"/>
      <c r="Q829" s="22"/>
      <c r="R829" s="62"/>
      <c r="S829" s="22"/>
    </row>
    <row r="830" spans="14:19">
      <c r="N830" s="22"/>
      <c r="O830" s="22"/>
      <c r="P830" s="22"/>
      <c r="Q830" s="22"/>
      <c r="R830" s="62"/>
      <c r="S830" s="22"/>
    </row>
    <row r="831" spans="14:19">
      <c r="N831" s="22"/>
      <c r="O831" s="22"/>
      <c r="P831" s="22"/>
      <c r="Q831" s="22"/>
      <c r="R831" s="62"/>
      <c r="S831" s="22"/>
    </row>
    <row r="832" spans="14:19">
      <c r="N832" s="22"/>
      <c r="O832" s="22"/>
      <c r="P832" s="22"/>
      <c r="Q832" s="22"/>
      <c r="R832" s="62"/>
      <c r="S832" s="22"/>
    </row>
    <row r="833" spans="14:19">
      <c r="N833" s="22"/>
      <c r="O833" s="22"/>
      <c r="P833" s="22"/>
      <c r="Q833" s="22"/>
      <c r="R833" s="62"/>
      <c r="S833" s="22"/>
    </row>
    <row r="834" spans="14:19">
      <c r="N834" s="22"/>
      <c r="O834" s="22"/>
      <c r="P834" s="22"/>
      <c r="Q834" s="22"/>
      <c r="R834" s="62"/>
      <c r="S834" s="22"/>
    </row>
    <row r="835" spans="14:19">
      <c r="N835" s="22"/>
      <c r="O835" s="22"/>
      <c r="P835" s="22"/>
      <c r="Q835" s="22"/>
      <c r="R835" s="62"/>
      <c r="S835" s="22"/>
    </row>
    <row r="836" spans="14:19">
      <c r="N836" s="22"/>
      <c r="O836" s="22"/>
      <c r="P836" s="22"/>
      <c r="Q836" s="22"/>
      <c r="R836" s="62"/>
      <c r="S836" s="22"/>
    </row>
    <row r="837" spans="14:19">
      <c r="N837" s="22"/>
      <c r="O837" s="22"/>
      <c r="P837" s="22"/>
      <c r="Q837" s="22"/>
      <c r="R837" s="62"/>
      <c r="S837" s="22"/>
    </row>
    <row r="838" spans="14:19">
      <c r="N838" s="22"/>
      <c r="O838" s="22"/>
      <c r="P838" s="22"/>
      <c r="Q838" s="22"/>
      <c r="R838" s="62"/>
      <c r="S838" s="22"/>
    </row>
    <row r="839" spans="14:19">
      <c r="N839" s="22"/>
      <c r="O839" s="22"/>
      <c r="P839" s="22"/>
      <c r="Q839" s="22"/>
      <c r="R839" s="62"/>
      <c r="S839" s="22"/>
    </row>
    <row r="840" spans="14:19">
      <c r="N840" s="22"/>
      <c r="O840" s="22"/>
      <c r="P840" s="22"/>
      <c r="Q840" s="22"/>
      <c r="R840" s="62"/>
      <c r="S840" s="22"/>
    </row>
    <row r="841" spans="14:19">
      <c r="N841" s="22"/>
      <c r="O841" s="22"/>
      <c r="P841" s="22"/>
      <c r="Q841" s="22"/>
      <c r="R841" s="62"/>
      <c r="S841" s="22"/>
    </row>
    <row r="842" spans="14:19">
      <c r="N842" s="22"/>
      <c r="O842" s="22"/>
      <c r="P842" s="22"/>
      <c r="Q842" s="22"/>
      <c r="R842" s="62"/>
      <c r="S842" s="22"/>
    </row>
    <row r="843" spans="14:19">
      <c r="N843" s="22"/>
      <c r="O843" s="22"/>
      <c r="P843" s="22"/>
      <c r="Q843" s="22"/>
      <c r="R843" s="62"/>
      <c r="S843" s="22"/>
    </row>
    <row r="844" spans="14:19">
      <c r="N844" s="22"/>
      <c r="O844" s="22"/>
      <c r="P844" s="22"/>
      <c r="Q844" s="22"/>
      <c r="R844" s="62"/>
      <c r="S844" s="22"/>
    </row>
    <row r="845" spans="14:19">
      <c r="N845" s="22"/>
      <c r="O845" s="22"/>
      <c r="P845" s="22"/>
      <c r="Q845" s="22"/>
      <c r="R845" s="62"/>
      <c r="S845" s="22"/>
    </row>
    <row r="846" spans="14:19">
      <c r="N846" s="22"/>
      <c r="O846" s="22"/>
      <c r="P846" s="22"/>
      <c r="Q846" s="22"/>
      <c r="R846" s="62"/>
      <c r="S846" s="22"/>
    </row>
    <row r="847" spans="14:19">
      <c r="N847" s="22"/>
      <c r="O847" s="22"/>
      <c r="P847" s="22"/>
      <c r="Q847" s="22"/>
      <c r="R847" s="62"/>
      <c r="S847" s="22"/>
    </row>
    <row r="848" spans="14:19">
      <c r="N848" s="22"/>
      <c r="O848" s="22"/>
      <c r="P848" s="22"/>
      <c r="Q848" s="22"/>
      <c r="R848" s="62"/>
      <c r="S848" s="22"/>
    </row>
    <row r="849" spans="14:19">
      <c r="N849" s="22"/>
      <c r="O849" s="22"/>
      <c r="P849" s="22"/>
      <c r="Q849" s="22"/>
      <c r="R849" s="62"/>
      <c r="S849" s="22"/>
    </row>
    <row r="850" spans="14:19">
      <c r="N850" s="22"/>
      <c r="O850" s="22"/>
      <c r="P850" s="22"/>
      <c r="Q850" s="22"/>
      <c r="R850" s="62"/>
      <c r="S850" s="22"/>
    </row>
    <row r="851" spans="14:19">
      <c r="N851" s="22"/>
      <c r="O851" s="22"/>
      <c r="P851" s="22"/>
      <c r="Q851" s="22"/>
      <c r="R851" s="62"/>
      <c r="S851" s="22"/>
    </row>
    <row r="852" spans="14:19">
      <c r="N852" s="22"/>
      <c r="O852" s="22"/>
      <c r="P852" s="22"/>
      <c r="Q852" s="22"/>
      <c r="R852" s="62"/>
      <c r="S852" s="22"/>
    </row>
    <row r="853" spans="14:19">
      <c r="N853" s="22"/>
      <c r="O853" s="22"/>
      <c r="P853" s="22"/>
      <c r="Q853" s="22"/>
      <c r="R853" s="62"/>
      <c r="S853" s="22"/>
    </row>
    <row r="854" spans="14:19">
      <c r="N854" s="22"/>
      <c r="O854" s="22"/>
      <c r="P854" s="22"/>
      <c r="Q854" s="22"/>
      <c r="R854" s="62"/>
      <c r="S854" s="22"/>
    </row>
    <row r="855" spans="14:19">
      <c r="N855" s="22"/>
      <c r="O855" s="22"/>
      <c r="P855" s="22"/>
      <c r="Q855" s="22"/>
      <c r="R855" s="62"/>
      <c r="S855" s="22"/>
    </row>
    <row r="856" spans="14:19">
      <c r="N856" s="22"/>
      <c r="O856" s="22"/>
      <c r="P856" s="22"/>
      <c r="Q856" s="22"/>
      <c r="R856" s="62"/>
      <c r="S856" s="22"/>
    </row>
    <row r="857" spans="14:19">
      <c r="N857" s="22"/>
      <c r="O857" s="22"/>
      <c r="P857" s="22"/>
      <c r="Q857" s="22"/>
      <c r="R857" s="62"/>
      <c r="S857" s="22"/>
    </row>
    <row r="858" spans="14:19">
      <c r="N858" s="22"/>
      <c r="O858" s="22"/>
      <c r="P858" s="22"/>
      <c r="Q858" s="22"/>
      <c r="R858" s="62"/>
      <c r="S858" s="22"/>
    </row>
    <row r="859" spans="14:19">
      <c r="N859" s="22"/>
      <c r="O859" s="22"/>
      <c r="P859" s="22"/>
      <c r="Q859" s="22"/>
      <c r="R859" s="62"/>
      <c r="S859" s="22"/>
    </row>
    <row r="860" spans="14:19">
      <c r="N860" s="22"/>
      <c r="O860" s="22"/>
      <c r="P860" s="22"/>
      <c r="Q860" s="22"/>
      <c r="R860" s="62"/>
      <c r="S860" s="22"/>
    </row>
    <row r="861" spans="14:19">
      <c r="N861" s="22"/>
      <c r="O861" s="22"/>
      <c r="P861" s="22"/>
      <c r="Q861" s="22"/>
      <c r="R861" s="62"/>
      <c r="S861" s="22"/>
    </row>
    <row r="862" spans="14:19">
      <c r="N862" s="22"/>
      <c r="O862" s="22"/>
      <c r="P862" s="22"/>
      <c r="Q862" s="22"/>
      <c r="R862" s="62"/>
      <c r="S862" s="22"/>
    </row>
    <row r="863" spans="14:19">
      <c r="N863" s="22"/>
      <c r="O863" s="22"/>
      <c r="P863" s="22"/>
      <c r="Q863" s="22"/>
      <c r="R863" s="62"/>
      <c r="S863" s="22"/>
    </row>
    <row r="864" spans="14:19">
      <c r="N864" s="22"/>
      <c r="O864" s="22"/>
      <c r="P864" s="22"/>
      <c r="Q864" s="22"/>
      <c r="R864" s="62"/>
      <c r="S864" s="22"/>
    </row>
    <row r="865" spans="14:19">
      <c r="N865" s="22"/>
      <c r="O865" s="22"/>
      <c r="P865" s="22"/>
      <c r="Q865" s="22"/>
      <c r="R865" s="62"/>
      <c r="S865" s="22"/>
    </row>
    <row r="866" spans="14:19">
      <c r="N866" s="22"/>
      <c r="O866" s="22"/>
      <c r="P866" s="22"/>
      <c r="Q866" s="22"/>
      <c r="R866" s="62"/>
      <c r="S866" s="22"/>
    </row>
    <row r="867" spans="14:19">
      <c r="N867" s="22"/>
      <c r="O867" s="22"/>
      <c r="P867" s="22"/>
      <c r="Q867" s="22"/>
      <c r="R867" s="62"/>
      <c r="S867" s="22"/>
    </row>
    <row r="868" spans="14:19">
      <c r="N868" s="22"/>
      <c r="O868" s="22"/>
      <c r="P868" s="22"/>
      <c r="Q868" s="22"/>
      <c r="R868" s="62"/>
      <c r="S868" s="22"/>
    </row>
    <row r="869" spans="14:19">
      <c r="N869" s="22"/>
      <c r="O869" s="22"/>
      <c r="P869" s="22"/>
      <c r="Q869" s="22"/>
      <c r="R869" s="62"/>
      <c r="S869" s="22"/>
    </row>
    <row r="870" spans="14:19">
      <c r="N870" s="22"/>
      <c r="O870" s="22"/>
      <c r="P870" s="22"/>
      <c r="Q870" s="22"/>
      <c r="R870" s="62"/>
      <c r="S870" s="22"/>
    </row>
    <row r="871" spans="14:19">
      <c r="N871" s="22"/>
      <c r="O871" s="22"/>
      <c r="P871" s="22"/>
      <c r="Q871" s="22"/>
      <c r="R871" s="62"/>
      <c r="S871" s="22"/>
    </row>
    <row r="872" spans="14:19">
      <c r="N872" s="22"/>
      <c r="O872" s="22"/>
      <c r="P872" s="22"/>
      <c r="Q872" s="22"/>
      <c r="R872" s="62"/>
      <c r="S872" s="22"/>
    </row>
    <row r="873" spans="14:19">
      <c r="N873" s="22"/>
      <c r="O873" s="22"/>
      <c r="P873" s="22"/>
      <c r="Q873" s="22"/>
      <c r="R873" s="62"/>
      <c r="S873" s="22"/>
    </row>
    <row r="874" spans="14:19">
      <c r="N874" s="22"/>
      <c r="O874" s="22"/>
      <c r="P874" s="22"/>
      <c r="Q874" s="22"/>
      <c r="R874" s="62"/>
      <c r="S874" s="22"/>
    </row>
    <row r="875" spans="14:19">
      <c r="N875" s="22"/>
      <c r="O875" s="22"/>
      <c r="P875" s="22"/>
      <c r="Q875" s="22"/>
      <c r="R875" s="62"/>
      <c r="S875" s="22"/>
    </row>
    <row r="876" spans="14:19">
      <c r="N876" s="22"/>
      <c r="O876" s="22"/>
      <c r="P876" s="22"/>
      <c r="Q876" s="22"/>
      <c r="R876" s="62"/>
      <c r="S876" s="22"/>
    </row>
    <row r="877" spans="14:19">
      <c r="N877" s="22"/>
      <c r="O877" s="22"/>
      <c r="P877" s="22"/>
      <c r="Q877" s="22"/>
      <c r="R877" s="62"/>
      <c r="S877" s="22"/>
    </row>
    <row r="878" spans="14:19">
      <c r="N878" s="22"/>
      <c r="O878" s="22"/>
      <c r="P878" s="22"/>
      <c r="Q878" s="22"/>
      <c r="R878" s="62"/>
      <c r="S878" s="22"/>
    </row>
    <row r="879" spans="14:19">
      <c r="N879" s="22"/>
      <c r="O879" s="22"/>
      <c r="P879" s="22"/>
      <c r="Q879" s="22"/>
      <c r="R879" s="62"/>
      <c r="S879" s="22"/>
    </row>
    <row r="880" spans="14:19">
      <c r="N880" s="22"/>
      <c r="O880" s="22"/>
      <c r="P880" s="22"/>
      <c r="Q880" s="22"/>
      <c r="R880" s="62"/>
      <c r="S880" s="22"/>
    </row>
    <row r="881" spans="14:19">
      <c r="N881" s="22"/>
      <c r="O881" s="22"/>
      <c r="P881" s="22"/>
      <c r="Q881" s="22"/>
      <c r="R881" s="62"/>
      <c r="S881" s="22"/>
    </row>
    <row r="882" spans="14:19">
      <c r="N882" s="22"/>
      <c r="O882" s="22"/>
      <c r="P882" s="22"/>
      <c r="Q882" s="22"/>
      <c r="R882" s="62"/>
      <c r="S882" s="22"/>
    </row>
    <row r="883" spans="14:19">
      <c r="N883" s="22"/>
      <c r="O883" s="22"/>
      <c r="P883" s="22"/>
      <c r="Q883" s="22"/>
      <c r="R883" s="62"/>
      <c r="S883" s="22"/>
    </row>
    <row r="884" spans="14:19">
      <c r="N884" s="22"/>
      <c r="O884" s="22"/>
      <c r="P884" s="22"/>
      <c r="Q884" s="22"/>
      <c r="R884" s="62"/>
      <c r="S884" s="22"/>
    </row>
    <row r="885" spans="14:19">
      <c r="N885" s="22"/>
      <c r="O885" s="22"/>
      <c r="P885" s="22"/>
      <c r="Q885" s="22"/>
      <c r="R885" s="62"/>
      <c r="S885" s="22"/>
    </row>
    <row r="886" spans="14:19">
      <c r="N886" s="22"/>
      <c r="O886" s="22"/>
      <c r="P886" s="22"/>
      <c r="Q886" s="22"/>
      <c r="R886" s="62"/>
      <c r="S886" s="22"/>
    </row>
    <row r="887" spans="14:19">
      <c r="N887" s="22"/>
      <c r="O887" s="22"/>
      <c r="P887" s="22"/>
      <c r="Q887" s="22"/>
      <c r="R887" s="62"/>
      <c r="S887" s="22"/>
    </row>
    <row r="888" spans="14:19">
      <c r="N888" s="22"/>
      <c r="O888" s="22"/>
      <c r="P888" s="22"/>
      <c r="Q888" s="22"/>
      <c r="R888" s="62"/>
      <c r="S888" s="22"/>
    </row>
    <row r="889" spans="14:19">
      <c r="N889" s="22"/>
      <c r="O889" s="22"/>
      <c r="P889" s="22"/>
      <c r="Q889" s="22"/>
      <c r="R889" s="62"/>
      <c r="S889" s="22"/>
    </row>
    <row r="890" spans="14:19">
      <c r="N890" s="22"/>
      <c r="O890" s="22"/>
      <c r="P890" s="22"/>
      <c r="Q890" s="22"/>
      <c r="R890" s="62"/>
      <c r="S890" s="22"/>
    </row>
    <row r="891" spans="14:19">
      <c r="N891" s="22"/>
      <c r="O891" s="22"/>
      <c r="P891" s="22"/>
      <c r="Q891" s="22"/>
      <c r="R891" s="62"/>
      <c r="S891" s="22"/>
    </row>
    <row r="892" spans="14:19">
      <c r="N892" s="22"/>
      <c r="O892" s="22"/>
      <c r="P892" s="22"/>
      <c r="Q892" s="22"/>
      <c r="R892" s="62"/>
      <c r="S892" s="22"/>
    </row>
    <row r="893" spans="14:19">
      <c r="N893" s="22"/>
      <c r="O893" s="22"/>
      <c r="P893" s="22"/>
      <c r="Q893" s="22"/>
      <c r="R893" s="62"/>
      <c r="S893" s="22"/>
    </row>
    <row r="894" spans="14:19">
      <c r="N894" s="22"/>
      <c r="O894" s="22"/>
      <c r="P894" s="22"/>
      <c r="Q894" s="22"/>
      <c r="R894" s="62"/>
      <c r="S894" s="22"/>
    </row>
    <row r="895" spans="14:19">
      <c r="N895" s="22"/>
      <c r="O895" s="22"/>
      <c r="P895" s="22"/>
      <c r="Q895" s="22"/>
      <c r="R895" s="62"/>
      <c r="S895" s="22"/>
    </row>
    <row r="896" spans="14:19">
      <c r="N896" s="22"/>
      <c r="O896" s="22"/>
      <c r="P896" s="22"/>
      <c r="Q896" s="22"/>
      <c r="R896" s="62"/>
      <c r="S896" s="22"/>
    </row>
    <row r="897" spans="14:19">
      <c r="N897" s="22"/>
      <c r="O897" s="22"/>
      <c r="P897" s="22"/>
      <c r="Q897" s="22"/>
      <c r="R897" s="62"/>
      <c r="S897" s="22"/>
    </row>
    <row r="898" spans="14:19">
      <c r="N898" s="22"/>
      <c r="O898" s="22"/>
      <c r="P898" s="22"/>
      <c r="Q898" s="22"/>
      <c r="R898" s="62"/>
      <c r="S898" s="22"/>
    </row>
    <row r="899" spans="14:19">
      <c r="N899" s="22"/>
      <c r="O899" s="22"/>
      <c r="P899" s="22"/>
      <c r="Q899" s="22"/>
      <c r="R899" s="62"/>
      <c r="S899" s="22"/>
    </row>
    <row r="900" spans="14:19">
      <c r="N900" s="22"/>
      <c r="O900" s="22"/>
      <c r="P900" s="22"/>
      <c r="Q900" s="22"/>
      <c r="R900" s="62"/>
      <c r="S900" s="22"/>
    </row>
    <row r="901" spans="14:19">
      <c r="N901" s="22"/>
      <c r="O901" s="22"/>
      <c r="P901" s="22"/>
      <c r="Q901" s="22"/>
      <c r="R901" s="62"/>
      <c r="S901" s="22"/>
    </row>
    <row r="902" spans="14:19">
      <c r="N902" s="22"/>
      <c r="O902" s="22"/>
      <c r="P902" s="22"/>
      <c r="Q902" s="22"/>
      <c r="R902" s="62"/>
      <c r="S902" s="22"/>
    </row>
    <row r="903" spans="14:19">
      <c r="N903" s="22"/>
      <c r="O903" s="22"/>
      <c r="P903" s="22"/>
      <c r="Q903" s="22"/>
      <c r="R903" s="62"/>
      <c r="S903" s="22"/>
    </row>
    <row r="904" spans="14:19">
      <c r="N904" s="22"/>
      <c r="O904" s="22"/>
      <c r="P904" s="22"/>
      <c r="Q904" s="22"/>
      <c r="R904" s="62"/>
      <c r="S904" s="22"/>
    </row>
    <row r="905" spans="14:19">
      <c r="N905" s="22"/>
      <c r="O905" s="22"/>
      <c r="P905" s="22"/>
      <c r="Q905" s="22"/>
      <c r="R905" s="62"/>
      <c r="S905" s="22"/>
    </row>
    <row r="906" spans="14:19">
      <c r="N906" s="22"/>
      <c r="O906" s="22"/>
      <c r="P906" s="22"/>
      <c r="Q906" s="22"/>
      <c r="R906" s="62"/>
      <c r="S906" s="22"/>
    </row>
    <row r="907" spans="14:19">
      <c r="N907" s="22"/>
      <c r="O907" s="22"/>
      <c r="P907" s="22"/>
      <c r="Q907" s="22"/>
      <c r="R907" s="62"/>
      <c r="S907" s="22"/>
    </row>
    <row r="908" spans="14:19">
      <c r="N908" s="22"/>
      <c r="O908" s="22"/>
      <c r="P908" s="22"/>
      <c r="Q908" s="22"/>
      <c r="R908" s="62"/>
      <c r="S908" s="22"/>
    </row>
    <row r="909" spans="14:19">
      <c r="N909" s="22"/>
      <c r="O909" s="22"/>
      <c r="P909" s="22"/>
      <c r="Q909" s="22"/>
      <c r="R909" s="62"/>
      <c r="S909" s="22"/>
    </row>
  </sheetData>
  <phoneticPr fontId="2" type="noConversion"/>
  <conditionalFormatting sqref="R114:R12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4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1:R1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30:R131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3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33:R140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1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2:R14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5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9:R171 R159:R162 R1:R157 R165:R16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50:R153 R169 R121:R124 R126:R12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59:R162 R169 R150:R157 R1:R124 R126:R129 R165:R16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59:R162 R169 R150:R157 R1:R131 R165:R167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59:R162 R169 R150:R157 R1:R140 R165:R167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59:R162 R169 R1:R157 R165:R167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5:R167 R169 R1:R16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1">
      <colorScale>
        <cfvo type="min"/>
        <cfvo type="max"/>
        <color rgb="FFFF7128"/>
        <color rgb="FFFFEF9C"/>
      </colorScale>
    </cfRule>
  </conditionalFormatting>
  <conditionalFormatting sqref="R163:R1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3:R16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3:R16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3:R16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3:R16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3:R16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3:R16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3:R16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R1:R167 R16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conditionalFormatting sqref="R154:R157 R1:R113 R159:R162 R165:R167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54:R157 R1:R120 R159:R162 R165:R167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4027-82BC-48C7-AE1A-A651D3639F0C}">
  <sheetPr codeName="Sheet4">
    <pageSetUpPr fitToPage="1"/>
  </sheetPr>
  <dimension ref="A1:W796"/>
  <sheetViews>
    <sheetView zoomScale="70" zoomScaleNormal="70" workbookViewId="0">
      <pane ySplit="1" topLeftCell="A2" activePane="bottomLeft" state="frozen"/>
      <selection pane="bottomLeft" activeCell="I19" sqref="I19"/>
    </sheetView>
  </sheetViews>
  <sheetFormatPr defaultRowHeight="15"/>
  <cols>
    <col min="1" max="1" width="29.7109375" customWidth="1"/>
    <col min="3" max="3" width="13.85546875" style="52" customWidth="1"/>
    <col min="4" max="4" width="13.140625" style="43" customWidth="1"/>
    <col min="5" max="5" width="21.42578125" customWidth="1"/>
    <col min="6" max="6" width="8.140625" customWidth="1"/>
    <col min="7" max="7" width="10.7109375" style="51" customWidth="1"/>
    <col min="8" max="8" width="10.7109375" customWidth="1"/>
    <col min="9" max="9" width="20.7109375" style="30" customWidth="1"/>
    <col min="10" max="10" width="10.7109375" style="43" customWidth="1"/>
    <col min="11" max="11" width="10.7109375" style="50" customWidth="1"/>
    <col min="12" max="12" width="10.7109375" style="49" customWidth="1"/>
    <col min="13" max="13" width="10.7109375" customWidth="1"/>
    <col min="14" max="14" width="10.7109375" style="43" customWidth="1"/>
    <col min="15" max="15" width="8.85546875" customWidth="1"/>
    <col min="16" max="16" width="15.42578125" style="69" customWidth="1"/>
    <col min="17" max="17" width="10.85546875" style="21" customWidth="1"/>
    <col min="18" max="18" width="11.28515625" style="72" bestFit="1" customWidth="1"/>
    <col min="19" max="19" width="10.85546875" style="72" bestFit="1" customWidth="1"/>
    <col min="20" max="20" width="10.140625" style="61" bestFit="1" customWidth="1"/>
    <col min="21" max="21" width="20.42578125" customWidth="1"/>
    <col min="22" max="22" width="15.85546875" customWidth="1"/>
  </cols>
  <sheetData>
    <row r="1" spans="1:22" ht="14.25" customHeight="1">
      <c r="A1" s="28"/>
      <c r="B1" s="28" t="s">
        <v>136</v>
      </c>
      <c r="C1" s="59" t="s">
        <v>496</v>
      </c>
      <c r="D1" s="28" t="s">
        <v>497</v>
      </c>
      <c r="E1" s="29" t="s">
        <v>260</v>
      </c>
      <c r="F1" s="24" t="s">
        <v>261</v>
      </c>
      <c r="G1" s="53" t="s">
        <v>138</v>
      </c>
      <c r="H1" s="28" t="s">
        <v>139</v>
      </c>
      <c r="I1" s="31" t="s">
        <v>140</v>
      </c>
      <c r="J1" s="24" t="s">
        <v>262</v>
      </c>
      <c r="K1" s="46" t="s">
        <v>141</v>
      </c>
      <c r="L1" s="46" t="s">
        <v>142</v>
      </c>
      <c r="M1" s="24" t="s">
        <v>143</v>
      </c>
      <c r="N1" s="24" t="s">
        <v>144</v>
      </c>
      <c r="O1" s="24" t="s">
        <v>498</v>
      </c>
      <c r="P1" s="85" t="s">
        <v>146</v>
      </c>
      <c r="Q1" s="20" t="s">
        <v>147</v>
      </c>
      <c r="R1" s="72" t="s">
        <v>148</v>
      </c>
      <c r="S1" s="71" t="s">
        <v>146</v>
      </c>
      <c r="T1" s="60"/>
      <c r="U1" t="s">
        <v>263</v>
      </c>
    </row>
    <row r="2" spans="1:22">
      <c r="A2" s="24" t="s">
        <v>499</v>
      </c>
      <c r="B2" s="24" t="s">
        <v>151</v>
      </c>
      <c r="C2" s="25">
        <v>43709</v>
      </c>
      <c r="D2" s="25">
        <v>43713</v>
      </c>
      <c r="E2" s="25" t="s">
        <v>500</v>
      </c>
      <c r="F2" s="24"/>
      <c r="G2" s="45">
        <v>37862.449999999997</v>
      </c>
      <c r="H2" s="24">
        <v>37862.449999999997</v>
      </c>
      <c r="I2" s="32">
        <v>38975</v>
      </c>
      <c r="J2" s="24">
        <v>220</v>
      </c>
      <c r="K2" s="47">
        <v>400</v>
      </c>
      <c r="L2" s="47">
        <f t="shared" ref="L2:L13" si="0">I2-H2-K2</f>
        <v>712.55000000000291</v>
      </c>
      <c r="M2" s="24"/>
      <c r="N2" s="24"/>
      <c r="O2" s="24"/>
      <c r="P2" s="86">
        <f t="shared" ref="P2:P13" si="1">L2-N2</f>
        <v>712.55000000000291</v>
      </c>
      <c r="Q2" s="23" t="s">
        <v>348</v>
      </c>
      <c r="R2" s="76">
        <v>0</v>
      </c>
      <c r="S2" s="72">
        <f t="shared" ref="S2:S13" si="2">P2-R2+J2</f>
        <v>932.55000000000291</v>
      </c>
    </row>
    <row r="3" spans="1:22">
      <c r="A3" s="24" t="s">
        <v>322</v>
      </c>
      <c r="B3" s="24" t="s">
        <v>151</v>
      </c>
      <c r="C3" s="25">
        <v>43709</v>
      </c>
      <c r="D3" s="25">
        <v>43713</v>
      </c>
      <c r="E3" s="25" t="s">
        <v>501</v>
      </c>
      <c r="F3" s="24"/>
      <c r="G3" s="45">
        <v>23940</v>
      </c>
      <c r="H3" s="24">
        <v>23940</v>
      </c>
      <c r="I3" s="32">
        <v>23940</v>
      </c>
      <c r="J3" s="24">
        <v>0</v>
      </c>
      <c r="K3" s="47">
        <v>0</v>
      </c>
      <c r="L3" s="47">
        <f t="shared" si="0"/>
        <v>0</v>
      </c>
      <c r="M3" s="24"/>
      <c r="N3" s="24"/>
      <c r="O3" s="24"/>
      <c r="P3" s="86">
        <f t="shared" si="1"/>
        <v>0</v>
      </c>
      <c r="Q3" s="23" t="s">
        <v>127</v>
      </c>
      <c r="R3" s="76">
        <v>0</v>
      </c>
      <c r="S3" s="72">
        <f t="shared" si="2"/>
        <v>0</v>
      </c>
    </row>
    <row r="4" spans="1:22">
      <c r="A4" s="24" t="s">
        <v>502</v>
      </c>
      <c r="B4" s="24" t="s">
        <v>151</v>
      </c>
      <c r="C4" s="25">
        <v>43709</v>
      </c>
      <c r="D4" s="25">
        <v>43713</v>
      </c>
      <c r="E4" s="25" t="s">
        <v>503</v>
      </c>
      <c r="F4" s="24"/>
      <c r="G4" s="45">
        <v>13213</v>
      </c>
      <c r="H4" s="24">
        <v>13213</v>
      </c>
      <c r="I4" s="32">
        <v>8395</v>
      </c>
      <c r="J4" s="24">
        <v>0</v>
      </c>
      <c r="K4" s="47">
        <v>70</v>
      </c>
      <c r="L4" s="47">
        <f t="shared" si="0"/>
        <v>-4888</v>
      </c>
      <c r="M4" s="24"/>
      <c r="N4" s="24"/>
      <c r="O4" s="24"/>
      <c r="P4" s="86">
        <f t="shared" si="1"/>
        <v>-4888</v>
      </c>
      <c r="Q4" s="23" t="s">
        <v>127</v>
      </c>
      <c r="R4" s="76">
        <v>0</v>
      </c>
      <c r="S4" s="72">
        <f t="shared" si="2"/>
        <v>-4888</v>
      </c>
    </row>
    <row r="5" spans="1:22">
      <c r="A5" s="24" t="s">
        <v>504</v>
      </c>
      <c r="B5" s="24" t="s">
        <v>151</v>
      </c>
      <c r="C5" s="25">
        <v>43709</v>
      </c>
      <c r="D5" s="25">
        <v>43713</v>
      </c>
      <c r="E5" s="24" t="s">
        <v>505</v>
      </c>
      <c r="F5" s="24"/>
      <c r="G5" s="45">
        <v>9929</v>
      </c>
      <c r="H5" s="24">
        <v>9929</v>
      </c>
      <c r="I5" s="32">
        <v>8385</v>
      </c>
      <c r="J5" s="24">
        <v>0</v>
      </c>
      <c r="K5" s="47">
        <v>70</v>
      </c>
      <c r="L5" s="47">
        <f t="shared" si="0"/>
        <v>-1614</v>
      </c>
      <c r="M5" s="24"/>
      <c r="N5" s="24"/>
      <c r="O5" s="24"/>
      <c r="P5" s="86">
        <f t="shared" si="1"/>
        <v>-1614</v>
      </c>
      <c r="Q5" s="23" t="s">
        <v>127</v>
      </c>
      <c r="R5" s="76">
        <v>0</v>
      </c>
      <c r="S5" s="72">
        <f t="shared" si="2"/>
        <v>-1614</v>
      </c>
    </row>
    <row r="6" spans="1:22">
      <c r="A6" s="24" t="s">
        <v>506</v>
      </c>
      <c r="B6" s="24" t="s">
        <v>151</v>
      </c>
      <c r="C6" s="25">
        <v>43709</v>
      </c>
      <c r="D6" s="25">
        <v>43713</v>
      </c>
      <c r="E6" s="24" t="s">
        <v>507</v>
      </c>
      <c r="F6" s="24"/>
      <c r="G6" s="45">
        <v>8748</v>
      </c>
      <c r="H6" s="24">
        <v>8748</v>
      </c>
      <c r="I6" s="32">
        <v>7895</v>
      </c>
      <c r="J6" s="24">
        <v>0</v>
      </c>
      <c r="K6" s="47">
        <v>70</v>
      </c>
      <c r="L6" s="47">
        <f t="shared" si="0"/>
        <v>-923</v>
      </c>
      <c r="M6" s="24"/>
      <c r="N6" s="24"/>
      <c r="O6" s="24"/>
      <c r="P6" s="86">
        <f t="shared" si="1"/>
        <v>-923</v>
      </c>
      <c r="Q6" s="23" t="s">
        <v>127</v>
      </c>
      <c r="R6" s="76">
        <v>0</v>
      </c>
      <c r="S6" s="72">
        <f t="shared" si="2"/>
        <v>-923</v>
      </c>
    </row>
    <row r="7" spans="1:22">
      <c r="A7" s="24" t="s">
        <v>508</v>
      </c>
      <c r="B7" s="24" t="s">
        <v>151</v>
      </c>
      <c r="C7" s="25">
        <v>43709</v>
      </c>
      <c r="D7" s="25">
        <v>43715</v>
      </c>
      <c r="E7" s="24" t="s">
        <v>509</v>
      </c>
      <c r="F7" s="24"/>
      <c r="G7" s="45">
        <v>48000</v>
      </c>
      <c r="H7" s="24">
        <v>48000</v>
      </c>
      <c r="I7" s="32">
        <v>54500</v>
      </c>
      <c r="J7" s="24">
        <f>395</f>
        <v>395</v>
      </c>
      <c r="K7" s="47">
        <v>1000</v>
      </c>
      <c r="L7" s="47">
        <f t="shared" si="0"/>
        <v>5500</v>
      </c>
      <c r="M7" s="24"/>
      <c r="N7" s="24"/>
      <c r="O7" s="24"/>
      <c r="P7" s="86">
        <f t="shared" si="1"/>
        <v>5500</v>
      </c>
      <c r="Q7" s="23" t="s">
        <v>510</v>
      </c>
      <c r="R7" s="76">
        <f>P7*0.6</f>
        <v>3300</v>
      </c>
      <c r="S7" s="72">
        <f t="shared" si="2"/>
        <v>2595</v>
      </c>
    </row>
    <row r="8" spans="1:22">
      <c r="A8" s="24" t="s">
        <v>511</v>
      </c>
      <c r="B8" s="24" t="s">
        <v>156</v>
      </c>
      <c r="C8" s="25">
        <v>43727</v>
      </c>
      <c r="D8" s="25">
        <v>43719</v>
      </c>
      <c r="E8" s="24" t="s">
        <v>512</v>
      </c>
      <c r="F8" s="24"/>
      <c r="G8" s="45">
        <v>11000</v>
      </c>
      <c r="H8" s="24">
        <v>11000</v>
      </c>
      <c r="I8" s="32">
        <v>12650</v>
      </c>
      <c r="J8" s="24">
        <v>220</v>
      </c>
      <c r="K8" s="47">
        <v>500</v>
      </c>
      <c r="L8" s="47">
        <f t="shared" si="0"/>
        <v>1150</v>
      </c>
      <c r="M8" s="24"/>
      <c r="N8" s="24"/>
      <c r="O8" s="24"/>
      <c r="P8" s="86">
        <f t="shared" si="1"/>
        <v>1150</v>
      </c>
      <c r="Q8" s="23" t="s">
        <v>131</v>
      </c>
      <c r="R8" s="76">
        <f>P8*0.2</f>
        <v>230</v>
      </c>
      <c r="S8" s="72">
        <f t="shared" si="2"/>
        <v>1140</v>
      </c>
    </row>
    <row r="9" spans="1:22">
      <c r="A9" s="24" t="s">
        <v>513</v>
      </c>
      <c r="B9" s="24" t="s">
        <v>151</v>
      </c>
      <c r="C9" s="25">
        <v>43727</v>
      </c>
      <c r="D9" s="25">
        <v>43724</v>
      </c>
      <c r="E9" s="24" t="s">
        <v>514</v>
      </c>
      <c r="F9" s="24"/>
      <c r="G9" s="45">
        <v>20487</v>
      </c>
      <c r="H9" s="24">
        <v>20487</v>
      </c>
      <c r="I9" s="32">
        <v>22256</v>
      </c>
      <c r="J9" s="24">
        <v>220</v>
      </c>
      <c r="K9" s="47">
        <v>400</v>
      </c>
      <c r="L9" s="47">
        <f t="shared" si="0"/>
        <v>1369</v>
      </c>
      <c r="M9" s="24"/>
      <c r="N9" s="24"/>
      <c r="O9" s="24"/>
      <c r="P9" s="86">
        <f t="shared" si="1"/>
        <v>1369</v>
      </c>
      <c r="Q9" s="23" t="s">
        <v>315</v>
      </c>
      <c r="R9" s="76">
        <f>P9*0.2</f>
        <v>273.8</v>
      </c>
      <c r="S9" s="72">
        <f t="shared" si="2"/>
        <v>1315.2</v>
      </c>
    </row>
    <row r="10" spans="1:22">
      <c r="A10" s="24" t="s">
        <v>515</v>
      </c>
      <c r="B10" s="24" t="s">
        <v>151</v>
      </c>
      <c r="C10" s="25">
        <v>43727</v>
      </c>
      <c r="D10" s="25">
        <v>43732</v>
      </c>
      <c r="E10" s="24" t="s">
        <v>516</v>
      </c>
      <c r="F10" s="24"/>
      <c r="G10" s="45">
        <v>30180</v>
      </c>
      <c r="H10" s="24">
        <v>30180</v>
      </c>
      <c r="I10" s="32">
        <v>33449.81</v>
      </c>
      <c r="J10" s="24">
        <v>220</v>
      </c>
      <c r="K10" s="47">
        <v>450</v>
      </c>
      <c r="L10" s="47">
        <f t="shared" si="0"/>
        <v>2819.8099999999977</v>
      </c>
      <c r="M10" s="24"/>
      <c r="N10" s="24"/>
      <c r="O10" s="24"/>
      <c r="P10" s="86">
        <f t="shared" si="1"/>
        <v>2819.8099999999977</v>
      </c>
      <c r="Q10" s="23" t="s">
        <v>317</v>
      </c>
      <c r="R10" s="76">
        <f>P10*0.2</f>
        <v>563.96199999999953</v>
      </c>
      <c r="S10" s="72">
        <f t="shared" si="2"/>
        <v>2475.8479999999981</v>
      </c>
    </row>
    <row r="11" spans="1:22">
      <c r="A11" s="24" t="s">
        <v>517</v>
      </c>
      <c r="B11" s="24" t="s">
        <v>156</v>
      </c>
      <c r="C11" s="25">
        <v>43727</v>
      </c>
      <c r="D11" s="25">
        <v>43733</v>
      </c>
      <c r="E11" s="24" t="s">
        <v>518</v>
      </c>
      <c r="F11" s="24"/>
      <c r="G11" s="45">
        <v>4000</v>
      </c>
      <c r="H11" s="24">
        <v>4000</v>
      </c>
      <c r="I11" s="32">
        <v>6375</v>
      </c>
      <c r="J11" s="24">
        <v>0</v>
      </c>
      <c r="K11" s="47">
        <v>0</v>
      </c>
      <c r="L11" s="47">
        <f t="shared" si="0"/>
        <v>2375</v>
      </c>
      <c r="M11" s="24"/>
      <c r="N11" s="24">
        <v>150</v>
      </c>
      <c r="O11" s="24"/>
      <c r="P11" s="86">
        <f t="shared" si="1"/>
        <v>2225</v>
      </c>
      <c r="Q11" s="23" t="s">
        <v>431</v>
      </c>
      <c r="R11" s="76">
        <v>0</v>
      </c>
      <c r="S11" s="72">
        <f t="shared" si="2"/>
        <v>2225</v>
      </c>
    </row>
    <row r="12" spans="1:22">
      <c r="A12" s="24" t="s">
        <v>480</v>
      </c>
      <c r="B12" s="24" t="s">
        <v>151</v>
      </c>
      <c r="C12" s="25">
        <v>43757</v>
      </c>
      <c r="D12" s="25">
        <v>43736</v>
      </c>
      <c r="E12" s="24" t="s">
        <v>519</v>
      </c>
      <c r="F12" s="24"/>
      <c r="G12" s="45">
        <v>120000</v>
      </c>
      <c r="H12" s="24">
        <v>120000</v>
      </c>
      <c r="I12" s="32">
        <v>127106</v>
      </c>
      <c r="J12" s="24">
        <v>220</v>
      </c>
      <c r="K12" s="47">
        <v>800</v>
      </c>
      <c r="L12" s="47">
        <f t="shared" si="0"/>
        <v>6306</v>
      </c>
      <c r="M12" s="24"/>
      <c r="N12" s="24">
        <v>200</v>
      </c>
      <c r="O12" s="24"/>
      <c r="P12" s="86">
        <f t="shared" si="1"/>
        <v>6106</v>
      </c>
      <c r="Q12" s="21" t="s">
        <v>278</v>
      </c>
      <c r="R12" s="76">
        <f>P12*0.2</f>
        <v>1221.2</v>
      </c>
      <c r="S12" s="72">
        <f t="shared" si="2"/>
        <v>5104.8</v>
      </c>
      <c r="V12" s="22"/>
    </row>
    <row r="13" spans="1:22">
      <c r="A13" s="24" t="s">
        <v>520</v>
      </c>
      <c r="B13" s="24" t="s">
        <v>151</v>
      </c>
      <c r="C13" s="25">
        <v>43727</v>
      </c>
      <c r="D13" s="25">
        <v>43738</v>
      </c>
      <c r="E13" s="24" t="s">
        <v>521</v>
      </c>
      <c r="F13" s="24"/>
      <c r="G13" s="45">
        <v>28242.39</v>
      </c>
      <c r="H13" s="24">
        <v>28242.39</v>
      </c>
      <c r="I13" s="32">
        <v>30316.79</v>
      </c>
      <c r="J13" s="24">
        <v>220</v>
      </c>
      <c r="K13" s="47">
        <v>500</v>
      </c>
      <c r="L13" s="47">
        <f t="shared" si="0"/>
        <v>1574.4000000000015</v>
      </c>
      <c r="M13" s="24"/>
      <c r="N13" s="24">
        <v>300</v>
      </c>
      <c r="O13" s="24"/>
      <c r="P13" s="86">
        <f t="shared" si="1"/>
        <v>1274.4000000000015</v>
      </c>
      <c r="Q13" s="23" t="s">
        <v>331</v>
      </c>
      <c r="R13" s="76">
        <f>P13*0.2</f>
        <v>254.88000000000031</v>
      </c>
      <c r="S13" s="72">
        <f t="shared" si="2"/>
        <v>1239.5200000000011</v>
      </c>
      <c r="T13" s="61">
        <f>SUM(S2:S13)</f>
        <v>9602.9180000000015</v>
      </c>
      <c r="U13">
        <f>COUNT(S2:S12)</f>
        <v>11</v>
      </c>
      <c r="V13" s="22"/>
    </row>
    <row r="14" spans="1:22">
      <c r="A14" s="24"/>
      <c r="B14" s="24"/>
      <c r="C14" s="25"/>
      <c r="D14" s="25"/>
      <c r="E14" s="24"/>
      <c r="F14" s="24"/>
      <c r="G14" s="45"/>
      <c r="H14" s="24"/>
      <c r="I14" s="32"/>
      <c r="J14" s="24"/>
      <c r="K14" s="47"/>
      <c r="L14" s="47"/>
      <c r="M14" s="24"/>
      <c r="N14" s="24"/>
      <c r="O14" s="24"/>
      <c r="P14" s="86"/>
      <c r="R14" s="76"/>
      <c r="V14" s="22"/>
    </row>
    <row r="15" spans="1:22">
      <c r="A15" s="24" t="s">
        <v>522</v>
      </c>
      <c r="B15" s="24" t="s">
        <v>151</v>
      </c>
      <c r="C15" s="25">
        <v>43727</v>
      </c>
      <c r="D15" s="25">
        <v>43739</v>
      </c>
      <c r="E15" s="24" t="s">
        <v>523</v>
      </c>
      <c r="F15" s="24"/>
      <c r="G15" s="45">
        <v>24397.83</v>
      </c>
      <c r="H15" s="24">
        <v>24397.83</v>
      </c>
      <c r="I15" s="32">
        <v>28754.53</v>
      </c>
      <c r="J15" s="24">
        <v>220</v>
      </c>
      <c r="K15" s="47">
        <v>400</v>
      </c>
      <c r="L15" s="47">
        <f t="shared" ref="L15:L27" si="3">I15-H15-K15</f>
        <v>3956.6999999999971</v>
      </c>
      <c r="M15" s="24"/>
      <c r="N15" s="24"/>
      <c r="O15" s="24"/>
      <c r="P15" s="86">
        <f t="shared" ref="P15:P30" si="4">L15-N15</f>
        <v>3956.6999999999971</v>
      </c>
      <c r="Q15" s="23" t="s">
        <v>524</v>
      </c>
      <c r="R15" s="76">
        <f>P15*0.2</f>
        <v>791.33999999999946</v>
      </c>
      <c r="S15" s="72">
        <f t="shared" ref="S15:S30" si="5">P15-R15+J15</f>
        <v>3385.3599999999979</v>
      </c>
      <c r="V15" s="22"/>
    </row>
    <row r="16" spans="1:22">
      <c r="A16" s="24" t="s">
        <v>525</v>
      </c>
      <c r="B16" s="24" t="s">
        <v>151</v>
      </c>
      <c r="C16" s="25">
        <v>43727</v>
      </c>
      <c r="D16" s="25">
        <v>43740</v>
      </c>
      <c r="E16" s="24" t="s">
        <v>526</v>
      </c>
      <c r="F16" s="24"/>
      <c r="G16" s="45">
        <v>34078.080000000002</v>
      </c>
      <c r="H16" s="24">
        <v>34078.080000000002</v>
      </c>
      <c r="I16" s="32">
        <v>35247.919999999998</v>
      </c>
      <c r="J16" s="24">
        <v>220</v>
      </c>
      <c r="K16" s="47">
        <v>500</v>
      </c>
      <c r="L16" s="47">
        <f t="shared" si="3"/>
        <v>669.83999999999651</v>
      </c>
      <c r="M16" s="24"/>
      <c r="N16" s="24"/>
      <c r="O16" s="24"/>
      <c r="P16" s="86">
        <f t="shared" si="4"/>
        <v>669.83999999999651</v>
      </c>
      <c r="Q16" s="23" t="s">
        <v>446</v>
      </c>
      <c r="R16" s="76">
        <f>P16*0.2</f>
        <v>133.96799999999931</v>
      </c>
      <c r="S16" s="72">
        <f t="shared" si="5"/>
        <v>755.87199999999723</v>
      </c>
      <c r="T16" s="62"/>
      <c r="U16" s="22"/>
      <c r="V16" s="22"/>
    </row>
    <row r="17" spans="1:21">
      <c r="A17" s="24" t="s">
        <v>527</v>
      </c>
      <c r="B17" s="24" t="s">
        <v>151</v>
      </c>
      <c r="C17" s="25">
        <v>43757</v>
      </c>
      <c r="D17" s="25">
        <v>43748</v>
      </c>
      <c r="E17" s="24" t="s">
        <v>528</v>
      </c>
      <c r="F17" s="24"/>
      <c r="G17" s="45">
        <v>18716</v>
      </c>
      <c r="H17" s="24">
        <v>18716</v>
      </c>
      <c r="I17" s="32">
        <v>20800</v>
      </c>
      <c r="J17" s="24"/>
      <c r="K17" s="47">
        <v>150</v>
      </c>
      <c r="L17" s="47">
        <f t="shared" si="3"/>
        <v>1934</v>
      </c>
      <c r="M17" s="24"/>
      <c r="N17" s="24">
        <v>300</v>
      </c>
      <c r="O17" s="24"/>
      <c r="P17" s="86">
        <f t="shared" si="4"/>
        <v>1634</v>
      </c>
      <c r="Q17" s="23" t="s">
        <v>327</v>
      </c>
      <c r="R17" s="76">
        <f>P17*0.6</f>
        <v>980.4</v>
      </c>
      <c r="S17" s="72">
        <f t="shared" si="5"/>
        <v>653.6</v>
      </c>
    </row>
    <row r="18" spans="1:21">
      <c r="A18" s="24" t="s">
        <v>529</v>
      </c>
      <c r="B18" s="24" t="s">
        <v>151</v>
      </c>
      <c r="C18" s="25">
        <v>43727</v>
      </c>
      <c r="D18" s="25">
        <v>43751</v>
      </c>
      <c r="E18" s="24" t="s">
        <v>530</v>
      </c>
      <c r="F18" s="24"/>
      <c r="G18" s="45">
        <v>17725</v>
      </c>
      <c r="H18" s="24">
        <v>17725</v>
      </c>
      <c r="I18" s="32">
        <v>19337.55</v>
      </c>
      <c r="J18" s="24">
        <v>220</v>
      </c>
      <c r="K18" s="47">
        <v>400</v>
      </c>
      <c r="L18" s="47">
        <f t="shared" si="3"/>
        <v>1212.5499999999993</v>
      </c>
      <c r="M18" s="24"/>
      <c r="N18" s="24">
        <v>600</v>
      </c>
      <c r="O18" s="24"/>
      <c r="P18" s="86">
        <f t="shared" si="4"/>
        <v>612.54999999999927</v>
      </c>
      <c r="Q18" s="23" t="s">
        <v>531</v>
      </c>
      <c r="R18" s="76">
        <f>P18*0.2</f>
        <v>122.50999999999986</v>
      </c>
      <c r="S18" s="72">
        <f t="shared" si="5"/>
        <v>710.0399999999994</v>
      </c>
    </row>
    <row r="19" spans="1:21">
      <c r="A19" s="24" t="s">
        <v>532</v>
      </c>
      <c r="B19" s="24" t="s">
        <v>151</v>
      </c>
      <c r="C19" s="25">
        <v>43727</v>
      </c>
      <c r="D19" s="25">
        <v>43754</v>
      </c>
      <c r="E19" s="24" t="s">
        <v>533</v>
      </c>
      <c r="F19" s="24"/>
      <c r="G19" s="45">
        <v>12853</v>
      </c>
      <c r="H19" s="24">
        <v>12853</v>
      </c>
      <c r="I19" s="32">
        <v>15205</v>
      </c>
      <c r="J19" s="24">
        <v>220</v>
      </c>
      <c r="K19" s="47">
        <v>125</v>
      </c>
      <c r="L19" s="47">
        <f t="shared" si="3"/>
        <v>2227</v>
      </c>
      <c r="M19" s="24"/>
      <c r="N19" s="24">
        <v>100</v>
      </c>
      <c r="O19" s="24"/>
      <c r="P19" s="86">
        <f t="shared" si="4"/>
        <v>2127</v>
      </c>
      <c r="Q19" s="23" t="s">
        <v>317</v>
      </c>
      <c r="R19" s="76">
        <f>P19*0.2</f>
        <v>425.40000000000003</v>
      </c>
      <c r="S19" s="72">
        <f t="shared" si="5"/>
        <v>1921.6</v>
      </c>
    </row>
    <row r="20" spans="1:21">
      <c r="A20" s="24" t="s">
        <v>534</v>
      </c>
      <c r="B20" s="24" t="s">
        <v>151</v>
      </c>
      <c r="C20" s="25">
        <v>43757</v>
      </c>
      <c r="D20" s="25">
        <v>43748</v>
      </c>
      <c r="E20" s="24" t="s">
        <v>535</v>
      </c>
      <c r="F20" s="24"/>
      <c r="G20" s="45">
        <v>15578.01</v>
      </c>
      <c r="H20" s="24">
        <v>15578.01</v>
      </c>
      <c r="I20" s="32">
        <v>18162</v>
      </c>
      <c r="J20" s="24">
        <v>220</v>
      </c>
      <c r="K20" s="47">
        <v>500</v>
      </c>
      <c r="L20" s="47">
        <f t="shared" si="3"/>
        <v>2083.9899999999998</v>
      </c>
      <c r="M20" s="24"/>
      <c r="N20" s="24">
        <v>570</v>
      </c>
      <c r="O20" s="24"/>
      <c r="P20" s="86">
        <f t="shared" si="4"/>
        <v>1513.9899999999998</v>
      </c>
      <c r="Q20" s="23" t="s">
        <v>348</v>
      </c>
      <c r="R20" s="76">
        <f>P20*0.2</f>
        <v>302.79799999999994</v>
      </c>
      <c r="S20" s="72">
        <f t="shared" si="5"/>
        <v>1431.1919999999998</v>
      </c>
    </row>
    <row r="21" spans="1:21">
      <c r="A21" s="24" t="s">
        <v>536</v>
      </c>
      <c r="B21" s="24" t="s">
        <v>151</v>
      </c>
      <c r="C21" s="25">
        <v>43757</v>
      </c>
      <c r="D21" s="25">
        <v>43754</v>
      </c>
      <c r="E21" s="24" t="s">
        <v>537</v>
      </c>
      <c r="F21" s="24"/>
      <c r="G21" s="45">
        <v>5500</v>
      </c>
      <c r="H21" s="24">
        <v>5500</v>
      </c>
      <c r="I21" s="32">
        <v>8500</v>
      </c>
      <c r="J21" s="24">
        <v>410</v>
      </c>
      <c r="K21" s="47"/>
      <c r="L21" s="47">
        <f t="shared" si="3"/>
        <v>3000</v>
      </c>
      <c r="M21" s="24"/>
      <c r="N21" s="24"/>
      <c r="O21" s="24"/>
      <c r="P21" s="86">
        <f t="shared" si="4"/>
        <v>3000</v>
      </c>
      <c r="Q21" s="23" t="s">
        <v>524</v>
      </c>
      <c r="R21" s="76">
        <f>P21*0.2</f>
        <v>600</v>
      </c>
      <c r="S21" s="72">
        <f t="shared" si="5"/>
        <v>2810</v>
      </c>
    </row>
    <row r="22" spans="1:21">
      <c r="A22" s="24" t="s">
        <v>538</v>
      </c>
      <c r="B22" s="24" t="s">
        <v>151</v>
      </c>
      <c r="C22" s="25">
        <v>43757</v>
      </c>
      <c r="D22" s="25">
        <v>43754</v>
      </c>
      <c r="E22" s="24" t="s">
        <v>539</v>
      </c>
      <c r="F22" s="24"/>
      <c r="G22" s="45">
        <v>10663</v>
      </c>
      <c r="H22" s="24">
        <v>10553</v>
      </c>
      <c r="I22" s="32">
        <v>9800</v>
      </c>
      <c r="J22" s="24"/>
      <c r="K22" s="47">
        <v>70</v>
      </c>
      <c r="L22" s="47">
        <f t="shared" si="3"/>
        <v>-823</v>
      </c>
      <c r="M22" s="24"/>
      <c r="N22" s="24">
        <v>375</v>
      </c>
      <c r="O22" s="24"/>
      <c r="P22" s="86">
        <f t="shared" si="4"/>
        <v>-1198</v>
      </c>
      <c r="Q22" s="23" t="s">
        <v>127</v>
      </c>
      <c r="R22" s="76">
        <v>0</v>
      </c>
      <c r="S22" s="72">
        <f t="shared" si="5"/>
        <v>-1198</v>
      </c>
    </row>
    <row r="23" spans="1:21">
      <c r="A23" s="24" t="s">
        <v>540</v>
      </c>
      <c r="B23" s="24" t="s">
        <v>156</v>
      </c>
      <c r="C23" s="25">
        <v>43757</v>
      </c>
      <c r="D23" s="25">
        <v>43760</v>
      </c>
      <c r="E23" s="24" t="s">
        <v>541</v>
      </c>
      <c r="F23" s="24"/>
      <c r="G23" s="45">
        <v>8000</v>
      </c>
      <c r="H23" s="24">
        <v>8005</v>
      </c>
      <c r="I23" s="32">
        <v>8000</v>
      </c>
      <c r="J23" s="24">
        <v>252</v>
      </c>
      <c r="K23" s="47"/>
      <c r="L23" s="47">
        <f t="shared" si="3"/>
        <v>-5</v>
      </c>
      <c r="M23" s="24"/>
      <c r="N23" s="24"/>
      <c r="O23" s="24"/>
      <c r="P23" s="86">
        <f t="shared" si="4"/>
        <v>-5</v>
      </c>
      <c r="Q23" s="23" t="s">
        <v>131</v>
      </c>
      <c r="R23" s="76">
        <f>P23*0.2</f>
        <v>-1</v>
      </c>
      <c r="S23" s="72">
        <f t="shared" si="5"/>
        <v>248</v>
      </c>
    </row>
    <row r="24" spans="1:21">
      <c r="A24" s="24" t="s">
        <v>542</v>
      </c>
      <c r="B24" s="24" t="s">
        <v>156</v>
      </c>
      <c r="C24" s="25">
        <v>43757</v>
      </c>
      <c r="D24" s="25">
        <v>43762</v>
      </c>
      <c r="E24" s="24" t="s">
        <v>543</v>
      </c>
      <c r="F24" s="24"/>
      <c r="G24" s="45">
        <v>31971</v>
      </c>
      <c r="H24" s="24">
        <v>31971</v>
      </c>
      <c r="I24" s="32">
        <v>33904</v>
      </c>
      <c r="J24" s="24">
        <v>220</v>
      </c>
      <c r="K24" s="47">
        <v>70</v>
      </c>
      <c r="L24" s="47">
        <f t="shared" si="3"/>
        <v>1863</v>
      </c>
      <c r="M24" s="24"/>
      <c r="N24" s="24"/>
      <c r="O24" s="24"/>
      <c r="P24" s="86">
        <f t="shared" si="4"/>
        <v>1863</v>
      </c>
      <c r="Q24" s="23" t="s">
        <v>544</v>
      </c>
      <c r="R24" s="76">
        <v>500</v>
      </c>
      <c r="S24" s="72">
        <f t="shared" si="5"/>
        <v>1583</v>
      </c>
    </row>
    <row r="25" spans="1:21">
      <c r="A25" s="24" t="s">
        <v>545</v>
      </c>
      <c r="B25" s="24" t="s">
        <v>156</v>
      </c>
      <c r="C25" s="25">
        <v>43757</v>
      </c>
      <c r="D25" s="25">
        <v>43762</v>
      </c>
      <c r="E25" s="24" t="s">
        <v>546</v>
      </c>
      <c r="F25" s="24"/>
      <c r="G25" s="45">
        <v>20000</v>
      </c>
      <c r="H25" s="24">
        <v>20000</v>
      </c>
      <c r="I25" s="32">
        <v>20530</v>
      </c>
      <c r="J25" s="24">
        <v>220</v>
      </c>
      <c r="K25" s="47"/>
      <c r="L25" s="47">
        <f t="shared" si="3"/>
        <v>530</v>
      </c>
      <c r="M25" s="24"/>
      <c r="N25" s="24"/>
      <c r="O25" s="24"/>
      <c r="P25" s="86">
        <f t="shared" si="4"/>
        <v>530</v>
      </c>
      <c r="Q25" s="23" t="s">
        <v>547</v>
      </c>
      <c r="R25" s="76">
        <f>P25*0.3</f>
        <v>159</v>
      </c>
      <c r="S25" s="72">
        <f t="shared" si="5"/>
        <v>591</v>
      </c>
    </row>
    <row r="26" spans="1:21">
      <c r="A26" s="24" t="s">
        <v>548</v>
      </c>
      <c r="B26" s="24" t="s">
        <v>151</v>
      </c>
      <c r="C26" s="25">
        <v>43757</v>
      </c>
      <c r="D26" s="25">
        <v>43765</v>
      </c>
      <c r="E26" s="24" t="s">
        <v>549</v>
      </c>
      <c r="F26" s="24"/>
      <c r="G26" s="45">
        <v>12594</v>
      </c>
      <c r="H26" s="24">
        <v>12594</v>
      </c>
      <c r="I26" s="32">
        <v>14684</v>
      </c>
      <c r="J26" s="24">
        <v>220</v>
      </c>
      <c r="K26" s="47"/>
      <c r="L26" s="47">
        <f t="shared" si="3"/>
        <v>2090</v>
      </c>
      <c r="M26" s="24"/>
      <c r="N26" s="24">
        <v>1985</v>
      </c>
      <c r="O26" s="24"/>
      <c r="P26" s="86">
        <f t="shared" si="4"/>
        <v>105</v>
      </c>
      <c r="Q26" s="23" t="s">
        <v>453</v>
      </c>
      <c r="R26" s="76">
        <v>450</v>
      </c>
      <c r="S26" s="72">
        <f t="shared" si="5"/>
        <v>-125</v>
      </c>
    </row>
    <row r="27" spans="1:21">
      <c r="A27" s="24" t="s">
        <v>444</v>
      </c>
      <c r="B27" s="24" t="s">
        <v>151</v>
      </c>
      <c r="C27" s="25">
        <v>43757</v>
      </c>
      <c r="D27" s="25">
        <v>43766</v>
      </c>
      <c r="E27" s="24" t="s">
        <v>550</v>
      </c>
      <c r="F27" s="24"/>
      <c r="G27" s="45">
        <v>18960</v>
      </c>
      <c r="H27" s="24">
        <v>18960</v>
      </c>
      <c r="I27" s="32">
        <v>24294.15</v>
      </c>
      <c r="J27" s="24">
        <v>220</v>
      </c>
      <c r="K27" s="47">
        <v>400</v>
      </c>
      <c r="L27" s="47">
        <f t="shared" si="3"/>
        <v>4934.1500000000015</v>
      </c>
      <c r="M27" s="24"/>
      <c r="N27" s="24">
        <v>95</v>
      </c>
      <c r="O27" s="24"/>
      <c r="P27" s="86">
        <f t="shared" si="4"/>
        <v>4839.1500000000015</v>
      </c>
      <c r="Q27" s="23" t="s">
        <v>348</v>
      </c>
      <c r="R27" s="76">
        <f>P27*0.2</f>
        <v>967.83000000000038</v>
      </c>
      <c r="S27" s="72">
        <f t="shared" si="5"/>
        <v>4091.3200000000011</v>
      </c>
    </row>
    <row r="28" spans="1:21">
      <c r="A28" s="24" t="s">
        <v>169</v>
      </c>
      <c r="B28" s="24" t="s">
        <v>151</v>
      </c>
      <c r="C28" s="25">
        <v>43757</v>
      </c>
      <c r="D28" s="25">
        <v>43767</v>
      </c>
      <c r="E28" s="24" t="s">
        <v>551</v>
      </c>
      <c r="F28" s="24"/>
      <c r="G28" s="45">
        <v>8000</v>
      </c>
      <c r="H28" s="24">
        <v>8000</v>
      </c>
      <c r="I28" s="32">
        <v>8000</v>
      </c>
      <c r="J28" s="24">
        <v>410</v>
      </c>
      <c r="K28" s="47"/>
      <c r="L28" s="47"/>
      <c r="M28" s="24"/>
      <c r="N28" s="24"/>
      <c r="O28" s="24"/>
      <c r="P28" s="86">
        <f t="shared" si="4"/>
        <v>0</v>
      </c>
      <c r="Q28" s="23" t="s">
        <v>127</v>
      </c>
      <c r="R28" s="76">
        <v>0</v>
      </c>
      <c r="S28" s="72">
        <f t="shared" si="5"/>
        <v>410</v>
      </c>
    </row>
    <row r="29" spans="1:21">
      <c r="A29" s="24" t="s">
        <v>552</v>
      </c>
      <c r="B29" s="24" t="s">
        <v>151</v>
      </c>
      <c r="C29" s="25">
        <v>43757</v>
      </c>
      <c r="D29" s="25">
        <v>43768</v>
      </c>
      <c r="E29" s="24" t="s">
        <v>553</v>
      </c>
      <c r="F29" s="24"/>
      <c r="G29" s="45">
        <v>29797</v>
      </c>
      <c r="H29" s="24">
        <v>29797</v>
      </c>
      <c r="I29" s="32">
        <v>32665</v>
      </c>
      <c r="J29" s="24">
        <v>220</v>
      </c>
      <c r="K29" s="47">
        <v>850</v>
      </c>
      <c r="L29" s="47">
        <f>I29-H29-K29</f>
        <v>2018</v>
      </c>
      <c r="M29" s="24"/>
      <c r="N29" s="24">
        <f>300+310</f>
        <v>610</v>
      </c>
      <c r="O29" s="24"/>
      <c r="P29" s="86">
        <f t="shared" si="4"/>
        <v>1408</v>
      </c>
      <c r="Q29" s="23" t="s">
        <v>531</v>
      </c>
      <c r="R29" s="76">
        <f>P29*0.2</f>
        <v>281.60000000000002</v>
      </c>
      <c r="S29" s="72">
        <f t="shared" si="5"/>
        <v>1346.4</v>
      </c>
    </row>
    <row r="30" spans="1:21">
      <c r="A30" s="24" t="s">
        <v>554</v>
      </c>
      <c r="B30" s="24" t="s">
        <v>151</v>
      </c>
      <c r="C30" s="25">
        <v>43757</v>
      </c>
      <c r="D30" s="25">
        <v>43769</v>
      </c>
      <c r="E30" s="24" t="s">
        <v>555</v>
      </c>
      <c r="F30" s="24"/>
      <c r="G30" s="45">
        <v>1700</v>
      </c>
      <c r="H30" s="24">
        <v>1700</v>
      </c>
      <c r="I30" s="32">
        <v>2000</v>
      </c>
      <c r="J30" s="24">
        <v>0</v>
      </c>
      <c r="K30" s="47"/>
      <c r="L30" s="47">
        <f>I30-H30-K30</f>
        <v>300</v>
      </c>
      <c r="M30" s="24"/>
      <c r="N30" s="24"/>
      <c r="O30" s="24"/>
      <c r="P30" s="86">
        <f t="shared" si="4"/>
        <v>300</v>
      </c>
      <c r="Q30" s="23" t="s">
        <v>127</v>
      </c>
      <c r="R30" s="76">
        <v>0</v>
      </c>
      <c r="S30" s="72">
        <f t="shared" si="5"/>
        <v>300</v>
      </c>
      <c r="T30" s="61">
        <f>SUM(S15:S30)</f>
        <v>18914.383999999995</v>
      </c>
      <c r="U30">
        <f>COUNT(S15:S30)</f>
        <v>16</v>
      </c>
    </row>
    <row r="31" spans="1:21">
      <c r="A31" s="24"/>
      <c r="B31" s="24"/>
      <c r="C31" s="25"/>
      <c r="D31" s="24"/>
      <c r="E31" s="24"/>
      <c r="F31" s="24"/>
      <c r="G31" s="45"/>
      <c r="H31" s="24"/>
      <c r="I31" s="32"/>
      <c r="J31" s="24"/>
      <c r="K31" s="47"/>
      <c r="L31" s="47"/>
      <c r="M31" s="24"/>
      <c r="N31" s="24"/>
      <c r="O31" s="24"/>
      <c r="P31" s="86"/>
    </row>
    <row r="32" spans="1:21">
      <c r="A32" s="24" t="s">
        <v>556</v>
      </c>
      <c r="B32" s="24" t="s">
        <v>151</v>
      </c>
      <c r="C32" s="25">
        <v>43757</v>
      </c>
      <c r="D32" s="25">
        <v>43770</v>
      </c>
      <c r="E32" s="24" t="s">
        <v>557</v>
      </c>
      <c r="F32" s="24"/>
      <c r="G32" s="45">
        <v>29390</v>
      </c>
      <c r="H32" s="24">
        <v>29390</v>
      </c>
      <c r="I32" s="32">
        <v>32329</v>
      </c>
      <c r="J32" s="24">
        <v>220</v>
      </c>
      <c r="K32" s="47">
        <v>350</v>
      </c>
      <c r="L32" s="47">
        <f t="shared" ref="L32:L47" si="6">I32-H32-K32</f>
        <v>2589</v>
      </c>
      <c r="M32" s="24"/>
      <c r="N32" s="24">
        <f>300+350</f>
        <v>650</v>
      </c>
      <c r="O32" s="24"/>
      <c r="P32" s="86">
        <f t="shared" ref="P32:P47" si="7">L32-N32</f>
        <v>1939</v>
      </c>
      <c r="Q32" s="23" t="s">
        <v>531</v>
      </c>
      <c r="R32" s="76">
        <f>P32*0.2</f>
        <v>387.8</v>
      </c>
      <c r="S32" s="72">
        <f t="shared" ref="S32:S47" si="8">P32-R32+J32</f>
        <v>1771.2</v>
      </c>
    </row>
    <row r="33" spans="1:23">
      <c r="A33" s="24" t="s">
        <v>558</v>
      </c>
      <c r="B33" s="24" t="s">
        <v>151</v>
      </c>
      <c r="C33" s="25">
        <v>43757</v>
      </c>
      <c r="D33" s="25">
        <v>43770</v>
      </c>
      <c r="E33" s="24" t="s">
        <v>559</v>
      </c>
      <c r="F33" s="24"/>
      <c r="G33" s="45">
        <v>13825</v>
      </c>
      <c r="H33" s="24">
        <v>13825</v>
      </c>
      <c r="I33" s="32">
        <v>15421</v>
      </c>
      <c r="J33" s="24">
        <v>220</v>
      </c>
      <c r="K33" s="47">
        <v>150</v>
      </c>
      <c r="L33" s="47">
        <f t="shared" si="6"/>
        <v>1446</v>
      </c>
      <c r="M33" s="24"/>
      <c r="N33" s="24">
        <v>300</v>
      </c>
      <c r="O33" s="24"/>
      <c r="P33" s="86">
        <f t="shared" si="7"/>
        <v>1146</v>
      </c>
      <c r="Q33" s="23" t="s">
        <v>348</v>
      </c>
      <c r="R33" s="76">
        <f>P33*0.3</f>
        <v>343.8</v>
      </c>
      <c r="S33" s="72">
        <f t="shared" si="8"/>
        <v>1022.2</v>
      </c>
    </row>
    <row r="34" spans="1:23">
      <c r="A34" s="24" t="s">
        <v>560</v>
      </c>
      <c r="B34" s="24" t="s">
        <v>151</v>
      </c>
      <c r="C34" s="25">
        <v>43757</v>
      </c>
      <c r="D34" s="25">
        <v>43773</v>
      </c>
      <c r="E34" s="24" t="s">
        <v>561</v>
      </c>
      <c r="F34" s="24"/>
      <c r="G34" s="45">
        <v>9674.4599999999991</v>
      </c>
      <c r="H34" s="24">
        <v>9674.4599999999991</v>
      </c>
      <c r="I34" s="32">
        <v>9532</v>
      </c>
      <c r="J34" s="24">
        <v>220</v>
      </c>
      <c r="K34" s="47">
        <v>140</v>
      </c>
      <c r="L34" s="47">
        <f t="shared" si="6"/>
        <v>-282.45999999999913</v>
      </c>
      <c r="M34" s="24"/>
      <c r="N34" s="24"/>
      <c r="O34" s="24"/>
      <c r="P34" s="86">
        <f t="shared" si="7"/>
        <v>-282.45999999999913</v>
      </c>
      <c r="Q34" s="23" t="s">
        <v>524</v>
      </c>
      <c r="R34" s="76">
        <v>300</v>
      </c>
      <c r="S34" s="72">
        <f t="shared" si="8"/>
        <v>-362.45999999999913</v>
      </c>
    </row>
    <row r="35" spans="1:23">
      <c r="A35" s="24" t="s">
        <v>562</v>
      </c>
      <c r="B35" s="24" t="s">
        <v>151</v>
      </c>
      <c r="C35" s="25">
        <v>43788</v>
      </c>
      <c r="D35" s="25">
        <v>43780</v>
      </c>
      <c r="E35" s="24" t="s">
        <v>563</v>
      </c>
      <c r="F35" s="24"/>
      <c r="G35" s="45">
        <v>5458</v>
      </c>
      <c r="H35" s="24">
        <v>5458</v>
      </c>
      <c r="I35" s="32">
        <v>7798.87</v>
      </c>
      <c r="J35" s="24">
        <v>220</v>
      </c>
      <c r="K35" s="47"/>
      <c r="L35" s="47">
        <f t="shared" si="6"/>
        <v>2340.87</v>
      </c>
      <c r="M35" s="24"/>
      <c r="N35" s="24">
        <v>230</v>
      </c>
      <c r="O35" s="24"/>
      <c r="P35" s="86">
        <f t="shared" si="7"/>
        <v>2110.87</v>
      </c>
      <c r="Q35" s="23" t="s">
        <v>127</v>
      </c>
      <c r="R35" s="76">
        <v>0</v>
      </c>
      <c r="S35" s="72">
        <f t="shared" si="8"/>
        <v>2330.87</v>
      </c>
    </row>
    <row r="36" spans="1:23">
      <c r="A36" s="24" t="s">
        <v>564</v>
      </c>
      <c r="B36" s="24" t="s">
        <v>151</v>
      </c>
      <c r="C36" s="25">
        <v>43788</v>
      </c>
      <c r="D36" s="25">
        <v>43783</v>
      </c>
      <c r="E36" s="24" t="s">
        <v>565</v>
      </c>
      <c r="F36" s="24"/>
      <c r="G36" s="45">
        <v>87318</v>
      </c>
      <c r="H36" s="24">
        <v>87318</v>
      </c>
      <c r="I36" s="32">
        <v>88838.49</v>
      </c>
      <c r="J36" s="24">
        <v>220</v>
      </c>
      <c r="K36" s="47">
        <v>800</v>
      </c>
      <c r="L36" s="47">
        <f t="shared" si="6"/>
        <v>720.49000000000524</v>
      </c>
      <c r="M36" s="24"/>
      <c r="N36" s="24"/>
      <c r="O36" s="24"/>
      <c r="P36" s="86">
        <f t="shared" si="7"/>
        <v>720.49000000000524</v>
      </c>
      <c r="Q36" s="23" t="s">
        <v>524</v>
      </c>
      <c r="R36" s="76">
        <f>P36*0.2</f>
        <v>144.09800000000106</v>
      </c>
      <c r="S36" s="72">
        <f t="shared" si="8"/>
        <v>796.39200000000415</v>
      </c>
    </row>
    <row r="37" spans="1:23">
      <c r="A37" s="24" t="s">
        <v>566</v>
      </c>
      <c r="B37" s="24" t="s">
        <v>151</v>
      </c>
      <c r="C37" s="25">
        <v>43788</v>
      </c>
      <c r="D37" s="25">
        <v>43783</v>
      </c>
      <c r="E37" s="24" t="s">
        <v>567</v>
      </c>
      <c r="F37" s="24"/>
      <c r="G37" s="45">
        <v>84301</v>
      </c>
      <c r="H37" s="24">
        <v>84301</v>
      </c>
      <c r="I37" s="32">
        <v>76155</v>
      </c>
      <c r="J37" s="24"/>
      <c r="K37" s="47">
        <f>600+1000+300</f>
        <v>1900</v>
      </c>
      <c r="L37" s="47">
        <f t="shared" si="6"/>
        <v>-10046</v>
      </c>
      <c r="M37" s="24"/>
      <c r="N37" s="24">
        <f>450+300</f>
        <v>750</v>
      </c>
      <c r="O37" s="24"/>
      <c r="P37" s="86">
        <f t="shared" si="7"/>
        <v>-10796</v>
      </c>
      <c r="Q37" s="23" t="s">
        <v>127</v>
      </c>
      <c r="R37" s="76">
        <v>0</v>
      </c>
      <c r="S37" s="72">
        <f t="shared" si="8"/>
        <v>-10796</v>
      </c>
    </row>
    <row r="38" spans="1:23">
      <c r="A38" s="24" t="s">
        <v>568</v>
      </c>
      <c r="B38" s="24" t="s">
        <v>151</v>
      </c>
      <c r="C38" s="25">
        <v>43788</v>
      </c>
      <c r="D38" s="25">
        <v>43783</v>
      </c>
      <c r="E38" s="24" t="s">
        <v>569</v>
      </c>
      <c r="F38" s="24"/>
      <c r="G38" s="45">
        <v>56375</v>
      </c>
      <c r="H38" s="24">
        <v>56375</v>
      </c>
      <c r="I38" s="32">
        <v>55315</v>
      </c>
      <c r="J38" s="24"/>
      <c r="K38" s="47"/>
      <c r="L38" s="47">
        <f t="shared" si="6"/>
        <v>-1060</v>
      </c>
      <c r="M38" s="24"/>
      <c r="N38" s="24"/>
      <c r="O38" s="24"/>
      <c r="P38" s="86">
        <f t="shared" si="7"/>
        <v>-1060</v>
      </c>
      <c r="Q38" s="23" t="s">
        <v>570</v>
      </c>
      <c r="R38" s="76">
        <f>P38</f>
        <v>-1060</v>
      </c>
      <c r="S38" s="72">
        <f t="shared" si="8"/>
        <v>0</v>
      </c>
    </row>
    <row r="39" spans="1:23">
      <c r="A39" s="24" t="s">
        <v>571</v>
      </c>
      <c r="B39" s="24" t="s">
        <v>151</v>
      </c>
      <c r="C39" s="25">
        <v>43788</v>
      </c>
      <c r="D39" s="25">
        <v>43783</v>
      </c>
      <c r="E39" s="24" t="s">
        <v>572</v>
      </c>
      <c r="F39" s="24"/>
      <c r="G39" s="45">
        <v>12056.06</v>
      </c>
      <c r="H39" s="24">
        <v>12056.06</v>
      </c>
      <c r="I39" s="32">
        <v>13797</v>
      </c>
      <c r="J39" s="24"/>
      <c r="K39" s="47">
        <v>70</v>
      </c>
      <c r="L39" s="47">
        <f t="shared" si="6"/>
        <v>1670.9400000000005</v>
      </c>
      <c r="M39" s="24"/>
      <c r="N39" s="24"/>
      <c r="O39" s="24"/>
      <c r="P39" s="86">
        <f t="shared" si="7"/>
        <v>1670.9400000000005</v>
      </c>
      <c r="Q39" s="23" t="s">
        <v>127</v>
      </c>
      <c r="R39" s="76">
        <v>0</v>
      </c>
      <c r="S39" s="72">
        <f t="shared" si="8"/>
        <v>1670.9400000000005</v>
      </c>
    </row>
    <row r="40" spans="1:23" ht="13.5" customHeight="1">
      <c r="A40" s="24" t="s">
        <v>573</v>
      </c>
      <c r="B40" s="24" t="s">
        <v>151</v>
      </c>
      <c r="C40" s="25">
        <v>43788</v>
      </c>
      <c r="D40" s="25">
        <v>43783</v>
      </c>
      <c r="E40" s="24" t="s">
        <v>574</v>
      </c>
      <c r="F40" s="24"/>
      <c r="G40" s="45">
        <v>12639</v>
      </c>
      <c r="H40" s="24">
        <v>12639</v>
      </c>
      <c r="I40" s="32">
        <v>15500</v>
      </c>
      <c r="J40" s="24">
        <v>220</v>
      </c>
      <c r="K40" s="47">
        <f>140+150</f>
        <v>290</v>
      </c>
      <c r="L40" s="47">
        <f t="shared" si="6"/>
        <v>2571</v>
      </c>
      <c r="M40" s="24"/>
      <c r="N40" s="24">
        <f>65+500+280</f>
        <v>845</v>
      </c>
      <c r="O40" s="24"/>
      <c r="P40" s="86">
        <f t="shared" si="7"/>
        <v>1726</v>
      </c>
      <c r="Q40" s="23" t="s">
        <v>575</v>
      </c>
      <c r="R40" s="76">
        <f>P40*0.2</f>
        <v>345.20000000000005</v>
      </c>
      <c r="S40" s="72">
        <f t="shared" si="8"/>
        <v>1600.8</v>
      </c>
    </row>
    <row r="41" spans="1:23" ht="13.5" customHeight="1">
      <c r="A41" s="24" t="s">
        <v>576</v>
      </c>
      <c r="B41" s="24" t="s">
        <v>151</v>
      </c>
      <c r="C41" s="25">
        <v>43788</v>
      </c>
      <c r="D41" s="25">
        <v>43790</v>
      </c>
      <c r="E41" s="24" t="s">
        <v>577</v>
      </c>
      <c r="F41" s="24"/>
      <c r="G41" s="45">
        <v>61050</v>
      </c>
      <c r="H41" s="24">
        <v>61050</v>
      </c>
      <c r="I41" s="32">
        <v>65808</v>
      </c>
      <c r="J41" s="24">
        <v>220</v>
      </c>
      <c r="K41" s="47">
        <v>450</v>
      </c>
      <c r="L41" s="47">
        <f t="shared" si="6"/>
        <v>4308</v>
      </c>
      <c r="M41" s="24"/>
      <c r="N41" s="24"/>
      <c r="O41" s="24"/>
      <c r="P41" s="86">
        <f t="shared" si="7"/>
        <v>4308</v>
      </c>
      <c r="Q41" s="23" t="s">
        <v>524</v>
      </c>
      <c r="R41" s="76">
        <f>P41*0.3</f>
        <v>1292.3999999999999</v>
      </c>
      <c r="S41" s="72">
        <f t="shared" si="8"/>
        <v>3235.6000000000004</v>
      </c>
    </row>
    <row r="42" spans="1:23" ht="13.5" customHeight="1">
      <c r="A42" s="24" t="s">
        <v>578</v>
      </c>
      <c r="B42" s="24" t="s">
        <v>151</v>
      </c>
      <c r="C42" s="25">
        <v>43788</v>
      </c>
      <c r="D42" s="25">
        <v>43790</v>
      </c>
      <c r="E42" s="24" t="s">
        <v>579</v>
      </c>
      <c r="F42" s="24"/>
      <c r="G42" s="45">
        <v>50455.13</v>
      </c>
      <c r="H42" s="24">
        <v>50455.13</v>
      </c>
      <c r="I42" s="32">
        <v>53040</v>
      </c>
      <c r="J42" s="24">
        <v>220</v>
      </c>
      <c r="K42" s="47"/>
      <c r="L42" s="47">
        <f t="shared" si="6"/>
        <v>2584.8700000000026</v>
      </c>
      <c r="M42" s="24">
        <f>30000+20000</f>
        <v>50000</v>
      </c>
      <c r="N42" s="24"/>
      <c r="O42" s="24"/>
      <c r="P42" s="86">
        <f t="shared" si="7"/>
        <v>2584.8700000000026</v>
      </c>
      <c r="Q42" s="23" t="s">
        <v>127</v>
      </c>
      <c r="R42" s="76">
        <v>0</v>
      </c>
      <c r="S42" s="72">
        <f t="shared" si="8"/>
        <v>2804.8700000000026</v>
      </c>
    </row>
    <row r="43" spans="1:23" ht="13.5" customHeight="1">
      <c r="A43" s="24" t="s">
        <v>580</v>
      </c>
      <c r="B43" s="24" t="s">
        <v>151</v>
      </c>
      <c r="C43" s="25">
        <v>43788</v>
      </c>
      <c r="D43" s="25">
        <v>43791</v>
      </c>
      <c r="E43" s="24" t="s">
        <v>581</v>
      </c>
      <c r="F43" s="24"/>
      <c r="G43" s="45">
        <v>63369.71</v>
      </c>
      <c r="H43" s="24">
        <v>63369.71</v>
      </c>
      <c r="I43" s="32">
        <v>61370</v>
      </c>
      <c r="J43" s="24"/>
      <c r="K43" s="47">
        <f>300+850</f>
        <v>1150</v>
      </c>
      <c r="L43" s="47">
        <f t="shared" si="6"/>
        <v>-3149.7099999999991</v>
      </c>
      <c r="M43" s="24"/>
      <c r="N43" s="24">
        <v>0</v>
      </c>
      <c r="O43" s="24"/>
      <c r="P43" s="86">
        <f t="shared" si="7"/>
        <v>-3149.7099999999991</v>
      </c>
      <c r="Q43" s="23" t="s">
        <v>127</v>
      </c>
      <c r="R43" s="76">
        <v>0</v>
      </c>
      <c r="S43" s="72">
        <f t="shared" si="8"/>
        <v>-3149.7099999999991</v>
      </c>
    </row>
    <row r="44" spans="1:23" ht="13.5" customHeight="1">
      <c r="A44" s="24" t="s">
        <v>582</v>
      </c>
      <c r="B44" s="24" t="s">
        <v>151</v>
      </c>
      <c r="C44" s="25">
        <v>43788</v>
      </c>
      <c r="D44" s="25">
        <v>43794</v>
      </c>
      <c r="E44" s="24" t="s">
        <v>583</v>
      </c>
      <c r="F44" s="24"/>
      <c r="G44" s="45">
        <v>5993</v>
      </c>
      <c r="H44" s="24">
        <v>5993</v>
      </c>
      <c r="I44" s="32">
        <v>8990</v>
      </c>
      <c r="J44" s="24">
        <v>220</v>
      </c>
      <c r="K44" s="47"/>
      <c r="L44" s="47">
        <f t="shared" si="6"/>
        <v>2997</v>
      </c>
      <c r="M44" s="24"/>
      <c r="N44" s="24">
        <f>300+600</f>
        <v>900</v>
      </c>
      <c r="O44" s="24"/>
      <c r="P44" s="86">
        <f t="shared" si="7"/>
        <v>2097</v>
      </c>
      <c r="Q44" s="23" t="s">
        <v>524</v>
      </c>
      <c r="R44" s="76">
        <f>P44*0.3</f>
        <v>629.1</v>
      </c>
      <c r="S44" s="72">
        <f t="shared" si="8"/>
        <v>1687.9</v>
      </c>
    </row>
    <row r="45" spans="1:23" ht="13.5" customHeight="1">
      <c r="A45" s="24" t="s">
        <v>584</v>
      </c>
      <c r="B45" s="24" t="s">
        <v>151</v>
      </c>
      <c r="C45" s="25">
        <v>43788</v>
      </c>
      <c r="D45" s="25">
        <v>43796</v>
      </c>
      <c r="E45" s="24" t="s">
        <v>585</v>
      </c>
      <c r="F45" s="24"/>
      <c r="G45" s="45">
        <v>28194.81</v>
      </c>
      <c r="H45" s="24">
        <v>28194.81</v>
      </c>
      <c r="I45" s="32">
        <v>30264.91</v>
      </c>
      <c r="J45" s="24">
        <v>220</v>
      </c>
      <c r="K45" s="47">
        <v>600</v>
      </c>
      <c r="L45" s="47">
        <f t="shared" si="6"/>
        <v>1470.0999999999985</v>
      </c>
      <c r="M45" s="24"/>
      <c r="N45" s="24">
        <f>300+60+180</f>
        <v>540</v>
      </c>
      <c r="O45" s="24"/>
      <c r="P45" s="86">
        <f t="shared" si="7"/>
        <v>930.09999999999854</v>
      </c>
      <c r="Q45" s="23" t="s">
        <v>575</v>
      </c>
      <c r="R45" s="76">
        <f>P45*0.3</f>
        <v>279.02999999999957</v>
      </c>
      <c r="S45" s="72">
        <f t="shared" si="8"/>
        <v>871.06999999999903</v>
      </c>
      <c r="V45">
        <v>9</v>
      </c>
      <c r="W45">
        <v>8363.398000000001</v>
      </c>
    </row>
    <row r="46" spans="1:23" ht="13.5" customHeight="1">
      <c r="A46" s="24" t="s">
        <v>586</v>
      </c>
      <c r="B46" s="24" t="s">
        <v>151</v>
      </c>
      <c r="C46" s="25">
        <v>43788</v>
      </c>
      <c r="D46" s="25">
        <v>43796</v>
      </c>
      <c r="E46" s="24" t="s">
        <v>587</v>
      </c>
      <c r="F46" s="24"/>
      <c r="G46" s="45">
        <v>41175</v>
      </c>
      <c r="H46" s="24">
        <v>41175</v>
      </c>
      <c r="I46" s="32">
        <v>45041</v>
      </c>
      <c r="J46" s="24">
        <v>220</v>
      </c>
      <c r="K46" s="47">
        <v>300</v>
      </c>
      <c r="L46" s="47">
        <f t="shared" si="6"/>
        <v>3566</v>
      </c>
      <c r="M46" s="24">
        <v>22000</v>
      </c>
      <c r="N46" s="24">
        <v>0</v>
      </c>
      <c r="O46" s="24"/>
      <c r="P46" s="86">
        <f t="shared" si="7"/>
        <v>3566</v>
      </c>
      <c r="Q46" s="23" t="s">
        <v>127</v>
      </c>
      <c r="R46" s="76">
        <v>0</v>
      </c>
      <c r="S46" s="72">
        <f t="shared" si="8"/>
        <v>3786</v>
      </c>
      <c r="V46">
        <v>10</v>
      </c>
      <c r="W46">
        <v>18914.383999999995</v>
      </c>
    </row>
    <row r="47" spans="1:23">
      <c r="A47" s="24" t="s">
        <v>588</v>
      </c>
      <c r="B47" s="24" t="s">
        <v>151</v>
      </c>
      <c r="C47" s="25">
        <v>43788</v>
      </c>
      <c r="D47" s="25">
        <v>43798</v>
      </c>
      <c r="E47" s="24" t="s">
        <v>589</v>
      </c>
      <c r="F47" s="24"/>
      <c r="G47" s="45">
        <v>45406.06</v>
      </c>
      <c r="H47" s="24">
        <v>45406.06</v>
      </c>
      <c r="I47" s="32">
        <v>37580</v>
      </c>
      <c r="J47" s="24"/>
      <c r="K47" s="47">
        <f>325+125+125</f>
        <v>575</v>
      </c>
      <c r="L47" s="47">
        <f t="shared" si="6"/>
        <v>-8401.0599999999977</v>
      </c>
      <c r="M47" s="24"/>
      <c r="N47" s="24"/>
      <c r="O47" s="24"/>
      <c r="P47" s="86">
        <f t="shared" si="7"/>
        <v>-8401.0599999999977</v>
      </c>
      <c r="Q47" s="23" t="s">
        <v>127</v>
      </c>
      <c r="R47" s="76">
        <v>0</v>
      </c>
      <c r="S47" s="72">
        <f t="shared" si="8"/>
        <v>-8401.0599999999977</v>
      </c>
      <c r="T47" s="61">
        <f>SUM(S32:S47)</f>
        <v>-1131.3879999999881</v>
      </c>
      <c r="U47">
        <f>COUNT(S32:S47)</f>
        <v>16</v>
      </c>
      <c r="V47">
        <v>11</v>
      </c>
      <c r="W47">
        <v>-1131.3879999999881</v>
      </c>
    </row>
    <row r="48" spans="1:23">
      <c r="A48" s="24"/>
      <c r="B48" s="24"/>
      <c r="C48" s="25"/>
      <c r="D48" s="25"/>
      <c r="E48" s="24"/>
      <c r="F48" s="24"/>
      <c r="G48" s="45"/>
      <c r="H48" s="24"/>
      <c r="I48" s="32"/>
      <c r="J48" s="24"/>
      <c r="K48" s="47"/>
      <c r="L48" s="47"/>
      <c r="M48" s="24"/>
      <c r="N48" s="24"/>
      <c r="O48" s="24"/>
      <c r="P48" s="86"/>
      <c r="V48" s="22">
        <v>12</v>
      </c>
      <c r="W48">
        <v>10158.200000000004</v>
      </c>
    </row>
    <row r="49" spans="1:23">
      <c r="A49" s="24" t="s">
        <v>590</v>
      </c>
      <c r="B49" s="24" t="s">
        <v>151</v>
      </c>
      <c r="C49" s="25">
        <v>43818</v>
      </c>
      <c r="D49" s="25">
        <v>43804</v>
      </c>
      <c r="E49" s="24" t="s">
        <v>591</v>
      </c>
      <c r="F49" s="24"/>
      <c r="G49" s="45">
        <v>66025</v>
      </c>
      <c r="H49" s="24">
        <v>66025</v>
      </c>
      <c r="I49" s="32">
        <v>69496.800000000003</v>
      </c>
      <c r="J49" s="24">
        <v>220</v>
      </c>
      <c r="K49" s="47">
        <v>300</v>
      </c>
      <c r="L49" s="47">
        <f t="shared" ref="L49:L54" si="9">I49-H49-K49</f>
        <v>3171.8000000000029</v>
      </c>
      <c r="M49" s="24"/>
      <c r="N49" s="24"/>
      <c r="O49" s="24"/>
      <c r="P49" s="86">
        <f t="shared" ref="P49:P54" si="10">L49-N49</f>
        <v>3171.8000000000029</v>
      </c>
      <c r="Q49" s="23" t="s">
        <v>127</v>
      </c>
      <c r="R49" s="76">
        <v>0</v>
      </c>
      <c r="S49" s="72">
        <f t="shared" ref="S49:S54" si="11">P49-R49+J49</f>
        <v>3391.8000000000029</v>
      </c>
      <c r="V49" s="57">
        <v>1</v>
      </c>
      <c r="W49">
        <v>22211.941999999999</v>
      </c>
    </row>
    <row r="50" spans="1:23">
      <c r="A50" s="24" t="s">
        <v>529</v>
      </c>
      <c r="B50" s="24" t="s">
        <v>156</v>
      </c>
      <c r="C50" s="25">
        <v>43818</v>
      </c>
      <c r="D50" s="25">
        <v>43815</v>
      </c>
      <c r="E50" s="24" t="s">
        <v>592</v>
      </c>
      <c r="F50" s="24"/>
      <c r="G50" s="45">
        <v>13831</v>
      </c>
      <c r="H50" s="24">
        <v>13831</v>
      </c>
      <c r="I50" s="32">
        <v>16000</v>
      </c>
      <c r="J50" s="24">
        <v>410</v>
      </c>
      <c r="K50" s="47">
        <v>55</v>
      </c>
      <c r="L50" s="47">
        <f t="shared" si="9"/>
        <v>2114</v>
      </c>
      <c r="M50" s="24"/>
      <c r="N50" s="24"/>
      <c r="O50" s="24"/>
      <c r="P50" s="86">
        <f t="shared" si="10"/>
        <v>2114</v>
      </c>
      <c r="Q50" s="23" t="s">
        <v>524</v>
      </c>
      <c r="R50" s="76">
        <f>P50*0.2</f>
        <v>422.8</v>
      </c>
      <c r="S50" s="72">
        <f t="shared" si="11"/>
        <v>2101.1999999999998</v>
      </c>
      <c r="V50" s="57">
        <v>2</v>
      </c>
      <c r="W50">
        <v>15504.132000000003</v>
      </c>
    </row>
    <row r="51" spans="1:23">
      <c r="A51" s="24" t="s">
        <v>593</v>
      </c>
      <c r="B51" s="24" t="s">
        <v>151</v>
      </c>
      <c r="C51" s="25">
        <v>43818</v>
      </c>
      <c r="D51" s="25">
        <v>43809</v>
      </c>
      <c r="E51" s="24" t="s">
        <v>594</v>
      </c>
      <c r="F51" s="24"/>
      <c r="G51" s="45">
        <v>7728</v>
      </c>
      <c r="H51" s="24">
        <v>7728</v>
      </c>
      <c r="I51" s="32">
        <v>8500</v>
      </c>
      <c r="J51" s="24">
        <v>320</v>
      </c>
      <c r="K51" s="47"/>
      <c r="L51" s="47">
        <f t="shared" si="9"/>
        <v>772</v>
      </c>
      <c r="M51" s="24"/>
      <c r="N51" s="24"/>
      <c r="O51" s="24"/>
      <c r="P51" s="86">
        <f t="shared" si="10"/>
        <v>772</v>
      </c>
      <c r="Q51" s="23" t="s">
        <v>524</v>
      </c>
      <c r="R51" s="76">
        <f>P51*0.2</f>
        <v>154.4</v>
      </c>
      <c r="S51" s="72">
        <f t="shared" si="11"/>
        <v>937.6</v>
      </c>
      <c r="V51" s="57">
        <v>3</v>
      </c>
      <c r="W51">
        <v>0</v>
      </c>
    </row>
    <row r="52" spans="1:23">
      <c r="A52" s="24" t="s">
        <v>595</v>
      </c>
      <c r="B52" s="24" t="s">
        <v>151</v>
      </c>
      <c r="C52" s="25">
        <v>43818</v>
      </c>
      <c r="D52" s="25">
        <v>43810</v>
      </c>
      <c r="E52" s="24" t="s">
        <v>596</v>
      </c>
      <c r="F52" s="24"/>
      <c r="G52" s="45">
        <v>3848</v>
      </c>
      <c r="H52" s="24">
        <v>3848</v>
      </c>
      <c r="I52" s="32">
        <v>4475</v>
      </c>
      <c r="J52" s="24">
        <v>220</v>
      </c>
      <c r="K52" s="47">
        <v>400</v>
      </c>
      <c r="L52" s="47">
        <f t="shared" si="9"/>
        <v>227</v>
      </c>
      <c r="M52" s="24"/>
      <c r="N52" s="24"/>
      <c r="O52" s="24"/>
      <c r="P52" s="86">
        <f t="shared" si="10"/>
        <v>227</v>
      </c>
      <c r="Q52" s="23" t="s">
        <v>524</v>
      </c>
      <c r="R52" s="76">
        <f>P52*0.2</f>
        <v>45.400000000000006</v>
      </c>
      <c r="S52" s="72">
        <f t="shared" si="11"/>
        <v>401.6</v>
      </c>
      <c r="V52" s="57">
        <v>4</v>
      </c>
      <c r="W52">
        <v>0</v>
      </c>
    </row>
    <row r="53" spans="1:23">
      <c r="A53" s="24" t="s">
        <v>597</v>
      </c>
      <c r="B53" s="24" t="s">
        <v>156</v>
      </c>
      <c r="C53" s="25">
        <v>43818</v>
      </c>
      <c r="D53" s="25">
        <v>43819</v>
      </c>
      <c r="E53" s="24" t="s">
        <v>598</v>
      </c>
      <c r="F53" s="24"/>
      <c r="G53" s="45">
        <v>18335</v>
      </c>
      <c r="H53" s="24">
        <v>18335</v>
      </c>
      <c r="I53" s="32">
        <v>22000</v>
      </c>
      <c r="J53" s="24">
        <v>220</v>
      </c>
      <c r="K53" s="47"/>
      <c r="L53" s="47">
        <f t="shared" si="9"/>
        <v>3665</v>
      </c>
      <c r="M53" s="24"/>
      <c r="N53" s="24"/>
      <c r="O53" s="24"/>
      <c r="P53" s="86">
        <f t="shared" si="10"/>
        <v>3665</v>
      </c>
      <c r="Q53" s="37" t="s">
        <v>599</v>
      </c>
      <c r="R53" s="77">
        <v>200</v>
      </c>
      <c r="S53" s="72">
        <f t="shared" si="11"/>
        <v>3685</v>
      </c>
      <c r="V53" s="57">
        <v>5</v>
      </c>
      <c r="W53">
        <v>0</v>
      </c>
    </row>
    <row r="54" spans="1:23">
      <c r="A54" s="24" t="s">
        <v>600</v>
      </c>
      <c r="B54" s="24" t="s">
        <v>156</v>
      </c>
      <c r="C54" s="25">
        <v>43818</v>
      </c>
      <c r="D54" s="25">
        <v>43826</v>
      </c>
      <c r="E54" s="24" t="s">
        <v>601</v>
      </c>
      <c r="F54" s="24"/>
      <c r="G54" s="45">
        <v>11639</v>
      </c>
      <c r="H54" s="24">
        <v>11639</v>
      </c>
      <c r="I54" s="32">
        <v>11650</v>
      </c>
      <c r="J54" s="24">
        <v>200</v>
      </c>
      <c r="K54" s="47">
        <v>70</v>
      </c>
      <c r="L54" s="47">
        <f t="shared" si="9"/>
        <v>-59</v>
      </c>
      <c r="M54" s="24"/>
      <c r="N54" s="24">
        <v>500</v>
      </c>
      <c r="O54" s="24"/>
      <c r="P54" s="86">
        <f t="shared" si="10"/>
        <v>-559</v>
      </c>
      <c r="Q54" s="23" t="s">
        <v>524</v>
      </c>
      <c r="R54" s="76">
        <v>0</v>
      </c>
      <c r="S54" s="72">
        <f t="shared" si="11"/>
        <v>-359</v>
      </c>
      <c r="T54" s="61">
        <f>SUM(S49:S54)</f>
        <v>10158.200000000004</v>
      </c>
      <c r="U54">
        <f>COUNT(S49:S54)</f>
        <v>6</v>
      </c>
      <c r="V54" s="57">
        <v>6</v>
      </c>
      <c r="W54">
        <v>0</v>
      </c>
    </row>
    <row r="55" spans="1:23">
      <c r="A55" s="24"/>
      <c r="B55" s="24"/>
      <c r="C55" s="25"/>
      <c r="D55" s="25"/>
      <c r="E55" s="24"/>
      <c r="F55" s="24"/>
      <c r="G55" s="45"/>
      <c r="H55" s="24"/>
      <c r="I55" s="32"/>
      <c r="J55" s="24"/>
      <c r="K55" s="47"/>
      <c r="L55" s="47"/>
      <c r="M55" s="24"/>
      <c r="N55" s="24"/>
      <c r="O55" s="24"/>
      <c r="P55" s="86"/>
      <c r="V55" s="57">
        <v>7</v>
      </c>
      <c r="W55">
        <v>7103.07</v>
      </c>
    </row>
    <row r="56" spans="1:23">
      <c r="A56" s="24" t="s">
        <v>280</v>
      </c>
      <c r="B56" s="24" t="s">
        <v>151</v>
      </c>
      <c r="C56" s="25">
        <v>43850</v>
      </c>
      <c r="D56" s="25">
        <v>43831</v>
      </c>
      <c r="E56" s="24" t="s">
        <v>602</v>
      </c>
      <c r="F56" s="24"/>
      <c r="G56" s="45">
        <v>22483</v>
      </c>
      <c r="H56" s="24">
        <v>22483</v>
      </c>
      <c r="I56" s="32">
        <v>26400</v>
      </c>
      <c r="J56" s="24">
        <v>220</v>
      </c>
      <c r="K56" s="47">
        <v>450</v>
      </c>
      <c r="L56" s="47">
        <f t="shared" ref="L56:L68" si="12">I56-H56-K56</f>
        <v>3467</v>
      </c>
      <c r="M56" s="24"/>
      <c r="N56" s="24">
        <f>300+150</f>
        <v>450</v>
      </c>
      <c r="O56" s="24"/>
      <c r="P56" s="86">
        <f t="shared" ref="P56:P68" si="13">L56-N56</f>
        <v>3017</v>
      </c>
      <c r="Q56" s="23" t="s">
        <v>531</v>
      </c>
      <c r="R56" s="78">
        <f>P56*0.2</f>
        <v>603.4</v>
      </c>
      <c r="S56" s="72">
        <f t="shared" ref="S56:S68" si="14">P56-R56+J56</f>
        <v>2633.6</v>
      </c>
      <c r="V56" s="57">
        <v>8</v>
      </c>
      <c r="W56">
        <v>7510.0960000000005</v>
      </c>
    </row>
    <row r="57" spans="1:23">
      <c r="A57" s="24" t="s">
        <v>603</v>
      </c>
      <c r="B57" s="24" t="s">
        <v>151</v>
      </c>
      <c r="C57" s="25">
        <v>43850</v>
      </c>
      <c r="D57" s="25">
        <v>43836</v>
      </c>
      <c r="E57" s="24" t="s">
        <v>604</v>
      </c>
      <c r="F57" s="24"/>
      <c r="G57" s="45">
        <v>73000</v>
      </c>
      <c r="H57" s="24">
        <v>73025</v>
      </c>
      <c r="I57" s="32">
        <v>74770</v>
      </c>
      <c r="J57" s="24">
        <v>220</v>
      </c>
      <c r="K57" s="47">
        <v>675</v>
      </c>
      <c r="L57" s="47">
        <f t="shared" si="12"/>
        <v>1070</v>
      </c>
      <c r="M57" s="24"/>
      <c r="N57" s="24"/>
      <c r="O57" s="24"/>
      <c r="P57" s="86">
        <f t="shared" si="13"/>
        <v>1070</v>
      </c>
      <c r="Q57" s="23" t="s">
        <v>315</v>
      </c>
      <c r="R57" s="76">
        <v>0</v>
      </c>
      <c r="S57" s="72">
        <f t="shared" si="14"/>
        <v>1290</v>
      </c>
    </row>
    <row r="58" spans="1:23">
      <c r="A58" s="24" t="s">
        <v>605</v>
      </c>
      <c r="B58" s="24" t="s">
        <v>151</v>
      </c>
      <c r="C58" s="25">
        <v>43850</v>
      </c>
      <c r="D58" s="25">
        <v>43837</v>
      </c>
      <c r="E58" s="24" t="s">
        <v>606</v>
      </c>
      <c r="F58" s="24"/>
      <c r="G58" s="45">
        <v>3673</v>
      </c>
      <c r="H58" s="24">
        <v>3673</v>
      </c>
      <c r="I58" s="32">
        <v>4665</v>
      </c>
      <c r="J58" s="24">
        <v>220</v>
      </c>
      <c r="K58" s="47"/>
      <c r="L58" s="47">
        <f t="shared" si="12"/>
        <v>992</v>
      </c>
      <c r="M58" s="24"/>
      <c r="N58" s="24"/>
      <c r="O58" s="24"/>
      <c r="P58" s="86">
        <f t="shared" si="13"/>
        <v>992</v>
      </c>
      <c r="Q58" s="23" t="s">
        <v>575</v>
      </c>
      <c r="R58" s="78">
        <f>P58*0.2</f>
        <v>198.4</v>
      </c>
      <c r="S58" s="72">
        <f t="shared" si="14"/>
        <v>1013.6</v>
      </c>
    </row>
    <row r="59" spans="1:23">
      <c r="A59" s="24" t="s">
        <v>607</v>
      </c>
      <c r="B59" s="24" t="s">
        <v>151</v>
      </c>
      <c r="C59" s="25">
        <v>43850</v>
      </c>
      <c r="D59" s="25">
        <v>43839</v>
      </c>
      <c r="E59" s="24" t="s">
        <v>608</v>
      </c>
      <c r="F59" s="24"/>
      <c r="G59" s="45">
        <v>11502</v>
      </c>
      <c r="H59" s="24">
        <v>11502</v>
      </c>
      <c r="I59" s="32">
        <v>13468</v>
      </c>
      <c r="J59" s="24">
        <v>220</v>
      </c>
      <c r="K59" s="47"/>
      <c r="L59" s="47">
        <f t="shared" si="12"/>
        <v>1966</v>
      </c>
      <c r="M59" s="24"/>
      <c r="N59" s="24">
        <v>53</v>
      </c>
      <c r="O59" s="24"/>
      <c r="P59" s="86">
        <f t="shared" si="13"/>
        <v>1913</v>
      </c>
      <c r="Q59" s="23" t="s">
        <v>609</v>
      </c>
      <c r="R59" s="78">
        <f>P59*0.2</f>
        <v>382.6</v>
      </c>
      <c r="S59" s="72">
        <f t="shared" si="14"/>
        <v>1750.4</v>
      </c>
    </row>
    <row r="60" spans="1:23">
      <c r="A60" s="24" t="s">
        <v>422</v>
      </c>
      <c r="B60" s="24" t="s">
        <v>151</v>
      </c>
      <c r="C60" s="25">
        <v>43850</v>
      </c>
      <c r="D60" s="25">
        <v>43841</v>
      </c>
      <c r="E60" s="24" t="s">
        <v>610</v>
      </c>
      <c r="F60" s="24"/>
      <c r="G60" s="45">
        <v>5440</v>
      </c>
      <c r="H60" s="24">
        <v>5440</v>
      </c>
      <c r="I60" s="32">
        <v>5518</v>
      </c>
      <c r="J60" s="24">
        <v>0</v>
      </c>
      <c r="K60" s="47">
        <v>95</v>
      </c>
      <c r="L60" s="47">
        <f t="shared" si="12"/>
        <v>-17</v>
      </c>
      <c r="M60" s="24"/>
      <c r="N60" s="24">
        <v>0</v>
      </c>
      <c r="O60" s="24"/>
      <c r="P60" s="86">
        <f t="shared" si="13"/>
        <v>-17</v>
      </c>
      <c r="Q60" s="23"/>
      <c r="R60" s="78">
        <v>0</v>
      </c>
      <c r="S60" s="72">
        <f t="shared" si="14"/>
        <v>-17</v>
      </c>
    </row>
    <row r="61" spans="1:23">
      <c r="A61" s="24" t="s">
        <v>611</v>
      </c>
      <c r="B61" s="24" t="s">
        <v>156</v>
      </c>
      <c r="C61" s="25">
        <v>43850</v>
      </c>
      <c r="D61" s="25">
        <v>43832</v>
      </c>
      <c r="E61" s="24" t="s">
        <v>601</v>
      </c>
      <c r="F61" s="24"/>
      <c r="G61" s="45">
        <v>8997</v>
      </c>
      <c r="H61" s="24">
        <v>8997</v>
      </c>
      <c r="I61" s="32">
        <v>10000</v>
      </c>
      <c r="J61" s="24">
        <v>250</v>
      </c>
      <c r="K61" s="47">
        <v>70</v>
      </c>
      <c r="L61" s="47">
        <f t="shared" si="12"/>
        <v>933</v>
      </c>
      <c r="M61" s="24"/>
      <c r="N61" s="24">
        <v>50</v>
      </c>
      <c r="O61" s="24"/>
      <c r="P61" s="86">
        <f t="shared" si="13"/>
        <v>883</v>
      </c>
      <c r="Q61" s="23" t="s">
        <v>612</v>
      </c>
      <c r="R61" s="76">
        <v>100</v>
      </c>
      <c r="S61" s="72">
        <f t="shared" si="14"/>
        <v>1033</v>
      </c>
      <c r="V61" s="22"/>
    </row>
    <row r="62" spans="1:23" s="24" customFormat="1" ht="15" customHeight="1">
      <c r="A62" s="24" t="s">
        <v>161</v>
      </c>
      <c r="B62" s="24" t="s">
        <v>151</v>
      </c>
      <c r="C62" s="25">
        <v>43850</v>
      </c>
      <c r="D62" s="25">
        <v>43843</v>
      </c>
      <c r="E62" s="24" t="s">
        <v>613</v>
      </c>
      <c r="G62" s="45">
        <v>27000</v>
      </c>
      <c r="H62" s="24">
        <v>27000</v>
      </c>
      <c r="I62" s="32">
        <v>36541.32</v>
      </c>
      <c r="J62" s="24">
        <v>220</v>
      </c>
      <c r="K62" s="47">
        <v>525</v>
      </c>
      <c r="L62" s="47">
        <f t="shared" si="12"/>
        <v>9016.32</v>
      </c>
      <c r="N62" s="26">
        <f>49.59+75.93+1000+265+700+2*40+293+225</f>
        <v>2688.52</v>
      </c>
      <c r="O62" s="27" t="s">
        <v>614</v>
      </c>
      <c r="P62" s="87">
        <f t="shared" si="13"/>
        <v>6327.7999999999993</v>
      </c>
      <c r="Q62" s="39" t="s">
        <v>531</v>
      </c>
      <c r="R62" s="79">
        <f>P62*0.2</f>
        <v>1265.56</v>
      </c>
      <c r="S62" s="73">
        <f t="shared" si="14"/>
        <v>5282.24</v>
      </c>
      <c r="T62" s="63"/>
    </row>
    <row r="63" spans="1:23" s="33" customFormat="1" ht="15" customHeight="1">
      <c r="A63" s="33" t="s">
        <v>279</v>
      </c>
      <c r="B63" s="33" t="s">
        <v>151</v>
      </c>
      <c r="C63" s="34">
        <v>43850</v>
      </c>
      <c r="D63" s="34">
        <v>43844</v>
      </c>
      <c r="E63" s="33" t="s">
        <v>615</v>
      </c>
      <c r="G63" s="44">
        <v>15781.52</v>
      </c>
      <c r="H63" s="33">
        <v>15781.52</v>
      </c>
      <c r="I63" s="35">
        <v>20765.849999999999</v>
      </c>
      <c r="J63" s="33">
        <v>220</v>
      </c>
      <c r="K63" s="48">
        <v>350</v>
      </c>
      <c r="L63" s="48">
        <f t="shared" si="12"/>
        <v>4634.3299999999981</v>
      </c>
      <c r="N63" s="36">
        <v>150</v>
      </c>
      <c r="O63" s="27" t="s">
        <v>616</v>
      </c>
      <c r="P63" s="88">
        <f t="shared" si="13"/>
        <v>4484.3299999999981</v>
      </c>
      <c r="Q63" s="40" t="s">
        <v>348</v>
      </c>
      <c r="R63" s="80">
        <f>P63*0.2</f>
        <v>896.86599999999964</v>
      </c>
      <c r="S63" s="74">
        <f t="shared" si="14"/>
        <v>3807.4639999999986</v>
      </c>
      <c r="T63" s="64"/>
    </row>
    <row r="64" spans="1:23" s="33" customFormat="1" ht="15" customHeight="1">
      <c r="A64" s="33" t="s">
        <v>617</v>
      </c>
      <c r="B64" s="33" t="s">
        <v>151</v>
      </c>
      <c r="C64" s="34">
        <v>43850</v>
      </c>
      <c r="D64" s="34">
        <v>43846</v>
      </c>
      <c r="E64" s="33" t="s">
        <v>618</v>
      </c>
      <c r="G64" s="44">
        <v>39791.85</v>
      </c>
      <c r="H64" s="44">
        <v>39791.85</v>
      </c>
      <c r="I64" s="35">
        <v>35500</v>
      </c>
      <c r="J64" s="33">
        <v>220</v>
      </c>
      <c r="K64" s="48">
        <f>450+325</f>
        <v>775</v>
      </c>
      <c r="L64" s="48">
        <f t="shared" si="12"/>
        <v>-5066.8499999999985</v>
      </c>
      <c r="N64" s="36">
        <v>4</v>
      </c>
      <c r="O64" s="27" t="s">
        <v>619</v>
      </c>
      <c r="P64" s="88">
        <f t="shared" si="13"/>
        <v>-5070.8499999999985</v>
      </c>
      <c r="Q64" s="41" t="s">
        <v>620</v>
      </c>
      <c r="R64" s="80"/>
      <c r="S64" s="75">
        <f t="shared" si="14"/>
        <v>-4850.8499999999985</v>
      </c>
      <c r="T64" s="65"/>
    </row>
    <row r="65" spans="1:21" s="33" customFormat="1" ht="15" customHeight="1">
      <c r="A65" s="33" t="s">
        <v>621</v>
      </c>
      <c r="B65" s="33" t="s">
        <v>151</v>
      </c>
      <c r="C65" s="34">
        <v>43850</v>
      </c>
      <c r="D65" s="34">
        <v>43853</v>
      </c>
      <c r="E65" s="33" t="s">
        <v>622</v>
      </c>
      <c r="G65" s="44">
        <v>12500</v>
      </c>
      <c r="H65" s="44">
        <v>12500</v>
      </c>
      <c r="I65" s="35">
        <v>15000</v>
      </c>
      <c r="J65" s="33">
        <v>0</v>
      </c>
      <c r="K65" s="48">
        <v>0</v>
      </c>
      <c r="L65" s="48">
        <f t="shared" si="12"/>
        <v>2500</v>
      </c>
      <c r="N65" s="36"/>
      <c r="O65" s="27"/>
      <c r="P65" s="88">
        <f t="shared" si="13"/>
        <v>2500</v>
      </c>
      <c r="Q65" s="38" t="s">
        <v>227</v>
      </c>
      <c r="R65" s="81">
        <f>P65*0.2</f>
        <v>500</v>
      </c>
      <c r="S65" s="75">
        <f t="shared" si="14"/>
        <v>2000</v>
      </c>
      <c r="T65" s="65"/>
    </row>
    <row r="66" spans="1:21" s="24" customFormat="1" ht="15" customHeight="1">
      <c r="A66" s="24" t="s">
        <v>623</v>
      </c>
      <c r="B66" s="24" t="s">
        <v>624</v>
      </c>
      <c r="C66" s="34">
        <v>43850</v>
      </c>
      <c r="E66" s="24" t="s">
        <v>625</v>
      </c>
      <c r="G66" s="45">
        <v>26755</v>
      </c>
      <c r="H66" s="24">
        <v>26755</v>
      </c>
      <c r="I66" s="32">
        <v>34200</v>
      </c>
      <c r="J66" s="24">
        <v>220</v>
      </c>
      <c r="K66" s="47">
        <v>480</v>
      </c>
      <c r="L66" s="48">
        <f t="shared" si="12"/>
        <v>6965</v>
      </c>
      <c r="N66" s="26">
        <f>4+50+20+150+300</f>
        <v>524</v>
      </c>
      <c r="O66" s="36" t="s">
        <v>626</v>
      </c>
      <c r="P66" s="88">
        <f t="shared" si="13"/>
        <v>6441</v>
      </c>
      <c r="Q66" s="54" t="s">
        <v>348</v>
      </c>
      <c r="R66" s="80">
        <v>1000</v>
      </c>
      <c r="S66" s="75">
        <f t="shared" si="14"/>
        <v>5661</v>
      </c>
      <c r="T66" s="66"/>
    </row>
    <row r="67" spans="1:21" s="24" customFormat="1" ht="15" customHeight="1">
      <c r="A67" s="33" t="s">
        <v>284</v>
      </c>
      <c r="B67" s="33" t="s">
        <v>624</v>
      </c>
      <c r="C67" s="34">
        <v>43850</v>
      </c>
      <c r="D67" s="25">
        <v>43857</v>
      </c>
      <c r="E67" s="33" t="s">
        <v>627</v>
      </c>
      <c r="G67" s="45">
        <v>43811</v>
      </c>
      <c r="H67" s="45">
        <v>43811</v>
      </c>
      <c r="I67" s="32">
        <v>44575</v>
      </c>
      <c r="J67" s="24">
        <v>220</v>
      </c>
      <c r="K67" s="48">
        <v>450</v>
      </c>
      <c r="L67" s="48">
        <f t="shared" si="12"/>
        <v>314</v>
      </c>
      <c r="N67" s="26">
        <v>375</v>
      </c>
      <c r="O67" s="36" t="s">
        <v>628</v>
      </c>
      <c r="P67" s="88">
        <f t="shared" si="13"/>
        <v>-61</v>
      </c>
      <c r="Q67" s="42" t="s">
        <v>152</v>
      </c>
      <c r="R67" s="82">
        <v>200</v>
      </c>
      <c r="S67" s="75">
        <f t="shared" si="14"/>
        <v>-41</v>
      </c>
      <c r="T67" s="63"/>
    </row>
    <row r="68" spans="1:21" ht="15" customHeight="1">
      <c r="A68" s="33" t="s">
        <v>629</v>
      </c>
      <c r="B68" s="33" t="s">
        <v>151</v>
      </c>
      <c r="C68" s="34">
        <v>43850</v>
      </c>
      <c r="D68" s="25">
        <v>43845</v>
      </c>
      <c r="E68" s="33" t="s">
        <v>630</v>
      </c>
      <c r="G68" s="51">
        <v>12780</v>
      </c>
      <c r="H68" s="24">
        <v>12900.24</v>
      </c>
      <c r="I68" s="30">
        <v>16987.099999999999</v>
      </c>
      <c r="J68" s="33">
        <v>220</v>
      </c>
      <c r="K68" s="48">
        <v>800</v>
      </c>
      <c r="L68" s="48">
        <f t="shared" si="12"/>
        <v>3286.8599999999988</v>
      </c>
      <c r="N68" s="36">
        <v>250</v>
      </c>
      <c r="O68" s="36">
        <v>250</v>
      </c>
      <c r="P68" s="88">
        <f t="shared" si="13"/>
        <v>3036.8599999999988</v>
      </c>
      <c r="Q68" s="23" t="s">
        <v>575</v>
      </c>
      <c r="R68" s="83">
        <f>P68*0.2</f>
        <v>607.37199999999973</v>
      </c>
      <c r="S68" s="75">
        <f t="shared" si="14"/>
        <v>2649.4879999999989</v>
      </c>
      <c r="T68" s="66">
        <f>SUM(S56:S68)</f>
        <v>22211.941999999999</v>
      </c>
      <c r="U68" s="33">
        <f>COUNT(S56:S68)</f>
        <v>13</v>
      </c>
    </row>
    <row r="69" spans="1:21" ht="15" customHeight="1">
      <c r="A69" s="33"/>
      <c r="B69" s="33"/>
      <c r="C69" s="34"/>
      <c r="D69" s="25"/>
      <c r="E69" s="33"/>
      <c r="H69" s="24"/>
      <c r="J69" s="33"/>
      <c r="K69" s="48"/>
      <c r="L69" s="48"/>
      <c r="N69" s="36"/>
      <c r="O69" s="36"/>
      <c r="P69" s="88"/>
      <c r="Q69" s="37"/>
      <c r="R69" s="84"/>
      <c r="S69" s="75"/>
      <c r="T69" s="62"/>
    </row>
    <row r="71" spans="1:21">
      <c r="A71" s="24" t="s">
        <v>165</v>
      </c>
      <c r="B71" s="43" t="s">
        <v>151</v>
      </c>
      <c r="C71" s="52">
        <v>43881</v>
      </c>
      <c r="D71" s="52">
        <v>43865</v>
      </c>
      <c r="E71" t="s">
        <v>631</v>
      </c>
      <c r="G71" s="51">
        <v>20746.259999999998</v>
      </c>
      <c r="H71" s="24">
        <v>20746.259999999998</v>
      </c>
      <c r="I71" s="30">
        <v>22000</v>
      </c>
      <c r="J71" s="43">
        <v>0</v>
      </c>
      <c r="K71" s="51">
        <v>150</v>
      </c>
      <c r="L71" s="48">
        <f t="shared" ref="L71:L85" si="15">I71-H71-K71</f>
        <v>1103.7400000000016</v>
      </c>
      <c r="N71" s="55">
        <v>185</v>
      </c>
      <c r="O71" s="22" t="s">
        <v>632</v>
      </c>
      <c r="P71" s="88">
        <f t="shared" ref="P71:P85" si="16">L71-N71</f>
        <v>918.7400000000016</v>
      </c>
      <c r="Q71" s="21" t="s">
        <v>127</v>
      </c>
      <c r="R71" s="72">
        <v>0</v>
      </c>
      <c r="S71" s="75">
        <f t="shared" ref="S71:S78" si="17">P71-R71+J71</f>
        <v>918.7400000000016</v>
      </c>
      <c r="T71" s="62"/>
    </row>
    <row r="72" spans="1:21">
      <c r="A72" s="24" t="s">
        <v>633</v>
      </c>
      <c r="B72" s="43" t="s">
        <v>151</v>
      </c>
      <c r="C72" s="52">
        <v>43881</v>
      </c>
      <c r="D72" s="52">
        <v>43864</v>
      </c>
      <c r="E72" t="s">
        <v>473</v>
      </c>
      <c r="G72" s="51">
        <v>13500</v>
      </c>
      <c r="H72" s="24">
        <v>13500</v>
      </c>
      <c r="I72" s="30">
        <v>10875</v>
      </c>
      <c r="J72" s="43">
        <v>0</v>
      </c>
      <c r="K72" s="51">
        <v>150</v>
      </c>
      <c r="L72" s="48">
        <f t="shared" si="15"/>
        <v>-2775</v>
      </c>
      <c r="N72" s="55"/>
      <c r="O72" s="22"/>
      <c r="P72" s="88">
        <f t="shared" si="16"/>
        <v>-2775</v>
      </c>
      <c r="Q72" s="21" t="s">
        <v>227</v>
      </c>
      <c r="R72" s="72">
        <v>0</v>
      </c>
      <c r="S72" s="75">
        <f t="shared" si="17"/>
        <v>-2775</v>
      </c>
      <c r="T72" s="62"/>
    </row>
    <row r="73" spans="1:21">
      <c r="A73" s="33" t="s">
        <v>560</v>
      </c>
      <c r="B73" s="33" t="s">
        <v>151</v>
      </c>
      <c r="C73" s="52">
        <v>43881</v>
      </c>
      <c r="D73" s="52">
        <v>43871</v>
      </c>
      <c r="E73" t="s">
        <v>634</v>
      </c>
      <c r="G73" s="51">
        <v>11000</v>
      </c>
      <c r="H73" s="24">
        <v>11000</v>
      </c>
      <c r="I73" s="30">
        <v>11000</v>
      </c>
      <c r="J73" s="43">
        <v>0</v>
      </c>
      <c r="K73" s="51"/>
      <c r="L73" s="48">
        <f t="shared" si="15"/>
        <v>0</v>
      </c>
      <c r="N73" s="55"/>
      <c r="O73" s="22"/>
      <c r="P73" s="88">
        <f t="shared" si="16"/>
        <v>0</v>
      </c>
      <c r="Q73" s="21" t="s">
        <v>127</v>
      </c>
      <c r="R73" s="72">
        <v>0</v>
      </c>
      <c r="S73" s="75">
        <f t="shared" si="17"/>
        <v>0</v>
      </c>
      <c r="T73" s="62"/>
    </row>
    <row r="74" spans="1:21">
      <c r="A74" s="33" t="s">
        <v>635</v>
      </c>
      <c r="B74" s="33" t="s">
        <v>151</v>
      </c>
      <c r="C74" s="52">
        <v>43881</v>
      </c>
      <c r="D74" s="52">
        <v>43872</v>
      </c>
      <c r="E74" t="s">
        <v>636</v>
      </c>
      <c r="G74" s="51">
        <v>6000</v>
      </c>
      <c r="H74" s="24">
        <v>6000</v>
      </c>
      <c r="I74" s="30">
        <v>6500</v>
      </c>
      <c r="J74" s="43">
        <v>0</v>
      </c>
      <c r="K74" s="51"/>
      <c r="L74" s="48">
        <f t="shared" si="15"/>
        <v>500</v>
      </c>
      <c r="N74" s="55"/>
      <c r="O74" s="22"/>
      <c r="P74" s="88">
        <f t="shared" si="16"/>
        <v>500</v>
      </c>
      <c r="Q74" s="21" t="s">
        <v>127</v>
      </c>
      <c r="R74" s="72">
        <v>0</v>
      </c>
      <c r="S74" s="75">
        <f t="shared" si="17"/>
        <v>500</v>
      </c>
      <c r="T74" s="62"/>
    </row>
    <row r="75" spans="1:21">
      <c r="A75" s="24" t="s">
        <v>637</v>
      </c>
      <c r="B75" s="43" t="s">
        <v>151</v>
      </c>
      <c r="C75" s="52">
        <v>43881</v>
      </c>
      <c r="D75" s="52">
        <v>43864</v>
      </c>
      <c r="E75" t="s">
        <v>638</v>
      </c>
      <c r="G75" s="51">
        <v>5509.71</v>
      </c>
      <c r="H75" s="24">
        <v>5506.35</v>
      </c>
      <c r="I75" s="30">
        <v>5800</v>
      </c>
      <c r="J75" s="43">
        <v>0</v>
      </c>
      <c r="K75" s="51">
        <v>0</v>
      </c>
      <c r="L75" s="48">
        <f t="shared" si="15"/>
        <v>293.64999999999964</v>
      </c>
      <c r="M75" t="s">
        <v>639</v>
      </c>
      <c r="N75" s="55">
        <v>4</v>
      </c>
      <c r="O75" s="22" t="s">
        <v>640</v>
      </c>
      <c r="P75" s="88">
        <f t="shared" si="16"/>
        <v>289.64999999999964</v>
      </c>
      <c r="Q75" s="23" t="s">
        <v>575</v>
      </c>
      <c r="R75" s="78">
        <f>P75*0.2</f>
        <v>57.929999999999929</v>
      </c>
      <c r="S75" s="75">
        <f t="shared" si="17"/>
        <v>231.71999999999971</v>
      </c>
    </row>
    <row r="76" spans="1:21">
      <c r="A76" s="24" t="s">
        <v>641</v>
      </c>
      <c r="B76" s="43" t="s">
        <v>151</v>
      </c>
      <c r="C76" s="52">
        <v>43882</v>
      </c>
      <c r="D76" s="52">
        <v>43872</v>
      </c>
      <c r="E76" t="s">
        <v>642</v>
      </c>
      <c r="G76" s="51">
        <v>34250</v>
      </c>
      <c r="H76" s="24">
        <v>34250</v>
      </c>
      <c r="I76" s="30">
        <f>36101</f>
        <v>36101</v>
      </c>
      <c r="J76" s="43">
        <v>0</v>
      </c>
      <c r="K76" s="51">
        <v>50</v>
      </c>
      <c r="L76" s="48">
        <f t="shared" si="15"/>
        <v>1801</v>
      </c>
      <c r="N76" s="55">
        <v>232</v>
      </c>
      <c r="O76" s="22" t="s">
        <v>643</v>
      </c>
      <c r="P76" s="88">
        <f t="shared" si="16"/>
        <v>1569</v>
      </c>
      <c r="Q76" s="21" t="s">
        <v>227</v>
      </c>
      <c r="R76" s="78">
        <f>P76*0.2</f>
        <v>313.8</v>
      </c>
      <c r="S76" s="75">
        <f t="shared" si="17"/>
        <v>1255.2</v>
      </c>
      <c r="T76" s="62"/>
    </row>
    <row r="77" spans="1:21">
      <c r="A77" s="24" t="s">
        <v>644</v>
      </c>
      <c r="B77" s="43" t="s">
        <v>151</v>
      </c>
      <c r="C77" s="52">
        <v>43883</v>
      </c>
      <c r="D77" s="43" t="s">
        <v>645</v>
      </c>
      <c r="E77" t="s">
        <v>646</v>
      </c>
      <c r="G77" s="51">
        <v>29000</v>
      </c>
      <c r="H77" s="24">
        <v>29000</v>
      </c>
      <c r="I77" s="30">
        <v>32500</v>
      </c>
      <c r="J77" s="43">
        <v>0</v>
      </c>
      <c r="L77" s="48">
        <f t="shared" si="15"/>
        <v>3500</v>
      </c>
      <c r="N77" s="55"/>
      <c r="O77" s="22"/>
      <c r="P77" s="88">
        <f t="shared" si="16"/>
        <v>3500</v>
      </c>
      <c r="Q77" s="21" t="s">
        <v>127</v>
      </c>
      <c r="R77" s="78">
        <f>P77*0.2</f>
        <v>700</v>
      </c>
      <c r="S77" s="75">
        <f t="shared" si="17"/>
        <v>2800</v>
      </c>
      <c r="T77" s="62"/>
    </row>
    <row r="78" spans="1:21">
      <c r="A78" s="24" t="s">
        <v>647</v>
      </c>
      <c r="B78" s="43" t="s">
        <v>151</v>
      </c>
      <c r="C78" s="52">
        <v>43884</v>
      </c>
      <c r="D78" s="52">
        <v>43875</v>
      </c>
      <c r="E78" t="s">
        <v>648</v>
      </c>
      <c r="G78" s="51">
        <v>39812</v>
      </c>
      <c r="H78" s="24">
        <v>39812</v>
      </c>
      <c r="I78" s="30">
        <v>43494.15</v>
      </c>
      <c r="J78" s="43">
        <v>220</v>
      </c>
      <c r="K78" s="50">
        <v>550</v>
      </c>
      <c r="L78" s="48">
        <f t="shared" si="15"/>
        <v>3132.1500000000015</v>
      </c>
      <c r="M78" t="s">
        <v>649</v>
      </c>
      <c r="N78" s="55">
        <v>300</v>
      </c>
      <c r="O78" s="22" t="s">
        <v>650</v>
      </c>
      <c r="P78" s="88">
        <f t="shared" si="16"/>
        <v>2832.1500000000015</v>
      </c>
      <c r="Q78" s="21" t="s">
        <v>127</v>
      </c>
      <c r="R78" s="78">
        <f>P78*0.2</f>
        <v>566.43000000000029</v>
      </c>
      <c r="S78" s="75">
        <f t="shared" si="17"/>
        <v>2485.7200000000012</v>
      </c>
      <c r="U78" s="33">
        <f>COUNT(S71:S85)</f>
        <v>15</v>
      </c>
    </row>
    <row r="79" spans="1:21">
      <c r="A79" s="24" t="s">
        <v>203</v>
      </c>
      <c r="B79" s="43" t="s">
        <v>151</v>
      </c>
      <c r="C79" s="52">
        <v>43885</v>
      </c>
      <c r="D79" s="52">
        <v>43875</v>
      </c>
      <c r="E79" t="s">
        <v>651</v>
      </c>
      <c r="G79" s="51">
        <v>19406.66</v>
      </c>
      <c r="H79" s="24">
        <v>19406.66</v>
      </c>
      <c r="I79" s="30">
        <v>14575</v>
      </c>
      <c r="J79" s="43">
        <v>0</v>
      </c>
      <c r="K79" s="51">
        <v>100</v>
      </c>
      <c r="L79" s="48">
        <f t="shared" si="15"/>
        <v>-4931.66</v>
      </c>
      <c r="N79" s="55"/>
      <c r="O79" s="57" t="s">
        <v>652</v>
      </c>
      <c r="P79" s="88">
        <f t="shared" si="16"/>
        <v>-4931.66</v>
      </c>
      <c r="Q79" s="21" t="s">
        <v>227</v>
      </c>
      <c r="R79" s="78">
        <v>0</v>
      </c>
      <c r="S79" s="75">
        <v>0</v>
      </c>
      <c r="T79" s="66"/>
      <c r="U79" s="33"/>
    </row>
    <row r="80" spans="1:21">
      <c r="A80" s="24" t="s">
        <v>653</v>
      </c>
      <c r="B80" s="43" t="s">
        <v>151</v>
      </c>
      <c r="C80" s="52">
        <v>43887</v>
      </c>
      <c r="D80" s="52">
        <v>43878</v>
      </c>
      <c r="E80" t="s">
        <v>654</v>
      </c>
      <c r="G80" s="51">
        <v>22000</v>
      </c>
      <c r="H80" s="24">
        <v>22000</v>
      </c>
      <c r="I80" s="30">
        <v>20800</v>
      </c>
      <c r="J80" s="43">
        <v>0</v>
      </c>
      <c r="K80" s="50">
        <v>150</v>
      </c>
      <c r="L80" s="48">
        <f t="shared" si="15"/>
        <v>-1350</v>
      </c>
      <c r="M80">
        <v>0</v>
      </c>
      <c r="N80" s="55">
        <v>792</v>
      </c>
      <c r="O80" s="22" t="s">
        <v>655</v>
      </c>
      <c r="P80" s="88">
        <f t="shared" si="16"/>
        <v>-2142</v>
      </c>
      <c r="Q80" s="21" t="s">
        <v>227</v>
      </c>
      <c r="R80" s="78">
        <v>0</v>
      </c>
      <c r="S80" s="75">
        <f t="shared" ref="S80:S85" si="18">P80-R80+J80</f>
        <v>-2142</v>
      </c>
      <c r="T80" s="62"/>
    </row>
    <row r="81" spans="1:20">
      <c r="A81" s="24" t="s">
        <v>656</v>
      </c>
      <c r="B81" s="43" t="s">
        <v>151</v>
      </c>
      <c r="C81" s="52">
        <v>43888</v>
      </c>
      <c r="D81" s="52">
        <v>43888</v>
      </c>
      <c r="E81" t="s">
        <v>657</v>
      </c>
      <c r="G81" s="51">
        <v>23155</v>
      </c>
      <c r="H81" s="24">
        <v>23155</v>
      </c>
      <c r="I81" s="30">
        <v>26288.49</v>
      </c>
      <c r="J81" s="43">
        <v>220</v>
      </c>
      <c r="K81" s="50">
        <v>425</v>
      </c>
      <c r="L81" s="48">
        <f t="shared" si="15"/>
        <v>2708.4900000000016</v>
      </c>
      <c r="N81" s="55">
        <v>165</v>
      </c>
      <c r="O81" s="22" t="s">
        <v>658</v>
      </c>
      <c r="P81" s="88">
        <f t="shared" si="16"/>
        <v>2543.4900000000016</v>
      </c>
      <c r="Q81" s="21" t="s">
        <v>659</v>
      </c>
      <c r="R81" s="78">
        <f>P81*0.2</f>
        <v>508.69800000000032</v>
      </c>
      <c r="S81" s="75">
        <f t="shared" si="18"/>
        <v>2254.7920000000013</v>
      </c>
      <c r="T81" s="62"/>
    </row>
    <row r="82" spans="1:20">
      <c r="A82" s="24" t="s">
        <v>660</v>
      </c>
      <c r="B82" s="43" t="s">
        <v>151</v>
      </c>
      <c r="C82" s="52">
        <v>43889</v>
      </c>
      <c r="D82" s="52">
        <v>43887</v>
      </c>
      <c r="E82" t="s">
        <v>661</v>
      </c>
      <c r="G82" s="51">
        <v>6333</v>
      </c>
      <c r="H82" s="24">
        <v>6333</v>
      </c>
      <c r="I82" s="30">
        <v>7000</v>
      </c>
      <c r="J82" s="43">
        <v>220</v>
      </c>
      <c r="K82" s="50">
        <v>0</v>
      </c>
      <c r="L82" s="48">
        <f t="shared" si="15"/>
        <v>667</v>
      </c>
      <c r="O82" t="s">
        <v>662</v>
      </c>
      <c r="P82" s="88">
        <f t="shared" si="16"/>
        <v>667</v>
      </c>
      <c r="Q82" s="21" t="s">
        <v>663</v>
      </c>
      <c r="R82" s="78">
        <f>P82*0.2</f>
        <v>133.4</v>
      </c>
      <c r="S82" s="75">
        <f t="shared" si="18"/>
        <v>753.6</v>
      </c>
    </row>
    <row r="83" spans="1:20" s="24" customFormat="1" ht="32.25" customHeight="1">
      <c r="A83" s="24" t="s">
        <v>664</v>
      </c>
      <c r="B83" s="24" t="s">
        <v>151</v>
      </c>
      <c r="C83" s="25">
        <v>43881</v>
      </c>
      <c r="D83" s="25">
        <v>43889</v>
      </c>
      <c r="E83" s="24" t="s">
        <v>665</v>
      </c>
      <c r="G83" s="45">
        <v>66000</v>
      </c>
      <c r="H83" s="24">
        <v>66000</v>
      </c>
      <c r="I83" s="32">
        <v>68520</v>
      </c>
      <c r="J83" s="24">
        <v>220</v>
      </c>
      <c r="K83" s="47">
        <v>0</v>
      </c>
      <c r="L83" s="48">
        <f t="shared" si="15"/>
        <v>2520</v>
      </c>
      <c r="N83" s="24">
        <v>-5000</v>
      </c>
      <c r="O83" s="33" t="s">
        <v>666</v>
      </c>
      <c r="P83" s="88">
        <f t="shared" si="16"/>
        <v>7520</v>
      </c>
      <c r="Q83" s="56" t="s">
        <v>127</v>
      </c>
      <c r="R83" s="78">
        <f>P83*0.2</f>
        <v>1504</v>
      </c>
      <c r="S83" s="75">
        <f t="shared" si="18"/>
        <v>6236</v>
      </c>
      <c r="T83" s="66"/>
    </row>
    <row r="84" spans="1:20" s="24" customFormat="1">
      <c r="A84" s="24" t="s">
        <v>667</v>
      </c>
      <c r="B84" s="24" t="s">
        <v>151</v>
      </c>
      <c r="C84" s="25">
        <v>43890</v>
      </c>
      <c r="D84" s="25">
        <v>43890</v>
      </c>
      <c r="E84" s="24" t="s">
        <v>668</v>
      </c>
      <c r="G84" s="45">
        <v>35200</v>
      </c>
      <c r="H84" s="24">
        <f>35200+248</f>
        <v>35448</v>
      </c>
      <c r="I84" s="32">
        <v>38916</v>
      </c>
      <c r="J84" s="24">
        <v>220</v>
      </c>
      <c r="K84" s="47">
        <v>500</v>
      </c>
      <c r="L84" s="48">
        <f t="shared" si="15"/>
        <v>2968</v>
      </c>
      <c r="N84" s="26">
        <f>38.4+4</f>
        <v>42.4</v>
      </c>
      <c r="O84" s="26" t="s">
        <v>669</v>
      </c>
      <c r="P84" s="88">
        <f t="shared" si="16"/>
        <v>2925.6</v>
      </c>
      <c r="Q84" s="56" t="s">
        <v>670</v>
      </c>
      <c r="R84" s="78">
        <f>P84*0.2</f>
        <v>585.12</v>
      </c>
      <c r="S84" s="75">
        <f t="shared" si="18"/>
        <v>2560.48</v>
      </c>
      <c r="T84" s="63"/>
    </row>
    <row r="85" spans="1:20" s="24" customFormat="1">
      <c r="A85" s="24" t="s">
        <v>671</v>
      </c>
      <c r="B85" s="24" t="s">
        <v>151</v>
      </c>
      <c r="C85" s="25">
        <v>43862</v>
      </c>
      <c r="D85" s="25">
        <v>43890</v>
      </c>
      <c r="E85" s="24" t="s">
        <v>672</v>
      </c>
      <c r="G85" s="45">
        <v>3039</v>
      </c>
      <c r="H85" s="24">
        <v>3039</v>
      </c>
      <c r="I85" s="32">
        <v>3400</v>
      </c>
      <c r="J85" s="24">
        <v>170</v>
      </c>
      <c r="K85" s="47">
        <v>0</v>
      </c>
      <c r="L85" s="48">
        <f t="shared" si="15"/>
        <v>361</v>
      </c>
      <c r="N85" s="26">
        <f>38.4+4</f>
        <v>42.4</v>
      </c>
      <c r="O85" s="26" t="s">
        <v>673</v>
      </c>
      <c r="P85" s="88">
        <f t="shared" si="16"/>
        <v>318.60000000000002</v>
      </c>
      <c r="Q85" s="56" t="s">
        <v>663</v>
      </c>
      <c r="R85" s="78">
        <f>P85*0.2</f>
        <v>63.720000000000006</v>
      </c>
      <c r="S85" s="75">
        <f t="shared" si="18"/>
        <v>424.88</v>
      </c>
      <c r="T85" s="66">
        <f>SUM(S71:S85)</f>
        <v>15504.132000000003</v>
      </c>
    </row>
    <row r="86" spans="1:20">
      <c r="L86" s="48"/>
      <c r="N86" s="26"/>
      <c r="O86" s="22"/>
      <c r="P86" s="88"/>
      <c r="R86" s="78"/>
      <c r="S86" s="75"/>
      <c r="T86" s="62"/>
    </row>
    <row r="87" spans="1:20">
      <c r="L87" s="48"/>
      <c r="N87" s="26"/>
      <c r="O87" s="22"/>
      <c r="P87" s="88"/>
      <c r="R87" s="78"/>
      <c r="S87" s="75"/>
      <c r="T87" s="62"/>
    </row>
    <row r="88" spans="1:20">
      <c r="L88" s="48"/>
      <c r="N88" s="26"/>
      <c r="O88" s="22"/>
      <c r="P88" s="88"/>
      <c r="R88" s="78"/>
      <c r="S88" s="75"/>
      <c r="T88" s="62"/>
    </row>
    <row r="89" spans="1:20">
      <c r="L89" s="48"/>
      <c r="N89" s="26"/>
      <c r="O89" s="22"/>
      <c r="P89" s="88"/>
      <c r="R89" s="78"/>
      <c r="S89" s="75"/>
      <c r="T89" s="62"/>
    </row>
    <row r="90" spans="1:20">
      <c r="L90" s="48"/>
      <c r="N90" s="26"/>
      <c r="O90" s="22"/>
      <c r="P90" s="88"/>
      <c r="R90" s="78"/>
      <c r="S90" s="75"/>
      <c r="T90" s="62"/>
    </row>
    <row r="91" spans="1:20">
      <c r="A91" s="24" t="s">
        <v>354</v>
      </c>
      <c r="B91" s="43" t="s">
        <v>674</v>
      </c>
      <c r="C91" s="52">
        <v>43888</v>
      </c>
      <c r="E91" t="s">
        <v>657</v>
      </c>
      <c r="G91" s="51">
        <v>23726</v>
      </c>
      <c r="H91">
        <v>23726</v>
      </c>
      <c r="I91" s="30">
        <v>26508</v>
      </c>
      <c r="J91" s="43">
        <v>0</v>
      </c>
      <c r="K91" s="50">
        <v>500</v>
      </c>
      <c r="L91" s="58">
        <f>I91-H91-K91</f>
        <v>2282</v>
      </c>
      <c r="N91" s="26"/>
      <c r="O91" s="22"/>
      <c r="P91" s="88">
        <f>R91/0.2</f>
        <v>2010</v>
      </c>
      <c r="Q91" s="21" t="s">
        <v>659</v>
      </c>
      <c r="R91" s="78">
        <v>402</v>
      </c>
      <c r="S91" s="75">
        <f>P91-R91+J91</f>
        <v>1608</v>
      </c>
      <c r="T91" s="62"/>
    </row>
    <row r="92" spans="1:20">
      <c r="A92" s="24" t="s">
        <v>675</v>
      </c>
      <c r="B92" t="s">
        <v>674</v>
      </c>
      <c r="C92" s="52" t="s">
        <v>676</v>
      </c>
      <c r="E92" t="s">
        <v>677</v>
      </c>
      <c r="G92" s="51">
        <v>16000</v>
      </c>
      <c r="H92" s="45">
        <v>16000</v>
      </c>
      <c r="I92" s="30">
        <v>17437</v>
      </c>
      <c r="J92" s="43">
        <v>0</v>
      </c>
      <c r="L92" s="58">
        <f>I92-H92-K92</f>
        <v>1437</v>
      </c>
      <c r="N92" s="55"/>
      <c r="O92" s="22"/>
      <c r="P92" s="88">
        <f>L92-N92</f>
        <v>1437</v>
      </c>
      <c r="Q92" s="21" t="s">
        <v>659</v>
      </c>
      <c r="R92" s="78">
        <f>P92*0.2</f>
        <v>287.40000000000003</v>
      </c>
      <c r="S92" s="75">
        <f>P92-R92+J92</f>
        <v>1149.5999999999999</v>
      </c>
      <c r="T92" s="62"/>
    </row>
    <row r="93" spans="1:20">
      <c r="N93" s="55"/>
      <c r="O93" s="22"/>
      <c r="P93" s="89"/>
      <c r="T93" s="62"/>
    </row>
    <row r="94" spans="1:20">
      <c r="A94" t="s">
        <v>678</v>
      </c>
      <c r="B94" s="24" t="s">
        <v>151</v>
      </c>
      <c r="C94" s="52">
        <v>44032</v>
      </c>
      <c r="D94" s="52">
        <v>44018</v>
      </c>
      <c r="E94" t="s">
        <v>679</v>
      </c>
      <c r="G94" s="51">
        <v>10505</v>
      </c>
      <c r="H94">
        <v>10505</v>
      </c>
      <c r="I94" s="30">
        <v>11436</v>
      </c>
      <c r="J94" s="43">
        <v>220</v>
      </c>
      <c r="K94" s="50">
        <v>0</v>
      </c>
      <c r="L94" s="58">
        <f t="shared" ref="L94:L100" si="19">I94-H94-K94</f>
        <v>931</v>
      </c>
      <c r="N94" s="55">
        <v>4</v>
      </c>
      <c r="O94" s="22"/>
      <c r="P94" s="88">
        <f t="shared" ref="P94:P100" si="20">L94-N94</f>
        <v>927</v>
      </c>
      <c r="Q94" s="23" t="s">
        <v>531</v>
      </c>
      <c r="R94" s="78">
        <f>P94*0.2</f>
        <v>185.4</v>
      </c>
      <c r="S94" s="75">
        <f t="shared" ref="S94:S100" si="21">P94-R94+J94</f>
        <v>961.6</v>
      </c>
      <c r="T94" s="62"/>
    </row>
    <row r="95" spans="1:20">
      <c r="A95" t="s">
        <v>680</v>
      </c>
      <c r="B95" s="24" t="s">
        <v>151</v>
      </c>
      <c r="C95" s="52">
        <v>44013</v>
      </c>
      <c r="D95" s="52">
        <v>44025</v>
      </c>
      <c r="E95" t="s">
        <v>681</v>
      </c>
      <c r="G95" s="51">
        <v>9005</v>
      </c>
      <c r="H95">
        <v>9005</v>
      </c>
      <c r="I95" s="30">
        <v>9500</v>
      </c>
      <c r="L95" s="58">
        <f t="shared" si="19"/>
        <v>495</v>
      </c>
      <c r="N95" s="55"/>
      <c r="O95" s="22"/>
      <c r="P95" s="88">
        <f t="shared" si="20"/>
        <v>495</v>
      </c>
      <c r="Q95" s="21" t="s">
        <v>127</v>
      </c>
      <c r="R95" s="78">
        <f>P95*0.2</f>
        <v>99</v>
      </c>
      <c r="S95" s="75">
        <f t="shared" si="21"/>
        <v>396</v>
      </c>
      <c r="T95" s="62"/>
    </row>
    <row r="96" spans="1:20">
      <c r="A96" t="s">
        <v>682</v>
      </c>
      <c r="B96" s="24" t="s">
        <v>151</v>
      </c>
      <c r="C96" s="52">
        <v>44028</v>
      </c>
      <c r="D96" s="52">
        <v>44028</v>
      </c>
      <c r="E96" t="s">
        <v>683</v>
      </c>
      <c r="G96" s="51">
        <v>34500</v>
      </c>
      <c r="H96">
        <v>34500</v>
      </c>
      <c r="I96" s="30">
        <v>31500</v>
      </c>
      <c r="L96" s="58">
        <f t="shared" si="19"/>
        <v>-3000</v>
      </c>
      <c r="N96" s="55"/>
      <c r="O96" s="22"/>
      <c r="P96" s="88">
        <f t="shared" si="20"/>
        <v>-3000</v>
      </c>
      <c r="Q96" s="21" t="s">
        <v>127</v>
      </c>
      <c r="R96" s="78">
        <f>P96*0.2</f>
        <v>-600</v>
      </c>
      <c r="S96" s="75">
        <f t="shared" si="21"/>
        <v>-2400</v>
      </c>
      <c r="T96" s="62"/>
    </row>
    <row r="97" spans="1:22">
      <c r="A97" t="s">
        <v>684</v>
      </c>
      <c r="B97" s="24" t="s">
        <v>151</v>
      </c>
      <c r="C97" s="52">
        <v>44037</v>
      </c>
      <c r="D97" s="52">
        <v>44029</v>
      </c>
      <c r="E97" t="s">
        <v>685</v>
      </c>
      <c r="G97" s="51">
        <v>4200</v>
      </c>
      <c r="H97">
        <v>4200</v>
      </c>
      <c r="I97" s="30">
        <v>5300</v>
      </c>
      <c r="J97" s="43">
        <v>220</v>
      </c>
      <c r="L97" s="58">
        <f t="shared" si="19"/>
        <v>1100</v>
      </c>
      <c r="N97" s="55"/>
      <c r="O97" s="22"/>
      <c r="P97" s="88">
        <f t="shared" si="20"/>
        <v>1100</v>
      </c>
      <c r="Q97" s="21" t="s">
        <v>127</v>
      </c>
      <c r="R97" s="78">
        <v>0</v>
      </c>
      <c r="S97" s="75">
        <f t="shared" si="21"/>
        <v>1320</v>
      </c>
      <c r="U97" s="56" t="s">
        <v>494</v>
      </c>
      <c r="V97" s="56">
        <f>COUNT(S2:S107)</f>
        <v>93</v>
      </c>
    </row>
    <row r="98" spans="1:22">
      <c r="A98" t="s">
        <v>686</v>
      </c>
      <c r="B98" s="24" t="s">
        <v>151</v>
      </c>
      <c r="C98" s="52">
        <v>44039</v>
      </c>
      <c r="D98" s="52">
        <v>44039</v>
      </c>
      <c r="E98" t="s">
        <v>687</v>
      </c>
      <c r="G98" s="51">
        <v>8500</v>
      </c>
      <c r="H98">
        <v>8500</v>
      </c>
      <c r="I98" s="30">
        <v>10605.47</v>
      </c>
      <c r="J98" s="43">
        <v>220</v>
      </c>
      <c r="L98" s="58">
        <f t="shared" si="19"/>
        <v>2105.4699999999993</v>
      </c>
      <c r="N98" s="55"/>
      <c r="O98" s="22"/>
      <c r="P98" s="88">
        <f t="shared" si="20"/>
        <v>2105.4699999999993</v>
      </c>
      <c r="Q98" s="21" t="s">
        <v>127</v>
      </c>
      <c r="R98" s="78">
        <v>0</v>
      </c>
      <c r="S98" s="75">
        <f t="shared" si="21"/>
        <v>2325.4699999999993</v>
      </c>
      <c r="T98" s="62"/>
    </row>
    <row r="99" spans="1:22">
      <c r="A99" t="s">
        <v>688</v>
      </c>
      <c r="B99" s="24" t="s">
        <v>151</v>
      </c>
      <c r="C99" s="52">
        <v>44039</v>
      </c>
      <c r="D99" s="52">
        <v>44039</v>
      </c>
      <c r="E99" t="s">
        <v>689</v>
      </c>
      <c r="G99" s="51">
        <v>9500</v>
      </c>
      <c r="H99">
        <v>9500</v>
      </c>
      <c r="I99" s="30">
        <v>12500</v>
      </c>
      <c r="J99" s="43">
        <v>0</v>
      </c>
      <c r="L99" s="58">
        <f t="shared" si="19"/>
        <v>3000</v>
      </c>
      <c r="N99" s="55"/>
      <c r="O99" s="22"/>
      <c r="P99" s="88">
        <f t="shared" si="20"/>
        <v>3000</v>
      </c>
      <c r="Q99" s="21" t="s">
        <v>127</v>
      </c>
      <c r="R99" s="78">
        <v>0</v>
      </c>
      <c r="S99" s="75">
        <f t="shared" si="21"/>
        <v>3000</v>
      </c>
      <c r="T99" s="62"/>
    </row>
    <row r="100" spans="1:22">
      <c r="A100" t="s">
        <v>690</v>
      </c>
      <c r="B100" s="24" t="s">
        <v>151</v>
      </c>
      <c r="C100" s="52">
        <v>44041</v>
      </c>
      <c r="D100" s="52">
        <v>44041</v>
      </c>
      <c r="E100" t="s">
        <v>691</v>
      </c>
      <c r="G100" s="51">
        <v>20500</v>
      </c>
      <c r="H100">
        <v>20500</v>
      </c>
      <c r="I100" s="30">
        <v>22000</v>
      </c>
      <c r="L100" s="58">
        <f t="shared" si="19"/>
        <v>1500</v>
      </c>
      <c r="N100" s="55"/>
      <c r="O100" s="22"/>
      <c r="P100" s="88">
        <f t="shared" si="20"/>
        <v>1500</v>
      </c>
      <c r="Q100" s="21" t="s">
        <v>127</v>
      </c>
      <c r="R100" s="78">
        <v>0</v>
      </c>
      <c r="S100" s="75">
        <f t="shared" si="21"/>
        <v>1500</v>
      </c>
      <c r="T100" s="66">
        <f>SUM(S94:S100)</f>
        <v>7103.07</v>
      </c>
    </row>
    <row r="101" spans="1:22">
      <c r="N101" s="55"/>
      <c r="O101" s="22"/>
      <c r="P101" s="89"/>
      <c r="T101" s="62"/>
    </row>
    <row r="102" spans="1:22">
      <c r="A102" t="s">
        <v>692</v>
      </c>
      <c r="B102" s="43" t="s">
        <v>151</v>
      </c>
      <c r="C102" s="52">
        <v>44045</v>
      </c>
      <c r="D102" s="52">
        <v>44045</v>
      </c>
      <c r="E102" t="s">
        <v>693</v>
      </c>
      <c r="G102" s="51">
        <v>7500</v>
      </c>
      <c r="H102">
        <v>7500</v>
      </c>
      <c r="I102" s="30">
        <v>8375</v>
      </c>
      <c r="L102" s="58">
        <f t="shared" ref="L102:L111" si="22">I102-H102-K102</f>
        <v>875</v>
      </c>
      <c r="N102" s="55"/>
      <c r="O102" s="22"/>
      <c r="P102" s="88">
        <f t="shared" ref="P102:P111" si="23">L102-N102</f>
        <v>875</v>
      </c>
      <c r="Q102" s="21" t="s">
        <v>127</v>
      </c>
      <c r="R102" s="78">
        <v>0</v>
      </c>
      <c r="S102" s="75">
        <f t="shared" ref="S102:S111" si="24">P102-R102+J102</f>
        <v>875</v>
      </c>
      <c r="T102" s="62"/>
    </row>
    <row r="103" spans="1:22">
      <c r="A103" t="s">
        <v>694</v>
      </c>
      <c r="B103" s="43" t="s">
        <v>151</v>
      </c>
      <c r="C103" s="52">
        <v>44046</v>
      </c>
      <c r="D103" s="52">
        <v>44046</v>
      </c>
      <c r="E103" t="s">
        <v>695</v>
      </c>
      <c r="G103" s="51">
        <v>3200</v>
      </c>
      <c r="H103">
        <v>3200</v>
      </c>
      <c r="I103" s="30">
        <v>4820</v>
      </c>
      <c r="J103" s="43">
        <v>220</v>
      </c>
      <c r="L103" s="58">
        <f t="shared" si="22"/>
        <v>1620</v>
      </c>
      <c r="N103" s="55"/>
      <c r="O103" s="22"/>
      <c r="P103" s="88">
        <f t="shared" si="23"/>
        <v>1620</v>
      </c>
      <c r="Q103" s="23" t="s">
        <v>531</v>
      </c>
      <c r="R103" s="78">
        <f>P103*0.2</f>
        <v>324</v>
      </c>
      <c r="S103" s="75">
        <f t="shared" si="24"/>
        <v>1516</v>
      </c>
      <c r="T103" s="62"/>
    </row>
    <row r="104" spans="1:22">
      <c r="A104" t="s">
        <v>696</v>
      </c>
      <c r="B104" s="43" t="s">
        <v>151</v>
      </c>
      <c r="C104" s="52">
        <v>44050</v>
      </c>
      <c r="D104" s="52">
        <v>44050</v>
      </c>
      <c r="E104" t="s">
        <v>697</v>
      </c>
      <c r="G104" s="51">
        <v>8600</v>
      </c>
      <c r="H104">
        <v>8600</v>
      </c>
      <c r="I104" s="30">
        <v>10000</v>
      </c>
      <c r="J104" s="43">
        <v>220</v>
      </c>
      <c r="L104" s="58">
        <f t="shared" si="22"/>
        <v>1400</v>
      </c>
      <c r="N104" s="55"/>
      <c r="O104" s="22"/>
      <c r="P104" s="88">
        <f t="shared" si="23"/>
        <v>1400</v>
      </c>
      <c r="Q104" s="21" t="s">
        <v>127</v>
      </c>
      <c r="R104" s="78">
        <v>0</v>
      </c>
      <c r="S104" s="75">
        <f t="shared" si="24"/>
        <v>1620</v>
      </c>
      <c r="T104" s="62"/>
    </row>
    <row r="105" spans="1:22">
      <c r="A105" t="s">
        <v>698</v>
      </c>
      <c r="B105" s="43" t="s">
        <v>151</v>
      </c>
      <c r="C105" s="52">
        <v>44057</v>
      </c>
      <c r="D105" s="43" t="s">
        <v>699</v>
      </c>
      <c r="E105" t="s">
        <v>700</v>
      </c>
      <c r="G105" s="51">
        <v>0</v>
      </c>
      <c r="H105">
        <v>0</v>
      </c>
      <c r="I105" s="30">
        <v>2000</v>
      </c>
      <c r="L105" s="58">
        <f t="shared" si="22"/>
        <v>2000</v>
      </c>
      <c r="N105" s="55"/>
      <c r="O105" s="22"/>
      <c r="P105" s="88">
        <f t="shared" si="23"/>
        <v>2000</v>
      </c>
      <c r="Q105" s="21" t="s">
        <v>127</v>
      </c>
      <c r="R105" s="72">
        <v>0</v>
      </c>
      <c r="S105" s="75">
        <f t="shared" si="24"/>
        <v>2000</v>
      </c>
      <c r="T105" s="62"/>
    </row>
    <row r="106" spans="1:22">
      <c r="A106" t="s">
        <v>701</v>
      </c>
      <c r="B106" s="43" t="s">
        <v>151</v>
      </c>
      <c r="C106" s="52" t="s">
        <v>702</v>
      </c>
      <c r="D106" s="43" t="s">
        <v>702</v>
      </c>
      <c r="E106" t="s">
        <v>703</v>
      </c>
      <c r="G106" s="51">
        <v>8800</v>
      </c>
      <c r="H106">
        <v>8800</v>
      </c>
      <c r="I106" s="30">
        <v>10648.87</v>
      </c>
      <c r="J106" s="43">
        <v>220</v>
      </c>
      <c r="L106" s="58">
        <f t="shared" si="22"/>
        <v>1848.8700000000008</v>
      </c>
      <c r="N106" s="55">
        <v>250</v>
      </c>
      <c r="O106" s="22"/>
      <c r="P106" s="89">
        <f t="shared" si="23"/>
        <v>1598.8700000000008</v>
      </c>
      <c r="Q106" s="23" t="s">
        <v>531</v>
      </c>
      <c r="R106" s="78">
        <f>P106*0.2</f>
        <v>319.77400000000017</v>
      </c>
      <c r="S106" s="72">
        <f t="shared" si="24"/>
        <v>1499.0960000000007</v>
      </c>
      <c r="T106" s="62"/>
    </row>
    <row r="107" spans="1:22">
      <c r="A107" t="s">
        <v>708</v>
      </c>
      <c r="B107" s="43" t="s">
        <v>151</v>
      </c>
      <c r="C107" s="52" t="s">
        <v>709</v>
      </c>
      <c r="D107" s="43" t="s">
        <v>710</v>
      </c>
      <c r="E107" t="s">
        <v>711</v>
      </c>
      <c r="G107" s="51">
        <v>8000</v>
      </c>
      <c r="H107">
        <v>8000</v>
      </c>
      <c r="I107" s="30">
        <v>9379.06</v>
      </c>
      <c r="J107" s="43">
        <v>220</v>
      </c>
      <c r="L107" s="58">
        <f t="shared" si="22"/>
        <v>1379.0599999999995</v>
      </c>
      <c r="N107" s="55"/>
      <c r="O107" s="22"/>
      <c r="P107" s="89">
        <f t="shared" si="23"/>
        <v>1379.0599999999995</v>
      </c>
      <c r="Q107" s="23" t="s">
        <v>531</v>
      </c>
      <c r="R107" s="78">
        <f>P107*0.2</f>
        <v>275.8119999999999</v>
      </c>
      <c r="S107" s="72">
        <f t="shared" si="24"/>
        <v>1323.2479999999996</v>
      </c>
      <c r="T107" s="62"/>
    </row>
    <row r="108" spans="1:22">
      <c r="A108" t="s">
        <v>712</v>
      </c>
      <c r="B108" s="43" t="s">
        <v>151</v>
      </c>
      <c r="C108" s="52" t="s">
        <v>709</v>
      </c>
      <c r="D108" s="43" t="s">
        <v>709</v>
      </c>
      <c r="E108" t="s">
        <v>713</v>
      </c>
      <c r="G108" s="51">
        <v>23500</v>
      </c>
      <c r="H108">
        <v>23500</v>
      </c>
      <c r="I108" s="30">
        <v>26000</v>
      </c>
      <c r="L108" s="58">
        <f t="shared" si="22"/>
        <v>2500</v>
      </c>
      <c r="N108" s="55"/>
      <c r="O108" s="22"/>
      <c r="P108" s="89">
        <f t="shared" si="23"/>
        <v>2500</v>
      </c>
      <c r="Q108" s="37" t="s">
        <v>127</v>
      </c>
      <c r="R108" s="78">
        <v>0</v>
      </c>
      <c r="S108" s="72">
        <f t="shared" si="24"/>
        <v>2500</v>
      </c>
      <c r="T108" s="62"/>
    </row>
    <row r="109" spans="1:22">
      <c r="A109" t="s">
        <v>714</v>
      </c>
      <c r="B109" s="43" t="s">
        <v>151</v>
      </c>
      <c r="C109" s="52" t="s">
        <v>715</v>
      </c>
      <c r="D109" s="43" t="s">
        <v>715</v>
      </c>
      <c r="G109" s="51">
        <v>7000</v>
      </c>
      <c r="H109">
        <v>7025</v>
      </c>
      <c r="I109" s="30">
        <v>12000</v>
      </c>
      <c r="L109" s="58">
        <f t="shared" si="22"/>
        <v>4975</v>
      </c>
      <c r="N109" s="55"/>
      <c r="O109" s="22"/>
      <c r="P109" s="89">
        <f t="shared" si="23"/>
        <v>4975</v>
      </c>
      <c r="Q109" s="37" t="s">
        <v>127</v>
      </c>
      <c r="R109" s="78">
        <v>0</v>
      </c>
      <c r="S109" s="72">
        <f t="shared" si="24"/>
        <v>4975</v>
      </c>
      <c r="T109" s="62"/>
    </row>
    <row r="110" spans="1:22">
      <c r="A110" t="s">
        <v>717</v>
      </c>
      <c r="B110" s="43" t="s">
        <v>151</v>
      </c>
      <c r="C110" s="52" t="s">
        <v>718</v>
      </c>
      <c r="D110" s="43" t="s">
        <v>718</v>
      </c>
      <c r="E110" t="s">
        <v>716</v>
      </c>
      <c r="G110" s="51">
        <v>18050</v>
      </c>
      <c r="H110">
        <v>17825</v>
      </c>
      <c r="I110" s="30">
        <f>19650+600+120</f>
        <v>20370</v>
      </c>
      <c r="J110" s="43">
        <v>220</v>
      </c>
      <c r="K110" s="50">
        <f>250+400</f>
        <v>650</v>
      </c>
      <c r="L110" s="58">
        <f t="shared" si="22"/>
        <v>1895</v>
      </c>
      <c r="N110" s="55">
        <v>120</v>
      </c>
      <c r="O110" s="22" t="s">
        <v>719</v>
      </c>
      <c r="P110" s="89">
        <f t="shared" si="23"/>
        <v>1775</v>
      </c>
      <c r="Q110" s="37" t="s">
        <v>127</v>
      </c>
      <c r="R110" s="78">
        <v>0</v>
      </c>
      <c r="S110" s="72">
        <f t="shared" si="24"/>
        <v>1995</v>
      </c>
      <c r="T110" s="62"/>
    </row>
    <row r="111" spans="1:22">
      <c r="A111" t="s">
        <v>372</v>
      </c>
      <c r="B111" s="43" t="s">
        <v>151</v>
      </c>
      <c r="C111" s="52" t="s">
        <v>718</v>
      </c>
      <c r="D111" s="43" t="s">
        <v>718</v>
      </c>
      <c r="E111" t="s">
        <v>720</v>
      </c>
      <c r="G111" s="51">
        <v>7300</v>
      </c>
      <c r="H111">
        <v>7300</v>
      </c>
      <c r="I111" s="30">
        <v>8650</v>
      </c>
      <c r="J111" s="43">
        <v>220</v>
      </c>
      <c r="L111" s="58">
        <f t="shared" si="22"/>
        <v>1350</v>
      </c>
      <c r="N111" s="55"/>
      <c r="O111" s="22"/>
      <c r="P111" s="89">
        <f t="shared" si="23"/>
        <v>1350</v>
      </c>
      <c r="Q111" s="37" t="s">
        <v>531</v>
      </c>
      <c r="R111" s="78">
        <v>0</v>
      </c>
      <c r="S111" s="72">
        <f t="shared" si="24"/>
        <v>1570</v>
      </c>
      <c r="T111" s="62"/>
    </row>
    <row r="112" spans="1:22">
      <c r="L112" s="58"/>
      <c r="N112" s="55"/>
      <c r="O112" s="22"/>
      <c r="P112" s="89"/>
      <c r="T112" s="66">
        <f>SUM(S102:S112)</f>
        <v>19873.344000000001</v>
      </c>
    </row>
    <row r="114" spans="14:22">
      <c r="N114" s="55"/>
      <c r="O114" s="22"/>
      <c r="P114" s="89"/>
      <c r="T114" s="62"/>
    </row>
    <row r="115" spans="14:22">
      <c r="N115" s="55"/>
      <c r="O115" s="22"/>
      <c r="P115" s="89"/>
      <c r="T115" s="62"/>
    </row>
    <row r="116" spans="14:22">
      <c r="N116" s="55"/>
      <c r="O116" s="22"/>
      <c r="P116" s="89"/>
      <c r="T116" s="62"/>
    </row>
    <row r="117" spans="14:22">
      <c r="N117" s="55"/>
      <c r="O117" s="22"/>
      <c r="P117" s="89"/>
      <c r="T117" s="62"/>
      <c r="U117" t="s">
        <v>495</v>
      </c>
      <c r="V117" s="89">
        <f>SUM(R2:R107)</f>
        <v>26522.398000000001</v>
      </c>
    </row>
    <row r="118" spans="14:22">
      <c r="N118" s="55"/>
      <c r="O118" s="22"/>
      <c r="P118" s="89"/>
      <c r="T118" s="62"/>
      <c r="U118" t="s">
        <v>707</v>
      </c>
      <c r="V118" s="69">
        <f>SUM(S1:S109)</f>
        <v>101429.20200000005</v>
      </c>
    </row>
    <row r="119" spans="14:22">
      <c r="N119" s="55"/>
      <c r="O119" s="22"/>
      <c r="P119" s="89"/>
      <c r="T119" s="62"/>
    </row>
    <row r="120" spans="14:22">
      <c r="N120" s="55"/>
      <c r="O120" s="22"/>
      <c r="P120" s="89"/>
      <c r="T120" s="62"/>
    </row>
    <row r="121" spans="14:22">
      <c r="N121" s="55"/>
      <c r="O121" s="22"/>
      <c r="P121" s="89"/>
      <c r="T121" s="62"/>
    </row>
    <row r="122" spans="14:22">
      <c r="N122" s="55"/>
      <c r="O122" s="22"/>
      <c r="P122" s="89"/>
      <c r="T122" s="62"/>
    </row>
    <row r="123" spans="14:22">
      <c r="N123" s="55"/>
      <c r="O123" s="22"/>
      <c r="P123" s="89"/>
      <c r="T123" s="62"/>
    </row>
    <row r="124" spans="14:22">
      <c r="N124" s="55"/>
      <c r="O124" s="22"/>
      <c r="P124" s="89"/>
      <c r="T124" s="62"/>
    </row>
    <row r="125" spans="14:22">
      <c r="N125" s="55"/>
      <c r="O125" s="22"/>
      <c r="P125" s="89"/>
      <c r="T125" s="62"/>
    </row>
    <row r="126" spans="14:22">
      <c r="N126" s="55"/>
      <c r="O126" s="22"/>
      <c r="P126" s="89"/>
      <c r="T126" s="62"/>
    </row>
    <row r="127" spans="14:22">
      <c r="N127" s="55"/>
      <c r="O127" s="22"/>
      <c r="P127" s="89"/>
      <c r="T127" s="62"/>
    </row>
    <row r="128" spans="14:22">
      <c r="N128" s="55"/>
      <c r="O128" s="22"/>
      <c r="P128" s="89"/>
      <c r="T128" s="62"/>
    </row>
    <row r="129" spans="14:20">
      <c r="N129" s="55"/>
      <c r="O129" s="22"/>
      <c r="P129" s="89"/>
      <c r="T129" s="62"/>
    </row>
    <row r="130" spans="14:20">
      <c r="N130" s="55"/>
      <c r="O130" s="22"/>
      <c r="P130" s="89"/>
      <c r="T130" s="62"/>
    </row>
    <row r="131" spans="14:20">
      <c r="N131" s="55"/>
      <c r="O131" s="22"/>
      <c r="P131" s="89"/>
      <c r="T131" s="62"/>
    </row>
    <row r="132" spans="14:20">
      <c r="N132" s="55"/>
      <c r="O132" s="22"/>
      <c r="P132" s="89"/>
      <c r="T132" s="62"/>
    </row>
    <row r="133" spans="14:20">
      <c r="N133" s="55"/>
      <c r="O133" s="22"/>
      <c r="P133" s="89"/>
      <c r="T133" s="62"/>
    </row>
    <row r="134" spans="14:20">
      <c r="N134" s="55"/>
      <c r="O134" s="22"/>
      <c r="P134" s="89"/>
      <c r="T134" s="62"/>
    </row>
    <row r="135" spans="14:20">
      <c r="N135" s="55"/>
      <c r="O135" s="22"/>
      <c r="P135" s="89"/>
      <c r="T135" s="62"/>
    </row>
    <row r="136" spans="14:20">
      <c r="N136" s="55"/>
      <c r="O136" s="22"/>
      <c r="P136" s="89"/>
      <c r="T136" s="62"/>
    </row>
    <row r="137" spans="14:20">
      <c r="N137" s="55"/>
      <c r="O137" s="22"/>
      <c r="P137" s="89"/>
      <c r="T137" s="62"/>
    </row>
    <row r="138" spans="14:20">
      <c r="N138" s="55"/>
      <c r="O138" s="22"/>
      <c r="P138" s="89"/>
      <c r="T138" s="62"/>
    </row>
    <row r="139" spans="14:20">
      <c r="N139" s="55"/>
      <c r="O139" s="22"/>
      <c r="P139" s="89"/>
      <c r="T139" s="62"/>
    </row>
    <row r="140" spans="14:20">
      <c r="N140" s="55"/>
      <c r="O140" s="22"/>
      <c r="P140" s="89"/>
      <c r="T140" s="62"/>
    </row>
    <row r="141" spans="14:20">
      <c r="N141" s="55"/>
      <c r="O141" s="22"/>
      <c r="P141" s="89"/>
      <c r="T141" s="62"/>
    </row>
    <row r="142" spans="14:20">
      <c r="N142" s="55"/>
      <c r="O142" s="22"/>
      <c r="P142" s="89"/>
      <c r="T142" s="62"/>
    </row>
    <row r="143" spans="14:20">
      <c r="N143" s="55"/>
      <c r="O143" s="22"/>
      <c r="P143" s="89"/>
      <c r="T143" s="62"/>
    </row>
    <row r="144" spans="14:20">
      <c r="N144" s="55"/>
      <c r="O144" s="22"/>
      <c r="P144" s="89"/>
      <c r="T144" s="62"/>
    </row>
    <row r="145" spans="14:20">
      <c r="N145" s="55"/>
      <c r="O145" s="22"/>
      <c r="P145" s="89"/>
      <c r="T145" s="62"/>
    </row>
    <row r="146" spans="14:20">
      <c r="N146" s="55"/>
      <c r="O146" s="22"/>
      <c r="P146" s="89"/>
      <c r="T146" s="62"/>
    </row>
    <row r="147" spans="14:20">
      <c r="N147" s="55"/>
      <c r="O147" s="22"/>
      <c r="P147" s="89"/>
      <c r="T147" s="62"/>
    </row>
    <row r="148" spans="14:20">
      <c r="N148" s="55"/>
      <c r="O148" s="22"/>
      <c r="P148" s="89"/>
      <c r="T148" s="62"/>
    </row>
    <row r="149" spans="14:20">
      <c r="N149" s="55"/>
      <c r="O149" s="22"/>
      <c r="P149" s="89"/>
      <c r="T149" s="62"/>
    </row>
    <row r="150" spans="14:20">
      <c r="N150" s="55"/>
      <c r="O150" s="22"/>
      <c r="P150" s="89"/>
      <c r="T150" s="62"/>
    </row>
    <row r="151" spans="14:20">
      <c r="N151" s="55"/>
      <c r="O151" s="22"/>
      <c r="P151" s="89"/>
      <c r="T151" s="62"/>
    </row>
    <row r="152" spans="14:20">
      <c r="N152" s="55"/>
      <c r="O152" s="22"/>
      <c r="P152" s="89"/>
      <c r="T152" s="62"/>
    </row>
    <row r="153" spans="14:20">
      <c r="N153" s="55"/>
      <c r="O153" s="22"/>
      <c r="P153" s="89"/>
      <c r="T153" s="62"/>
    </row>
    <row r="154" spans="14:20">
      <c r="N154" s="55"/>
      <c r="O154" s="22"/>
      <c r="P154" s="89"/>
      <c r="T154" s="62"/>
    </row>
    <row r="155" spans="14:20">
      <c r="N155" s="55"/>
      <c r="O155" s="22"/>
      <c r="P155" s="89"/>
      <c r="T155" s="62"/>
    </row>
    <row r="156" spans="14:20">
      <c r="N156" s="55"/>
      <c r="O156" s="22"/>
      <c r="P156" s="89"/>
      <c r="T156" s="62"/>
    </row>
    <row r="157" spans="14:20">
      <c r="N157" s="55"/>
      <c r="O157" s="22"/>
      <c r="P157" s="89"/>
      <c r="T157" s="62"/>
    </row>
    <row r="158" spans="14:20">
      <c r="N158" s="55"/>
      <c r="O158" s="22"/>
      <c r="P158" s="89"/>
      <c r="T158" s="62"/>
    </row>
    <row r="159" spans="14:20">
      <c r="N159" s="55"/>
      <c r="O159" s="22"/>
      <c r="P159" s="89"/>
      <c r="T159" s="62"/>
    </row>
    <row r="160" spans="14:20">
      <c r="N160" s="55"/>
      <c r="O160" s="22"/>
      <c r="P160" s="89"/>
      <c r="T160" s="62"/>
    </row>
    <row r="161" spans="14:20">
      <c r="N161" s="55"/>
      <c r="O161" s="22"/>
      <c r="P161" s="89"/>
      <c r="T161" s="62"/>
    </row>
    <row r="162" spans="14:20">
      <c r="N162" s="55"/>
      <c r="O162" s="22"/>
      <c r="P162" s="89"/>
      <c r="T162" s="62"/>
    </row>
    <row r="163" spans="14:20">
      <c r="N163" s="55"/>
      <c r="O163" s="22"/>
      <c r="P163" s="89"/>
      <c r="T163" s="62"/>
    </row>
    <row r="164" spans="14:20">
      <c r="N164" s="55"/>
      <c r="O164" s="22"/>
      <c r="P164" s="89"/>
      <c r="T164" s="62"/>
    </row>
    <row r="165" spans="14:20">
      <c r="N165" s="55"/>
      <c r="O165" s="22"/>
      <c r="P165" s="89"/>
      <c r="T165" s="62"/>
    </row>
    <row r="166" spans="14:20">
      <c r="N166" s="55"/>
      <c r="O166" s="22"/>
      <c r="P166" s="89"/>
      <c r="T166" s="62"/>
    </row>
    <row r="167" spans="14:20">
      <c r="N167" s="55"/>
      <c r="O167" s="22"/>
      <c r="P167" s="89"/>
      <c r="T167" s="62"/>
    </row>
    <row r="168" spans="14:20">
      <c r="N168" s="55"/>
      <c r="O168" s="22"/>
      <c r="P168" s="89"/>
      <c r="T168" s="62"/>
    </row>
    <row r="169" spans="14:20">
      <c r="N169" s="55"/>
      <c r="O169" s="22"/>
      <c r="P169" s="89"/>
      <c r="T169" s="62"/>
    </row>
    <row r="170" spans="14:20">
      <c r="N170" s="55"/>
      <c r="O170" s="22"/>
      <c r="P170" s="89"/>
      <c r="T170" s="62"/>
    </row>
    <row r="171" spans="14:20">
      <c r="N171" s="55"/>
      <c r="O171" s="22"/>
      <c r="P171" s="89"/>
      <c r="T171" s="62"/>
    </row>
    <row r="172" spans="14:20">
      <c r="N172" s="55"/>
      <c r="O172" s="22"/>
      <c r="P172" s="89"/>
      <c r="T172" s="62"/>
    </row>
    <row r="173" spans="14:20">
      <c r="N173" s="55"/>
      <c r="O173" s="22"/>
      <c r="P173" s="89"/>
      <c r="T173" s="62"/>
    </row>
    <row r="174" spans="14:20">
      <c r="N174" s="55"/>
      <c r="O174" s="22"/>
      <c r="P174" s="89"/>
      <c r="T174" s="62"/>
    </row>
    <row r="175" spans="14:20">
      <c r="N175" s="55"/>
      <c r="O175" s="22"/>
      <c r="P175" s="89"/>
      <c r="T175" s="62"/>
    </row>
    <row r="176" spans="14:20">
      <c r="N176" s="55"/>
      <c r="O176" s="22"/>
      <c r="P176" s="89"/>
      <c r="T176" s="62"/>
    </row>
    <row r="177" spans="14:20">
      <c r="N177" s="55"/>
      <c r="O177" s="22"/>
      <c r="P177" s="89"/>
      <c r="T177" s="62"/>
    </row>
    <row r="178" spans="14:20">
      <c r="N178" s="55"/>
      <c r="O178" s="22"/>
      <c r="P178" s="89"/>
      <c r="T178" s="62"/>
    </row>
    <row r="179" spans="14:20">
      <c r="N179" s="55"/>
      <c r="O179" s="22"/>
      <c r="P179" s="89"/>
      <c r="T179" s="62"/>
    </row>
    <row r="180" spans="14:20">
      <c r="N180" s="55"/>
      <c r="O180" s="22"/>
      <c r="P180" s="89"/>
      <c r="T180" s="62"/>
    </row>
    <row r="181" spans="14:20">
      <c r="N181" s="55"/>
      <c r="O181" s="22"/>
      <c r="P181" s="89"/>
      <c r="T181" s="62"/>
    </row>
    <row r="182" spans="14:20">
      <c r="N182" s="55"/>
      <c r="O182" s="22"/>
      <c r="P182" s="89"/>
      <c r="T182" s="62"/>
    </row>
    <row r="183" spans="14:20">
      <c r="N183" s="55"/>
      <c r="O183" s="22"/>
      <c r="P183" s="89"/>
      <c r="T183" s="62"/>
    </row>
    <row r="184" spans="14:20">
      <c r="N184" s="55"/>
      <c r="O184" s="22"/>
      <c r="P184" s="89"/>
      <c r="T184" s="62"/>
    </row>
    <row r="185" spans="14:20">
      <c r="N185" s="55"/>
      <c r="O185" s="22"/>
      <c r="P185" s="89"/>
      <c r="T185" s="62"/>
    </row>
    <row r="186" spans="14:20">
      <c r="N186" s="55"/>
      <c r="O186" s="22"/>
      <c r="P186" s="89"/>
      <c r="T186" s="62"/>
    </row>
    <row r="187" spans="14:20">
      <c r="N187" s="55"/>
      <c r="O187" s="22"/>
      <c r="P187" s="89"/>
      <c r="T187" s="62"/>
    </row>
    <row r="188" spans="14:20">
      <c r="N188" s="55"/>
      <c r="O188" s="22"/>
      <c r="P188" s="89"/>
      <c r="T188" s="62"/>
    </row>
    <row r="189" spans="14:20">
      <c r="N189" s="55"/>
      <c r="O189" s="22"/>
      <c r="P189" s="89"/>
      <c r="T189" s="62"/>
    </row>
    <row r="190" spans="14:20">
      <c r="N190" s="55"/>
      <c r="O190" s="22"/>
      <c r="P190" s="89"/>
      <c r="T190" s="62"/>
    </row>
    <row r="191" spans="14:20">
      <c r="N191" s="55"/>
      <c r="O191" s="22"/>
      <c r="P191" s="89"/>
      <c r="T191" s="62"/>
    </row>
    <row r="192" spans="14:20">
      <c r="N192" s="55"/>
      <c r="O192" s="22"/>
      <c r="P192" s="89"/>
      <c r="T192" s="62"/>
    </row>
    <row r="193" spans="14:20">
      <c r="N193" s="55"/>
      <c r="O193" s="22"/>
      <c r="P193" s="89"/>
      <c r="T193" s="62"/>
    </row>
    <row r="194" spans="14:20">
      <c r="N194" s="55"/>
      <c r="O194" s="22"/>
      <c r="P194" s="89"/>
      <c r="T194" s="62"/>
    </row>
    <row r="195" spans="14:20">
      <c r="N195" s="55"/>
      <c r="O195" s="22"/>
      <c r="P195" s="89"/>
      <c r="T195" s="62"/>
    </row>
    <row r="196" spans="14:20">
      <c r="N196" s="55"/>
      <c r="O196" s="22"/>
      <c r="P196" s="89"/>
      <c r="T196" s="62"/>
    </row>
    <row r="197" spans="14:20">
      <c r="N197" s="55"/>
      <c r="O197" s="22"/>
      <c r="P197" s="89"/>
      <c r="T197" s="62"/>
    </row>
    <row r="198" spans="14:20">
      <c r="N198" s="55"/>
      <c r="O198" s="22"/>
      <c r="P198" s="89"/>
      <c r="T198" s="62"/>
    </row>
    <row r="199" spans="14:20">
      <c r="N199" s="55"/>
      <c r="O199" s="22"/>
      <c r="P199" s="89"/>
      <c r="T199" s="62"/>
    </row>
    <row r="200" spans="14:20">
      <c r="N200" s="55"/>
      <c r="O200" s="22"/>
      <c r="P200" s="89"/>
      <c r="T200" s="62"/>
    </row>
    <row r="201" spans="14:20">
      <c r="N201" s="55"/>
      <c r="O201" s="22"/>
      <c r="P201" s="89"/>
      <c r="T201" s="62"/>
    </row>
    <row r="202" spans="14:20">
      <c r="N202" s="55"/>
      <c r="O202" s="22"/>
      <c r="P202" s="89"/>
      <c r="T202" s="62"/>
    </row>
    <row r="203" spans="14:20">
      <c r="N203" s="55"/>
      <c r="O203" s="22"/>
      <c r="P203" s="89"/>
      <c r="T203" s="62"/>
    </row>
    <row r="204" spans="14:20">
      <c r="N204" s="55"/>
      <c r="O204" s="22"/>
      <c r="P204" s="89"/>
      <c r="T204" s="62"/>
    </row>
    <row r="205" spans="14:20">
      <c r="N205" s="55"/>
      <c r="O205" s="22"/>
      <c r="P205" s="89"/>
      <c r="T205" s="62"/>
    </row>
    <row r="206" spans="14:20">
      <c r="N206" s="55"/>
      <c r="O206" s="22"/>
      <c r="P206" s="89"/>
      <c r="T206" s="62"/>
    </row>
    <row r="207" spans="14:20">
      <c r="N207" s="55"/>
      <c r="O207" s="22"/>
      <c r="P207" s="89"/>
      <c r="T207" s="62"/>
    </row>
    <row r="208" spans="14:20">
      <c r="N208" s="55"/>
      <c r="O208" s="22"/>
      <c r="P208" s="89"/>
      <c r="T208" s="62"/>
    </row>
    <row r="209" spans="14:20">
      <c r="N209" s="55"/>
      <c r="O209" s="22"/>
      <c r="P209" s="89"/>
      <c r="T209" s="62"/>
    </row>
    <row r="210" spans="14:20">
      <c r="N210" s="55"/>
      <c r="O210" s="22"/>
      <c r="P210" s="89"/>
      <c r="T210" s="62"/>
    </row>
    <row r="211" spans="14:20">
      <c r="N211" s="55"/>
      <c r="O211" s="22"/>
      <c r="P211" s="89"/>
      <c r="T211" s="62"/>
    </row>
    <row r="212" spans="14:20">
      <c r="N212" s="55"/>
      <c r="O212" s="22"/>
      <c r="P212" s="89"/>
      <c r="T212" s="62"/>
    </row>
    <row r="213" spans="14:20">
      <c r="N213" s="55"/>
      <c r="O213" s="22"/>
      <c r="P213" s="89"/>
      <c r="T213" s="62"/>
    </row>
    <row r="214" spans="14:20">
      <c r="N214" s="55"/>
      <c r="O214" s="22"/>
      <c r="P214" s="89"/>
      <c r="T214" s="62"/>
    </row>
    <row r="215" spans="14:20">
      <c r="N215" s="55"/>
      <c r="O215" s="22"/>
      <c r="P215" s="89"/>
      <c r="T215" s="62"/>
    </row>
    <row r="216" spans="14:20">
      <c r="N216" s="55"/>
      <c r="O216" s="22"/>
      <c r="P216" s="89"/>
      <c r="T216" s="62"/>
    </row>
    <row r="217" spans="14:20">
      <c r="N217" s="55"/>
      <c r="O217" s="22"/>
      <c r="P217" s="89"/>
      <c r="T217" s="62"/>
    </row>
    <row r="218" spans="14:20">
      <c r="N218" s="55"/>
      <c r="O218" s="22"/>
      <c r="P218" s="89"/>
      <c r="T218" s="62"/>
    </row>
    <row r="219" spans="14:20">
      <c r="N219" s="55"/>
      <c r="O219" s="22"/>
      <c r="P219" s="89"/>
      <c r="T219" s="62"/>
    </row>
    <row r="220" spans="14:20">
      <c r="N220" s="55"/>
      <c r="O220" s="22"/>
      <c r="P220" s="89"/>
      <c r="T220" s="62"/>
    </row>
    <row r="221" spans="14:20">
      <c r="N221" s="55"/>
      <c r="O221" s="22"/>
      <c r="P221" s="89"/>
      <c r="T221" s="62"/>
    </row>
    <row r="222" spans="14:20">
      <c r="N222" s="55"/>
      <c r="O222" s="22"/>
      <c r="P222" s="89"/>
      <c r="T222" s="62"/>
    </row>
    <row r="223" spans="14:20">
      <c r="N223" s="55"/>
      <c r="O223" s="22"/>
      <c r="P223" s="89"/>
      <c r="T223" s="62"/>
    </row>
    <row r="224" spans="14:20">
      <c r="N224" s="55"/>
      <c r="O224" s="22"/>
      <c r="P224" s="89"/>
      <c r="T224" s="62"/>
    </row>
    <row r="225" spans="14:20">
      <c r="N225" s="55"/>
      <c r="O225" s="22"/>
      <c r="P225" s="89"/>
      <c r="T225" s="62"/>
    </row>
    <row r="226" spans="14:20">
      <c r="N226" s="55"/>
      <c r="O226" s="22"/>
      <c r="P226" s="89"/>
      <c r="T226" s="62"/>
    </row>
    <row r="227" spans="14:20">
      <c r="N227" s="55"/>
      <c r="O227" s="22"/>
      <c r="P227" s="89"/>
      <c r="T227" s="62"/>
    </row>
    <row r="228" spans="14:20">
      <c r="N228" s="55"/>
      <c r="O228" s="22"/>
      <c r="P228" s="89"/>
      <c r="T228" s="62"/>
    </row>
    <row r="229" spans="14:20">
      <c r="N229" s="55"/>
      <c r="O229" s="22"/>
      <c r="P229" s="89"/>
      <c r="T229" s="62"/>
    </row>
    <row r="230" spans="14:20">
      <c r="N230" s="55"/>
      <c r="O230" s="22"/>
      <c r="P230" s="89"/>
      <c r="T230" s="62"/>
    </row>
    <row r="231" spans="14:20">
      <c r="N231" s="55"/>
      <c r="O231" s="22"/>
      <c r="P231" s="89"/>
      <c r="T231" s="62"/>
    </row>
    <row r="232" spans="14:20">
      <c r="N232" s="55"/>
      <c r="O232" s="22"/>
      <c r="P232" s="89"/>
      <c r="T232" s="62"/>
    </row>
    <row r="233" spans="14:20">
      <c r="N233" s="55"/>
      <c r="O233" s="22"/>
      <c r="P233" s="89"/>
      <c r="T233" s="62"/>
    </row>
    <row r="234" spans="14:20">
      <c r="N234" s="55"/>
      <c r="O234" s="22"/>
      <c r="P234" s="89"/>
      <c r="T234" s="62"/>
    </row>
    <row r="235" spans="14:20">
      <c r="N235" s="55"/>
      <c r="O235" s="22"/>
      <c r="P235" s="89"/>
      <c r="T235" s="62"/>
    </row>
    <row r="236" spans="14:20">
      <c r="N236" s="55"/>
      <c r="O236" s="22"/>
      <c r="P236" s="89"/>
      <c r="T236" s="62"/>
    </row>
    <row r="237" spans="14:20">
      <c r="N237" s="55"/>
      <c r="O237" s="22"/>
      <c r="P237" s="89"/>
      <c r="T237" s="62"/>
    </row>
    <row r="238" spans="14:20">
      <c r="N238" s="55"/>
      <c r="O238" s="22"/>
      <c r="P238" s="89"/>
      <c r="T238" s="62"/>
    </row>
    <row r="239" spans="14:20">
      <c r="N239" s="55"/>
      <c r="O239" s="22"/>
      <c r="P239" s="89"/>
      <c r="T239" s="62"/>
    </row>
    <row r="240" spans="14:20">
      <c r="N240" s="55"/>
      <c r="O240" s="22"/>
      <c r="P240" s="89"/>
      <c r="T240" s="62"/>
    </row>
    <row r="241" spans="14:20">
      <c r="N241" s="55"/>
      <c r="O241" s="22"/>
      <c r="P241" s="89"/>
      <c r="T241" s="62"/>
    </row>
    <row r="242" spans="14:20">
      <c r="N242" s="55"/>
      <c r="O242" s="22"/>
      <c r="P242" s="89"/>
      <c r="T242" s="62"/>
    </row>
    <row r="243" spans="14:20">
      <c r="N243" s="55"/>
      <c r="O243" s="22"/>
      <c r="P243" s="89"/>
      <c r="T243" s="62"/>
    </row>
    <row r="244" spans="14:20">
      <c r="N244" s="55"/>
      <c r="O244" s="22"/>
      <c r="P244" s="89"/>
      <c r="T244" s="62"/>
    </row>
    <row r="245" spans="14:20">
      <c r="N245" s="55"/>
      <c r="O245" s="22"/>
      <c r="P245" s="89"/>
      <c r="T245" s="62"/>
    </row>
    <row r="246" spans="14:20">
      <c r="N246" s="55"/>
      <c r="O246" s="22"/>
      <c r="P246" s="89"/>
      <c r="T246" s="62"/>
    </row>
    <row r="247" spans="14:20">
      <c r="N247" s="55"/>
      <c r="O247" s="22"/>
      <c r="P247" s="89"/>
      <c r="T247" s="62"/>
    </row>
    <row r="248" spans="14:20">
      <c r="N248" s="55"/>
      <c r="O248" s="22"/>
      <c r="P248" s="89"/>
      <c r="T248" s="62"/>
    </row>
    <row r="249" spans="14:20">
      <c r="N249" s="55"/>
      <c r="O249" s="22"/>
      <c r="P249" s="89"/>
      <c r="T249" s="62"/>
    </row>
    <row r="250" spans="14:20">
      <c r="N250" s="55"/>
      <c r="O250" s="22"/>
      <c r="P250" s="89"/>
      <c r="T250" s="62"/>
    </row>
    <row r="251" spans="14:20">
      <c r="N251" s="55"/>
      <c r="O251" s="22"/>
      <c r="P251" s="89"/>
      <c r="T251" s="62"/>
    </row>
    <row r="252" spans="14:20">
      <c r="N252" s="55"/>
      <c r="O252" s="22"/>
      <c r="P252" s="89"/>
      <c r="T252" s="62"/>
    </row>
    <row r="253" spans="14:20">
      <c r="N253" s="55"/>
      <c r="O253" s="22"/>
      <c r="P253" s="89"/>
      <c r="T253" s="62"/>
    </row>
    <row r="254" spans="14:20">
      <c r="N254" s="55"/>
      <c r="O254" s="22"/>
      <c r="P254" s="89"/>
      <c r="T254" s="62"/>
    </row>
    <row r="255" spans="14:20">
      <c r="N255" s="55"/>
      <c r="O255" s="22"/>
      <c r="P255" s="89"/>
      <c r="T255" s="62"/>
    </row>
    <row r="256" spans="14:20">
      <c r="N256" s="55"/>
      <c r="O256" s="22"/>
      <c r="P256" s="89"/>
      <c r="T256" s="62"/>
    </row>
    <row r="257" spans="14:20">
      <c r="N257" s="55"/>
      <c r="O257" s="22"/>
      <c r="P257" s="89"/>
      <c r="T257" s="62"/>
    </row>
    <row r="258" spans="14:20">
      <c r="N258" s="55"/>
      <c r="O258" s="22"/>
      <c r="P258" s="89"/>
      <c r="T258" s="62"/>
    </row>
    <row r="259" spans="14:20">
      <c r="N259" s="55"/>
      <c r="O259" s="22"/>
      <c r="P259" s="89"/>
      <c r="T259" s="62"/>
    </row>
    <row r="260" spans="14:20">
      <c r="N260" s="55"/>
      <c r="O260" s="22"/>
      <c r="P260" s="89"/>
      <c r="T260" s="62"/>
    </row>
    <row r="261" spans="14:20">
      <c r="N261" s="55"/>
      <c r="O261" s="22"/>
      <c r="P261" s="89"/>
      <c r="T261" s="62"/>
    </row>
    <row r="262" spans="14:20">
      <c r="N262" s="55"/>
      <c r="O262" s="22"/>
      <c r="P262" s="89"/>
      <c r="T262" s="62"/>
    </row>
    <row r="263" spans="14:20">
      <c r="N263" s="55"/>
      <c r="O263" s="22"/>
      <c r="P263" s="89"/>
      <c r="T263" s="62"/>
    </row>
    <row r="264" spans="14:20">
      <c r="N264" s="55"/>
      <c r="O264" s="22"/>
      <c r="P264" s="89"/>
      <c r="T264" s="62"/>
    </row>
    <row r="265" spans="14:20">
      <c r="N265" s="55"/>
      <c r="O265" s="22"/>
      <c r="P265" s="89"/>
      <c r="T265" s="62"/>
    </row>
    <row r="266" spans="14:20">
      <c r="N266" s="55"/>
      <c r="O266" s="22"/>
      <c r="P266" s="89"/>
      <c r="T266" s="62"/>
    </row>
    <row r="267" spans="14:20">
      <c r="N267" s="55"/>
      <c r="O267" s="22"/>
      <c r="P267" s="89"/>
      <c r="T267" s="62"/>
    </row>
    <row r="268" spans="14:20">
      <c r="N268" s="55"/>
      <c r="O268" s="22"/>
      <c r="P268" s="89"/>
      <c r="T268" s="62"/>
    </row>
    <row r="269" spans="14:20">
      <c r="N269" s="55"/>
      <c r="O269" s="22"/>
      <c r="P269" s="89"/>
      <c r="T269" s="62"/>
    </row>
    <row r="270" spans="14:20">
      <c r="N270" s="55"/>
      <c r="O270" s="22"/>
      <c r="P270" s="89"/>
      <c r="T270" s="62"/>
    </row>
    <row r="271" spans="14:20">
      <c r="N271" s="55"/>
      <c r="O271" s="22"/>
      <c r="P271" s="89"/>
      <c r="T271" s="62"/>
    </row>
    <row r="272" spans="14:20">
      <c r="N272" s="55"/>
      <c r="O272" s="22"/>
      <c r="P272" s="89"/>
      <c r="T272" s="62"/>
    </row>
    <row r="273" spans="14:20">
      <c r="N273" s="55"/>
      <c r="O273" s="22"/>
      <c r="P273" s="89"/>
      <c r="T273" s="62"/>
    </row>
    <row r="274" spans="14:20">
      <c r="N274" s="55"/>
      <c r="O274" s="22"/>
      <c r="P274" s="89"/>
      <c r="T274" s="62"/>
    </row>
    <row r="275" spans="14:20">
      <c r="N275" s="55"/>
      <c r="O275" s="22"/>
      <c r="P275" s="89"/>
      <c r="T275" s="62"/>
    </row>
    <row r="276" spans="14:20">
      <c r="N276" s="55"/>
      <c r="O276" s="22"/>
      <c r="P276" s="89"/>
      <c r="T276" s="62"/>
    </row>
    <row r="277" spans="14:20">
      <c r="N277" s="55"/>
      <c r="O277" s="22"/>
      <c r="P277" s="89"/>
      <c r="T277" s="62"/>
    </row>
    <row r="278" spans="14:20">
      <c r="N278" s="55"/>
      <c r="O278" s="22"/>
      <c r="P278" s="89"/>
      <c r="T278" s="62"/>
    </row>
    <row r="279" spans="14:20">
      <c r="N279" s="55"/>
      <c r="O279" s="22"/>
      <c r="P279" s="89"/>
      <c r="T279" s="62"/>
    </row>
    <row r="280" spans="14:20">
      <c r="N280" s="55"/>
      <c r="O280" s="22"/>
      <c r="P280" s="89"/>
      <c r="T280" s="62"/>
    </row>
    <row r="281" spans="14:20">
      <c r="N281" s="55"/>
      <c r="O281" s="22"/>
      <c r="P281" s="89"/>
      <c r="T281" s="62"/>
    </row>
    <row r="282" spans="14:20">
      <c r="N282" s="55"/>
      <c r="O282" s="22"/>
      <c r="P282" s="89"/>
      <c r="T282" s="62"/>
    </row>
    <row r="283" spans="14:20">
      <c r="N283" s="55"/>
      <c r="O283" s="22"/>
      <c r="P283" s="89"/>
      <c r="T283" s="62"/>
    </row>
    <row r="284" spans="14:20">
      <c r="N284" s="55"/>
      <c r="O284" s="22"/>
      <c r="P284" s="89"/>
      <c r="T284" s="62"/>
    </row>
    <row r="285" spans="14:20">
      <c r="N285" s="55"/>
      <c r="O285" s="22"/>
      <c r="P285" s="89"/>
      <c r="T285" s="62"/>
    </row>
    <row r="286" spans="14:20">
      <c r="N286" s="55"/>
      <c r="O286" s="22"/>
      <c r="P286" s="89"/>
      <c r="T286" s="62"/>
    </row>
    <row r="287" spans="14:20">
      <c r="N287" s="55"/>
      <c r="O287" s="22"/>
      <c r="P287" s="89"/>
      <c r="T287" s="62"/>
    </row>
    <row r="288" spans="14:20">
      <c r="N288" s="55"/>
      <c r="O288" s="22"/>
      <c r="P288" s="89"/>
      <c r="T288" s="62"/>
    </row>
    <row r="289" spans="14:20">
      <c r="N289" s="55"/>
      <c r="O289" s="22"/>
      <c r="P289" s="89"/>
      <c r="T289" s="62"/>
    </row>
    <row r="290" spans="14:20">
      <c r="N290" s="55"/>
      <c r="O290" s="22"/>
      <c r="P290" s="89"/>
      <c r="T290" s="62"/>
    </row>
    <row r="291" spans="14:20">
      <c r="N291" s="55"/>
      <c r="O291" s="22"/>
      <c r="P291" s="89"/>
      <c r="T291" s="62"/>
    </row>
    <row r="292" spans="14:20">
      <c r="N292" s="55"/>
      <c r="O292" s="22"/>
      <c r="P292" s="89"/>
      <c r="T292" s="62"/>
    </row>
    <row r="293" spans="14:20">
      <c r="N293" s="55"/>
      <c r="O293" s="22"/>
      <c r="P293" s="89"/>
      <c r="T293" s="62"/>
    </row>
    <row r="294" spans="14:20">
      <c r="N294" s="55"/>
      <c r="O294" s="22"/>
      <c r="P294" s="89"/>
      <c r="T294" s="62"/>
    </row>
    <row r="295" spans="14:20">
      <c r="N295" s="55"/>
      <c r="O295" s="22"/>
      <c r="P295" s="89"/>
      <c r="T295" s="62"/>
    </row>
    <row r="296" spans="14:20">
      <c r="N296" s="55"/>
      <c r="O296" s="22"/>
      <c r="P296" s="89"/>
      <c r="T296" s="62"/>
    </row>
    <row r="297" spans="14:20">
      <c r="N297" s="55"/>
      <c r="O297" s="22"/>
      <c r="P297" s="89"/>
      <c r="T297" s="62"/>
    </row>
    <row r="298" spans="14:20">
      <c r="N298" s="55"/>
      <c r="O298" s="22"/>
      <c r="P298" s="89"/>
      <c r="T298" s="62"/>
    </row>
    <row r="299" spans="14:20">
      <c r="N299" s="55"/>
      <c r="O299" s="22"/>
      <c r="P299" s="89"/>
      <c r="T299" s="62"/>
    </row>
    <row r="300" spans="14:20">
      <c r="N300" s="55"/>
      <c r="O300" s="22"/>
      <c r="P300" s="89"/>
      <c r="T300" s="62"/>
    </row>
    <row r="301" spans="14:20">
      <c r="N301" s="55"/>
      <c r="O301" s="22"/>
      <c r="P301" s="89"/>
      <c r="T301" s="62"/>
    </row>
    <row r="302" spans="14:20">
      <c r="N302" s="55"/>
      <c r="O302" s="22"/>
      <c r="P302" s="89"/>
      <c r="T302" s="62"/>
    </row>
    <row r="303" spans="14:20">
      <c r="N303" s="55"/>
      <c r="O303" s="22"/>
      <c r="P303" s="89"/>
      <c r="T303" s="62"/>
    </row>
    <row r="304" spans="14:20">
      <c r="N304" s="55"/>
      <c r="O304" s="22"/>
      <c r="P304" s="89"/>
      <c r="T304" s="62"/>
    </row>
    <row r="305" spans="14:20">
      <c r="N305" s="55"/>
      <c r="O305" s="22"/>
      <c r="P305" s="89"/>
      <c r="T305" s="62"/>
    </row>
    <row r="306" spans="14:20">
      <c r="N306" s="55"/>
      <c r="O306" s="22"/>
      <c r="P306" s="89"/>
      <c r="T306" s="62"/>
    </row>
    <row r="307" spans="14:20">
      <c r="N307" s="55"/>
      <c r="O307" s="22"/>
      <c r="P307" s="89"/>
      <c r="T307" s="62"/>
    </row>
    <row r="308" spans="14:20">
      <c r="N308" s="55"/>
      <c r="O308" s="22"/>
      <c r="P308" s="89"/>
      <c r="T308" s="62"/>
    </row>
    <row r="309" spans="14:20">
      <c r="N309" s="55"/>
      <c r="O309" s="22"/>
      <c r="P309" s="89"/>
      <c r="T309" s="62"/>
    </row>
    <row r="310" spans="14:20">
      <c r="N310" s="55"/>
      <c r="O310" s="22"/>
      <c r="P310" s="89"/>
      <c r="T310" s="62"/>
    </row>
    <row r="311" spans="14:20">
      <c r="N311" s="55"/>
      <c r="O311" s="22"/>
      <c r="P311" s="89"/>
      <c r="T311" s="62"/>
    </row>
    <row r="312" spans="14:20">
      <c r="N312" s="55"/>
      <c r="O312" s="22"/>
      <c r="P312" s="89"/>
      <c r="T312" s="62"/>
    </row>
    <row r="313" spans="14:20">
      <c r="N313" s="55"/>
      <c r="O313" s="22"/>
      <c r="P313" s="89"/>
      <c r="T313" s="62"/>
    </row>
    <row r="314" spans="14:20">
      <c r="N314" s="55"/>
      <c r="O314" s="22"/>
      <c r="P314" s="89"/>
      <c r="T314" s="62"/>
    </row>
    <row r="315" spans="14:20">
      <c r="N315" s="55"/>
      <c r="O315" s="22"/>
      <c r="P315" s="89"/>
      <c r="T315" s="62"/>
    </row>
    <row r="316" spans="14:20">
      <c r="N316" s="55"/>
      <c r="O316" s="22"/>
      <c r="P316" s="89"/>
      <c r="T316" s="62"/>
    </row>
    <row r="317" spans="14:20">
      <c r="N317" s="55"/>
      <c r="O317" s="22"/>
      <c r="P317" s="89"/>
      <c r="T317" s="62"/>
    </row>
    <row r="318" spans="14:20">
      <c r="N318" s="55"/>
      <c r="O318" s="22"/>
      <c r="P318" s="89"/>
      <c r="T318" s="62"/>
    </row>
    <row r="319" spans="14:20">
      <c r="N319" s="55"/>
      <c r="O319" s="22"/>
      <c r="P319" s="89"/>
      <c r="T319" s="62"/>
    </row>
    <row r="320" spans="14:20">
      <c r="N320" s="55"/>
      <c r="O320" s="22"/>
      <c r="P320" s="89"/>
      <c r="T320" s="62"/>
    </row>
    <row r="321" spans="14:20">
      <c r="N321" s="55"/>
      <c r="O321" s="22"/>
      <c r="P321" s="89"/>
      <c r="T321" s="62"/>
    </row>
    <row r="322" spans="14:20">
      <c r="N322" s="55"/>
      <c r="O322" s="22"/>
      <c r="P322" s="89"/>
      <c r="T322" s="62"/>
    </row>
    <row r="323" spans="14:20">
      <c r="N323" s="55"/>
      <c r="O323" s="22"/>
      <c r="P323" s="89"/>
      <c r="T323" s="62"/>
    </row>
    <row r="324" spans="14:20">
      <c r="N324" s="55"/>
      <c r="O324" s="22"/>
      <c r="P324" s="89"/>
      <c r="T324" s="62"/>
    </row>
    <row r="325" spans="14:20">
      <c r="N325" s="55"/>
      <c r="O325" s="22"/>
      <c r="P325" s="89"/>
      <c r="T325" s="62"/>
    </row>
    <row r="326" spans="14:20">
      <c r="N326" s="55"/>
      <c r="O326" s="22"/>
      <c r="P326" s="89"/>
      <c r="T326" s="62"/>
    </row>
    <row r="327" spans="14:20">
      <c r="N327" s="55"/>
      <c r="O327" s="22"/>
      <c r="P327" s="89"/>
      <c r="T327" s="62"/>
    </row>
    <row r="328" spans="14:20">
      <c r="N328" s="55"/>
      <c r="O328" s="22"/>
      <c r="P328" s="89"/>
      <c r="T328" s="62"/>
    </row>
    <row r="329" spans="14:20">
      <c r="N329" s="55"/>
      <c r="O329" s="22"/>
      <c r="P329" s="89"/>
      <c r="T329" s="62"/>
    </row>
    <row r="330" spans="14:20">
      <c r="N330" s="55"/>
      <c r="O330" s="22"/>
      <c r="P330" s="89"/>
      <c r="T330" s="62"/>
    </row>
    <row r="331" spans="14:20">
      <c r="N331" s="55"/>
      <c r="O331" s="22"/>
      <c r="P331" s="89"/>
      <c r="T331" s="62"/>
    </row>
    <row r="332" spans="14:20">
      <c r="N332" s="55"/>
      <c r="O332" s="22"/>
      <c r="P332" s="89"/>
      <c r="T332" s="62"/>
    </row>
    <row r="333" spans="14:20">
      <c r="N333" s="55"/>
      <c r="O333" s="22"/>
      <c r="P333" s="89"/>
      <c r="T333" s="62"/>
    </row>
    <row r="334" spans="14:20">
      <c r="N334" s="55"/>
      <c r="O334" s="22"/>
      <c r="P334" s="89"/>
      <c r="T334" s="62"/>
    </row>
    <row r="335" spans="14:20">
      <c r="N335" s="55"/>
      <c r="O335" s="22"/>
      <c r="P335" s="89"/>
      <c r="T335" s="62"/>
    </row>
    <row r="336" spans="14:20">
      <c r="N336" s="55"/>
      <c r="O336" s="22"/>
      <c r="P336" s="89"/>
      <c r="T336" s="62"/>
    </row>
    <row r="337" spans="14:20">
      <c r="N337" s="55"/>
      <c r="O337" s="22"/>
      <c r="P337" s="89"/>
      <c r="T337" s="62"/>
    </row>
    <row r="338" spans="14:20">
      <c r="N338" s="55"/>
      <c r="O338" s="22"/>
      <c r="P338" s="89"/>
      <c r="T338" s="62"/>
    </row>
    <row r="339" spans="14:20">
      <c r="N339" s="55"/>
      <c r="O339" s="22"/>
      <c r="P339" s="89"/>
      <c r="T339" s="62"/>
    </row>
    <row r="340" spans="14:20">
      <c r="N340" s="55"/>
      <c r="O340" s="22"/>
      <c r="P340" s="89"/>
      <c r="T340" s="62"/>
    </row>
    <row r="341" spans="14:20">
      <c r="N341" s="55"/>
      <c r="O341" s="22"/>
      <c r="P341" s="89"/>
      <c r="T341" s="62"/>
    </row>
    <row r="342" spans="14:20">
      <c r="N342" s="55"/>
      <c r="O342" s="22"/>
      <c r="P342" s="89"/>
      <c r="T342" s="62"/>
    </row>
    <row r="343" spans="14:20">
      <c r="N343" s="55"/>
      <c r="O343" s="22"/>
      <c r="P343" s="89"/>
      <c r="T343" s="62"/>
    </row>
    <row r="344" spans="14:20">
      <c r="N344" s="55"/>
      <c r="O344" s="22"/>
      <c r="P344" s="89"/>
      <c r="T344" s="62"/>
    </row>
    <row r="345" spans="14:20">
      <c r="N345" s="55"/>
      <c r="O345" s="22"/>
      <c r="P345" s="89"/>
      <c r="T345" s="62"/>
    </row>
    <row r="346" spans="14:20">
      <c r="N346" s="55"/>
      <c r="O346" s="22"/>
      <c r="P346" s="89"/>
      <c r="T346" s="62"/>
    </row>
    <row r="347" spans="14:20">
      <c r="N347" s="55"/>
      <c r="O347" s="22"/>
      <c r="P347" s="89"/>
      <c r="T347" s="62"/>
    </row>
    <row r="348" spans="14:20">
      <c r="N348" s="55"/>
      <c r="O348" s="22"/>
      <c r="P348" s="89"/>
      <c r="T348" s="62"/>
    </row>
    <row r="349" spans="14:20">
      <c r="N349" s="55"/>
      <c r="O349" s="22"/>
      <c r="P349" s="89"/>
      <c r="T349" s="62"/>
    </row>
    <row r="350" spans="14:20">
      <c r="N350" s="55"/>
      <c r="O350" s="22"/>
      <c r="P350" s="89"/>
      <c r="T350" s="62"/>
    </row>
    <row r="351" spans="14:20">
      <c r="N351" s="55"/>
      <c r="O351" s="22"/>
      <c r="P351" s="89"/>
      <c r="T351" s="62"/>
    </row>
    <row r="352" spans="14:20">
      <c r="N352" s="55"/>
      <c r="O352" s="22"/>
      <c r="P352" s="89"/>
      <c r="T352" s="62"/>
    </row>
    <row r="353" spans="14:20">
      <c r="N353" s="55"/>
      <c r="O353" s="22"/>
      <c r="P353" s="89"/>
      <c r="T353" s="62"/>
    </row>
    <row r="354" spans="14:20">
      <c r="N354" s="55"/>
      <c r="O354" s="22"/>
      <c r="P354" s="89"/>
      <c r="T354" s="62"/>
    </row>
    <row r="355" spans="14:20">
      <c r="N355" s="55"/>
      <c r="O355" s="22"/>
      <c r="P355" s="89"/>
      <c r="T355" s="62"/>
    </row>
    <row r="356" spans="14:20">
      <c r="N356" s="55"/>
      <c r="O356" s="22"/>
      <c r="P356" s="89"/>
      <c r="T356" s="62"/>
    </row>
    <row r="357" spans="14:20">
      <c r="N357" s="55"/>
      <c r="O357" s="22"/>
      <c r="P357" s="89"/>
      <c r="T357" s="62"/>
    </row>
    <row r="358" spans="14:20">
      <c r="N358" s="55"/>
      <c r="O358" s="22"/>
      <c r="P358" s="89"/>
      <c r="T358" s="62"/>
    </row>
    <row r="359" spans="14:20">
      <c r="N359" s="55"/>
      <c r="O359" s="22"/>
      <c r="P359" s="89"/>
      <c r="T359" s="62"/>
    </row>
    <row r="360" spans="14:20">
      <c r="N360" s="55"/>
      <c r="O360" s="22"/>
      <c r="P360" s="89"/>
      <c r="T360" s="62"/>
    </row>
    <row r="361" spans="14:20">
      <c r="N361" s="55"/>
      <c r="O361" s="22"/>
      <c r="P361" s="89"/>
      <c r="T361" s="62"/>
    </row>
    <row r="362" spans="14:20">
      <c r="N362" s="55"/>
      <c r="O362" s="22"/>
      <c r="P362" s="89"/>
      <c r="T362" s="62"/>
    </row>
    <row r="363" spans="14:20">
      <c r="N363" s="55"/>
      <c r="O363" s="22"/>
      <c r="P363" s="89"/>
      <c r="T363" s="62"/>
    </row>
    <row r="364" spans="14:20">
      <c r="N364" s="55"/>
      <c r="O364" s="22"/>
      <c r="P364" s="89"/>
      <c r="T364" s="62"/>
    </row>
    <row r="365" spans="14:20">
      <c r="N365" s="55"/>
      <c r="O365" s="22"/>
      <c r="P365" s="89"/>
      <c r="T365" s="62"/>
    </row>
    <row r="366" spans="14:20">
      <c r="N366" s="55"/>
      <c r="O366" s="22"/>
      <c r="P366" s="89"/>
      <c r="T366" s="62"/>
    </row>
    <row r="367" spans="14:20">
      <c r="N367" s="55"/>
      <c r="O367" s="22"/>
      <c r="P367" s="89"/>
      <c r="T367" s="62"/>
    </row>
    <row r="368" spans="14:20">
      <c r="N368" s="55"/>
      <c r="O368" s="22"/>
      <c r="P368" s="89"/>
      <c r="T368" s="62"/>
    </row>
    <row r="369" spans="14:20">
      <c r="N369" s="55"/>
      <c r="O369" s="22"/>
      <c r="P369" s="89"/>
      <c r="T369" s="62"/>
    </row>
    <row r="370" spans="14:20">
      <c r="N370" s="55"/>
      <c r="O370" s="22"/>
      <c r="P370" s="89"/>
      <c r="T370" s="62"/>
    </row>
    <row r="371" spans="14:20">
      <c r="N371" s="55"/>
      <c r="O371" s="22"/>
      <c r="P371" s="89"/>
      <c r="T371" s="62"/>
    </row>
    <row r="372" spans="14:20">
      <c r="N372" s="55"/>
      <c r="O372" s="22"/>
      <c r="P372" s="89"/>
      <c r="T372" s="62"/>
    </row>
    <row r="373" spans="14:20">
      <c r="N373" s="55"/>
      <c r="O373" s="22"/>
      <c r="P373" s="89"/>
      <c r="T373" s="62"/>
    </row>
    <row r="374" spans="14:20">
      <c r="N374" s="55"/>
      <c r="O374" s="22"/>
      <c r="P374" s="89"/>
      <c r="T374" s="62"/>
    </row>
    <row r="375" spans="14:20">
      <c r="N375" s="55"/>
      <c r="O375" s="22"/>
      <c r="P375" s="89"/>
      <c r="T375" s="62"/>
    </row>
    <row r="376" spans="14:20">
      <c r="N376" s="55"/>
      <c r="O376" s="22"/>
      <c r="P376" s="89"/>
      <c r="T376" s="62"/>
    </row>
    <row r="377" spans="14:20">
      <c r="N377" s="55"/>
      <c r="O377" s="22"/>
      <c r="P377" s="89"/>
      <c r="T377" s="62"/>
    </row>
    <row r="378" spans="14:20">
      <c r="N378" s="55"/>
      <c r="O378" s="22"/>
      <c r="P378" s="89"/>
      <c r="T378" s="62"/>
    </row>
    <row r="379" spans="14:20">
      <c r="N379" s="55"/>
      <c r="O379" s="22"/>
      <c r="P379" s="89"/>
      <c r="T379" s="62"/>
    </row>
    <row r="380" spans="14:20">
      <c r="N380" s="55"/>
      <c r="O380" s="22"/>
      <c r="P380" s="89"/>
      <c r="T380" s="62"/>
    </row>
    <row r="381" spans="14:20">
      <c r="N381" s="55"/>
      <c r="O381" s="22"/>
      <c r="P381" s="89"/>
      <c r="T381" s="62"/>
    </row>
    <row r="382" spans="14:20">
      <c r="N382" s="55"/>
      <c r="O382" s="22"/>
      <c r="P382" s="89"/>
      <c r="T382" s="62"/>
    </row>
    <row r="383" spans="14:20">
      <c r="N383" s="55"/>
      <c r="O383" s="22"/>
      <c r="P383" s="89"/>
      <c r="T383" s="62"/>
    </row>
    <row r="384" spans="14:20">
      <c r="N384" s="55"/>
      <c r="O384" s="22"/>
      <c r="P384" s="89"/>
      <c r="T384" s="62"/>
    </row>
    <row r="385" spans="14:20">
      <c r="N385" s="55"/>
      <c r="O385" s="22"/>
      <c r="P385" s="89"/>
      <c r="T385" s="62"/>
    </row>
    <row r="386" spans="14:20">
      <c r="N386" s="55"/>
      <c r="O386" s="22"/>
      <c r="P386" s="89"/>
      <c r="T386" s="62"/>
    </row>
    <row r="387" spans="14:20">
      <c r="N387" s="55"/>
      <c r="O387" s="22"/>
      <c r="P387" s="89"/>
      <c r="T387" s="62"/>
    </row>
    <row r="388" spans="14:20">
      <c r="N388" s="55"/>
      <c r="O388" s="22"/>
      <c r="P388" s="89"/>
      <c r="T388" s="62"/>
    </row>
    <row r="389" spans="14:20">
      <c r="N389" s="55"/>
      <c r="O389" s="22"/>
      <c r="P389" s="89"/>
      <c r="T389" s="62"/>
    </row>
    <row r="390" spans="14:20">
      <c r="N390" s="55"/>
      <c r="O390" s="22"/>
      <c r="P390" s="89"/>
      <c r="T390" s="62"/>
    </row>
    <row r="391" spans="14:20">
      <c r="N391" s="55"/>
      <c r="O391" s="22"/>
      <c r="P391" s="89"/>
      <c r="T391" s="62"/>
    </row>
    <row r="392" spans="14:20">
      <c r="N392" s="55"/>
      <c r="O392" s="22"/>
      <c r="P392" s="89"/>
      <c r="T392" s="62"/>
    </row>
    <row r="393" spans="14:20">
      <c r="N393" s="55"/>
      <c r="O393" s="22"/>
      <c r="P393" s="89"/>
      <c r="T393" s="62"/>
    </row>
    <row r="394" spans="14:20">
      <c r="N394" s="55"/>
      <c r="O394" s="22"/>
      <c r="P394" s="89"/>
      <c r="T394" s="62"/>
    </row>
    <row r="395" spans="14:20">
      <c r="N395" s="55"/>
      <c r="O395" s="22"/>
      <c r="P395" s="89"/>
      <c r="T395" s="62"/>
    </row>
    <row r="396" spans="14:20">
      <c r="N396" s="55"/>
      <c r="O396" s="22"/>
      <c r="P396" s="89"/>
      <c r="T396" s="62"/>
    </row>
    <row r="397" spans="14:20">
      <c r="N397" s="55"/>
      <c r="O397" s="22"/>
      <c r="P397" s="89"/>
      <c r="T397" s="62"/>
    </row>
    <row r="398" spans="14:20">
      <c r="N398" s="55"/>
      <c r="O398" s="22"/>
      <c r="P398" s="89"/>
      <c r="T398" s="62"/>
    </row>
    <row r="399" spans="14:20">
      <c r="N399" s="55"/>
      <c r="O399" s="22"/>
      <c r="P399" s="89"/>
      <c r="T399" s="62"/>
    </row>
    <row r="400" spans="14:20">
      <c r="N400" s="55"/>
      <c r="O400" s="22"/>
      <c r="P400" s="89"/>
      <c r="T400" s="62"/>
    </row>
    <row r="401" spans="14:20">
      <c r="N401" s="55"/>
      <c r="O401" s="22"/>
      <c r="P401" s="89"/>
      <c r="T401" s="62"/>
    </row>
    <row r="402" spans="14:20">
      <c r="N402" s="55"/>
      <c r="O402" s="22"/>
      <c r="P402" s="89"/>
      <c r="T402" s="62"/>
    </row>
    <row r="403" spans="14:20">
      <c r="N403" s="55"/>
      <c r="O403" s="22"/>
      <c r="P403" s="89"/>
      <c r="T403" s="62"/>
    </row>
    <row r="404" spans="14:20">
      <c r="N404" s="55"/>
      <c r="O404" s="22"/>
      <c r="P404" s="89"/>
      <c r="T404" s="62"/>
    </row>
    <row r="405" spans="14:20">
      <c r="N405" s="55"/>
      <c r="O405" s="22"/>
      <c r="P405" s="89"/>
      <c r="T405" s="62"/>
    </row>
    <row r="406" spans="14:20">
      <c r="N406" s="55"/>
      <c r="O406" s="22"/>
      <c r="P406" s="89"/>
      <c r="T406" s="62"/>
    </row>
    <row r="407" spans="14:20">
      <c r="N407" s="55"/>
      <c r="O407" s="22"/>
      <c r="P407" s="89"/>
      <c r="T407" s="62"/>
    </row>
    <row r="408" spans="14:20">
      <c r="N408" s="55"/>
      <c r="O408" s="22"/>
      <c r="P408" s="89"/>
      <c r="T408" s="62"/>
    </row>
    <row r="409" spans="14:20">
      <c r="N409" s="55"/>
      <c r="O409" s="22"/>
      <c r="P409" s="89"/>
      <c r="T409" s="62"/>
    </row>
    <row r="410" spans="14:20">
      <c r="N410" s="55"/>
      <c r="O410" s="22"/>
      <c r="P410" s="89"/>
      <c r="T410" s="62"/>
    </row>
    <row r="411" spans="14:20">
      <c r="N411" s="55"/>
      <c r="O411" s="22"/>
      <c r="P411" s="89"/>
      <c r="T411" s="62"/>
    </row>
    <row r="412" spans="14:20">
      <c r="N412" s="55"/>
      <c r="O412" s="22"/>
      <c r="P412" s="89"/>
      <c r="T412" s="62"/>
    </row>
    <row r="413" spans="14:20">
      <c r="N413" s="55"/>
      <c r="O413" s="22"/>
      <c r="P413" s="89"/>
      <c r="T413" s="62"/>
    </row>
    <row r="414" spans="14:20">
      <c r="N414" s="55"/>
      <c r="O414" s="22"/>
      <c r="P414" s="89"/>
      <c r="T414" s="62"/>
    </row>
    <row r="415" spans="14:20">
      <c r="N415" s="55"/>
      <c r="O415" s="22"/>
      <c r="P415" s="89"/>
      <c r="T415" s="62"/>
    </row>
    <row r="416" spans="14:20">
      <c r="N416" s="55"/>
      <c r="O416" s="22"/>
      <c r="P416" s="89"/>
      <c r="T416" s="62"/>
    </row>
    <row r="417" spans="14:20">
      <c r="N417" s="55"/>
      <c r="O417" s="22"/>
      <c r="P417" s="89"/>
      <c r="T417" s="62"/>
    </row>
    <row r="418" spans="14:20">
      <c r="N418" s="55"/>
      <c r="O418" s="22"/>
      <c r="P418" s="89"/>
      <c r="T418" s="62"/>
    </row>
    <row r="419" spans="14:20">
      <c r="N419" s="55"/>
      <c r="O419" s="22"/>
      <c r="P419" s="89"/>
      <c r="T419" s="62"/>
    </row>
    <row r="420" spans="14:20">
      <c r="N420" s="55"/>
      <c r="O420" s="22"/>
      <c r="P420" s="89"/>
      <c r="T420" s="62"/>
    </row>
    <row r="421" spans="14:20">
      <c r="N421" s="55"/>
      <c r="O421" s="22"/>
      <c r="P421" s="89"/>
      <c r="T421" s="62"/>
    </row>
    <row r="422" spans="14:20">
      <c r="N422" s="55"/>
      <c r="O422" s="22"/>
      <c r="P422" s="89"/>
      <c r="T422" s="62"/>
    </row>
    <row r="423" spans="14:20">
      <c r="N423" s="55"/>
      <c r="O423" s="22"/>
      <c r="P423" s="89"/>
      <c r="T423" s="62"/>
    </row>
    <row r="424" spans="14:20">
      <c r="N424" s="55"/>
      <c r="O424" s="22"/>
      <c r="P424" s="89"/>
      <c r="T424" s="62"/>
    </row>
    <row r="425" spans="14:20">
      <c r="N425" s="55"/>
      <c r="O425" s="22"/>
      <c r="P425" s="89"/>
      <c r="T425" s="62"/>
    </row>
    <row r="426" spans="14:20">
      <c r="N426" s="55"/>
      <c r="O426" s="22"/>
      <c r="P426" s="89"/>
      <c r="T426" s="62"/>
    </row>
    <row r="427" spans="14:20">
      <c r="N427" s="55"/>
      <c r="O427" s="22"/>
      <c r="P427" s="89"/>
      <c r="T427" s="62"/>
    </row>
    <row r="428" spans="14:20">
      <c r="N428" s="55"/>
      <c r="O428" s="22"/>
      <c r="P428" s="89"/>
      <c r="T428" s="62"/>
    </row>
    <row r="429" spans="14:20">
      <c r="N429" s="55"/>
      <c r="O429" s="22"/>
      <c r="P429" s="89"/>
      <c r="T429" s="62"/>
    </row>
    <row r="430" spans="14:20">
      <c r="N430" s="55"/>
      <c r="O430" s="22"/>
      <c r="P430" s="89"/>
      <c r="T430" s="62"/>
    </row>
    <row r="431" spans="14:20">
      <c r="N431" s="55"/>
      <c r="O431" s="22"/>
      <c r="P431" s="89"/>
      <c r="T431" s="62"/>
    </row>
    <row r="432" spans="14:20">
      <c r="N432" s="55"/>
      <c r="O432" s="22"/>
      <c r="P432" s="89"/>
      <c r="T432" s="62"/>
    </row>
    <row r="433" spans="14:20">
      <c r="N433" s="55"/>
      <c r="O433" s="22"/>
      <c r="P433" s="89"/>
      <c r="T433" s="62"/>
    </row>
    <row r="434" spans="14:20">
      <c r="N434" s="55"/>
      <c r="O434" s="22"/>
      <c r="P434" s="89"/>
      <c r="T434" s="62"/>
    </row>
    <row r="435" spans="14:20">
      <c r="N435" s="55"/>
      <c r="O435" s="22"/>
      <c r="P435" s="89"/>
      <c r="T435" s="62"/>
    </row>
    <row r="436" spans="14:20">
      <c r="N436" s="55"/>
      <c r="O436" s="22"/>
      <c r="P436" s="89"/>
      <c r="T436" s="62"/>
    </row>
    <row r="437" spans="14:20">
      <c r="N437" s="55"/>
      <c r="O437" s="22"/>
      <c r="P437" s="89"/>
      <c r="T437" s="62"/>
    </row>
    <row r="438" spans="14:20">
      <c r="N438" s="55"/>
      <c r="O438" s="22"/>
      <c r="P438" s="89"/>
      <c r="T438" s="62"/>
    </row>
    <row r="439" spans="14:20">
      <c r="N439" s="55"/>
      <c r="O439" s="22"/>
      <c r="P439" s="89"/>
      <c r="T439" s="62"/>
    </row>
    <row r="440" spans="14:20">
      <c r="N440" s="55"/>
      <c r="O440" s="22"/>
      <c r="P440" s="89"/>
      <c r="T440" s="62"/>
    </row>
    <row r="441" spans="14:20">
      <c r="N441" s="55"/>
      <c r="O441" s="22"/>
      <c r="P441" s="89"/>
      <c r="T441" s="62"/>
    </row>
    <row r="442" spans="14:20">
      <c r="N442" s="55"/>
      <c r="O442" s="22"/>
      <c r="P442" s="89"/>
      <c r="T442" s="62"/>
    </row>
    <row r="443" spans="14:20">
      <c r="N443" s="55"/>
      <c r="O443" s="22"/>
      <c r="P443" s="89"/>
      <c r="T443" s="62"/>
    </row>
    <row r="444" spans="14:20">
      <c r="N444" s="55"/>
      <c r="O444" s="22"/>
      <c r="P444" s="89"/>
      <c r="T444" s="62"/>
    </row>
    <row r="445" spans="14:20">
      <c r="N445" s="55"/>
      <c r="O445" s="22"/>
      <c r="P445" s="89"/>
      <c r="T445" s="62"/>
    </row>
    <row r="446" spans="14:20">
      <c r="N446" s="55"/>
      <c r="O446" s="22"/>
      <c r="P446" s="89"/>
      <c r="T446" s="62"/>
    </row>
    <row r="447" spans="14:20">
      <c r="N447" s="55"/>
      <c r="O447" s="22"/>
      <c r="P447" s="89"/>
      <c r="T447" s="62"/>
    </row>
    <row r="448" spans="14:20">
      <c r="N448" s="55"/>
      <c r="O448" s="22"/>
      <c r="P448" s="89"/>
      <c r="T448" s="62"/>
    </row>
    <row r="449" spans="14:20">
      <c r="N449" s="55"/>
      <c r="O449" s="22"/>
      <c r="P449" s="89"/>
      <c r="T449" s="62"/>
    </row>
    <row r="450" spans="14:20">
      <c r="N450" s="55"/>
      <c r="O450" s="22"/>
      <c r="P450" s="89"/>
      <c r="T450" s="62"/>
    </row>
    <row r="451" spans="14:20">
      <c r="N451" s="55"/>
      <c r="O451" s="22"/>
      <c r="P451" s="89"/>
      <c r="T451" s="62"/>
    </row>
    <row r="452" spans="14:20">
      <c r="N452" s="55"/>
      <c r="O452" s="22"/>
      <c r="P452" s="89"/>
      <c r="T452" s="62"/>
    </row>
    <row r="453" spans="14:20">
      <c r="N453" s="55"/>
      <c r="O453" s="22"/>
      <c r="P453" s="89"/>
      <c r="T453" s="62"/>
    </row>
    <row r="454" spans="14:20">
      <c r="N454" s="55"/>
      <c r="O454" s="22"/>
      <c r="P454" s="89"/>
      <c r="T454" s="62"/>
    </row>
    <row r="455" spans="14:20">
      <c r="N455" s="55"/>
      <c r="O455" s="22"/>
      <c r="P455" s="89"/>
      <c r="T455" s="62"/>
    </row>
    <row r="456" spans="14:20">
      <c r="N456" s="55"/>
      <c r="O456" s="22"/>
      <c r="P456" s="89"/>
      <c r="T456" s="62"/>
    </row>
    <row r="457" spans="14:20">
      <c r="N457" s="55"/>
      <c r="O457" s="22"/>
      <c r="P457" s="89"/>
      <c r="T457" s="62"/>
    </row>
    <row r="458" spans="14:20">
      <c r="N458" s="55"/>
      <c r="O458" s="22"/>
      <c r="P458" s="89"/>
      <c r="T458" s="62"/>
    </row>
    <row r="459" spans="14:20">
      <c r="N459" s="55"/>
      <c r="O459" s="22"/>
      <c r="P459" s="89"/>
      <c r="T459" s="62"/>
    </row>
    <row r="460" spans="14:20">
      <c r="N460" s="55"/>
      <c r="O460" s="22"/>
      <c r="P460" s="89"/>
      <c r="T460" s="62"/>
    </row>
    <row r="461" spans="14:20">
      <c r="N461" s="55"/>
      <c r="O461" s="22"/>
      <c r="P461" s="89"/>
      <c r="T461" s="62"/>
    </row>
    <row r="462" spans="14:20">
      <c r="N462" s="55"/>
      <c r="O462" s="22"/>
      <c r="P462" s="89"/>
      <c r="T462" s="62"/>
    </row>
    <row r="463" spans="14:20">
      <c r="N463" s="55"/>
      <c r="O463" s="22"/>
      <c r="P463" s="89"/>
      <c r="T463" s="62"/>
    </row>
    <row r="464" spans="14:20">
      <c r="N464" s="55"/>
      <c r="O464" s="22"/>
      <c r="P464" s="89"/>
      <c r="T464" s="62"/>
    </row>
    <row r="465" spans="14:20">
      <c r="N465" s="55"/>
      <c r="O465" s="22"/>
      <c r="P465" s="89"/>
      <c r="T465" s="62"/>
    </row>
    <row r="466" spans="14:20">
      <c r="N466" s="55"/>
      <c r="O466" s="22"/>
      <c r="P466" s="89"/>
      <c r="T466" s="62"/>
    </row>
    <row r="467" spans="14:20">
      <c r="N467" s="55"/>
      <c r="O467" s="22"/>
      <c r="P467" s="89"/>
      <c r="T467" s="62"/>
    </row>
    <row r="468" spans="14:20">
      <c r="N468" s="55"/>
      <c r="O468" s="22"/>
      <c r="P468" s="89"/>
      <c r="T468" s="62"/>
    </row>
    <row r="469" spans="14:20">
      <c r="N469" s="55"/>
      <c r="O469" s="22"/>
      <c r="P469" s="89"/>
      <c r="T469" s="62"/>
    </row>
    <row r="470" spans="14:20">
      <c r="N470" s="55"/>
      <c r="O470" s="22"/>
      <c r="P470" s="89"/>
      <c r="T470" s="62"/>
    </row>
    <row r="471" spans="14:20">
      <c r="N471" s="55"/>
      <c r="O471" s="22"/>
      <c r="P471" s="89"/>
      <c r="T471" s="62"/>
    </row>
    <row r="472" spans="14:20">
      <c r="N472" s="55"/>
      <c r="O472" s="22"/>
      <c r="P472" s="89"/>
      <c r="T472" s="62"/>
    </row>
    <row r="473" spans="14:20">
      <c r="N473" s="55"/>
      <c r="O473" s="22"/>
      <c r="P473" s="89"/>
      <c r="T473" s="62"/>
    </row>
    <row r="474" spans="14:20">
      <c r="N474" s="55"/>
      <c r="O474" s="22"/>
      <c r="P474" s="89"/>
      <c r="T474" s="62"/>
    </row>
    <row r="475" spans="14:20">
      <c r="N475" s="55"/>
      <c r="O475" s="22"/>
      <c r="P475" s="89"/>
      <c r="T475" s="62"/>
    </row>
    <row r="476" spans="14:20">
      <c r="N476" s="55"/>
      <c r="O476" s="22"/>
      <c r="P476" s="89"/>
      <c r="T476" s="62"/>
    </row>
    <row r="477" spans="14:20">
      <c r="N477" s="55"/>
      <c r="O477" s="22"/>
      <c r="P477" s="89"/>
      <c r="T477" s="62"/>
    </row>
    <row r="478" spans="14:20">
      <c r="N478" s="55"/>
      <c r="O478" s="22"/>
      <c r="P478" s="89"/>
      <c r="T478" s="62"/>
    </row>
    <row r="479" spans="14:20">
      <c r="N479" s="55"/>
      <c r="O479" s="22"/>
      <c r="P479" s="89"/>
      <c r="T479" s="62"/>
    </row>
    <row r="480" spans="14:20">
      <c r="N480" s="55"/>
      <c r="O480" s="22"/>
      <c r="P480" s="89"/>
      <c r="T480" s="62"/>
    </row>
    <row r="481" spans="14:20">
      <c r="N481" s="55"/>
      <c r="O481" s="22"/>
      <c r="P481" s="89"/>
      <c r="T481" s="62"/>
    </row>
    <row r="482" spans="14:20">
      <c r="N482" s="55"/>
      <c r="O482" s="22"/>
      <c r="P482" s="89"/>
      <c r="T482" s="62"/>
    </row>
    <row r="483" spans="14:20">
      <c r="N483" s="55"/>
      <c r="O483" s="22"/>
      <c r="P483" s="89"/>
      <c r="T483" s="62"/>
    </row>
    <row r="484" spans="14:20">
      <c r="N484" s="55"/>
      <c r="O484" s="22"/>
      <c r="P484" s="89"/>
      <c r="T484" s="62"/>
    </row>
    <row r="485" spans="14:20">
      <c r="N485" s="55"/>
      <c r="O485" s="22"/>
      <c r="P485" s="89"/>
      <c r="T485" s="62"/>
    </row>
    <row r="486" spans="14:20">
      <c r="N486" s="55"/>
      <c r="O486" s="22"/>
      <c r="P486" s="89"/>
      <c r="T486" s="62"/>
    </row>
    <row r="487" spans="14:20">
      <c r="N487" s="55"/>
      <c r="O487" s="22"/>
      <c r="P487" s="89"/>
      <c r="T487" s="62"/>
    </row>
    <row r="488" spans="14:20">
      <c r="N488" s="55"/>
      <c r="O488" s="22"/>
      <c r="P488" s="89"/>
      <c r="T488" s="62"/>
    </row>
    <row r="489" spans="14:20">
      <c r="N489" s="55"/>
      <c r="O489" s="22"/>
      <c r="P489" s="89"/>
      <c r="T489" s="62"/>
    </row>
    <row r="490" spans="14:20">
      <c r="N490" s="55"/>
      <c r="O490" s="22"/>
      <c r="P490" s="89"/>
      <c r="T490" s="62"/>
    </row>
    <row r="491" spans="14:20">
      <c r="N491" s="55"/>
      <c r="O491" s="22"/>
      <c r="P491" s="89"/>
      <c r="T491" s="62"/>
    </row>
    <row r="492" spans="14:20">
      <c r="N492" s="55"/>
      <c r="O492" s="22"/>
      <c r="P492" s="89"/>
      <c r="T492" s="62"/>
    </row>
    <row r="493" spans="14:20">
      <c r="N493" s="55"/>
      <c r="O493" s="22"/>
      <c r="P493" s="89"/>
      <c r="T493" s="62"/>
    </row>
    <row r="494" spans="14:20">
      <c r="N494" s="55"/>
      <c r="O494" s="22"/>
      <c r="P494" s="89"/>
      <c r="T494" s="62"/>
    </row>
    <row r="495" spans="14:20">
      <c r="N495" s="55"/>
      <c r="O495" s="22"/>
      <c r="P495" s="89"/>
      <c r="T495" s="62"/>
    </row>
    <row r="496" spans="14:20">
      <c r="N496" s="55"/>
      <c r="O496" s="22"/>
      <c r="P496" s="89"/>
      <c r="T496" s="62"/>
    </row>
    <row r="497" spans="14:20">
      <c r="N497" s="55"/>
      <c r="O497" s="22"/>
      <c r="P497" s="89"/>
      <c r="T497" s="62"/>
    </row>
    <row r="498" spans="14:20">
      <c r="N498" s="55"/>
      <c r="O498" s="22"/>
      <c r="P498" s="89"/>
      <c r="T498" s="62"/>
    </row>
    <row r="499" spans="14:20">
      <c r="N499" s="55"/>
      <c r="O499" s="22"/>
      <c r="P499" s="89"/>
      <c r="T499" s="62"/>
    </row>
    <row r="500" spans="14:20">
      <c r="N500" s="55"/>
      <c r="O500" s="22"/>
      <c r="P500" s="89"/>
      <c r="T500" s="62"/>
    </row>
    <row r="501" spans="14:20">
      <c r="N501" s="55"/>
      <c r="O501" s="22"/>
      <c r="P501" s="89"/>
      <c r="T501" s="62"/>
    </row>
    <row r="502" spans="14:20">
      <c r="N502" s="55"/>
      <c r="O502" s="22"/>
      <c r="P502" s="89"/>
      <c r="T502" s="62"/>
    </row>
    <row r="503" spans="14:20">
      <c r="N503" s="55"/>
      <c r="O503" s="22"/>
      <c r="P503" s="89"/>
      <c r="T503" s="62"/>
    </row>
    <row r="504" spans="14:20">
      <c r="N504" s="55"/>
      <c r="O504" s="22"/>
      <c r="P504" s="89"/>
      <c r="T504" s="62"/>
    </row>
    <row r="505" spans="14:20">
      <c r="N505" s="55"/>
      <c r="O505" s="22"/>
      <c r="P505" s="89"/>
      <c r="T505" s="62"/>
    </row>
    <row r="506" spans="14:20">
      <c r="N506" s="55"/>
      <c r="O506" s="22"/>
      <c r="P506" s="89"/>
      <c r="T506" s="62"/>
    </row>
    <row r="507" spans="14:20">
      <c r="N507" s="55"/>
      <c r="O507" s="22"/>
      <c r="P507" s="89"/>
      <c r="T507" s="62"/>
    </row>
    <row r="508" spans="14:20">
      <c r="N508" s="55"/>
      <c r="O508" s="22"/>
      <c r="P508" s="89"/>
      <c r="T508" s="62"/>
    </row>
    <row r="509" spans="14:20">
      <c r="N509" s="55"/>
      <c r="O509" s="22"/>
      <c r="P509" s="89"/>
      <c r="T509" s="62"/>
    </row>
    <row r="510" spans="14:20">
      <c r="N510" s="55"/>
      <c r="O510" s="22"/>
      <c r="P510" s="89"/>
      <c r="T510" s="62"/>
    </row>
    <row r="511" spans="14:20">
      <c r="N511" s="55"/>
      <c r="O511" s="22"/>
      <c r="P511" s="89"/>
      <c r="T511" s="62"/>
    </row>
    <row r="512" spans="14:20">
      <c r="N512" s="55"/>
      <c r="O512" s="22"/>
      <c r="P512" s="89"/>
      <c r="T512" s="62"/>
    </row>
    <row r="513" spans="14:20">
      <c r="N513" s="55"/>
      <c r="O513" s="22"/>
      <c r="P513" s="89"/>
      <c r="T513" s="62"/>
    </row>
    <row r="514" spans="14:20">
      <c r="N514" s="55"/>
      <c r="O514" s="22"/>
      <c r="P514" s="89"/>
      <c r="T514" s="62"/>
    </row>
    <row r="515" spans="14:20">
      <c r="N515" s="55"/>
      <c r="O515" s="22"/>
      <c r="P515" s="89"/>
      <c r="T515" s="62"/>
    </row>
    <row r="516" spans="14:20">
      <c r="N516" s="55"/>
      <c r="O516" s="22"/>
      <c r="P516" s="89"/>
      <c r="T516" s="62"/>
    </row>
    <row r="517" spans="14:20">
      <c r="N517" s="55"/>
      <c r="O517" s="22"/>
      <c r="P517" s="89"/>
      <c r="T517" s="62"/>
    </row>
    <row r="518" spans="14:20">
      <c r="N518" s="55"/>
      <c r="O518" s="22"/>
      <c r="P518" s="89"/>
      <c r="T518" s="62"/>
    </row>
    <row r="519" spans="14:20">
      <c r="N519" s="55"/>
      <c r="O519" s="22"/>
      <c r="P519" s="89"/>
      <c r="T519" s="62"/>
    </row>
    <row r="520" spans="14:20">
      <c r="N520" s="55"/>
      <c r="O520" s="22"/>
      <c r="P520" s="89"/>
      <c r="T520" s="62"/>
    </row>
    <row r="521" spans="14:20">
      <c r="N521" s="55"/>
      <c r="O521" s="22"/>
      <c r="P521" s="89"/>
      <c r="T521" s="62"/>
    </row>
    <row r="522" spans="14:20">
      <c r="N522" s="55"/>
      <c r="O522" s="22"/>
      <c r="P522" s="89"/>
      <c r="T522" s="62"/>
    </row>
    <row r="523" spans="14:20">
      <c r="N523" s="55"/>
      <c r="O523" s="22"/>
      <c r="P523" s="89"/>
      <c r="T523" s="62"/>
    </row>
    <row r="524" spans="14:20">
      <c r="N524" s="55"/>
      <c r="O524" s="22"/>
      <c r="P524" s="89"/>
      <c r="T524" s="62"/>
    </row>
    <row r="525" spans="14:20">
      <c r="N525" s="55"/>
      <c r="O525" s="22"/>
      <c r="P525" s="89"/>
      <c r="T525" s="62"/>
    </row>
    <row r="526" spans="14:20">
      <c r="N526" s="55"/>
      <c r="O526" s="22"/>
      <c r="P526" s="89"/>
      <c r="T526" s="62"/>
    </row>
    <row r="527" spans="14:20">
      <c r="N527" s="55"/>
      <c r="O527" s="22"/>
      <c r="P527" s="89"/>
      <c r="T527" s="62"/>
    </row>
    <row r="528" spans="14:20">
      <c r="N528" s="55"/>
      <c r="O528" s="22"/>
      <c r="P528" s="89"/>
      <c r="T528" s="62"/>
    </row>
    <row r="529" spans="14:20">
      <c r="N529" s="55"/>
      <c r="O529" s="22"/>
      <c r="P529" s="89"/>
      <c r="T529" s="62"/>
    </row>
    <row r="530" spans="14:20">
      <c r="N530" s="55"/>
      <c r="O530" s="22"/>
      <c r="P530" s="89"/>
      <c r="T530" s="62"/>
    </row>
    <row r="531" spans="14:20">
      <c r="N531" s="55"/>
      <c r="O531" s="22"/>
      <c r="P531" s="89"/>
      <c r="T531" s="62"/>
    </row>
    <row r="532" spans="14:20">
      <c r="N532" s="55"/>
      <c r="O532" s="22"/>
      <c r="P532" s="89"/>
      <c r="T532" s="62"/>
    </row>
    <row r="533" spans="14:20">
      <c r="N533" s="55"/>
      <c r="O533" s="22"/>
      <c r="P533" s="89"/>
      <c r="T533" s="62"/>
    </row>
    <row r="534" spans="14:20">
      <c r="N534" s="55"/>
      <c r="O534" s="22"/>
      <c r="P534" s="89"/>
      <c r="T534" s="62"/>
    </row>
    <row r="535" spans="14:20">
      <c r="N535" s="55"/>
      <c r="O535" s="22"/>
      <c r="P535" s="89"/>
      <c r="T535" s="62"/>
    </row>
    <row r="536" spans="14:20">
      <c r="N536" s="55"/>
      <c r="O536" s="22"/>
      <c r="P536" s="89"/>
      <c r="T536" s="62"/>
    </row>
    <row r="537" spans="14:20">
      <c r="N537" s="55"/>
      <c r="O537" s="22"/>
      <c r="P537" s="89"/>
      <c r="T537" s="62"/>
    </row>
    <row r="538" spans="14:20">
      <c r="N538" s="55"/>
      <c r="O538" s="22"/>
      <c r="P538" s="89"/>
      <c r="T538" s="62"/>
    </row>
    <row r="539" spans="14:20">
      <c r="N539" s="55"/>
      <c r="O539" s="22"/>
      <c r="P539" s="89"/>
      <c r="T539" s="62"/>
    </row>
    <row r="540" spans="14:20">
      <c r="N540" s="55"/>
      <c r="O540" s="22"/>
      <c r="P540" s="89"/>
      <c r="T540" s="62"/>
    </row>
    <row r="541" spans="14:20">
      <c r="N541" s="55"/>
      <c r="O541" s="22"/>
      <c r="P541" s="89"/>
      <c r="T541" s="62"/>
    </row>
    <row r="542" spans="14:20">
      <c r="N542" s="55"/>
      <c r="O542" s="22"/>
      <c r="P542" s="89"/>
      <c r="T542" s="62"/>
    </row>
    <row r="543" spans="14:20">
      <c r="N543" s="55"/>
      <c r="O543" s="22"/>
      <c r="P543" s="89"/>
      <c r="T543" s="62"/>
    </row>
    <row r="544" spans="14:20">
      <c r="N544" s="55"/>
      <c r="O544" s="22"/>
      <c r="P544" s="89"/>
      <c r="T544" s="62"/>
    </row>
    <row r="545" spans="14:20">
      <c r="N545" s="55"/>
      <c r="O545" s="22"/>
      <c r="P545" s="89"/>
      <c r="T545" s="62"/>
    </row>
    <row r="546" spans="14:20">
      <c r="N546" s="55"/>
      <c r="O546" s="22"/>
      <c r="P546" s="89"/>
      <c r="T546" s="62"/>
    </row>
    <row r="547" spans="14:20">
      <c r="N547" s="55"/>
      <c r="O547" s="22"/>
      <c r="P547" s="89"/>
      <c r="T547" s="62"/>
    </row>
    <row r="548" spans="14:20">
      <c r="N548" s="55"/>
      <c r="O548" s="22"/>
      <c r="P548" s="89"/>
      <c r="T548" s="62"/>
    </row>
    <row r="549" spans="14:20">
      <c r="N549" s="55"/>
      <c r="O549" s="22"/>
      <c r="P549" s="89"/>
      <c r="T549" s="62"/>
    </row>
    <row r="550" spans="14:20">
      <c r="N550" s="55"/>
      <c r="O550" s="22"/>
      <c r="P550" s="89"/>
      <c r="T550" s="62"/>
    </row>
    <row r="551" spans="14:20">
      <c r="N551" s="55"/>
      <c r="O551" s="22"/>
      <c r="P551" s="89"/>
      <c r="T551" s="62"/>
    </row>
    <row r="552" spans="14:20">
      <c r="N552" s="55"/>
      <c r="O552" s="22"/>
      <c r="P552" s="89"/>
      <c r="T552" s="62"/>
    </row>
    <row r="553" spans="14:20">
      <c r="N553" s="55"/>
      <c r="O553" s="22"/>
      <c r="P553" s="89"/>
      <c r="T553" s="62"/>
    </row>
    <row r="554" spans="14:20">
      <c r="N554" s="55"/>
      <c r="O554" s="22"/>
      <c r="P554" s="89"/>
      <c r="T554" s="62"/>
    </row>
    <row r="555" spans="14:20">
      <c r="N555" s="55"/>
      <c r="O555" s="22"/>
      <c r="P555" s="89"/>
      <c r="T555" s="62"/>
    </row>
    <row r="556" spans="14:20">
      <c r="N556" s="55"/>
      <c r="O556" s="22"/>
      <c r="P556" s="89"/>
      <c r="T556" s="62"/>
    </row>
    <row r="557" spans="14:20">
      <c r="N557" s="55"/>
      <c r="O557" s="22"/>
      <c r="P557" s="89"/>
      <c r="T557" s="62"/>
    </row>
    <row r="558" spans="14:20">
      <c r="N558" s="55"/>
      <c r="O558" s="22"/>
      <c r="P558" s="89"/>
      <c r="T558" s="62"/>
    </row>
    <row r="559" spans="14:20">
      <c r="N559" s="55"/>
      <c r="O559" s="22"/>
      <c r="P559" s="89"/>
      <c r="T559" s="62"/>
    </row>
    <row r="560" spans="14:20">
      <c r="N560" s="55"/>
      <c r="O560" s="22"/>
      <c r="P560" s="89"/>
      <c r="T560" s="62"/>
    </row>
    <row r="561" spans="14:20">
      <c r="N561" s="55"/>
      <c r="O561" s="22"/>
      <c r="P561" s="89"/>
      <c r="T561" s="62"/>
    </row>
    <row r="562" spans="14:20">
      <c r="N562" s="55"/>
      <c r="O562" s="22"/>
      <c r="P562" s="89"/>
      <c r="T562" s="62"/>
    </row>
    <row r="563" spans="14:20">
      <c r="N563" s="55"/>
      <c r="O563" s="22"/>
      <c r="P563" s="89"/>
      <c r="T563" s="62"/>
    </row>
    <row r="564" spans="14:20">
      <c r="N564" s="55"/>
      <c r="O564" s="22"/>
      <c r="P564" s="89"/>
      <c r="T564" s="62"/>
    </row>
    <row r="565" spans="14:20">
      <c r="N565" s="55"/>
      <c r="O565" s="22"/>
      <c r="P565" s="89"/>
      <c r="T565" s="62"/>
    </row>
    <row r="566" spans="14:20">
      <c r="N566" s="55"/>
      <c r="O566" s="22"/>
      <c r="P566" s="89"/>
      <c r="T566" s="62"/>
    </row>
    <row r="567" spans="14:20">
      <c r="N567" s="55"/>
      <c r="O567" s="22"/>
      <c r="P567" s="89"/>
      <c r="T567" s="62"/>
    </row>
    <row r="568" spans="14:20">
      <c r="N568" s="55"/>
      <c r="O568" s="22"/>
      <c r="P568" s="89"/>
      <c r="T568" s="62"/>
    </row>
    <row r="569" spans="14:20">
      <c r="N569" s="55"/>
      <c r="O569" s="22"/>
      <c r="P569" s="89"/>
      <c r="T569" s="62"/>
    </row>
    <row r="570" spans="14:20">
      <c r="N570" s="55"/>
      <c r="O570" s="22"/>
      <c r="P570" s="89"/>
      <c r="T570" s="62"/>
    </row>
    <row r="571" spans="14:20">
      <c r="N571" s="55"/>
      <c r="O571" s="22"/>
      <c r="P571" s="89"/>
      <c r="T571" s="62"/>
    </row>
    <row r="572" spans="14:20">
      <c r="N572" s="55"/>
      <c r="O572" s="22"/>
      <c r="P572" s="89"/>
      <c r="T572" s="62"/>
    </row>
    <row r="573" spans="14:20">
      <c r="N573" s="55"/>
      <c r="O573" s="22"/>
      <c r="P573" s="89"/>
      <c r="T573" s="62"/>
    </row>
    <row r="574" spans="14:20">
      <c r="N574" s="55"/>
      <c r="O574" s="22"/>
      <c r="P574" s="89"/>
      <c r="T574" s="62"/>
    </row>
    <row r="575" spans="14:20">
      <c r="N575" s="55"/>
      <c r="O575" s="22"/>
      <c r="P575" s="89"/>
      <c r="T575" s="62"/>
    </row>
    <row r="576" spans="14:20">
      <c r="N576" s="55"/>
      <c r="O576" s="22"/>
      <c r="P576" s="89"/>
      <c r="T576" s="62"/>
    </row>
    <row r="577" spans="14:20">
      <c r="N577" s="55"/>
      <c r="O577" s="22"/>
      <c r="P577" s="89"/>
      <c r="T577" s="62"/>
    </row>
    <row r="578" spans="14:20">
      <c r="N578" s="55"/>
      <c r="O578" s="22"/>
      <c r="P578" s="89"/>
      <c r="T578" s="62"/>
    </row>
    <row r="579" spans="14:20">
      <c r="N579" s="55"/>
      <c r="O579" s="22"/>
      <c r="P579" s="89"/>
      <c r="T579" s="62"/>
    </row>
    <row r="580" spans="14:20">
      <c r="N580" s="55"/>
      <c r="O580" s="22"/>
      <c r="P580" s="89"/>
      <c r="T580" s="62"/>
    </row>
    <row r="581" spans="14:20">
      <c r="N581" s="55"/>
      <c r="O581" s="22"/>
      <c r="P581" s="89"/>
      <c r="T581" s="62"/>
    </row>
    <row r="582" spans="14:20">
      <c r="N582" s="55"/>
      <c r="O582" s="22"/>
      <c r="P582" s="89"/>
      <c r="T582" s="62"/>
    </row>
    <row r="583" spans="14:20">
      <c r="N583" s="55"/>
      <c r="O583" s="22"/>
      <c r="P583" s="89"/>
      <c r="T583" s="62"/>
    </row>
    <row r="584" spans="14:20">
      <c r="N584" s="55"/>
      <c r="O584" s="22"/>
      <c r="P584" s="89"/>
      <c r="T584" s="62"/>
    </row>
    <row r="585" spans="14:20">
      <c r="N585" s="55"/>
      <c r="O585" s="22"/>
      <c r="P585" s="89"/>
      <c r="T585" s="62"/>
    </row>
    <row r="586" spans="14:20">
      <c r="N586" s="55"/>
      <c r="O586" s="22"/>
      <c r="P586" s="89"/>
      <c r="T586" s="62"/>
    </row>
    <row r="587" spans="14:20">
      <c r="N587" s="55"/>
      <c r="O587" s="22"/>
      <c r="P587" s="89"/>
      <c r="T587" s="62"/>
    </row>
    <row r="588" spans="14:20">
      <c r="N588" s="55"/>
      <c r="O588" s="22"/>
      <c r="P588" s="89"/>
      <c r="T588" s="62"/>
    </row>
    <row r="589" spans="14:20">
      <c r="N589" s="55"/>
      <c r="O589" s="22"/>
      <c r="P589" s="89"/>
      <c r="T589" s="62"/>
    </row>
    <row r="590" spans="14:20">
      <c r="N590" s="55"/>
      <c r="O590" s="22"/>
      <c r="P590" s="89"/>
      <c r="T590" s="62"/>
    </row>
    <row r="591" spans="14:20">
      <c r="N591" s="55"/>
      <c r="O591" s="22"/>
      <c r="P591" s="89"/>
      <c r="T591" s="62"/>
    </row>
    <row r="592" spans="14:20">
      <c r="N592" s="55"/>
      <c r="O592" s="22"/>
      <c r="P592" s="89"/>
      <c r="T592" s="62"/>
    </row>
    <row r="593" spans="14:20">
      <c r="N593" s="55"/>
      <c r="O593" s="22"/>
      <c r="P593" s="89"/>
      <c r="T593" s="62"/>
    </row>
    <row r="594" spans="14:20">
      <c r="N594" s="55"/>
      <c r="O594" s="22"/>
      <c r="P594" s="89"/>
      <c r="T594" s="62"/>
    </row>
    <row r="595" spans="14:20">
      <c r="N595" s="55"/>
      <c r="O595" s="22"/>
      <c r="P595" s="89"/>
      <c r="T595" s="62"/>
    </row>
    <row r="596" spans="14:20">
      <c r="N596" s="55"/>
      <c r="O596" s="22"/>
      <c r="P596" s="89"/>
      <c r="T596" s="62"/>
    </row>
    <row r="597" spans="14:20">
      <c r="N597" s="55"/>
      <c r="O597" s="22"/>
      <c r="P597" s="89"/>
      <c r="T597" s="62"/>
    </row>
    <row r="598" spans="14:20">
      <c r="N598" s="55"/>
      <c r="O598" s="22"/>
      <c r="P598" s="89"/>
      <c r="T598" s="62"/>
    </row>
    <row r="599" spans="14:20">
      <c r="N599" s="55"/>
      <c r="O599" s="22"/>
      <c r="P599" s="89"/>
      <c r="T599" s="62"/>
    </row>
    <row r="600" spans="14:20">
      <c r="N600" s="55"/>
      <c r="O600" s="22"/>
      <c r="P600" s="89"/>
      <c r="T600" s="62"/>
    </row>
    <row r="601" spans="14:20">
      <c r="N601" s="55"/>
      <c r="O601" s="22"/>
      <c r="P601" s="89"/>
      <c r="T601" s="62"/>
    </row>
    <row r="602" spans="14:20">
      <c r="N602" s="55"/>
      <c r="O602" s="22"/>
      <c r="P602" s="89"/>
      <c r="T602" s="62"/>
    </row>
    <row r="603" spans="14:20">
      <c r="N603" s="55"/>
      <c r="O603" s="22"/>
      <c r="P603" s="89"/>
      <c r="T603" s="62"/>
    </row>
    <row r="604" spans="14:20">
      <c r="N604" s="55"/>
      <c r="O604" s="22"/>
      <c r="P604" s="89"/>
      <c r="T604" s="62"/>
    </row>
    <row r="605" spans="14:20">
      <c r="N605" s="55"/>
      <c r="O605" s="22"/>
      <c r="P605" s="89"/>
      <c r="T605" s="62"/>
    </row>
    <row r="606" spans="14:20">
      <c r="N606" s="55"/>
      <c r="O606" s="22"/>
      <c r="P606" s="89"/>
      <c r="T606" s="62"/>
    </row>
    <row r="607" spans="14:20">
      <c r="N607" s="55"/>
      <c r="O607" s="22"/>
      <c r="P607" s="89"/>
      <c r="T607" s="62"/>
    </row>
    <row r="608" spans="14:20">
      <c r="N608" s="55"/>
      <c r="O608" s="22"/>
      <c r="P608" s="89"/>
      <c r="T608" s="62"/>
    </row>
    <row r="609" spans="14:20">
      <c r="N609" s="55"/>
      <c r="O609" s="22"/>
      <c r="P609" s="89"/>
      <c r="T609" s="62"/>
    </row>
    <row r="610" spans="14:20">
      <c r="N610" s="55"/>
      <c r="O610" s="22"/>
      <c r="P610" s="89"/>
      <c r="T610" s="62"/>
    </row>
    <row r="611" spans="14:20">
      <c r="N611" s="55"/>
      <c r="O611" s="22"/>
      <c r="P611" s="89"/>
      <c r="T611" s="62"/>
    </row>
    <row r="612" spans="14:20">
      <c r="N612" s="55"/>
      <c r="O612" s="22"/>
      <c r="P612" s="89"/>
      <c r="T612" s="62"/>
    </row>
    <row r="613" spans="14:20">
      <c r="N613" s="55"/>
      <c r="O613" s="22"/>
      <c r="P613" s="89"/>
      <c r="T613" s="62"/>
    </row>
    <row r="614" spans="14:20">
      <c r="N614" s="55"/>
      <c r="O614" s="22"/>
      <c r="P614" s="89"/>
      <c r="T614" s="62"/>
    </row>
    <row r="615" spans="14:20">
      <c r="N615" s="55"/>
      <c r="O615" s="22"/>
      <c r="P615" s="89"/>
      <c r="T615" s="62"/>
    </row>
    <row r="616" spans="14:20">
      <c r="N616" s="55"/>
      <c r="O616" s="22"/>
      <c r="P616" s="89"/>
      <c r="T616" s="62"/>
    </row>
    <row r="617" spans="14:20">
      <c r="N617" s="55"/>
      <c r="O617" s="22"/>
      <c r="P617" s="89"/>
      <c r="T617" s="62"/>
    </row>
    <row r="618" spans="14:20">
      <c r="N618" s="55"/>
      <c r="O618" s="22"/>
      <c r="P618" s="89"/>
      <c r="T618" s="62"/>
    </row>
    <row r="619" spans="14:20">
      <c r="N619" s="55"/>
      <c r="O619" s="22"/>
      <c r="P619" s="89"/>
      <c r="T619" s="62"/>
    </row>
    <row r="620" spans="14:20">
      <c r="N620" s="55"/>
      <c r="O620" s="22"/>
      <c r="P620" s="89"/>
      <c r="T620" s="62"/>
    </row>
    <row r="621" spans="14:20">
      <c r="N621" s="55"/>
      <c r="O621" s="22"/>
      <c r="P621" s="89"/>
      <c r="T621" s="62"/>
    </row>
    <row r="622" spans="14:20">
      <c r="N622" s="55"/>
      <c r="O622" s="22"/>
      <c r="P622" s="89"/>
      <c r="T622" s="62"/>
    </row>
    <row r="623" spans="14:20">
      <c r="N623" s="55"/>
      <c r="O623" s="22"/>
      <c r="P623" s="89"/>
      <c r="T623" s="62"/>
    </row>
    <row r="624" spans="14:20">
      <c r="N624" s="55"/>
      <c r="O624" s="22"/>
      <c r="P624" s="89"/>
      <c r="T624" s="62"/>
    </row>
    <row r="625" spans="14:20">
      <c r="N625" s="55"/>
      <c r="O625" s="22"/>
      <c r="P625" s="89"/>
      <c r="T625" s="62"/>
    </row>
    <row r="626" spans="14:20">
      <c r="N626" s="55"/>
      <c r="O626" s="22"/>
      <c r="P626" s="89"/>
      <c r="T626" s="62"/>
    </row>
    <row r="627" spans="14:20">
      <c r="N627" s="55"/>
      <c r="O627" s="22"/>
      <c r="P627" s="89"/>
      <c r="T627" s="62"/>
    </row>
    <row r="628" spans="14:20">
      <c r="N628" s="55"/>
      <c r="O628" s="22"/>
      <c r="P628" s="89"/>
      <c r="T628" s="62"/>
    </row>
    <row r="629" spans="14:20">
      <c r="N629" s="55"/>
      <c r="O629" s="22"/>
      <c r="P629" s="89"/>
      <c r="T629" s="62"/>
    </row>
    <row r="630" spans="14:20">
      <c r="N630" s="55"/>
      <c r="O630" s="22"/>
      <c r="P630" s="89"/>
      <c r="T630" s="62"/>
    </row>
    <row r="631" spans="14:20">
      <c r="N631" s="55"/>
      <c r="O631" s="22"/>
      <c r="P631" s="89"/>
      <c r="T631" s="62"/>
    </row>
    <row r="632" spans="14:20">
      <c r="N632" s="55"/>
      <c r="O632" s="22"/>
      <c r="P632" s="89"/>
      <c r="T632" s="62"/>
    </row>
    <row r="633" spans="14:20">
      <c r="N633" s="55"/>
      <c r="O633" s="22"/>
      <c r="P633" s="89"/>
      <c r="T633" s="62"/>
    </row>
    <row r="634" spans="14:20">
      <c r="N634" s="55"/>
      <c r="O634" s="22"/>
      <c r="P634" s="89"/>
      <c r="T634" s="62"/>
    </row>
    <row r="635" spans="14:20">
      <c r="N635" s="55"/>
      <c r="O635" s="22"/>
      <c r="P635" s="89"/>
      <c r="T635" s="62"/>
    </row>
    <row r="636" spans="14:20">
      <c r="N636" s="55"/>
      <c r="O636" s="22"/>
      <c r="P636" s="89"/>
      <c r="T636" s="62"/>
    </row>
    <row r="637" spans="14:20">
      <c r="N637" s="55"/>
      <c r="O637" s="22"/>
      <c r="P637" s="89"/>
      <c r="T637" s="62"/>
    </row>
    <row r="638" spans="14:20">
      <c r="N638" s="55"/>
      <c r="O638" s="22"/>
      <c r="P638" s="89"/>
      <c r="T638" s="62"/>
    </row>
    <row r="639" spans="14:20">
      <c r="N639" s="55"/>
      <c r="O639" s="22"/>
      <c r="P639" s="89"/>
      <c r="T639" s="62"/>
    </row>
    <row r="640" spans="14:20">
      <c r="N640" s="55"/>
      <c r="O640" s="22"/>
      <c r="P640" s="89"/>
      <c r="T640" s="62"/>
    </row>
    <row r="641" spans="14:20">
      <c r="N641" s="55"/>
      <c r="O641" s="22"/>
      <c r="P641" s="89"/>
      <c r="T641" s="62"/>
    </row>
    <row r="642" spans="14:20">
      <c r="N642" s="55"/>
      <c r="O642" s="22"/>
      <c r="P642" s="89"/>
      <c r="T642" s="62"/>
    </row>
    <row r="643" spans="14:20">
      <c r="N643" s="55"/>
      <c r="O643" s="22"/>
      <c r="P643" s="89"/>
      <c r="T643" s="62"/>
    </row>
    <row r="644" spans="14:20">
      <c r="N644" s="55"/>
      <c r="O644" s="22"/>
      <c r="P644" s="89"/>
      <c r="T644" s="62"/>
    </row>
    <row r="645" spans="14:20">
      <c r="N645" s="55"/>
      <c r="O645" s="22"/>
      <c r="P645" s="89"/>
      <c r="T645" s="62"/>
    </row>
    <row r="646" spans="14:20">
      <c r="N646" s="55"/>
      <c r="O646" s="22"/>
      <c r="P646" s="89"/>
      <c r="T646" s="62"/>
    </row>
    <row r="647" spans="14:20">
      <c r="N647" s="55"/>
      <c r="O647" s="22"/>
      <c r="P647" s="89"/>
      <c r="T647" s="62"/>
    </row>
    <row r="648" spans="14:20">
      <c r="N648" s="55"/>
      <c r="O648" s="22"/>
      <c r="P648" s="89"/>
      <c r="T648" s="62"/>
    </row>
    <row r="649" spans="14:20">
      <c r="N649" s="55"/>
      <c r="O649" s="22"/>
      <c r="P649" s="89"/>
      <c r="T649" s="62"/>
    </row>
    <row r="650" spans="14:20">
      <c r="N650" s="55"/>
      <c r="O650" s="22"/>
      <c r="P650" s="89"/>
      <c r="T650" s="62"/>
    </row>
    <row r="651" spans="14:20">
      <c r="N651" s="55"/>
      <c r="O651" s="22"/>
      <c r="P651" s="89"/>
      <c r="T651" s="62"/>
    </row>
    <row r="652" spans="14:20">
      <c r="N652" s="55"/>
      <c r="O652" s="22"/>
      <c r="P652" s="89"/>
      <c r="T652" s="62"/>
    </row>
    <row r="653" spans="14:20">
      <c r="N653" s="55"/>
      <c r="O653" s="22"/>
      <c r="P653" s="89"/>
      <c r="T653" s="62"/>
    </row>
    <row r="654" spans="14:20">
      <c r="N654" s="55"/>
      <c r="O654" s="22"/>
      <c r="P654" s="89"/>
      <c r="T654" s="62"/>
    </row>
    <row r="655" spans="14:20">
      <c r="N655" s="55"/>
      <c r="O655" s="22"/>
      <c r="P655" s="89"/>
      <c r="T655" s="62"/>
    </row>
    <row r="656" spans="14:20">
      <c r="N656" s="55"/>
      <c r="O656" s="22"/>
      <c r="P656" s="89"/>
      <c r="T656" s="62"/>
    </row>
    <row r="657" spans="14:20">
      <c r="N657" s="55"/>
      <c r="O657" s="22"/>
      <c r="P657" s="89"/>
      <c r="T657" s="62"/>
    </row>
    <row r="658" spans="14:20">
      <c r="N658" s="55"/>
      <c r="O658" s="22"/>
      <c r="P658" s="89"/>
      <c r="T658" s="62"/>
    </row>
    <row r="659" spans="14:20">
      <c r="N659" s="55"/>
      <c r="O659" s="22"/>
      <c r="P659" s="89"/>
      <c r="T659" s="62"/>
    </row>
    <row r="660" spans="14:20">
      <c r="N660" s="55"/>
      <c r="O660" s="22"/>
      <c r="P660" s="89"/>
      <c r="T660" s="62"/>
    </row>
    <row r="661" spans="14:20">
      <c r="N661" s="55"/>
      <c r="O661" s="22"/>
      <c r="P661" s="89"/>
      <c r="T661" s="62"/>
    </row>
    <row r="662" spans="14:20">
      <c r="N662" s="55"/>
      <c r="O662" s="22"/>
      <c r="P662" s="89"/>
      <c r="T662" s="62"/>
    </row>
    <row r="663" spans="14:20">
      <c r="N663" s="55"/>
      <c r="O663" s="22"/>
      <c r="P663" s="89"/>
      <c r="T663" s="62"/>
    </row>
    <row r="664" spans="14:20">
      <c r="N664" s="55"/>
      <c r="O664" s="22"/>
      <c r="P664" s="89"/>
      <c r="T664" s="62"/>
    </row>
    <row r="665" spans="14:20">
      <c r="N665" s="55"/>
      <c r="O665" s="22"/>
      <c r="P665" s="89"/>
      <c r="T665" s="62"/>
    </row>
    <row r="666" spans="14:20">
      <c r="N666" s="55"/>
      <c r="O666" s="22"/>
      <c r="P666" s="89"/>
      <c r="T666" s="62"/>
    </row>
    <row r="667" spans="14:20">
      <c r="N667" s="55"/>
      <c r="O667" s="22"/>
      <c r="P667" s="89"/>
      <c r="T667" s="62"/>
    </row>
    <row r="668" spans="14:20">
      <c r="N668" s="55"/>
      <c r="O668" s="22"/>
      <c r="P668" s="89"/>
      <c r="T668" s="62"/>
    </row>
    <row r="669" spans="14:20">
      <c r="N669" s="55"/>
      <c r="O669" s="22"/>
      <c r="P669" s="89"/>
      <c r="T669" s="62"/>
    </row>
    <row r="670" spans="14:20">
      <c r="N670" s="55"/>
      <c r="O670" s="22"/>
      <c r="P670" s="89"/>
      <c r="T670" s="62"/>
    </row>
    <row r="671" spans="14:20">
      <c r="N671" s="55"/>
      <c r="O671" s="22"/>
      <c r="P671" s="89"/>
      <c r="T671" s="62"/>
    </row>
    <row r="672" spans="14:20">
      <c r="N672" s="55"/>
      <c r="O672" s="22"/>
      <c r="P672" s="89"/>
      <c r="T672" s="62"/>
    </row>
    <row r="673" spans="14:20">
      <c r="N673" s="55"/>
      <c r="O673" s="22"/>
      <c r="P673" s="89"/>
      <c r="T673" s="62"/>
    </row>
    <row r="674" spans="14:20">
      <c r="N674" s="55"/>
      <c r="O674" s="22"/>
      <c r="P674" s="89"/>
      <c r="T674" s="62"/>
    </row>
    <row r="675" spans="14:20">
      <c r="N675" s="55"/>
      <c r="O675" s="22"/>
      <c r="P675" s="89"/>
      <c r="T675" s="62"/>
    </row>
    <row r="676" spans="14:20">
      <c r="N676" s="55"/>
      <c r="O676" s="22"/>
      <c r="P676" s="89"/>
      <c r="T676" s="62"/>
    </row>
    <row r="677" spans="14:20">
      <c r="N677" s="55"/>
      <c r="O677" s="22"/>
      <c r="P677" s="89"/>
      <c r="T677" s="62"/>
    </row>
    <row r="678" spans="14:20">
      <c r="N678" s="55"/>
      <c r="O678" s="22"/>
      <c r="P678" s="89"/>
      <c r="T678" s="62"/>
    </row>
    <row r="679" spans="14:20">
      <c r="N679" s="55"/>
      <c r="O679" s="22"/>
      <c r="P679" s="89"/>
      <c r="T679" s="62"/>
    </row>
    <row r="680" spans="14:20">
      <c r="N680" s="55"/>
      <c r="O680" s="22"/>
      <c r="P680" s="89"/>
      <c r="T680" s="62"/>
    </row>
    <row r="681" spans="14:20">
      <c r="N681" s="55"/>
      <c r="O681" s="22"/>
      <c r="P681" s="89"/>
      <c r="T681" s="62"/>
    </row>
    <row r="682" spans="14:20">
      <c r="N682" s="55"/>
      <c r="O682" s="22"/>
      <c r="P682" s="89"/>
      <c r="T682" s="62"/>
    </row>
    <row r="683" spans="14:20">
      <c r="N683" s="55"/>
      <c r="O683" s="22"/>
      <c r="P683" s="89"/>
      <c r="T683" s="62"/>
    </row>
    <row r="684" spans="14:20">
      <c r="N684" s="55"/>
      <c r="O684" s="22"/>
      <c r="P684" s="89"/>
      <c r="T684" s="62"/>
    </row>
    <row r="685" spans="14:20">
      <c r="N685" s="55"/>
      <c r="O685" s="22"/>
      <c r="P685" s="89"/>
      <c r="T685" s="62"/>
    </row>
    <row r="686" spans="14:20">
      <c r="N686" s="55"/>
      <c r="O686" s="22"/>
      <c r="P686" s="89"/>
      <c r="T686" s="62"/>
    </row>
    <row r="687" spans="14:20">
      <c r="N687" s="55"/>
      <c r="O687" s="22"/>
      <c r="P687" s="89"/>
      <c r="T687" s="62"/>
    </row>
    <row r="688" spans="14:20">
      <c r="N688" s="55"/>
      <c r="O688" s="22"/>
      <c r="P688" s="89"/>
      <c r="T688" s="62"/>
    </row>
    <row r="689" spans="14:20">
      <c r="N689" s="55"/>
      <c r="O689" s="22"/>
      <c r="P689" s="89"/>
      <c r="T689" s="62"/>
    </row>
    <row r="690" spans="14:20">
      <c r="N690" s="55"/>
      <c r="O690" s="22"/>
      <c r="P690" s="89"/>
      <c r="T690" s="62"/>
    </row>
    <row r="691" spans="14:20">
      <c r="N691" s="55"/>
      <c r="O691" s="22"/>
      <c r="P691" s="89"/>
      <c r="T691" s="62"/>
    </row>
    <row r="692" spans="14:20">
      <c r="N692" s="55"/>
      <c r="O692" s="22"/>
      <c r="P692" s="89"/>
      <c r="T692" s="62"/>
    </row>
    <row r="693" spans="14:20">
      <c r="N693" s="55"/>
      <c r="O693" s="22"/>
      <c r="P693" s="89"/>
      <c r="T693" s="62"/>
    </row>
    <row r="694" spans="14:20">
      <c r="N694" s="55"/>
      <c r="O694" s="22"/>
      <c r="P694" s="89"/>
      <c r="T694" s="62"/>
    </row>
    <row r="695" spans="14:20">
      <c r="N695" s="55"/>
      <c r="O695" s="22"/>
      <c r="P695" s="89"/>
      <c r="T695" s="62"/>
    </row>
    <row r="696" spans="14:20">
      <c r="N696" s="55"/>
      <c r="O696" s="22"/>
      <c r="P696" s="89"/>
      <c r="T696" s="62"/>
    </row>
    <row r="697" spans="14:20">
      <c r="N697" s="55"/>
      <c r="O697" s="22"/>
      <c r="P697" s="89"/>
      <c r="T697" s="62"/>
    </row>
    <row r="698" spans="14:20">
      <c r="N698" s="55"/>
      <c r="O698" s="22"/>
      <c r="P698" s="89"/>
      <c r="T698" s="62"/>
    </row>
    <row r="699" spans="14:20">
      <c r="N699" s="55"/>
      <c r="O699" s="22"/>
      <c r="P699" s="89"/>
      <c r="T699" s="62"/>
    </row>
    <row r="700" spans="14:20">
      <c r="N700" s="55"/>
      <c r="O700" s="22"/>
      <c r="P700" s="89"/>
      <c r="T700" s="62"/>
    </row>
    <row r="701" spans="14:20">
      <c r="N701" s="55"/>
      <c r="O701" s="22"/>
      <c r="P701" s="89"/>
      <c r="T701" s="62"/>
    </row>
    <row r="702" spans="14:20">
      <c r="N702" s="55"/>
      <c r="O702" s="22"/>
      <c r="P702" s="89"/>
      <c r="T702" s="62"/>
    </row>
    <row r="703" spans="14:20">
      <c r="N703" s="55"/>
      <c r="O703" s="22"/>
      <c r="P703" s="89"/>
      <c r="T703" s="62"/>
    </row>
    <row r="704" spans="14:20">
      <c r="N704" s="55"/>
      <c r="O704" s="22"/>
      <c r="P704" s="89"/>
      <c r="T704" s="62"/>
    </row>
    <row r="705" spans="14:20">
      <c r="N705" s="55"/>
      <c r="O705" s="22"/>
      <c r="P705" s="89"/>
      <c r="T705" s="62"/>
    </row>
    <row r="706" spans="14:20">
      <c r="N706" s="55"/>
      <c r="O706" s="22"/>
      <c r="P706" s="89"/>
      <c r="T706" s="62"/>
    </row>
    <row r="707" spans="14:20">
      <c r="N707" s="55"/>
      <c r="O707" s="22"/>
      <c r="P707" s="89"/>
      <c r="T707" s="62"/>
    </row>
    <row r="708" spans="14:20">
      <c r="N708" s="55"/>
      <c r="O708" s="22"/>
      <c r="P708" s="89"/>
      <c r="T708" s="62"/>
    </row>
    <row r="709" spans="14:20">
      <c r="N709" s="55"/>
      <c r="O709" s="22"/>
      <c r="P709" s="89"/>
      <c r="T709" s="62"/>
    </row>
    <row r="710" spans="14:20">
      <c r="N710" s="55"/>
      <c r="O710" s="22"/>
      <c r="P710" s="89"/>
      <c r="T710" s="62"/>
    </row>
    <row r="711" spans="14:20">
      <c r="N711" s="55"/>
      <c r="O711" s="22"/>
      <c r="P711" s="89"/>
      <c r="T711" s="62"/>
    </row>
    <row r="712" spans="14:20">
      <c r="N712" s="55"/>
      <c r="O712" s="22"/>
      <c r="P712" s="89"/>
      <c r="T712" s="62"/>
    </row>
    <row r="713" spans="14:20">
      <c r="N713" s="55"/>
      <c r="O713" s="22"/>
      <c r="P713" s="89"/>
      <c r="T713" s="62"/>
    </row>
    <row r="714" spans="14:20">
      <c r="N714" s="55"/>
      <c r="O714" s="22"/>
      <c r="P714" s="89"/>
      <c r="T714" s="62"/>
    </row>
    <row r="715" spans="14:20">
      <c r="N715" s="55"/>
      <c r="O715" s="22"/>
      <c r="P715" s="89"/>
      <c r="T715" s="62"/>
    </row>
    <row r="716" spans="14:20">
      <c r="N716" s="55"/>
      <c r="O716" s="22"/>
      <c r="P716" s="89"/>
      <c r="T716" s="62"/>
    </row>
    <row r="717" spans="14:20">
      <c r="N717" s="55"/>
      <c r="O717" s="22"/>
      <c r="P717" s="89"/>
      <c r="T717" s="62"/>
    </row>
    <row r="718" spans="14:20">
      <c r="N718" s="55"/>
      <c r="O718" s="22"/>
      <c r="P718" s="89"/>
      <c r="T718" s="62"/>
    </row>
    <row r="719" spans="14:20">
      <c r="N719" s="55"/>
      <c r="O719" s="22"/>
      <c r="P719" s="89"/>
      <c r="T719" s="62"/>
    </row>
    <row r="720" spans="14:20">
      <c r="N720" s="55"/>
      <c r="O720" s="22"/>
      <c r="P720" s="89"/>
      <c r="T720" s="62"/>
    </row>
    <row r="721" spans="14:20">
      <c r="N721" s="55"/>
      <c r="O721" s="22"/>
      <c r="P721" s="89"/>
      <c r="T721" s="62"/>
    </row>
    <row r="722" spans="14:20">
      <c r="N722" s="55"/>
      <c r="O722" s="22"/>
      <c r="P722" s="89"/>
      <c r="T722" s="62"/>
    </row>
    <row r="723" spans="14:20">
      <c r="N723" s="55"/>
      <c r="O723" s="22"/>
      <c r="P723" s="89"/>
      <c r="T723" s="62"/>
    </row>
    <row r="724" spans="14:20">
      <c r="N724" s="55"/>
      <c r="O724" s="22"/>
      <c r="P724" s="89"/>
      <c r="T724" s="62"/>
    </row>
    <row r="725" spans="14:20">
      <c r="N725" s="55"/>
      <c r="O725" s="22"/>
      <c r="P725" s="89"/>
      <c r="T725" s="62"/>
    </row>
    <row r="726" spans="14:20">
      <c r="N726" s="55"/>
      <c r="O726" s="22"/>
      <c r="P726" s="89"/>
      <c r="T726" s="62"/>
    </row>
    <row r="727" spans="14:20">
      <c r="N727" s="55"/>
      <c r="O727" s="22"/>
      <c r="P727" s="89"/>
      <c r="T727" s="62"/>
    </row>
    <row r="728" spans="14:20">
      <c r="N728" s="55"/>
      <c r="O728" s="22"/>
      <c r="P728" s="89"/>
      <c r="T728" s="62"/>
    </row>
    <row r="729" spans="14:20">
      <c r="N729" s="55"/>
      <c r="O729" s="22"/>
      <c r="P729" s="89"/>
      <c r="T729" s="62"/>
    </row>
    <row r="730" spans="14:20">
      <c r="N730" s="55"/>
      <c r="O730" s="22"/>
      <c r="P730" s="89"/>
      <c r="T730" s="62"/>
    </row>
    <row r="731" spans="14:20">
      <c r="N731" s="55"/>
      <c r="O731" s="22"/>
      <c r="P731" s="89"/>
      <c r="T731" s="62"/>
    </row>
    <row r="732" spans="14:20">
      <c r="N732" s="55"/>
      <c r="O732" s="22"/>
      <c r="P732" s="89"/>
      <c r="T732" s="62"/>
    </row>
    <row r="733" spans="14:20">
      <c r="N733" s="55"/>
      <c r="O733" s="22"/>
      <c r="P733" s="89"/>
      <c r="T733" s="62"/>
    </row>
    <row r="734" spans="14:20">
      <c r="N734" s="55"/>
      <c r="O734" s="22"/>
      <c r="P734" s="89"/>
      <c r="T734" s="62"/>
    </row>
    <row r="735" spans="14:20">
      <c r="N735" s="55"/>
      <c r="O735" s="22"/>
      <c r="P735" s="89"/>
      <c r="T735" s="62"/>
    </row>
    <row r="736" spans="14:20">
      <c r="N736" s="55"/>
      <c r="O736" s="22"/>
      <c r="P736" s="89"/>
      <c r="T736" s="62"/>
    </row>
    <row r="737" spans="14:20">
      <c r="N737" s="55"/>
      <c r="O737" s="22"/>
      <c r="P737" s="89"/>
      <c r="T737" s="62"/>
    </row>
    <row r="738" spans="14:20">
      <c r="N738" s="55"/>
      <c r="O738" s="22"/>
      <c r="P738" s="89"/>
      <c r="T738" s="62"/>
    </row>
    <row r="739" spans="14:20">
      <c r="N739" s="55"/>
      <c r="O739" s="22"/>
      <c r="P739" s="89"/>
      <c r="T739" s="62"/>
    </row>
    <row r="740" spans="14:20">
      <c r="N740" s="55"/>
      <c r="O740" s="22"/>
      <c r="P740" s="89"/>
      <c r="T740" s="62"/>
    </row>
    <row r="741" spans="14:20">
      <c r="N741" s="55"/>
      <c r="O741" s="22"/>
      <c r="P741" s="89"/>
      <c r="T741" s="62"/>
    </row>
    <row r="742" spans="14:20">
      <c r="N742" s="55"/>
      <c r="O742" s="22"/>
      <c r="P742" s="89"/>
      <c r="T742" s="62"/>
    </row>
    <row r="743" spans="14:20">
      <c r="N743" s="55"/>
      <c r="O743" s="22"/>
      <c r="P743" s="89"/>
      <c r="T743" s="62"/>
    </row>
    <row r="744" spans="14:20">
      <c r="N744" s="55"/>
      <c r="O744" s="22"/>
      <c r="P744" s="89"/>
      <c r="T744" s="62"/>
    </row>
    <row r="745" spans="14:20">
      <c r="N745" s="55"/>
      <c r="O745" s="22"/>
      <c r="P745" s="89"/>
      <c r="T745" s="62"/>
    </row>
    <row r="746" spans="14:20">
      <c r="N746" s="55"/>
      <c r="O746" s="22"/>
      <c r="P746" s="89"/>
      <c r="T746" s="62"/>
    </row>
    <row r="747" spans="14:20">
      <c r="N747" s="55"/>
      <c r="O747" s="22"/>
      <c r="P747" s="89"/>
      <c r="T747" s="62"/>
    </row>
    <row r="748" spans="14:20">
      <c r="N748" s="55"/>
      <c r="O748" s="22"/>
      <c r="P748" s="89"/>
      <c r="T748" s="62"/>
    </row>
    <row r="749" spans="14:20">
      <c r="N749" s="55"/>
      <c r="O749" s="22"/>
      <c r="P749" s="89"/>
      <c r="T749" s="62"/>
    </row>
    <row r="750" spans="14:20">
      <c r="N750" s="55"/>
      <c r="O750" s="22"/>
      <c r="P750" s="89"/>
      <c r="T750" s="62"/>
    </row>
    <row r="751" spans="14:20">
      <c r="N751" s="55"/>
      <c r="O751" s="22"/>
      <c r="P751" s="89"/>
      <c r="T751" s="62"/>
    </row>
    <row r="752" spans="14:20">
      <c r="N752" s="55"/>
      <c r="O752" s="22"/>
      <c r="P752" s="89"/>
      <c r="T752" s="62"/>
    </row>
    <row r="753" spans="14:20">
      <c r="N753" s="55"/>
      <c r="O753" s="22"/>
      <c r="P753" s="89"/>
      <c r="T753" s="62"/>
    </row>
    <row r="754" spans="14:20">
      <c r="N754" s="55"/>
      <c r="O754" s="22"/>
      <c r="P754" s="89"/>
      <c r="T754" s="62"/>
    </row>
    <row r="755" spans="14:20">
      <c r="N755" s="55"/>
      <c r="O755" s="22"/>
      <c r="P755" s="89"/>
      <c r="T755" s="62"/>
    </row>
    <row r="756" spans="14:20">
      <c r="N756" s="55"/>
      <c r="O756" s="22"/>
      <c r="P756" s="89"/>
      <c r="T756" s="62"/>
    </row>
    <row r="757" spans="14:20">
      <c r="N757" s="55"/>
      <c r="O757" s="22"/>
      <c r="P757" s="89"/>
      <c r="T757" s="62"/>
    </row>
    <row r="758" spans="14:20">
      <c r="N758" s="55"/>
      <c r="O758" s="22"/>
      <c r="P758" s="89"/>
      <c r="T758" s="62"/>
    </row>
    <row r="759" spans="14:20">
      <c r="N759" s="55"/>
      <c r="O759" s="22"/>
      <c r="P759" s="89"/>
      <c r="T759" s="62"/>
    </row>
    <row r="760" spans="14:20">
      <c r="N760" s="55"/>
      <c r="O760" s="22"/>
      <c r="P760" s="89"/>
      <c r="T760" s="62"/>
    </row>
    <row r="761" spans="14:20">
      <c r="N761" s="55"/>
      <c r="O761" s="22"/>
      <c r="P761" s="89"/>
      <c r="T761" s="62"/>
    </row>
    <row r="762" spans="14:20">
      <c r="N762" s="55"/>
      <c r="O762" s="22"/>
      <c r="P762" s="89"/>
      <c r="T762" s="62"/>
    </row>
    <row r="763" spans="14:20">
      <c r="N763" s="55"/>
      <c r="O763" s="22"/>
      <c r="P763" s="89"/>
      <c r="T763" s="62"/>
    </row>
    <row r="764" spans="14:20">
      <c r="N764" s="55"/>
      <c r="O764" s="22"/>
      <c r="P764" s="89"/>
      <c r="T764" s="62"/>
    </row>
    <row r="765" spans="14:20">
      <c r="N765" s="55"/>
      <c r="O765" s="22"/>
      <c r="P765" s="89"/>
      <c r="T765" s="62"/>
    </row>
    <row r="766" spans="14:20">
      <c r="N766" s="55"/>
      <c r="O766" s="22"/>
      <c r="P766" s="89"/>
      <c r="T766" s="62"/>
    </row>
    <row r="767" spans="14:20">
      <c r="N767" s="55"/>
      <c r="O767" s="22"/>
      <c r="P767" s="89"/>
      <c r="T767" s="62"/>
    </row>
    <row r="768" spans="14:20">
      <c r="N768" s="55"/>
      <c r="O768" s="22"/>
      <c r="P768" s="89"/>
      <c r="T768" s="62"/>
    </row>
    <row r="769" spans="14:20">
      <c r="N769" s="55"/>
      <c r="O769" s="22"/>
      <c r="P769" s="89"/>
      <c r="T769" s="62"/>
    </row>
    <row r="770" spans="14:20">
      <c r="N770" s="55"/>
      <c r="O770" s="22"/>
      <c r="P770" s="89"/>
      <c r="T770" s="62"/>
    </row>
    <row r="771" spans="14:20">
      <c r="N771" s="55"/>
      <c r="O771" s="22"/>
      <c r="P771" s="89"/>
      <c r="T771" s="62"/>
    </row>
    <row r="772" spans="14:20">
      <c r="N772" s="55"/>
      <c r="O772" s="22"/>
      <c r="P772" s="89"/>
      <c r="T772" s="62"/>
    </row>
    <row r="773" spans="14:20">
      <c r="N773" s="55"/>
      <c r="O773" s="22"/>
      <c r="P773" s="89"/>
      <c r="T773" s="62"/>
    </row>
    <row r="774" spans="14:20">
      <c r="N774" s="55"/>
      <c r="O774" s="22"/>
      <c r="P774" s="89"/>
      <c r="T774" s="62"/>
    </row>
    <row r="775" spans="14:20">
      <c r="N775" s="55"/>
      <c r="O775" s="22"/>
      <c r="P775" s="89"/>
      <c r="T775" s="62"/>
    </row>
    <row r="776" spans="14:20">
      <c r="N776" s="55"/>
      <c r="O776" s="22"/>
      <c r="P776" s="89"/>
      <c r="T776" s="62"/>
    </row>
    <row r="777" spans="14:20">
      <c r="N777" s="55"/>
      <c r="O777" s="22"/>
      <c r="P777" s="89"/>
      <c r="T777" s="62"/>
    </row>
    <row r="778" spans="14:20">
      <c r="N778" s="55"/>
      <c r="O778" s="22"/>
      <c r="P778" s="89"/>
      <c r="T778" s="62"/>
    </row>
    <row r="779" spans="14:20">
      <c r="N779" s="55"/>
      <c r="O779" s="22"/>
      <c r="P779" s="89"/>
      <c r="T779" s="62"/>
    </row>
    <row r="780" spans="14:20">
      <c r="N780" s="55"/>
      <c r="O780" s="22"/>
      <c r="P780" s="89"/>
      <c r="T780" s="62"/>
    </row>
    <row r="781" spans="14:20">
      <c r="N781" s="55"/>
      <c r="O781" s="22"/>
      <c r="P781" s="89"/>
      <c r="T781" s="62"/>
    </row>
    <row r="782" spans="14:20">
      <c r="N782" s="55"/>
      <c r="O782" s="22"/>
      <c r="P782" s="89"/>
      <c r="T782" s="62"/>
    </row>
    <row r="783" spans="14:20">
      <c r="N783" s="55"/>
      <c r="O783" s="22"/>
      <c r="P783" s="89"/>
      <c r="T783" s="62"/>
    </row>
    <row r="784" spans="14:20">
      <c r="N784" s="55"/>
      <c r="O784" s="22"/>
      <c r="P784" s="89"/>
      <c r="T784" s="62"/>
    </row>
    <row r="785" spans="14:20">
      <c r="N785" s="55"/>
      <c r="O785" s="22"/>
      <c r="P785" s="89"/>
      <c r="T785" s="62"/>
    </row>
    <row r="786" spans="14:20">
      <c r="N786" s="55"/>
      <c r="O786" s="22"/>
      <c r="P786" s="89"/>
      <c r="T786" s="62"/>
    </row>
    <row r="787" spans="14:20">
      <c r="N787" s="55"/>
      <c r="O787" s="22"/>
      <c r="P787" s="89"/>
      <c r="T787" s="62"/>
    </row>
    <row r="788" spans="14:20">
      <c r="N788" s="55"/>
      <c r="O788" s="22"/>
      <c r="P788" s="89"/>
      <c r="T788" s="62"/>
    </row>
    <row r="789" spans="14:20">
      <c r="N789" s="55"/>
      <c r="O789" s="22"/>
      <c r="P789" s="89"/>
      <c r="T789" s="62"/>
    </row>
    <row r="790" spans="14:20">
      <c r="N790" s="55"/>
      <c r="O790" s="22"/>
      <c r="P790" s="89"/>
      <c r="T790" s="62"/>
    </row>
    <row r="791" spans="14:20">
      <c r="N791" s="55"/>
      <c r="O791" s="22"/>
      <c r="P791" s="89"/>
      <c r="T791" s="62"/>
    </row>
    <row r="792" spans="14:20">
      <c r="N792" s="55"/>
      <c r="O792" s="22"/>
      <c r="P792" s="89"/>
      <c r="T792" s="62"/>
    </row>
    <row r="793" spans="14:20">
      <c r="N793" s="55"/>
      <c r="O793" s="22"/>
      <c r="P793" s="89"/>
      <c r="T793" s="62"/>
    </row>
    <row r="794" spans="14:20">
      <c r="N794" s="55"/>
      <c r="O794" s="22"/>
      <c r="P794" s="89"/>
      <c r="T794" s="62"/>
    </row>
    <row r="795" spans="14:20">
      <c r="N795" s="55"/>
      <c r="O795" s="22"/>
      <c r="P795" s="89"/>
      <c r="T795" s="62"/>
    </row>
    <row r="796" spans="14:20">
      <c r="N796" s="55"/>
      <c r="O796" s="22"/>
      <c r="P796" s="89"/>
      <c r="T796" s="62"/>
    </row>
  </sheetData>
  <phoneticPr fontId="2" type="noConversion"/>
  <conditionalFormatting sqref="S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8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8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12">
      <colorScale>
        <cfvo type="min"/>
        <cfvo type="max"/>
        <color rgb="FFFF7128"/>
        <color rgb="FFFFEF9C"/>
      </colorScale>
    </cfRule>
  </conditionalFormatting>
  <conditionalFormatting sqref="S2:S31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:S31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6:S39 S41:S42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 S40 S43:S47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7 S40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:S47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9:S51 S53:S5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1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:S5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3:S55 S49:S50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:S69 S71:S92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94:S9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96:S10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10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2:S10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:S10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:S106 S112 S114:S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7:S1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:S1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:S112 S114:S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scale="22" fitToHeight="17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D9D9-876C-4DA6-B15C-FE923AC050B2}">
  <sheetPr codeName="Sheet6"/>
  <dimension ref="A1:W796"/>
  <sheetViews>
    <sheetView tabSelected="1" topLeftCell="B1" zoomScale="115" zoomScaleNormal="115" workbookViewId="0">
      <pane ySplit="1" topLeftCell="A2" activePane="bottomLeft" state="frozen"/>
      <selection pane="bottomLeft" activeCell="L11" sqref="L11"/>
    </sheetView>
  </sheetViews>
  <sheetFormatPr defaultRowHeight="15"/>
  <cols>
    <col min="1" max="1" width="29.7109375" customWidth="1"/>
    <col min="3" max="3" width="13.85546875" style="52" customWidth="1"/>
    <col min="4" max="4" width="13.140625" style="43" customWidth="1"/>
    <col min="5" max="5" width="21.42578125" customWidth="1"/>
    <col min="6" max="6" width="8.140625" customWidth="1"/>
    <col min="7" max="7" width="10.7109375" style="51" customWidth="1"/>
    <col min="8" max="8" width="10.7109375" customWidth="1"/>
    <col min="9" max="9" width="15" style="30" customWidth="1"/>
    <col min="10" max="10" width="10.7109375" style="43" customWidth="1"/>
    <col min="11" max="11" width="10.7109375" style="50" customWidth="1"/>
    <col min="12" max="12" width="10.7109375" style="49" customWidth="1"/>
    <col min="13" max="13" width="10.7109375" customWidth="1"/>
    <col min="14" max="14" width="10.7109375" style="43" customWidth="1"/>
    <col min="15" max="15" width="10.7109375" customWidth="1"/>
    <col min="16" max="16" width="10.7109375" style="69" customWidth="1"/>
    <col min="17" max="17" width="10.85546875" style="21" customWidth="1"/>
    <col min="18" max="18" width="11.28515625" style="72" bestFit="1" customWidth="1"/>
    <col min="19" max="19" width="10.85546875" style="72" bestFit="1" customWidth="1"/>
    <col min="20" max="20" width="10.140625" style="61" bestFit="1" customWidth="1"/>
    <col min="21" max="21" width="20.42578125" customWidth="1"/>
    <col min="22" max="22" width="11.28515625" bestFit="1" customWidth="1"/>
  </cols>
  <sheetData>
    <row r="1" spans="1:22" ht="14.25" customHeight="1">
      <c r="A1" s="28"/>
      <c r="B1" s="28" t="s">
        <v>136</v>
      </c>
      <c r="C1" s="59" t="s">
        <v>496</v>
      </c>
      <c r="D1" s="28" t="s">
        <v>497</v>
      </c>
      <c r="E1" s="29" t="s">
        <v>260</v>
      </c>
      <c r="F1" s="24" t="s">
        <v>261</v>
      </c>
      <c r="G1" s="53" t="s">
        <v>138</v>
      </c>
      <c r="H1" s="28" t="s">
        <v>139</v>
      </c>
      <c r="I1" s="31" t="s">
        <v>140</v>
      </c>
      <c r="J1" s="24" t="s">
        <v>262</v>
      </c>
      <c r="K1" s="46" t="s">
        <v>141</v>
      </c>
      <c r="L1" s="46" t="s">
        <v>142</v>
      </c>
      <c r="M1" s="24" t="s">
        <v>143</v>
      </c>
      <c r="N1" s="24" t="s">
        <v>144</v>
      </c>
      <c r="O1" s="24" t="s">
        <v>498</v>
      </c>
      <c r="P1" s="85" t="s">
        <v>146</v>
      </c>
      <c r="Q1" s="20" t="s">
        <v>147</v>
      </c>
      <c r="R1" s="72" t="s">
        <v>148</v>
      </c>
      <c r="S1" s="71" t="s">
        <v>146</v>
      </c>
      <c r="T1" s="60"/>
      <c r="U1" t="s">
        <v>263</v>
      </c>
    </row>
    <row r="2" spans="1:22">
      <c r="A2" t="s">
        <v>722</v>
      </c>
      <c r="B2" s="43" t="s">
        <v>151</v>
      </c>
      <c r="C2" s="52" t="s">
        <v>723</v>
      </c>
      <c r="D2" s="43" t="s">
        <v>723</v>
      </c>
      <c r="E2" t="s">
        <v>721</v>
      </c>
      <c r="G2" s="51">
        <v>9000</v>
      </c>
      <c r="H2">
        <v>9000</v>
      </c>
      <c r="I2" s="30">
        <v>10525</v>
      </c>
      <c r="L2" s="58">
        <f>I2-H2-K2</f>
        <v>1525</v>
      </c>
      <c r="N2" s="55"/>
      <c r="O2" s="22"/>
      <c r="P2" s="89">
        <f>L2-N2</f>
        <v>1525</v>
      </c>
      <c r="Q2" s="21" t="s">
        <v>127</v>
      </c>
      <c r="R2" s="72">
        <v>0</v>
      </c>
      <c r="S2" s="72">
        <f>P2-R2+J2</f>
        <v>1525</v>
      </c>
      <c r="T2" s="62"/>
    </row>
    <row r="3" spans="1:22">
      <c r="A3" s="24" t="s">
        <v>724</v>
      </c>
      <c r="B3" s="24" t="s">
        <v>151</v>
      </c>
      <c r="C3" s="25" t="s">
        <v>725</v>
      </c>
      <c r="D3" s="25" t="s">
        <v>725</v>
      </c>
      <c r="E3" s="25" t="s">
        <v>727</v>
      </c>
      <c r="F3" s="24"/>
      <c r="G3" s="45">
        <v>4500</v>
      </c>
      <c r="H3" s="24">
        <v>4500</v>
      </c>
      <c r="I3" s="32">
        <v>6000</v>
      </c>
      <c r="J3" s="24"/>
      <c r="K3" s="47"/>
      <c r="L3" s="47">
        <f>I3-H3-K3</f>
        <v>1500</v>
      </c>
      <c r="M3" s="24"/>
      <c r="N3" s="24">
        <f>125+65+40</f>
        <v>230</v>
      </c>
      <c r="O3" s="24"/>
      <c r="P3" s="86">
        <f>L3-N3</f>
        <v>1270</v>
      </c>
      <c r="Q3" s="23" t="s">
        <v>127</v>
      </c>
      <c r="R3" s="76">
        <v>0</v>
      </c>
      <c r="S3" s="72">
        <f>P3-R3+J3</f>
        <v>1270</v>
      </c>
    </row>
    <row r="4" spans="1:22">
      <c r="A4" s="24" t="s">
        <v>728</v>
      </c>
      <c r="B4" s="24" t="s">
        <v>151</v>
      </c>
      <c r="C4" s="25" t="s">
        <v>729</v>
      </c>
      <c r="D4" s="25" t="s">
        <v>729</v>
      </c>
      <c r="E4" s="25" t="s">
        <v>726</v>
      </c>
      <c r="F4" s="24"/>
      <c r="G4" s="45">
        <v>9800</v>
      </c>
      <c r="H4" s="24">
        <v>9800</v>
      </c>
      <c r="I4" s="32">
        <v>9600</v>
      </c>
      <c r="J4" s="24"/>
      <c r="K4" s="47"/>
      <c r="L4" s="47">
        <f>I4-H4-K4</f>
        <v>-200</v>
      </c>
      <c r="M4" s="24"/>
      <c r="N4" s="24"/>
      <c r="O4" s="24"/>
      <c r="P4" s="86">
        <f>L4-N4</f>
        <v>-200</v>
      </c>
      <c r="Q4" s="23" t="s">
        <v>127</v>
      </c>
      <c r="R4" s="76">
        <v>0</v>
      </c>
      <c r="S4" s="72">
        <f>P4-R4+J4</f>
        <v>-200</v>
      </c>
    </row>
    <row r="5" spans="1:22">
      <c r="A5" s="24" t="s">
        <v>730</v>
      </c>
      <c r="B5" s="24" t="s">
        <v>151</v>
      </c>
      <c r="C5" s="25" t="s">
        <v>731</v>
      </c>
      <c r="D5" s="25" t="s">
        <v>731</v>
      </c>
      <c r="E5" s="24" t="s">
        <v>732</v>
      </c>
      <c r="F5" s="24"/>
      <c r="G5" s="45">
        <v>2800</v>
      </c>
      <c r="H5" s="24">
        <v>2800</v>
      </c>
      <c r="I5" s="32">
        <v>2720</v>
      </c>
      <c r="J5" s="24"/>
      <c r="K5" s="47"/>
      <c r="L5" s="47">
        <f>I5-H5-K5</f>
        <v>-80</v>
      </c>
      <c r="M5" s="24"/>
      <c r="N5" s="24"/>
      <c r="O5" s="24"/>
      <c r="P5" s="86">
        <f>L5-N5</f>
        <v>-80</v>
      </c>
      <c r="Q5" s="23" t="s">
        <v>127</v>
      </c>
      <c r="R5" s="76">
        <v>0</v>
      </c>
      <c r="S5" s="72">
        <f>P5-R5+J5</f>
        <v>-80</v>
      </c>
    </row>
    <row r="6" spans="1:22">
      <c r="A6" s="24" t="s">
        <v>733</v>
      </c>
      <c r="B6" s="24" t="s">
        <v>151</v>
      </c>
      <c r="C6" s="25" t="s">
        <v>734</v>
      </c>
      <c r="D6" s="25" t="s">
        <v>731</v>
      </c>
      <c r="E6" s="24" t="s">
        <v>735</v>
      </c>
      <c r="F6" s="24"/>
      <c r="G6" s="45">
        <v>4500</v>
      </c>
      <c r="H6" s="24">
        <v>4500</v>
      </c>
      <c r="I6" s="32">
        <v>3527</v>
      </c>
      <c r="J6" s="24">
        <v>176</v>
      </c>
      <c r="K6" s="47"/>
      <c r="L6" s="47">
        <f>I6-H6-K6</f>
        <v>-973</v>
      </c>
      <c r="M6" s="24"/>
      <c r="N6" s="24"/>
      <c r="O6" s="24"/>
      <c r="P6" s="86">
        <f>L6-N6</f>
        <v>-973</v>
      </c>
      <c r="Q6" s="23" t="s">
        <v>127</v>
      </c>
      <c r="R6" s="76">
        <v>0</v>
      </c>
      <c r="S6" s="72">
        <f>P6-R6+J6</f>
        <v>-797</v>
      </c>
    </row>
    <row r="7" spans="1:22">
      <c r="A7" s="24"/>
      <c r="B7" s="24"/>
      <c r="C7" s="25"/>
      <c r="D7" s="25"/>
      <c r="E7" s="24"/>
      <c r="F7" s="24"/>
      <c r="G7" s="45"/>
      <c r="H7" s="24"/>
      <c r="I7" s="32"/>
      <c r="J7" s="24"/>
      <c r="K7" s="47"/>
      <c r="L7" s="47"/>
      <c r="M7" s="24"/>
      <c r="N7" s="24"/>
      <c r="O7" s="24"/>
      <c r="P7" s="86"/>
      <c r="Q7" s="23"/>
      <c r="R7" s="76"/>
    </row>
    <row r="8" spans="1:22">
      <c r="A8" s="24"/>
      <c r="B8" s="24"/>
      <c r="C8" s="25"/>
      <c r="D8" s="25"/>
      <c r="E8" s="24"/>
      <c r="F8" s="24"/>
      <c r="G8" s="45"/>
      <c r="H8" s="24"/>
      <c r="I8" s="32"/>
      <c r="J8" s="24"/>
      <c r="K8" s="47"/>
      <c r="L8" s="47"/>
      <c r="M8" s="24"/>
      <c r="N8" s="24"/>
      <c r="O8" s="24"/>
      <c r="P8" s="86"/>
      <c r="Q8" s="23"/>
      <c r="R8" s="76"/>
    </row>
    <row r="9" spans="1:22">
      <c r="A9" s="24"/>
      <c r="B9" s="24"/>
      <c r="C9" s="25"/>
      <c r="D9" s="25"/>
      <c r="E9" s="24"/>
      <c r="F9" s="24"/>
      <c r="G9" s="45"/>
      <c r="H9" s="24"/>
      <c r="I9" s="32"/>
      <c r="J9" s="24"/>
      <c r="K9" s="47"/>
      <c r="L9" s="47"/>
      <c r="M9" s="24"/>
      <c r="N9" s="24"/>
      <c r="O9" s="24"/>
      <c r="P9" s="86"/>
      <c r="Q9" s="23"/>
      <c r="R9" s="76"/>
    </row>
    <row r="10" spans="1:22">
      <c r="A10" s="24"/>
      <c r="B10" s="24"/>
      <c r="C10" s="25"/>
      <c r="D10" s="25"/>
      <c r="E10" s="24"/>
      <c r="F10" s="24"/>
      <c r="G10" s="45"/>
      <c r="H10" s="24"/>
      <c r="I10" s="32"/>
      <c r="J10" s="24"/>
      <c r="K10" s="47"/>
      <c r="L10" s="47"/>
      <c r="M10" s="24"/>
      <c r="N10" s="24"/>
      <c r="O10" s="24"/>
      <c r="P10" s="86"/>
      <c r="Q10" s="23"/>
      <c r="R10" s="76"/>
    </row>
    <row r="11" spans="1:22">
      <c r="A11" s="24"/>
      <c r="B11" s="24"/>
      <c r="C11" s="25"/>
      <c r="D11" s="25"/>
      <c r="E11" s="24"/>
      <c r="F11" s="24"/>
      <c r="G11" s="45"/>
      <c r="H11" s="24"/>
      <c r="I11" s="32"/>
      <c r="J11" s="24"/>
      <c r="K11" s="47"/>
      <c r="L11" s="47"/>
      <c r="M11" s="24"/>
      <c r="N11" s="24"/>
      <c r="O11" s="24"/>
      <c r="P11" s="86"/>
      <c r="Q11" s="23"/>
      <c r="R11" s="76"/>
    </row>
    <row r="12" spans="1:22">
      <c r="A12" s="24"/>
      <c r="B12" s="24"/>
      <c r="C12" s="25"/>
      <c r="D12" s="25"/>
      <c r="E12" s="24"/>
      <c r="F12" s="24"/>
      <c r="G12" s="45"/>
      <c r="H12" s="24"/>
      <c r="I12" s="32"/>
      <c r="J12" s="24"/>
      <c r="K12" s="47"/>
      <c r="L12" s="47"/>
      <c r="M12" s="24"/>
      <c r="N12" s="24"/>
      <c r="O12" s="24"/>
      <c r="P12" s="86"/>
      <c r="R12" s="76"/>
      <c r="V12" s="22"/>
    </row>
    <row r="13" spans="1:22">
      <c r="A13" s="24"/>
      <c r="B13" s="24"/>
      <c r="C13" s="25"/>
      <c r="D13" s="25"/>
      <c r="E13" s="24"/>
      <c r="F13" s="24"/>
      <c r="G13" s="45"/>
      <c r="H13" s="24"/>
      <c r="I13" s="32"/>
      <c r="J13" s="24"/>
      <c r="K13" s="47"/>
      <c r="L13" s="47"/>
      <c r="M13" s="24"/>
      <c r="N13" s="24"/>
      <c r="O13" s="24"/>
      <c r="P13" s="86"/>
      <c r="Q13" s="23"/>
      <c r="R13" s="76"/>
      <c r="U13">
        <f>COUNT(S2:S12)</f>
        <v>5</v>
      </c>
      <c r="V13" s="22"/>
    </row>
    <row r="14" spans="1:22">
      <c r="A14" s="24"/>
      <c r="B14" s="24"/>
      <c r="C14" s="25"/>
      <c r="D14" s="25"/>
      <c r="E14" s="24"/>
      <c r="F14" s="24"/>
      <c r="G14" s="45"/>
      <c r="H14" s="24"/>
      <c r="I14" s="32"/>
      <c r="J14" s="24"/>
      <c r="K14" s="47"/>
      <c r="L14" s="47"/>
      <c r="M14" s="24"/>
      <c r="N14" s="24"/>
      <c r="O14" s="24"/>
      <c r="P14" s="86"/>
      <c r="R14" s="76"/>
      <c r="V14" s="22"/>
    </row>
    <row r="15" spans="1:22">
      <c r="A15" s="24"/>
      <c r="B15" s="24"/>
      <c r="C15" s="25"/>
      <c r="D15" s="25"/>
      <c r="E15" s="24"/>
      <c r="F15" s="24"/>
      <c r="G15" s="45"/>
      <c r="H15" s="24"/>
      <c r="I15" s="32"/>
      <c r="J15" s="24"/>
      <c r="K15" s="47"/>
      <c r="L15" s="47"/>
      <c r="M15" s="24"/>
      <c r="N15" s="24"/>
      <c r="O15" s="24"/>
      <c r="P15" s="86"/>
      <c r="Q15" s="23"/>
      <c r="R15" s="76"/>
      <c r="V15" s="22"/>
    </row>
    <row r="16" spans="1:22">
      <c r="A16" s="24"/>
      <c r="B16" s="24"/>
      <c r="C16" s="25"/>
      <c r="D16" s="25"/>
      <c r="E16" s="24"/>
      <c r="F16" s="24"/>
      <c r="G16" s="45"/>
      <c r="H16" s="24"/>
      <c r="I16" s="32"/>
      <c r="J16" s="24"/>
      <c r="K16" s="47"/>
      <c r="L16" s="47"/>
      <c r="M16" s="24"/>
      <c r="N16" s="24"/>
      <c r="O16" s="24"/>
      <c r="P16" s="86"/>
      <c r="Q16" s="23"/>
      <c r="R16" s="76"/>
      <c r="T16" s="62"/>
      <c r="U16" s="22"/>
      <c r="V16" s="22"/>
    </row>
    <row r="17" spans="1:21">
      <c r="A17" s="24"/>
      <c r="B17" s="24"/>
      <c r="C17" s="25"/>
      <c r="D17" s="25"/>
      <c r="E17" s="24"/>
      <c r="F17" s="24"/>
      <c r="G17" s="45"/>
      <c r="H17" s="24"/>
      <c r="I17" s="32"/>
      <c r="J17" s="24"/>
      <c r="K17" s="47"/>
      <c r="L17" s="47"/>
      <c r="M17" s="24"/>
      <c r="N17" s="24"/>
      <c r="O17" s="24"/>
      <c r="P17" s="86"/>
      <c r="Q17" s="23"/>
      <c r="R17" s="76"/>
    </row>
    <row r="18" spans="1:21">
      <c r="A18" s="24"/>
      <c r="B18" s="24"/>
      <c r="C18" s="25"/>
      <c r="D18" s="25"/>
      <c r="E18" s="24"/>
      <c r="F18" s="24"/>
      <c r="G18" s="45"/>
      <c r="H18" s="24"/>
      <c r="I18" s="32"/>
      <c r="J18" s="24"/>
      <c r="K18" s="47"/>
      <c r="L18" s="47"/>
      <c r="M18" s="24"/>
      <c r="N18" s="24"/>
      <c r="O18" s="24"/>
      <c r="P18" s="86"/>
      <c r="Q18" s="23"/>
      <c r="R18" s="76"/>
    </row>
    <row r="19" spans="1:21">
      <c r="A19" s="24"/>
      <c r="B19" s="24"/>
      <c r="C19" s="25"/>
      <c r="D19" s="25"/>
      <c r="E19" s="24"/>
      <c r="F19" s="24"/>
      <c r="G19" s="45"/>
      <c r="H19" s="24"/>
      <c r="I19" s="32"/>
      <c r="J19" s="24"/>
      <c r="K19" s="47"/>
      <c r="L19" s="47"/>
      <c r="M19" s="24"/>
      <c r="N19" s="24"/>
      <c r="O19" s="24"/>
      <c r="P19" s="86"/>
      <c r="Q19" s="23"/>
      <c r="R19" s="76"/>
    </row>
    <row r="20" spans="1:21">
      <c r="A20" s="24"/>
      <c r="B20" s="24"/>
      <c r="C20" s="25"/>
      <c r="D20" s="25"/>
      <c r="E20" s="24"/>
      <c r="F20" s="24"/>
      <c r="G20" s="45"/>
      <c r="H20" s="24"/>
      <c r="I20" s="32"/>
      <c r="J20" s="24"/>
      <c r="K20" s="47"/>
      <c r="L20" s="47"/>
      <c r="M20" s="24"/>
      <c r="N20" s="24"/>
      <c r="O20" s="24"/>
      <c r="P20" s="86"/>
      <c r="Q20" s="23"/>
      <c r="R20" s="76"/>
    </row>
    <row r="21" spans="1:21">
      <c r="A21" s="24"/>
      <c r="B21" s="24"/>
      <c r="C21" s="25"/>
      <c r="D21" s="25"/>
      <c r="E21" s="24"/>
      <c r="F21" s="24"/>
      <c r="G21" s="45"/>
      <c r="H21" s="24"/>
      <c r="I21" s="32"/>
      <c r="J21" s="24"/>
      <c r="K21" s="47"/>
      <c r="L21" s="47"/>
      <c r="M21" s="24"/>
      <c r="N21" s="24"/>
      <c r="O21" s="24"/>
      <c r="P21" s="86"/>
      <c r="Q21" s="23"/>
      <c r="R21" s="76"/>
    </row>
    <row r="22" spans="1:21">
      <c r="A22" s="24"/>
      <c r="B22" s="24"/>
      <c r="C22" s="25"/>
      <c r="D22" s="25"/>
      <c r="E22" s="24"/>
      <c r="F22" s="24"/>
      <c r="G22" s="45"/>
      <c r="H22" s="24"/>
      <c r="I22" s="32"/>
      <c r="J22" s="24"/>
      <c r="K22" s="47"/>
      <c r="L22" s="47"/>
      <c r="M22" s="24"/>
      <c r="N22" s="24"/>
      <c r="O22" s="24"/>
      <c r="P22" s="86"/>
      <c r="Q22" s="23"/>
      <c r="R22" s="76"/>
    </row>
    <row r="23" spans="1:21">
      <c r="A23" s="24"/>
      <c r="B23" s="24"/>
      <c r="C23" s="25"/>
      <c r="D23" s="25"/>
      <c r="E23" s="24"/>
      <c r="F23" s="24"/>
      <c r="G23" s="45"/>
      <c r="H23" s="24"/>
      <c r="I23" s="32"/>
      <c r="J23" s="24"/>
      <c r="K23" s="47"/>
      <c r="L23" s="47"/>
      <c r="M23" s="24"/>
      <c r="N23" s="24"/>
      <c r="O23" s="24"/>
      <c r="P23" s="86"/>
      <c r="Q23" s="23"/>
      <c r="R23" s="76"/>
    </row>
    <row r="24" spans="1:21">
      <c r="A24" s="24"/>
      <c r="B24" s="24"/>
      <c r="C24" s="25"/>
      <c r="D24" s="25"/>
      <c r="E24" s="24"/>
      <c r="F24" s="24"/>
      <c r="G24" s="45"/>
      <c r="H24" s="24"/>
      <c r="I24" s="32"/>
      <c r="J24" s="24"/>
      <c r="K24" s="47"/>
      <c r="L24" s="47"/>
      <c r="M24" s="24"/>
      <c r="N24" s="24"/>
      <c r="O24" s="24"/>
      <c r="P24" s="86"/>
      <c r="Q24" s="23"/>
      <c r="R24" s="76"/>
    </row>
    <row r="25" spans="1:21">
      <c r="A25" s="24"/>
      <c r="B25" s="24"/>
      <c r="C25" s="25"/>
      <c r="D25" s="25"/>
      <c r="E25" s="24"/>
      <c r="F25" s="24"/>
      <c r="G25" s="45"/>
      <c r="H25" s="24"/>
      <c r="I25" s="32"/>
      <c r="J25" s="24"/>
      <c r="K25" s="47"/>
      <c r="L25" s="47"/>
      <c r="M25" s="24"/>
      <c r="N25" s="24"/>
      <c r="O25" s="24"/>
      <c r="P25" s="86"/>
      <c r="Q25" s="23"/>
      <c r="R25" s="76"/>
    </row>
    <row r="26" spans="1:21">
      <c r="A26" s="24"/>
      <c r="B26" s="24"/>
      <c r="C26" s="25"/>
      <c r="D26" s="25"/>
      <c r="E26" s="24"/>
      <c r="F26" s="24"/>
      <c r="G26" s="45"/>
      <c r="H26" s="24"/>
      <c r="I26" s="32"/>
      <c r="J26" s="24"/>
      <c r="K26" s="47"/>
      <c r="L26" s="47"/>
      <c r="M26" s="24"/>
      <c r="N26" s="24"/>
      <c r="O26" s="24"/>
      <c r="P26" s="86"/>
      <c r="Q26" s="23"/>
      <c r="R26" s="76"/>
    </row>
    <row r="27" spans="1:21">
      <c r="A27" s="24"/>
      <c r="B27" s="24"/>
      <c r="C27" s="25"/>
      <c r="D27" s="25"/>
      <c r="E27" s="24"/>
      <c r="F27" s="24"/>
      <c r="G27" s="45"/>
      <c r="H27" s="24"/>
      <c r="I27" s="32"/>
      <c r="J27" s="24"/>
      <c r="K27" s="47"/>
      <c r="L27" s="47"/>
      <c r="M27" s="24"/>
      <c r="N27" s="24"/>
      <c r="O27" s="24"/>
      <c r="P27" s="86"/>
      <c r="Q27" s="23"/>
      <c r="R27" s="76"/>
    </row>
    <row r="28" spans="1:21">
      <c r="A28" s="24"/>
      <c r="B28" s="24"/>
      <c r="C28" s="25"/>
      <c r="D28" s="25"/>
      <c r="E28" s="24"/>
      <c r="F28" s="24"/>
      <c r="G28" s="45"/>
      <c r="H28" s="24"/>
      <c r="I28" s="32"/>
      <c r="J28" s="24"/>
      <c r="K28" s="47"/>
      <c r="L28" s="47"/>
      <c r="M28" s="24"/>
      <c r="N28" s="24"/>
      <c r="O28" s="24"/>
      <c r="P28" s="86"/>
      <c r="Q28" s="23"/>
      <c r="R28" s="76"/>
    </row>
    <row r="29" spans="1:21">
      <c r="A29" s="24"/>
      <c r="B29" s="24"/>
      <c r="C29" s="25"/>
      <c r="D29" s="25"/>
      <c r="E29" s="24"/>
      <c r="F29" s="24"/>
      <c r="G29" s="45"/>
      <c r="H29" s="24"/>
      <c r="I29" s="32"/>
      <c r="J29" s="24"/>
      <c r="K29" s="47"/>
      <c r="L29" s="47"/>
      <c r="M29" s="24"/>
      <c r="N29" s="24"/>
      <c r="O29" s="24"/>
      <c r="P29" s="86"/>
      <c r="Q29" s="23"/>
      <c r="R29" s="76"/>
    </row>
    <row r="30" spans="1:21">
      <c r="A30" s="24"/>
      <c r="B30" s="24"/>
      <c r="C30" s="25"/>
      <c r="D30" s="25"/>
      <c r="E30" s="24"/>
      <c r="F30" s="24"/>
      <c r="G30" s="45"/>
      <c r="H30" s="24"/>
      <c r="I30" s="32"/>
      <c r="J30" s="24"/>
      <c r="K30" s="47"/>
      <c r="L30" s="47"/>
      <c r="M30" s="24"/>
      <c r="N30" s="24"/>
      <c r="O30" s="24"/>
      <c r="P30" s="86"/>
      <c r="Q30" s="23"/>
      <c r="R30" s="76"/>
      <c r="U30">
        <f>COUNT(S15:S30)</f>
        <v>0</v>
      </c>
    </row>
    <row r="31" spans="1:21">
      <c r="A31" s="24"/>
      <c r="B31" s="24"/>
      <c r="C31" s="25"/>
      <c r="D31" s="24"/>
      <c r="E31" s="24"/>
      <c r="F31" s="24"/>
      <c r="G31" s="45"/>
      <c r="H31" s="24"/>
      <c r="I31" s="32"/>
      <c r="J31" s="24"/>
      <c r="K31" s="47"/>
      <c r="L31" s="47"/>
      <c r="M31" s="24"/>
      <c r="N31" s="24"/>
      <c r="O31" s="24"/>
      <c r="P31" s="86"/>
    </row>
    <row r="32" spans="1:21">
      <c r="A32" s="24"/>
      <c r="B32" s="24"/>
      <c r="C32" s="25"/>
      <c r="D32" s="25"/>
      <c r="E32" s="24"/>
      <c r="F32" s="24"/>
      <c r="G32" s="45"/>
      <c r="H32" s="24"/>
      <c r="I32" s="32"/>
      <c r="J32" s="24"/>
      <c r="K32" s="47"/>
      <c r="L32" s="47"/>
      <c r="M32" s="24"/>
      <c r="N32" s="24"/>
      <c r="O32" s="24"/>
      <c r="P32" s="86"/>
      <c r="Q32" s="23"/>
      <c r="R32" s="76"/>
    </row>
    <row r="33" spans="1:23">
      <c r="A33" s="24"/>
      <c r="B33" s="24"/>
      <c r="C33" s="25"/>
      <c r="D33" s="25"/>
      <c r="E33" s="24"/>
      <c r="F33" s="24"/>
      <c r="G33" s="45"/>
      <c r="H33" s="24"/>
      <c r="I33" s="32"/>
      <c r="J33" s="24"/>
      <c r="K33" s="47"/>
      <c r="L33" s="47"/>
      <c r="M33" s="24"/>
      <c r="N33" s="24"/>
      <c r="O33" s="24"/>
      <c r="P33" s="86"/>
      <c r="Q33" s="23"/>
      <c r="R33" s="76"/>
    </row>
    <row r="34" spans="1:23">
      <c r="A34" s="24"/>
      <c r="B34" s="24"/>
      <c r="C34" s="25"/>
      <c r="D34" s="25"/>
      <c r="E34" s="24"/>
      <c r="F34" s="24"/>
      <c r="G34" s="45"/>
      <c r="H34" s="24"/>
      <c r="I34" s="32"/>
      <c r="J34" s="24"/>
      <c r="K34" s="47"/>
      <c r="L34" s="47"/>
      <c r="M34" s="24"/>
      <c r="N34" s="24"/>
      <c r="O34" s="24"/>
      <c r="P34" s="86"/>
      <c r="Q34" s="23"/>
      <c r="R34" s="76"/>
    </row>
    <row r="35" spans="1:23">
      <c r="A35" s="24"/>
      <c r="B35" s="24"/>
      <c r="C35" s="25"/>
      <c r="D35" s="25"/>
      <c r="E35" s="24"/>
      <c r="F35" s="24"/>
      <c r="G35" s="45"/>
      <c r="H35" s="24"/>
      <c r="I35" s="32"/>
      <c r="J35" s="24"/>
      <c r="K35" s="47"/>
      <c r="L35" s="47"/>
      <c r="M35" s="24"/>
      <c r="N35" s="24"/>
      <c r="O35" s="24"/>
      <c r="P35" s="86"/>
      <c r="Q35" s="23"/>
      <c r="R35" s="76"/>
    </row>
    <row r="36" spans="1:23">
      <c r="A36" s="24"/>
      <c r="B36" s="24"/>
      <c r="C36" s="25"/>
      <c r="D36" s="25"/>
      <c r="E36" s="24"/>
      <c r="F36" s="24"/>
      <c r="G36" s="45"/>
      <c r="H36" s="24"/>
      <c r="I36" s="32"/>
      <c r="J36" s="24"/>
      <c r="K36" s="47"/>
      <c r="L36" s="47"/>
      <c r="M36" s="24"/>
      <c r="N36" s="24"/>
      <c r="O36" s="24"/>
      <c r="P36" s="86"/>
      <c r="Q36" s="23"/>
      <c r="R36" s="76"/>
    </row>
    <row r="37" spans="1:23">
      <c r="A37" s="24"/>
      <c r="B37" s="24"/>
      <c r="C37" s="25"/>
      <c r="D37" s="25"/>
      <c r="E37" s="24"/>
      <c r="F37" s="24"/>
      <c r="G37" s="45"/>
      <c r="H37" s="24"/>
      <c r="I37" s="32"/>
      <c r="J37" s="24"/>
      <c r="K37" s="47"/>
      <c r="L37" s="47"/>
      <c r="M37" s="24"/>
      <c r="N37" s="24"/>
      <c r="O37" s="24"/>
      <c r="P37" s="86"/>
      <c r="Q37" s="23"/>
      <c r="R37" s="76"/>
    </row>
    <row r="38" spans="1:23">
      <c r="A38" s="24"/>
      <c r="B38" s="24"/>
      <c r="C38" s="25"/>
      <c r="D38" s="25"/>
      <c r="E38" s="24"/>
      <c r="F38" s="24"/>
      <c r="G38" s="45"/>
      <c r="H38" s="24"/>
      <c r="I38" s="32"/>
      <c r="J38" s="24"/>
      <c r="K38" s="47"/>
      <c r="L38" s="47"/>
      <c r="M38" s="24"/>
      <c r="N38" s="24"/>
      <c r="O38" s="24"/>
      <c r="P38" s="86"/>
      <c r="Q38" s="23"/>
      <c r="R38" s="76"/>
    </row>
    <row r="39" spans="1:23">
      <c r="A39" s="24"/>
      <c r="B39" s="24"/>
      <c r="C39" s="25"/>
      <c r="D39" s="25"/>
      <c r="E39" s="24"/>
      <c r="F39" s="24"/>
      <c r="G39" s="45"/>
      <c r="H39" s="24"/>
      <c r="I39" s="32"/>
      <c r="J39" s="24"/>
      <c r="K39" s="47"/>
      <c r="L39" s="47"/>
      <c r="M39" s="24"/>
      <c r="N39" s="24"/>
      <c r="O39" s="24"/>
      <c r="P39" s="86"/>
      <c r="Q39" s="23"/>
      <c r="R39" s="76"/>
    </row>
    <row r="40" spans="1:23" ht="13.5" customHeight="1">
      <c r="A40" s="24"/>
      <c r="B40" s="24"/>
      <c r="C40" s="25"/>
      <c r="D40" s="25"/>
      <c r="E40" s="24"/>
      <c r="F40" s="24"/>
      <c r="G40" s="45"/>
      <c r="H40" s="24"/>
      <c r="I40" s="32"/>
      <c r="J40" s="24"/>
      <c r="K40" s="47"/>
      <c r="L40" s="47"/>
      <c r="M40" s="24"/>
      <c r="N40" s="24"/>
      <c r="O40" s="24"/>
      <c r="P40" s="86"/>
      <c r="Q40" s="23"/>
      <c r="R40" s="76"/>
    </row>
    <row r="41" spans="1:23" ht="13.5" customHeight="1">
      <c r="A41" s="24"/>
      <c r="B41" s="24"/>
      <c r="C41" s="25"/>
      <c r="D41" s="25"/>
      <c r="E41" s="24"/>
      <c r="F41" s="24"/>
      <c r="G41" s="45"/>
      <c r="H41" s="24"/>
      <c r="I41" s="32"/>
      <c r="J41" s="24"/>
      <c r="K41" s="47"/>
      <c r="L41" s="47"/>
      <c r="M41" s="24"/>
      <c r="N41" s="24"/>
      <c r="O41" s="24"/>
      <c r="P41" s="86"/>
      <c r="Q41" s="23"/>
      <c r="R41" s="76"/>
    </row>
    <row r="42" spans="1:23" ht="13.5" customHeight="1">
      <c r="A42" s="24"/>
      <c r="B42" s="24"/>
      <c r="C42" s="25"/>
      <c r="D42" s="25"/>
      <c r="E42" s="24"/>
      <c r="F42" s="24"/>
      <c r="G42" s="45"/>
      <c r="H42" s="24"/>
      <c r="I42" s="32"/>
      <c r="J42" s="24"/>
      <c r="K42" s="47"/>
      <c r="L42" s="47"/>
      <c r="M42" s="24"/>
      <c r="N42" s="24"/>
      <c r="O42" s="24"/>
      <c r="P42" s="86"/>
      <c r="Q42" s="23"/>
      <c r="R42" s="76"/>
    </row>
    <row r="43" spans="1:23" ht="13.5" customHeight="1">
      <c r="A43" s="24"/>
      <c r="B43" s="24"/>
      <c r="C43" s="25"/>
      <c r="D43" s="25"/>
      <c r="E43" s="24"/>
      <c r="F43" s="24"/>
      <c r="G43" s="45"/>
      <c r="H43" s="24"/>
      <c r="I43" s="32"/>
      <c r="J43" s="24"/>
      <c r="K43" s="47"/>
      <c r="L43" s="47"/>
      <c r="M43" s="24"/>
      <c r="N43" s="24"/>
      <c r="O43" s="24"/>
      <c r="P43" s="86"/>
      <c r="Q43" s="23"/>
      <c r="R43" s="76"/>
    </row>
    <row r="44" spans="1:23" ht="13.5" customHeight="1">
      <c r="A44" s="24"/>
      <c r="B44" s="24"/>
      <c r="C44" s="25"/>
      <c r="D44" s="25"/>
      <c r="E44" s="24"/>
      <c r="F44" s="24"/>
      <c r="G44" s="45"/>
      <c r="H44" s="24"/>
      <c r="I44" s="32"/>
      <c r="J44" s="24"/>
      <c r="K44" s="47"/>
      <c r="L44" s="47"/>
      <c r="M44" s="24"/>
      <c r="N44" s="24"/>
      <c r="O44" s="24"/>
      <c r="P44" s="86"/>
      <c r="Q44" s="23"/>
      <c r="R44" s="76"/>
    </row>
    <row r="45" spans="1:23" ht="13.5" customHeight="1">
      <c r="A45" s="24"/>
      <c r="B45" s="24"/>
      <c r="C45" s="25"/>
      <c r="D45" s="25"/>
      <c r="E45" s="24"/>
      <c r="F45" s="24"/>
      <c r="G45" s="45"/>
      <c r="H45" s="24"/>
      <c r="I45" s="32"/>
      <c r="J45" s="24"/>
      <c r="K45" s="47"/>
      <c r="L45" s="47"/>
      <c r="M45" s="24"/>
      <c r="N45" s="24"/>
      <c r="O45" s="24"/>
      <c r="P45" s="86"/>
      <c r="Q45" s="23"/>
      <c r="R45" s="76"/>
      <c r="V45">
        <v>9</v>
      </c>
      <c r="W45">
        <v>8363.398000000001</v>
      </c>
    </row>
    <row r="46" spans="1:23" ht="13.5" customHeight="1">
      <c r="A46" s="24"/>
      <c r="B46" s="24"/>
      <c r="C46" s="25"/>
      <c r="D46" s="25"/>
      <c r="E46" s="24"/>
      <c r="F46" s="24"/>
      <c r="G46" s="45"/>
      <c r="H46" s="24"/>
      <c r="I46" s="32"/>
      <c r="J46" s="24"/>
      <c r="K46" s="47"/>
      <c r="L46" s="47"/>
      <c r="M46" s="24"/>
      <c r="N46" s="24"/>
      <c r="O46" s="24"/>
      <c r="P46" s="86"/>
      <c r="Q46" s="23"/>
      <c r="R46" s="76"/>
      <c r="V46">
        <v>10</v>
      </c>
      <c r="W46">
        <v>18914.383999999995</v>
      </c>
    </row>
    <row r="47" spans="1:23">
      <c r="A47" s="24"/>
      <c r="B47" s="24"/>
      <c r="C47" s="25"/>
      <c r="D47" s="25"/>
      <c r="E47" s="24"/>
      <c r="F47" s="24"/>
      <c r="G47" s="45"/>
      <c r="H47" s="24"/>
      <c r="I47" s="32"/>
      <c r="J47" s="24"/>
      <c r="K47" s="47"/>
      <c r="L47" s="47"/>
      <c r="M47" s="24"/>
      <c r="N47" s="24"/>
      <c r="O47" s="24"/>
      <c r="P47" s="86"/>
      <c r="Q47" s="23"/>
      <c r="R47" s="76"/>
      <c r="U47">
        <f>COUNT(S32:S47)</f>
        <v>0</v>
      </c>
      <c r="V47">
        <v>11</v>
      </c>
      <c r="W47">
        <v>-1131.3879999999881</v>
      </c>
    </row>
    <row r="48" spans="1:23">
      <c r="A48" s="24"/>
      <c r="B48" s="24"/>
      <c r="C48" s="25"/>
      <c r="D48" s="25"/>
      <c r="E48" s="24"/>
      <c r="F48" s="24"/>
      <c r="G48" s="45"/>
      <c r="H48" s="24"/>
      <c r="I48" s="32"/>
      <c r="J48" s="24"/>
      <c r="K48" s="47"/>
      <c r="L48" s="47"/>
      <c r="M48" s="24"/>
      <c r="N48" s="24"/>
      <c r="O48" s="24"/>
      <c r="P48" s="86"/>
      <c r="V48" s="22">
        <v>12</v>
      </c>
      <c r="W48">
        <v>10158.200000000004</v>
      </c>
    </row>
    <row r="49" spans="1:23">
      <c r="A49" s="24"/>
      <c r="B49" s="24"/>
      <c r="C49" s="25"/>
      <c r="D49" s="25"/>
      <c r="E49" s="24"/>
      <c r="F49" s="24"/>
      <c r="G49" s="45"/>
      <c r="H49" s="24"/>
      <c r="I49" s="32"/>
      <c r="J49" s="24"/>
      <c r="K49" s="47"/>
      <c r="L49" s="47"/>
      <c r="M49" s="24"/>
      <c r="N49" s="24"/>
      <c r="O49" s="24"/>
      <c r="P49" s="86"/>
      <c r="Q49" s="23"/>
      <c r="R49" s="76"/>
      <c r="V49" s="57">
        <v>1</v>
      </c>
      <c r="W49">
        <v>22211.941999999999</v>
      </c>
    </row>
    <row r="50" spans="1:23">
      <c r="A50" s="24"/>
      <c r="B50" s="24"/>
      <c r="C50" s="25"/>
      <c r="D50" s="25"/>
      <c r="E50" s="24"/>
      <c r="F50" s="24"/>
      <c r="G50" s="45"/>
      <c r="H50" s="24"/>
      <c r="I50" s="32"/>
      <c r="J50" s="24"/>
      <c r="K50" s="47"/>
      <c r="L50" s="47"/>
      <c r="M50" s="24"/>
      <c r="N50" s="24"/>
      <c r="O50" s="24"/>
      <c r="P50" s="86"/>
      <c r="Q50" s="23"/>
      <c r="R50" s="76"/>
      <c r="V50" s="57">
        <v>2</v>
      </c>
      <c r="W50">
        <v>15504.132000000003</v>
      </c>
    </row>
    <row r="51" spans="1:23">
      <c r="A51" s="24"/>
      <c r="B51" s="24"/>
      <c r="C51" s="25"/>
      <c r="D51" s="25"/>
      <c r="E51" s="24"/>
      <c r="F51" s="24"/>
      <c r="G51" s="45"/>
      <c r="H51" s="24"/>
      <c r="I51" s="32"/>
      <c r="J51" s="24"/>
      <c r="K51" s="47"/>
      <c r="L51" s="47"/>
      <c r="M51" s="24"/>
      <c r="N51" s="24"/>
      <c r="O51" s="24"/>
      <c r="P51" s="86"/>
      <c r="Q51" s="23"/>
      <c r="R51" s="76"/>
      <c r="V51" s="57">
        <v>3</v>
      </c>
      <c r="W51">
        <v>0</v>
      </c>
    </row>
    <row r="52" spans="1:23">
      <c r="A52" s="24"/>
      <c r="B52" s="24"/>
      <c r="C52" s="25"/>
      <c r="D52" s="25"/>
      <c r="E52" s="24"/>
      <c r="F52" s="24"/>
      <c r="G52" s="45"/>
      <c r="H52" s="24"/>
      <c r="I52" s="32"/>
      <c r="J52" s="24"/>
      <c r="K52" s="47"/>
      <c r="L52" s="47"/>
      <c r="M52" s="24"/>
      <c r="N52" s="24"/>
      <c r="O52" s="24"/>
      <c r="P52" s="86"/>
      <c r="Q52" s="23"/>
      <c r="R52" s="76"/>
      <c r="V52" s="57">
        <v>4</v>
      </c>
      <c r="W52">
        <v>0</v>
      </c>
    </row>
    <row r="53" spans="1:23">
      <c r="A53" s="24"/>
      <c r="B53" s="24"/>
      <c r="C53" s="25"/>
      <c r="D53" s="25"/>
      <c r="E53" s="24"/>
      <c r="F53" s="24"/>
      <c r="G53" s="45"/>
      <c r="H53" s="24"/>
      <c r="I53" s="32"/>
      <c r="J53" s="24"/>
      <c r="K53" s="47"/>
      <c r="L53" s="47"/>
      <c r="M53" s="24"/>
      <c r="N53" s="24"/>
      <c r="O53" s="24"/>
      <c r="P53" s="86"/>
      <c r="Q53" s="37"/>
      <c r="R53" s="77"/>
      <c r="V53" s="57">
        <v>5</v>
      </c>
      <c r="W53">
        <v>0</v>
      </c>
    </row>
    <row r="54" spans="1:23">
      <c r="A54" s="24"/>
      <c r="B54" s="24"/>
      <c r="C54" s="25"/>
      <c r="D54" s="25"/>
      <c r="E54" s="24"/>
      <c r="F54" s="24"/>
      <c r="G54" s="45"/>
      <c r="H54" s="24"/>
      <c r="I54" s="32"/>
      <c r="J54" s="24"/>
      <c r="K54" s="47"/>
      <c r="L54" s="47"/>
      <c r="M54" s="24"/>
      <c r="N54" s="24"/>
      <c r="O54" s="24"/>
      <c r="P54" s="86"/>
      <c r="Q54" s="23"/>
      <c r="R54" s="76"/>
      <c r="U54">
        <f>COUNT(S49:S54)</f>
        <v>0</v>
      </c>
      <c r="V54" s="57">
        <v>6</v>
      </c>
      <c r="W54">
        <v>0</v>
      </c>
    </row>
    <row r="55" spans="1:23">
      <c r="A55" s="24"/>
      <c r="B55" s="24"/>
      <c r="C55" s="25"/>
      <c r="D55" s="25"/>
      <c r="E55" s="24"/>
      <c r="F55" s="24"/>
      <c r="G55" s="45"/>
      <c r="H55" s="24"/>
      <c r="I55" s="32"/>
      <c r="J55" s="24"/>
      <c r="K55" s="47"/>
      <c r="L55" s="47"/>
      <c r="M55" s="24"/>
      <c r="N55" s="24"/>
      <c r="O55" s="24"/>
      <c r="P55" s="86"/>
      <c r="V55" s="57">
        <v>7</v>
      </c>
      <c r="W55">
        <v>7103.07</v>
      </c>
    </row>
    <row r="56" spans="1:23">
      <c r="A56" s="24"/>
      <c r="B56" s="24"/>
      <c r="C56" s="25"/>
      <c r="D56" s="25"/>
      <c r="E56" s="24"/>
      <c r="F56" s="24"/>
      <c r="G56" s="45"/>
      <c r="H56" s="24"/>
      <c r="I56" s="32"/>
      <c r="J56" s="24"/>
      <c r="K56" s="47"/>
      <c r="L56" s="47"/>
      <c r="M56" s="24"/>
      <c r="N56" s="24"/>
      <c r="O56" s="24"/>
      <c r="P56" s="86"/>
      <c r="Q56" s="23"/>
      <c r="R56" s="78"/>
      <c r="V56" s="57">
        <v>8</v>
      </c>
      <c r="W56">
        <v>7510.0960000000005</v>
      </c>
    </row>
    <row r="57" spans="1:23">
      <c r="A57" s="24"/>
      <c r="B57" s="24"/>
      <c r="C57" s="25"/>
      <c r="D57" s="25"/>
      <c r="E57" s="24"/>
      <c r="F57" s="24"/>
      <c r="G57" s="45"/>
      <c r="H57" s="24"/>
      <c r="I57" s="32"/>
      <c r="J57" s="24"/>
      <c r="K57" s="47"/>
      <c r="L57" s="47"/>
      <c r="M57" s="24"/>
      <c r="N57" s="24"/>
      <c r="O57" s="24"/>
      <c r="P57" s="86"/>
      <c r="Q57" s="23"/>
      <c r="R57" s="76"/>
    </row>
    <row r="58" spans="1:23">
      <c r="A58" s="24"/>
      <c r="B58" s="24"/>
      <c r="C58" s="25"/>
      <c r="D58" s="25"/>
      <c r="E58" s="24"/>
      <c r="F58" s="24"/>
      <c r="G58" s="45"/>
      <c r="H58" s="24"/>
      <c r="I58" s="32"/>
      <c r="J58" s="24"/>
      <c r="K58" s="47"/>
      <c r="L58" s="47"/>
      <c r="M58" s="24"/>
      <c r="N58" s="24"/>
      <c r="O58" s="24"/>
      <c r="P58" s="86"/>
      <c r="Q58" s="23"/>
      <c r="R58" s="78"/>
    </row>
    <row r="59" spans="1:23">
      <c r="A59" s="24"/>
      <c r="B59" s="24"/>
      <c r="C59" s="25"/>
      <c r="D59" s="25"/>
      <c r="E59" s="24"/>
      <c r="F59" s="24"/>
      <c r="G59" s="45"/>
      <c r="H59" s="24"/>
      <c r="I59" s="32"/>
      <c r="J59" s="24"/>
      <c r="K59" s="47"/>
      <c r="L59" s="47"/>
      <c r="M59" s="24"/>
      <c r="N59" s="24"/>
      <c r="O59" s="24"/>
      <c r="P59" s="86"/>
      <c r="Q59" s="23"/>
      <c r="R59" s="78"/>
    </row>
    <row r="60" spans="1:23">
      <c r="A60" s="24"/>
      <c r="B60" s="24"/>
      <c r="C60" s="25"/>
      <c r="D60" s="25"/>
      <c r="E60" s="24"/>
      <c r="F60" s="24"/>
      <c r="G60" s="45"/>
      <c r="H60" s="24"/>
      <c r="I60" s="32"/>
      <c r="J60" s="24"/>
      <c r="K60" s="47"/>
      <c r="L60" s="47"/>
      <c r="M60" s="24"/>
      <c r="N60" s="24"/>
      <c r="O60" s="24"/>
      <c r="P60" s="86"/>
      <c r="Q60" s="23"/>
      <c r="R60" s="78"/>
    </row>
    <row r="61" spans="1:23">
      <c r="A61" s="24"/>
      <c r="B61" s="24"/>
      <c r="C61" s="25"/>
      <c r="D61" s="25"/>
      <c r="E61" s="24"/>
      <c r="F61" s="24"/>
      <c r="G61" s="45"/>
      <c r="H61" s="24"/>
      <c r="I61" s="32"/>
      <c r="J61" s="24"/>
      <c r="K61" s="47"/>
      <c r="L61" s="47"/>
      <c r="M61" s="24"/>
      <c r="N61" s="24"/>
      <c r="O61" s="24"/>
      <c r="P61" s="86"/>
      <c r="Q61" s="23"/>
      <c r="R61" s="76"/>
      <c r="V61" s="22"/>
    </row>
    <row r="62" spans="1:23" s="24" customFormat="1" ht="15" customHeight="1">
      <c r="C62" s="25"/>
      <c r="D62" s="25"/>
      <c r="G62" s="45"/>
      <c r="I62" s="32"/>
      <c r="K62" s="47"/>
      <c r="L62" s="47"/>
      <c r="N62" s="26"/>
      <c r="O62" s="27"/>
      <c r="P62" s="87"/>
      <c r="Q62" s="39"/>
      <c r="R62" s="79"/>
      <c r="S62" s="73"/>
      <c r="T62" s="63"/>
    </row>
    <row r="63" spans="1:23" s="33" customFormat="1" ht="15" customHeight="1">
      <c r="C63" s="34"/>
      <c r="D63" s="34"/>
      <c r="G63" s="44"/>
      <c r="I63" s="35"/>
      <c r="K63" s="48"/>
      <c r="L63" s="48"/>
      <c r="N63" s="36"/>
      <c r="O63" s="27"/>
      <c r="P63" s="88"/>
      <c r="Q63" s="40"/>
      <c r="R63" s="80"/>
      <c r="S63" s="74"/>
      <c r="T63" s="64"/>
    </row>
    <row r="64" spans="1:23" s="33" customFormat="1" ht="15" customHeight="1">
      <c r="C64" s="34"/>
      <c r="D64" s="34"/>
      <c r="G64" s="44"/>
      <c r="H64" s="44"/>
      <c r="I64" s="35"/>
      <c r="K64" s="48"/>
      <c r="L64" s="48"/>
      <c r="N64" s="36"/>
      <c r="O64" s="27"/>
      <c r="P64" s="88"/>
      <c r="Q64" s="41"/>
      <c r="R64" s="80"/>
      <c r="S64" s="75"/>
      <c r="T64" s="65"/>
    </row>
    <row r="65" spans="1:21" s="33" customFormat="1" ht="15" customHeight="1">
      <c r="C65" s="34"/>
      <c r="D65" s="34"/>
      <c r="G65" s="44"/>
      <c r="H65" s="44"/>
      <c r="I65" s="35"/>
      <c r="K65" s="48"/>
      <c r="L65" s="48"/>
      <c r="N65" s="36"/>
      <c r="O65" s="27"/>
      <c r="P65" s="88"/>
      <c r="Q65" s="38"/>
      <c r="R65" s="81"/>
      <c r="S65" s="75"/>
      <c r="T65" s="65"/>
    </row>
    <row r="66" spans="1:21" s="24" customFormat="1" ht="15" customHeight="1">
      <c r="C66" s="34"/>
      <c r="G66" s="45"/>
      <c r="I66" s="32"/>
      <c r="K66" s="47"/>
      <c r="L66" s="48"/>
      <c r="N66" s="26"/>
      <c r="O66" s="36"/>
      <c r="P66" s="88"/>
      <c r="Q66" s="54"/>
      <c r="R66" s="80"/>
      <c r="S66" s="75"/>
      <c r="T66" s="66"/>
    </row>
    <row r="67" spans="1:21" s="24" customFormat="1" ht="15" customHeight="1">
      <c r="A67" s="33"/>
      <c r="B67" s="33"/>
      <c r="C67" s="34"/>
      <c r="D67" s="25"/>
      <c r="E67" s="33"/>
      <c r="G67" s="45"/>
      <c r="H67" s="45"/>
      <c r="I67" s="32"/>
      <c r="K67" s="48"/>
      <c r="L67" s="48"/>
      <c r="N67" s="26"/>
      <c r="O67" s="36"/>
      <c r="P67" s="88"/>
      <c r="Q67" s="42"/>
      <c r="R67" s="82"/>
      <c r="S67" s="75"/>
      <c r="T67" s="63"/>
    </row>
    <row r="68" spans="1:21" ht="15" customHeight="1">
      <c r="A68" s="33"/>
      <c r="B68" s="33"/>
      <c r="C68" s="34"/>
      <c r="D68" s="25"/>
      <c r="E68" s="33"/>
      <c r="H68" s="24"/>
      <c r="J68" s="33"/>
      <c r="K68" s="48"/>
      <c r="L68" s="48"/>
      <c r="N68" s="36"/>
      <c r="O68" s="36"/>
      <c r="P68" s="88"/>
      <c r="Q68" s="23"/>
      <c r="R68" s="83"/>
      <c r="S68" s="75"/>
      <c r="T68" s="66"/>
      <c r="U68" s="33">
        <f>COUNT(S56:S68)</f>
        <v>0</v>
      </c>
    </row>
    <row r="69" spans="1:21" ht="15" customHeight="1">
      <c r="A69" s="33"/>
      <c r="B69" s="33"/>
      <c r="C69" s="34"/>
      <c r="D69" s="25"/>
      <c r="E69" s="33"/>
      <c r="H69" s="24"/>
      <c r="J69" s="33"/>
      <c r="K69" s="48"/>
      <c r="L69" s="48"/>
      <c r="N69" s="36"/>
      <c r="O69" s="36"/>
      <c r="P69" s="88"/>
      <c r="Q69" s="37"/>
      <c r="R69" s="84"/>
      <c r="S69" s="75"/>
      <c r="T69" s="62"/>
    </row>
    <row r="71" spans="1:21">
      <c r="A71" s="24"/>
      <c r="B71" s="43"/>
      <c r="D71" s="52"/>
      <c r="H71" s="24"/>
      <c r="K71" s="51"/>
      <c r="L71" s="48"/>
      <c r="N71" s="55"/>
      <c r="O71" s="22"/>
      <c r="P71" s="88"/>
      <c r="S71" s="75"/>
      <c r="T71" s="62"/>
    </row>
    <row r="72" spans="1:21">
      <c r="A72" s="24"/>
      <c r="B72" s="43"/>
      <c r="D72" s="52"/>
      <c r="H72" s="24"/>
      <c r="K72" s="51"/>
      <c r="L72" s="48"/>
      <c r="N72" s="55"/>
      <c r="O72" s="22"/>
      <c r="P72" s="88"/>
      <c r="S72" s="75"/>
      <c r="T72" s="62"/>
    </row>
    <row r="73" spans="1:21">
      <c r="A73" s="33"/>
      <c r="B73" s="33"/>
      <c r="D73" s="52"/>
      <c r="H73" s="24"/>
      <c r="K73" s="51"/>
      <c r="L73" s="48"/>
      <c r="N73" s="55"/>
      <c r="O73" s="22"/>
      <c r="P73" s="88"/>
      <c r="S73" s="75"/>
      <c r="T73" s="62"/>
    </row>
    <row r="74" spans="1:21">
      <c r="A74" s="33"/>
      <c r="B74" s="33"/>
      <c r="D74" s="52"/>
      <c r="H74" s="24"/>
      <c r="K74" s="51"/>
      <c r="L74" s="48"/>
      <c r="N74" s="55"/>
      <c r="O74" s="22"/>
      <c r="P74" s="88"/>
      <c r="S74" s="75"/>
      <c r="T74" s="62"/>
    </row>
    <row r="75" spans="1:21">
      <c r="A75" s="24"/>
      <c r="B75" s="43"/>
      <c r="D75" s="52"/>
      <c r="H75" s="24"/>
      <c r="K75" s="51"/>
      <c r="L75" s="48"/>
      <c r="N75" s="55"/>
      <c r="O75" s="22"/>
      <c r="P75" s="88"/>
      <c r="Q75" s="23"/>
      <c r="R75" s="78"/>
      <c r="S75" s="75"/>
    </row>
    <row r="76" spans="1:21">
      <c r="A76" s="24"/>
      <c r="B76" s="43"/>
      <c r="D76" s="52"/>
      <c r="H76" s="24"/>
      <c r="K76" s="51"/>
      <c r="L76" s="48"/>
      <c r="N76" s="55"/>
      <c r="O76" s="22"/>
      <c r="P76" s="88"/>
      <c r="R76" s="78"/>
      <c r="S76" s="75"/>
      <c r="T76" s="62"/>
    </row>
    <row r="77" spans="1:21">
      <c r="A77" s="24"/>
      <c r="B77" s="43"/>
      <c r="H77" s="24"/>
      <c r="L77" s="48"/>
      <c r="N77" s="55"/>
      <c r="O77" s="22"/>
      <c r="P77" s="88"/>
      <c r="R77" s="78"/>
      <c r="S77" s="75"/>
      <c r="T77" s="62"/>
    </row>
    <row r="78" spans="1:21">
      <c r="A78" s="24"/>
      <c r="B78" s="43"/>
      <c r="D78" s="52"/>
      <c r="H78" s="24"/>
      <c r="L78" s="48"/>
      <c r="N78" s="55"/>
      <c r="O78" s="22"/>
      <c r="P78" s="88"/>
      <c r="R78" s="78"/>
      <c r="S78" s="75"/>
      <c r="U78" s="33">
        <f>COUNT(S71:S85)</f>
        <v>0</v>
      </c>
    </row>
    <row r="79" spans="1:21">
      <c r="A79" s="24"/>
      <c r="B79" s="43"/>
      <c r="D79" s="52"/>
      <c r="H79" s="24"/>
      <c r="K79" s="51"/>
      <c r="L79" s="48"/>
      <c r="N79" s="55"/>
      <c r="O79" s="57"/>
      <c r="P79" s="88"/>
      <c r="R79" s="78"/>
      <c r="S79" s="75"/>
      <c r="T79" s="66"/>
      <c r="U79" s="33"/>
    </row>
    <row r="80" spans="1:21">
      <c r="A80" s="24"/>
      <c r="B80" s="43"/>
      <c r="D80" s="52"/>
      <c r="H80" s="24"/>
      <c r="L80" s="48"/>
      <c r="N80" s="55"/>
      <c r="O80" s="22"/>
      <c r="P80" s="88"/>
      <c r="R80" s="78"/>
      <c r="S80" s="75"/>
      <c r="T80" s="62"/>
    </row>
    <row r="81" spans="1:20">
      <c r="A81" s="24"/>
      <c r="B81" s="43"/>
      <c r="D81" s="52"/>
      <c r="H81" s="24"/>
      <c r="L81" s="48"/>
      <c r="N81" s="55"/>
      <c r="O81" s="22"/>
      <c r="P81" s="88"/>
      <c r="R81" s="78"/>
      <c r="S81" s="75"/>
      <c r="T81" s="62"/>
    </row>
    <row r="82" spans="1:20">
      <c r="A82" s="24"/>
      <c r="B82" s="43"/>
      <c r="D82" s="52"/>
      <c r="H82" s="24"/>
      <c r="L82" s="48"/>
      <c r="P82" s="88"/>
      <c r="R82" s="78"/>
      <c r="S82" s="75"/>
    </row>
    <row r="83" spans="1:20" s="24" customFormat="1" ht="32.25" customHeight="1">
      <c r="C83" s="25"/>
      <c r="D83" s="25"/>
      <c r="G83" s="45"/>
      <c r="I83" s="32"/>
      <c r="K83" s="47"/>
      <c r="L83" s="48"/>
      <c r="O83" s="33"/>
      <c r="P83" s="88"/>
      <c r="Q83" s="56"/>
      <c r="R83" s="78"/>
      <c r="S83" s="75"/>
      <c r="T83" s="66"/>
    </row>
    <row r="84" spans="1:20" s="24" customFormat="1">
      <c r="C84" s="25"/>
      <c r="D84" s="25"/>
      <c r="G84" s="45"/>
      <c r="I84" s="32"/>
      <c r="K84" s="47"/>
      <c r="L84" s="48"/>
      <c r="N84" s="26"/>
      <c r="O84" s="26"/>
      <c r="P84" s="88"/>
      <c r="Q84" s="56"/>
      <c r="R84" s="78"/>
      <c r="S84" s="75"/>
      <c r="T84" s="63"/>
    </row>
    <row r="85" spans="1:20" s="24" customFormat="1">
      <c r="C85" s="25"/>
      <c r="D85" s="25"/>
      <c r="G85" s="45"/>
      <c r="I85" s="32"/>
      <c r="K85" s="47"/>
      <c r="L85" s="48"/>
      <c r="N85" s="26"/>
      <c r="O85" s="26"/>
      <c r="P85" s="88"/>
      <c r="Q85" s="56"/>
      <c r="R85" s="78"/>
      <c r="S85" s="75"/>
      <c r="T85" s="66"/>
    </row>
    <row r="86" spans="1:20">
      <c r="L86" s="48"/>
      <c r="N86" s="26"/>
      <c r="O86" s="22"/>
      <c r="P86" s="88"/>
      <c r="R86" s="78"/>
      <c r="S86" s="75"/>
      <c r="T86" s="62"/>
    </row>
    <row r="87" spans="1:20">
      <c r="L87" s="48"/>
      <c r="N87" s="26"/>
      <c r="O87" s="22"/>
      <c r="P87" s="88"/>
      <c r="R87" s="78"/>
      <c r="S87" s="75"/>
      <c r="T87" s="62"/>
    </row>
    <row r="88" spans="1:20">
      <c r="L88" s="48"/>
      <c r="N88" s="26"/>
      <c r="O88" s="22"/>
      <c r="P88" s="88"/>
      <c r="R88" s="78"/>
      <c r="S88" s="75"/>
      <c r="T88" s="62"/>
    </row>
    <row r="89" spans="1:20">
      <c r="L89" s="48"/>
      <c r="N89" s="26"/>
      <c r="O89" s="22"/>
      <c r="P89" s="88"/>
      <c r="R89" s="78"/>
      <c r="S89" s="75"/>
      <c r="T89" s="62"/>
    </row>
    <row r="90" spans="1:20">
      <c r="L90" s="48"/>
      <c r="N90" s="26"/>
      <c r="O90" s="22"/>
      <c r="P90" s="88"/>
      <c r="R90" s="78"/>
      <c r="S90" s="75"/>
      <c r="T90" s="62"/>
    </row>
    <row r="91" spans="1:20">
      <c r="A91" s="24"/>
      <c r="B91" s="43"/>
      <c r="L91" s="58"/>
      <c r="N91" s="26"/>
      <c r="O91" s="22"/>
      <c r="P91" s="88"/>
      <c r="R91" s="78"/>
      <c r="S91" s="75"/>
      <c r="T91" s="62"/>
    </row>
    <row r="92" spans="1:20">
      <c r="A92" s="24"/>
      <c r="H92" s="45"/>
      <c r="L92" s="58"/>
      <c r="N92" s="55"/>
      <c r="O92" s="22"/>
      <c r="P92" s="88"/>
      <c r="R92" s="78"/>
      <c r="S92" s="75"/>
      <c r="T92" s="62"/>
    </row>
    <row r="93" spans="1:20">
      <c r="N93" s="55"/>
      <c r="O93" s="22"/>
      <c r="P93" s="89"/>
      <c r="T93" s="62"/>
    </row>
    <row r="94" spans="1:20">
      <c r="B94" s="24"/>
      <c r="D94" s="52"/>
      <c r="L94" s="58"/>
      <c r="N94" s="55"/>
      <c r="O94" s="22"/>
      <c r="P94" s="88"/>
      <c r="Q94" s="23"/>
      <c r="R94" s="78"/>
      <c r="S94" s="75"/>
      <c r="T94" s="62"/>
    </row>
    <row r="95" spans="1:20">
      <c r="B95" s="24"/>
      <c r="D95" s="52"/>
      <c r="L95" s="58"/>
      <c r="N95" s="55"/>
      <c r="O95" s="22"/>
      <c r="P95" s="88"/>
      <c r="R95" s="78"/>
      <c r="S95" s="75"/>
      <c r="T95" s="62"/>
    </row>
    <row r="96" spans="1:20">
      <c r="B96" s="24"/>
      <c r="D96" s="52"/>
      <c r="L96" s="58"/>
      <c r="N96" s="55"/>
      <c r="O96" s="22"/>
      <c r="P96" s="88"/>
      <c r="R96" s="78"/>
      <c r="S96" s="75"/>
      <c r="T96" s="62"/>
    </row>
    <row r="97" spans="2:22">
      <c r="B97" s="24"/>
      <c r="D97" s="52"/>
      <c r="L97" s="58"/>
      <c r="N97" s="55"/>
      <c r="O97" s="22"/>
      <c r="P97" s="88"/>
      <c r="R97" s="78"/>
      <c r="S97" s="75"/>
      <c r="U97" s="56" t="s">
        <v>494</v>
      </c>
      <c r="V97" s="56">
        <f>COUNT(S2:S107)</f>
        <v>5</v>
      </c>
    </row>
    <row r="98" spans="2:22">
      <c r="B98" s="24"/>
      <c r="D98" s="52"/>
      <c r="L98" s="58"/>
      <c r="N98" s="55"/>
      <c r="O98" s="22"/>
      <c r="P98" s="88"/>
      <c r="R98" s="78"/>
      <c r="S98" s="75"/>
      <c r="T98" s="62"/>
    </row>
    <row r="99" spans="2:22">
      <c r="B99" s="24"/>
      <c r="D99" s="52"/>
      <c r="L99" s="58"/>
      <c r="N99" s="55"/>
      <c r="O99" s="22"/>
      <c r="P99" s="88"/>
      <c r="R99" s="78"/>
      <c r="S99" s="75"/>
      <c r="T99" s="62"/>
    </row>
    <row r="100" spans="2:22">
      <c r="B100" s="24"/>
      <c r="D100" s="52"/>
      <c r="L100" s="58"/>
      <c r="N100" s="55"/>
      <c r="O100" s="22"/>
      <c r="P100" s="88"/>
      <c r="R100" s="78"/>
      <c r="S100" s="75"/>
      <c r="T100" s="66"/>
    </row>
    <row r="101" spans="2:22">
      <c r="N101" s="55"/>
      <c r="O101" s="22"/>
      <c r="P101" s="89"/>
      <c r="T101" s="62"/>
    </row>
    <row r="102" spans="2:22">
      <c r="B102" s="43"/>
      <c r="D102" s="52"/>
      <c r="L102" s="58"/>
      <c r="N102" s="55"/>
      <c r="O102" s="22"/>
      <c r="P102" s="88"/>
      <c r="R102" s="78"/>
      <c r="S102" s="75"/>
      <c r="T102" s="62"/>
    </row>
    <row r="103" spans="2:22">
      <c r="B103" s="43"/>
      <c r="D103" s="52"/>
      <c r="L103" s="58"/>
      <c r="N103" s="55"/>
      <c r="O103" s="22"/>
      <c r="P103" s="88"/>
      <c r="Q103" s="23"/>
      <c r="R103" s="78"/>
      <c r="S103" s="75"/>
      <c r="T103" s="62"/>
    </row>
    <row r="104" spans="2:22">
      <c r="B104" s="43"/>
      <c r="D104" s="52"/>
      <c r="L104" s="58"/>
      <c r="N104" s="55"/>
      <c r="O104" s="22"/>
      <c r="P104" s="88"/>
      <c r="R104" s="78"/>
      <c r="S104" s="75"/>
      <c r="T104" s="62"/>
    </row>
    <row r="105" spans="2:22">
      <c r="B105" s="43"/>
      <c r="L105" s="58"/>
      <c r="N105" s="55"/>
      <c r="O105" s="22"/>
      <c r="P105" s="88"/>
      <c r="S105" s="75"/>
      <c r="T105" s="62"/>
    </row>
    <row r="106" spans="2:22">
      <c r="B106" s="43"/>
      <c r="L106" s="58"/>
      <c r="N106" s="55"/>
      <c r="O106" s="22"/>
      <c r="P106" s="89"/>
      <c r="Q106" s="23"/>
      <c r="R106" s="78"/>
      <c r="T106" s="62"/>
    </row>
    <row r="107" spans="2:22">
      <c r="B107" s="43"/>
      <c r="L107" s="58"/>
      <c r="N107" s="55"/>
      <c r="O107" s="22"/>
      <c r="P107" s="89"/>
      <c r="Q107" s="23"/>
      <c r="R107" s="78"/>
      <c r="T107" s="62"/>
    </row>
    <row r="108" spans="2:22">
      <c r="B108" s="43"/>
      <c r="L108" s="58"/>
      <c r="N108" s="55"/>
      <c r="O108" s="22"/>
      <c r="P108" s="89"/>
      <c r="Q108" s="37"/>
      <c r="R108" s="78"/>
      <c r="T108" s="62"/>
    </row>
    <row r="109" spans="2:22">
      <c r="B109" s="43"/>
      <c r="L109" s="58"/>
      <c r="N109" s="55"/>
      <c r="O109" s="22"/>
      <c r="P109" s="89"/>
      <c r="Q109" s="37"/>
      <c r="R109" s="78"/>
      <c r="T109" s="62"/>
    </row>
    <row r="110" spans="2:22">
      <c r="B110" s="43"/>
      <c r="L110" s="58"/>
      <c r="N110" s="55"/>
      <c r="O110" s="22"/>
      <c r="P110" s="89"/>
      <c r="Q110" s="37"/>
      <c r="R110" s="78"/>
      <c r="T110" s="62"/>
    </row>
    <row r="111" spans="2:22">
      <c r="B111" s="43"/>
      <c r="L111" s="58"/>
      <c r="N111" s="55"/>
      <c r="O111" s="22"/>
      <c r="P111" s="89"/>
      <c r="Q111" s="37"/>
      <c r="R111" s="78"/>
      <c r="T111" s="62"/>
    </row>
    <row r="112" spans="2:22">
      <c r="L112" s="58"/>
      <c r="N112" s="55"/>
      <c r="O112" s="22"/>
      <c r="P112" s="89"/>
      <c r="T112" s="66"/>
    </row>
    <row r="113" spans="2:22">
      <c r="B113" s="43"/>
      <c r="L113" s="58"/>
      <c r="N113" s="55"/>
      <c r="O113" s="22"/>
      <c r="P113" s="89"/>
      <c r="T113" s="62"/>
    </row>
    <row r="114" spans="2:22">
      <c r="N114" s="55"/>
      <c r="O114" s="22"/>
      <c r="P114" s="89"/>
      <c r="T114" s="62"/>
    </row>
    <row r="115" spans="2:22">
      <c r="N115" s="55"/>
      <c r="O115" s="22"/>
      <c r="P115" s="89"/>
      <c r="T115" s="62"/>
    </row>
    <row r="116" spans="2:22">
      <c r="N116" s="55"/>
      <c r="O116" s="22"/>
      <c r="P116" s="89"/>
      <c r="T116" s="62"/>
    </row>
    <row r="117" spans="2:22">
      <c r="N117" s="55"/>
      <c r="O117" s="22"/>
      <c r="P117" s="89"/>
      <c r="T117" s="62"/>
      <c r="U117" t="s">
        <v>495</v>
      </c>
      <c r="V117" s="89">
        <f>SUM(R2:R107)</f>
        <v>0</v>
      </c>
    </row>
    <row r="118" spans="2:22">
      <c r="N118" s="55"/>
      <c r="O118" s="22"/>
      <c r="P118" s="89"/>
      <c r="T118" s="62"/>
      <c r="U118" t="s">
        <v>707</v>
      </c>
      <c r="V118" s="69">
        <f>SUM(S1:S109)</f>
        <v>1718</v>
      </c>
    </row>
    <row r="119" spans="2:22">
      <c r="N119" s="55"/>
      <c r="O119" s="22"/>
      <c r="P119" s="89"/>
      <c r="T119" s="62"/>
    </row>
    <row r="120" spans="2:22">
      <c r="N120" s="55"/>
      <c r="O120" s="22"/>
      <c r="P120" s="89"/>
      <c r="T120" s="62"/>
    </row>
    <row r="121" spans="2:22">
      <c r="N121" s="55"/>
      <c r="O121" s="22"/>
      <c r="P121" s="89"/>
      <c r="T121" s="62"/>
    </row>
    <row r="122" spans="2:22">
      <c r="N122" s="55"/>
      <c r="O122" s="22"/>
      <c r="P122" s="89"/>
      <c r="T122" s="62"/>
    </row>
    <row r="123" spans="2:22">
      <c r="N123" s="55"/>
      <c r="O123" s="22"/>
      <c r="P123" s="89"/>
      <c r="T123" s="62"/>
    </row>
    <row r="124" spans="2:22">
      <c r="N124" s="55"/>
      <c r="O124" s="22"/>
      <c r="P124" s="89"/>
      <c r="T124" s="62"/>
    </row>
    <row r="125" spans="2:22">
      <c r="N125" s="55"/>
      <c r="O125" s="22"/>
      <c r="P125" s="89"/>
      <c r="T125" s="62"/>
    </row>
    <row r="126" spans="2:22">
      <c r="N126" s="55"/>
      <c r="O126" s="22"/>
      <c r="P126" s="89"/>
      <c r="T126" s="62"/>
    </row>
    <row r="127" spans="2:22">
      <c r="N127" s="55"/>
      <c r="O127" s="22"/>
      <c r="P127" s="89"/>
      <c r="T127" s="62"/>
    </row>
    <row r="128" spans="2:22">
      <c r="N128" s="55"/>
      <c r="O128" s="22"/>
      <c r="P128" s="89"/>
      <c r="T128" s="62"/>
    </row>
    <row r="129" spans="14:20">
      <c r="N129" s="55"/>
      <c r="O129" s="22"/>
      <c r="P129" s="89"/>
      <c r="T129" s="62"/>
    </row>
    <row r="130" spans="14:20">
      <c r="N130" s="55"/>
      <c r="O130" s="22"/>
      <c r="P130" s="89"/>
      <c r="T130" s="62"/>
    </row>
    <row r="131" spans="14:20">
      <c r="N131" s="55"/>
      <c r="O131" s="22"/>
      <c r="P131" s="89"/>
      <c r="T131" s="62"/>
    </row>
    <row r="132" spans="14:20">
      <c r="N132" s="55"/>
      <c r="O132" s="22"/>
      <c r="P132" s="89"/>
      <c r="T132" s="62"/>
    </row>
    <row r="133" spans="14:20">
      <c r="N133" s="55"/>
      <c r="O133" s="22"/>
      <c r="P133" s="89"/>
      <c r="T133" s="62"/>
    </row>
    <row r="134" spans="14:20">
      <c r="N134" s="55"/>
      <c r="O134" s="22"/>
      <c r="P134" s="89"/>
      <c r="T134" s="62"/>
    </row>
    <row r="135" spans="14:20">
      <c r="N135" s="55"/>
      <c r="O135" s="22"/>
      <c r="P135" s="89"/>
      <c r="T135" s="62"/>
    </row>
    <row r="136" spans="14:20">
      <c r="N136" s="55"/>
      <c r="O136" s="22"/>
      <c r="P136" s="89"/>
      <c r="T136" s="62"/>
    </row>
    <row r="137" spans="14:20">
      <c r="N137" s="55"/>
      <c r="O137" s="22"/>
      <c r="P137" s="89"/>
      <c r="T137" s="62"/>
    </row>
    <row r="138" spans="14:20">
      <c r="N138" s="55"/>
      <c r="O138" s="22"/>
      <c r="P138" s="89"/>
      <c r="T138" s="62"/>
    </row>
    <row r="139" spans="14:20">
      <c r="N139" s="55"/>
      <c r="O139" s="22"/>
      <c r="P139" s="89"/>
      <c r="T139" s="62"/>
    </row>
    <row r="140" spans="14:20">
      <c r="N140" s="55"/>
      <c r="O140" s="22"/>
      <c r="P140" s="89"/>
      <c r="T140" s="62"/>
    </row>
    <row r="141" spans="14:20">
      <c r="N141" s="55"/>
      <c r="O141" s="22"/>
      <c r="P141" s="89"/>
      <c r="T141" s="62"/>
    </row>
    <row r="142" spans="14:20">
      <c r="N142" s="55"/>
      <c r="O142" s="22"/>
      <c r="P142" s="89"/>
      <c r="T142" s="62"/>
    </row>
    <row r="143" spans="14:20">
      <c r="N143" s="55"/>
      <c r="O143" s="22"/>
      <c r="P143" s="89"/>
      <c r="T143" s="62"/>
    </row>
    <row r="144" spans="14:20">
      <c r="N144" s="55"/>
      <c r="O144" s="22"/>
      <c r="P144" s="89"/>
      <c r="T144" s="62"/>
    </row>
    <row r="145" spans="14:20">
      <c r="N145" s="55"/>
      <c r="O145" s="22"/>
      <c r="P145" s="89"/>
      <c r="T145" s="62"/>
    </row>
    <row r="146" spans="14:20">
      <c r="N146" s="55"/>
      <c r="O146" s="22"/>
      <c r="P146" s="89"/>
      <c r="T146" s="62"/>
    </row>
    <row r="147" spans="14:20">
      <c r="N147" s="55"/>
      <c r="O147" s="22"/>
      <c r="P147" s="89"/>
      <c r="T147" s="62"/>
    </row>
    <row r="148" spans="14:20">
      <c r="N148" s="55"/>
      <c r="O148" s="22"/>
      <c r="P148" s="89"/>
      <c r="T148" s="62"/>
    </row>
    <row r="149" spans="14:20">
      <c r="N149" s="55"/>
      <c r="O149" s="22"/>
      <c r="P149" s="89"/>
      <c r="T149" s="62"/>
    </row>
    <row r="150" spans="14:20">
      <c r="N150" s="55"/>
      <c r="O150" s="22"/>
      <c r="P150" s="89"/>
      <c r="T150" s="62"/>
    </row>
    <row r="151" spans="14:20">
      <c r="N151" s="55"/>
      <c r="O151" s="22"/>
      <c r="P151" s="89"/>
      <c r="T151" s="62"/>
    </row>
    <row r="152" spans="14:20">
      <c r="N152" s="55"/>
      <c r="O152" s="22"/>
      <c r="P152" s="89"/>
      <c r="T152" s="62"/>
    </row>
    <row r="153" spans="14:20">
      <c r="N153" s="55"/>
      <c r="O153" s="22"/>
      <c r="P153" s="89"/>
      <c r="T153" s="62"/>
    </row>
    <row r="154" spans="14:20">
      <c r="N154" s="55"/>
      <c r="O154" s="22"/>
      <c r="P154" s="89"/>
      <c r="T154" s="62"/>
    </row>
    <row r="155" spans="14:20">
      <c r="N155" s="55"/>
      <c r="O155" s="22"/>
      <c r="P155" s="89"/>
      <c r="T155" s="62"/>
    </row>
    <row r="156" spans="14:20">
      <c r="N156" s="55"/>
      <c r="O156" s="22"/>
      <c r="P156" s="89"/>
      <c r="T156" s="62"/>
    </row>
    <row r="157" spans="14:20">
      <c r="N157" s="55"/>
      <c r="O157" s="22"/>
      <c r="P157" s="89"/>
      <c r="T157" s="62"/>
    </row>
    <row r="158" spans="14:20">
      <c r="N158" s="55"/>
      <c r="O158" s="22"/>
      <c r="P158" s="89"/>
      <c r="T158" s="62"/>
    </row>
    <row r="159" spans="14:20">
      <c r="N159" s="55"/>
      <c r="O159" s="22"/>
      <c r="P159" s="89"/>
      <c r="T159" s="62"/>
    </row>
    <row r="160" spans="14:20">
      <c r="N160" s="55"/>
      <c r="O160" s="22"/>
      <c r="P160" s="89"/>
      <c r="T160" s="62"/>
    </row>
    <row r="161" spans="14:20">
      <c r="N161" s="55"/>
      <c r="O161" s="22"/>
      <c r="P161" s="89"/>
      <c r="T161" s="62"/>
    </row>
    <row r="162" spans="14:20">
      <c r="N162" s="55"/>
      <c r="O162" s="22"/>
      <c r="P162" s="89"/>
      <c r="T162" s="62"/>
    </row>
    <row r="163" spans="14:20">
      <c r="N163" s="55"/>
      <c r="O163" s="22"/>
      <c r="P163" s="89"/>
      <c r="T163" s="62"/>
    </row>
    <row r="164" spans="14:20">
      <c r="N164" s="55"/>
      <c r="O164" s="22"/>
      <c r="P164" s="89"/>
      <c r="T164" s="62"/>
    </row>
    <row r="165" spans="14:20">
      <c r="N165" s="55"/>
      <c r="O165" s="22"/>
      <c r="P165" s="89"/>
      <c r="T165" s="62"/>
    </row>
    <row r="166" spans="14:20">
      <c r="N166" s="55"/>
      <c r="O166" s="22"/>
      <c r="P166" s="89"/>
      <c r="T166" s="62"/>
    </row>
    <row r="167" spans="14:20">
      <c r="N167" s="55"/>
      <c r="O167" s="22"/>
      <c r="P167" s="89"/>
      <c r="T167" s="62"/>
    </row>
    <row r="168" spans="14:20">
      <c r="N168" s="55"/>
      <c r="O168" s="22"/>
      <c r="P168" s="89"/>
      <c r="T168" s="62"/>
    </row>
    <row r="169" spans="14:20">
      <c r="N169" s="55"/>
      <c r="O169" s="22"/>
      <c r="P169" s="89"/>
      <c r="T169" s="62"/>
    </row>
    <row r="170" spans="14:20">
      <c r="N170" s="55"/>
      <c r="O170" s="22"/>
      <c r="P170" s="89"/>
      <c r="T170" s="62"/>
    </row>
    <row r="171" spans="14:20">
      <c r="N171" s="55"/>
      <c r="O171" s="22"/>
      <c r="P171" s="89"/>
      <c r="T171" s="62"/>
    </row>
    <row r="172" spans="14:20">
      <c r="N172" s="55"/>
      <c r="O172" s="22"/>
      <c r="P172" s="89"/>
      <c r="T172" s="62"/>
    </row>
    <row r="173" spans="14:20">
      <c r="N173" s="55"/>
      <c r="O173" s="22"/>
      <c r="P173" s="89"/>
      <c r="T173" s="62"/>
    </row>
    <row r="174" spans="14:20">
      <c r="N174" s="55"/>
      <c r="O174" s="22"/>
      <c r="P174" s="89"/>
      <c r="T174" s="62"/>
    </row>
    <row r="175" spans="14:20">
      <c r="N175" s="55"/>
      <c r="O175" s="22"/>
      <c r="P175" s="89"/>
      <c r="T175" s="62"/>
    </row>
    <row r="176" spans="14:20">
      <c r="N176" s="55"/>
      <c r="O176" s="22"/>
      <c r="P176" s="89"/>
      <c r="T176" s="62"/>
    </row>
    <row r="177" spans="14:20">
      <c r="N177" s="55"/>
      <c r="O177" s="22"/>
      <c r="P177" s="89"/>
      <c r="T177" s="62"/>
    </row>
    <row r="178" spans="14:20">
      <c r="N178" s="55"/>
      <c r="O178" s="22"/>
      <c r="P178" s="89"/>
      <c r="T178" s="62"/>
    </row>
    <row r="179" spans="14:20">
      <c r="N179" s="55"/>
      <c r="O179" s="22"/>
      <c r="P179" s="89"/>
      <c r="T179" s="62"/>
    </row>
    <row r="180" spans="14:20">
      <c r="N180" s="55"/>
      <c r="O180" s="22"/>
      <c r="P180" s="89"/>
      <c r="T180" s="62"/>
    </row>
    <row r="181" spans="14:20">
      <c r="N181" s="55"/>
      <c r="O181" s="22"/>
      <c r="P181" s="89"/>
      <c r="T181" s="62"/>
    </row>
    <row r="182" spans="14:20">
      <c r="N182" s="55"/>
      <c r="O182" s="22"/>
      <c r="P182" s="89"/>
      <c r="T182" s="62"/>
    </row>
    <row r="183" spans="14:20">
      <c r="N183" s="55"/>
      <c r="O183" s="22"/>
      <c r="P183" s="89"/>
      <c r="T183" s="62"/>
    </row>
    <row r="184" spans="14:20">
      <c r="N184" s="55"/>
      <c r="O184" s="22"/>
      <c r="P184" s="89"/>
      <c r="T184" s="62"/>
    </row>
    <row r="185" spans="14:20">
      <c r="N185" s="55"/>
      <c r="O185" s="22"/>
      <c r="P185" s="89"/>
      <c r="T185" s="62"/>
    </row>
    <row r="186" spans="14:20">
      <c r="N186" s="55"/>
      <c r="O186" s="22"/>
      <c r="P186" s="89"/>
      <c r="T186" s="62"/>
    </row>
    <row r="187" spans="14:20">
      <c r="N187" s="55"/>
      <c r="O187" s="22"/>
      <c r="P187" s="89"/>
      <c r="T187" s="62"/>
    </row>
    <row r="188" spans="14:20">
      <c r="N188" s="55"/>
      <c r="O188" s="22"/>
      <c r="P188" s="89"/>
      <c r="T188" s="62"/>
    </row>
    <row r="189" spans="14:20">
      <c r="N189" s="55"/>
      <c r="O189" s="22"/>
      <c r="P189" s="89"/>
      <c r="T189" s="62"/>
    </row>
    <row r="190" spans="14:20">
      <c r="N190" s="55"/>
      <c r="O190" s="22"/>
      <c r="P190" s="89"/>
      <c r="T190" s="62"/>
    </row>
    <row r="191" spans="14:20">
      <c r="N191" s="55"/>
      <c r="O191" s="22"/>
      <c r="P191" s="89"/>
      <c r="T191" s="62"/>
    </row>
    <row r="192" spans="14:20">
      <c r="N192" s="55"/>
      <c r="O192" s="22"/>
      <c r="P192" s="89"/>
      <c r="T192" s="62"/>
    </row>
    <row r="193" spans="14:20">
      <c r="N193" s="55"/>
      <c r="O193" s="22"/>
      <c r="P193" s="89"/>
      <c r="T193" s="62"/>
    </row>
    <row r="194" spans="14:20">
      <c r="N194" s="55"/>
      <c r="O194" s="22"/>
      <c r="P194" s="89"/>
      <c r="T194" s="62"/>
    </row>
    <row r="195" spans="14:20">
      <c r="N195" s="55"/>
      <c r="O195" s="22"/>
      <c r="P195" s="89"/>
      <c r="T195" s="62"/>
    </row>
    <row r="196" spans="14:20">
      <c r="N196" s="55"/>
      <c r="O196" s="22"/>
      <c r="P196" s="89"/>
      <c r="T196" s="62"/>
    </row>
    <row r="197" spans="14:20">
      <c r="N197" s="55"/>
      <c r="O197" s="22"/>
      <c r="P197" s="89"/>
      <c r="T197" s="62"/>
    </row>
    <row r="198" spans="14:20">
      <c r="N198" s="55"/>
      <c r="O198" s="22"/>
      <c r="P198" s="89"/>
      <c r="T198" s="62"/>
    </row>
    <row r="199" spans="14:20">
      <c r="N199" s="55"/>
      <c r="O199" s="22"/>
      <c r="P199" s="89"/>
      <c r="T199" s="62"/>
    </row>
    <row r="200" spans="14:20">
      <c r="N200" s="55"/>
      <c r="O200" s="22"/>
      <c r="P200" s="89"/>
      <c r="T200" s="62"/>
    </row>
    <row r="201" spans="14:20">
      <c r="N201" s="55"/>
      <c r="O201" s="22"/>
      <c r="P201" s="89"/>
      <c r="T201" s="62"/>
    </row>
    <row r="202" spans="14:20">
      <c r="N202" s="55"/>
      <c r="O202" s="22"/>
      <c r="P202" s="89"/>
      <c r="T202" s="62"/>
    </row>
    <row r="203" spans="14:20">
      <c r="N203" s="55"/>
      <c r="O203" s="22"/>
      <c r="P203" s="89"/>
      <c r="T203" s="62"/>
    </row>
    <row r="204" spans="14:20">
      <c r="N204" s="55"/>
      <c r="O204" s="22"/>
      <c r="P204" s="89"/>
      <c r="T204" s="62"/>
    </row>
    <row r="205" spans="14:20">
      <c r="N205" s="55"/>
      <c r="O205" s="22"/>
      <c r="P205" s="89"/>
      <c r="T205" s="62"/>
    </row>
    <row r="206" spans="14:20">
      <c r="N206" s="55"/>
      <c r="O206" s="22"/>
      <c r="P206" s="89"/>
      <c r="T206" s="62"/>
    </row>
    <row r="207" spans="14:20">
      <c r="N207" s="55"/>
      <c r="O207" s="22"/>
      <c r="P207" s="89"/>
      <c r="T207" s="62"/>
    </row>
    <row r="208" spans="14:20">
      <c r="N208" s="55"/>
      <c r="O208" s="22"/>
      <c r="P208" s="89"/>
      <c r="T208" s="62"/>
    </row>
    <row r="209" spans="14:20">
      <c r="N209" s="55"/>
      <c r="O209" s="22"/>
      <c r="P209" s="89"/>
      <c r="T209" s="62"/>
    </row>
    <row r="210" spans="14:20">
      <c r="N210" s="55"/>
      <c r="O210" s="22"/>
      <c r="P210" s="89"/>
      <c r="T210" s="62"/>
    </row>
    <row r="211" spans="14:20">
      <c r="N211" s="55"/>
      <c r="O211" s="22"/>
      <c r="P211" s="89"/>
      <c r="T211" s="62"/>
    </row>
    <row r="212" spans="14:20">
      <c r="N212" s="55"/>
      <c r="O212" s="22"/>
      <c r="P212" s="89"/>
      <c r="T212" s="62"/>
    </row>
    <row r="213" spans="14:20">
      <c r="N213" s="55"/>
      <c r="O213" s="22"/>
      <c r="P213" s="89"/>
      <c r="T213" s="62"/>
    </row>
    <row r="214" spans="14:20">
      <c r="N214" s="55"/>
      <c r="O214" s="22"/>
      <c r="P214" s="89"/>
      <c r="T214" s="62"/>
    </row>
    <row r="215" spans="14:20">
      <c r="N215" s="55"/>
      <c r="O215" s="22"/>
      <c r="P215" s="89"/>
      <c r="T215" s="62"/>
    </row>
    <row r="216" spans="14:20">
      <c r="N216" s="55"/>
      <c r="O216" s="22"/>
      <c r="P216" s="89"/>
      <c r="T216" s="62"/>
    </row>
    <row r="217" spans="14:20">
      <c r="N217" s="55"/>
      <c r="O217" s="22"/>
      <c r="P217" s="89"/>
      <c r="T217" s="62"/>
    </row>
    <row r="218" spans="14:20">
      <c r="N218" s="55"/>
      <c r="O218" s="22"/>
      <c r="P218" s="89"/>
      <c r="T218" s="62"/>
    </row>
    <row r="219" spans="14:20">
      <c r="N219" s="55"/>
      <c r="O219" s="22"/>
      <c r="P219" s="89"/>
      <c r="T219" s="62"/>
    </row>
    <row r="220" spans="14:20">
      <c r="N220" s="55"/>
      <c r="O220" s="22"/>
      <c r="P220" s="89"/>
      <c r="T220" s="62"/>
    </row>
    <row r="221" spans="14:20">
      <c r="N221" s="55"/>
      <c r="O221" s="22"/>
      <c r="P221" s="89"/>
      <c r="T221" s="62"/>
    </row>
    <row r="222" spans="14:20">
      <c r="N222" s="55"/>
      <c r="O222" s="22"/>
      <c r="P222" s="89"/>
      <c r="T222" s="62"/>
    </row>
    <row r="223" spans="14:20">
      <c r="N223" s="55"/>
      <c r="O223" s="22"/>
      <c r="P223" s="89"/>
      <c r="T223" s="62"/>
    </row>
    <row r="224" spans="14:20">
      <c r="N224" s="55"/>
      <c r="O224" s="22"/>
      <c r="P224" s="89"/>
      <c r="T224" s="62"/>
    </row>
    <row r="225" spans="14:20">
      <c r="N225" s="55"/>
      <c r="O225" s="22"/>
      <c r="P225" s="89"/>
      <c r="T225" s="62"/>
    </row>
    <row r="226" spans="14:20">
      <c r="N226" s="55"/>
      <c r="O226" s="22"/>
      <c r="P226" s="89"/>
      <c r="T226" s="62"/>
    </row>
    <row r="227" spans="14:20">
      <c r="N227" s="55"/>
      <c r="O227" s="22"/>
      <c r="P227" s="89"/>
      <c r="T227" s="62"/>
    </row>
    <row r="228" spans="14:20">
      <c r="N228" s="55"/>
      <c r="O228" s="22"/>
      <c r="P228" s="89"/>
      <c r="T228" s="62"/>
    </row>
    <row r="229" spans="14:20">
      <c r="N229" s="55"/>
      <c r="O229" s="22"/>
      <c r="P229" s="89"/>
      <c r="T229" s="62"/>
    </row>
    <row r="230" spans="14:20">
      <c r="N230" s="55"/>
      <c r="O230" s="22"/>
      <c r="P230" s="89"/>
      <c r="T230" s="62"/>
    </row>
    <row r="231" spans="14:20">
      <c r="N231" s="55"/>
      <c r="O231" s="22"/>
      <c r="P231" s="89"/>
      <c r="T231" s="62"/>
    </row>
    <row r="232" spans="14:20">
      <c r="N232" s="55"/>
      <c r="O232" s="22"/>
      <c r="P232" s="89"/>
      <c r="T232" s="62"/>
    </row>
    <row r="233" spans="14:20">
      <c r="N233" s="55"/>
      <c r="O233" s="22"/>
      <c r="P233" s="89"/>
      <c r="T233" s="62"/>
    </row>
    <row r="234" spans="14:20">
      <c r="N234" s="55"/>
      <c r="O234" s="22"/>
      <c r="P234" s="89"/>
      <c r="T234" s="62"/>
    </row>
    <row r="235" spans="14:20">
      <c r="N235" s="55"/>
      <c r="O235" s="22"/>
      <c r="P235" s="89"/>
      <c r="T235" s="62"/>
    </row>
    <row r="236" spans="14:20">
      <c r="N236" s="55"/>
      <c r="O236" s="22"/>
      <c r="P236" s="89"/>
      <c r="T236" s="62"/>
    </row>
    <row r="237" spans="14:20">
      <c r="N237" s="55"/>
      <c r="O237" s="22"/>
      <c r="P237" s="89"/>
      <c r="T237" s="62"/>
    </row>
    <row r="238" spans="14:20">
      <c r="N238" s="55"/>
      <c r="O238" s="22"/>
      <c r="P238" s="89"/>
      <c r="T238" s="62"/>
    </row>
    <row r="239" spans="14:20">
      <c r="N239" s="55"/>
      <c r="O239" s="22"/>
      <c r="P239" s="89"/>
      <c r="T239" s="62"/>
    </row>
    <row r="240" spans="14:20">
      <c r="N240" s="55"/>
      <c r="O240" s="22"/>
      <c r="P240" s="89"/>
      <c r="T240" s="62"/>
    </row>
    <row r="241" spans="14:20">
      <c r="N241" s="55"/>
      <c r="O241" s="22"/>
      <c r="P241" s="89"/>
      <c r="T241" s="62"/>
    </row>
    <row r="242" spans="14:20">
      <c r="N242" s="55"/>
      <c r="O242" s="22"/>
      <c r="P242" s="89"/>
      <c r="T242" s="62"/>
    </row>
    <row r="243" spans="14:20">
      <c r="N243" s="55"/>
      <c r="O243" s="22"/>
      <c r="P243" s="89"/>
      <c r="T243" s="62"/>
    </row>
    <row r="244" spans="14:20">
      <c r="N244" s="55"/>
      <c r="O244" s="22"/>
      <c r="P244" s="89"/>
      <c r="T244" s="62"/>
    </row>
    <row r="245" spans="14:20">
      <c r="N245" s="55"/>
      <c r="O245" s="22"/>
      <c r="P245" s="89"/>
      <c r="T245" s="62"/>
    </row>
    <row r="246" spans="14:20">
      <c r="N246" s="55"/>
      <c r="O246" s="22"/>
      <c r="P246" s="89"/>
      <c r="T246" s="62"/>
    </row>
    <row r="247" spans="14:20">
      <c r="N247" s="55"/>
      <c r="O247" s="22"/>
      <c r="P247" s="89"/>
      <c r="T247" s="62"/>
    </row>
    <row r="248" spans="14:20">
      <c r="N248" s="55"/>
      <c r="O248" s="22"/>
      <c r="P248" s="89"/>
      <c r="T248" s="62"/>
    </row>
    <row r="249" spans="14:20">
      <c r="N249" s="55"/>
      <c r="O249" s="22"/>
      <c r="P249" s="89"/>
      <c r="T249" s="62"/>
    </row>
    <row r="250" spans="14:20">
      <c r="N250" s="55"/>
      <c r="O250" s="22"/>
      <c r="P250" s="89"/>
      <c r="T250" s="62"/>
    </row>
    <row r="251" spans="14:20">
      <c r="N251" s="55"/>
      <c r="O251" s="22"/>
      <c r="P251" s="89"/>
      <c r="T251" s="62"/>
    </row>
    <row r="252" spans="14:20">
      <c r="N252" s="55"/>
      <c r="O252" s="22"/>
      <c r="P252" s="89"/>
      <c r="T252" s="62"/>
    </row>
    <row r="253" spans="14:20">
      <c r="N253" s="55"/>
      <c r="O253" s="22"/>
      <c r="P253" s="89"/>
      <c r="T253" s="62"/>
    </row>
    <row r="254" spans="14:20">
      <c r="N254" s="55"/>
      <c r="O254" s="22"/>
      <c r="P254" s="89"/>
      <c r="T254" s="62"/>
    </row>
    <row r="255" spans="14:20">
      <c r="N255" s="55"/>
      <c r="O255" s="22"/>
      <c r="P255" s="89"/>
      <c r="T255" s="62"/>
    </row>
    <row r="256" spans="14:20">
      <c r="N256" s="55"/>
      <c r="O256" s="22"/>
      <c r="P256" s="89"/>
      <c r="T256" s="62"/>
    </row>
    <row r="257" spans="14:20">
      <c r="N257" s="55"/>
      <c r="O257" s="22"/>
      <c r="P257" s="89"/>
      <c r="T257" s="62"/>
    </row>
    <row r="258" spans="14:20">
      <c r="N258" s="55"/>
      <c r="O258" s="22"/>
      <c r="P258" s="89"/>
      <c r="T258" s="62"/>
    </row>
    <row r="259" spans="14:20">
      <c r="N259" s="55"/>
      <c r="O259" s="22"/>
      <c r="P259" s="89"/>
      <c r="T259" s="62"/>
    </row>
    <row r="260" spans="14:20">
      <c r="N260" s="55"/>
      <c r="O260" s="22"/>
      <c r="P260" s="89"/>
      <c r="T260" s="62"/>
    </row>
    <row r="261" spans="14:20">
      <c r="N261" s="55"/>
      <c r="O261" s="22"/>
      <c r="P261" s="89"/>
      <c r="T261" s="62"/>
    </row>
    <row r="262" spans="14:20">
      <c r="N262" s="55"/>
      <c r="O262" s="22"/>
      <c r="P262" s="89"/>
      <c r="T262" s="62"/>
    </row>
    <row r="263" spans="14:20">
      <c r="N263" s="55"/>
      <c r="O263" s="22"/>
      <c r="P263" s="89"/>
      <c r="T263" s="62"/>
    </row>
    <row r="264" spans="14:20">
      <c r="N264" s="55"/>
      <c r="O264" s="22"/>
      <c r="P264" s="89"/>
      <c r="T264" s="62"/>
    </row>
    <row r="265" spans="14:20">
      <c r="N265" s="55"/>
      <c r="O265" s="22"/>
      <c r="P265" s="89"/>
      <c r="T265" s="62"/>
    </row>
    <row r="266" spans="14:20">
      <c r="N266" s="55"/>
      <c r="O266" s="22"/>
      <c r="P266" s="89"/>
      <c r="T266" s="62"/>
    </row>
    <row r="267" spans="14:20">
      <c r="N267" s="55"/>
      <c r="O267" s="22"/>
      <c r="P267" s="89"/>
      <c r="T267" s="62"/>
    </row>
    <row r="268" spans="14:20">
      <c r="N268" s="55"/>
      <c r="O268" s="22"/>
      <c r="P268" s="89"/>
      <c r="T268" s="62"/>
    </row>
    <row r="269" spans="14:20">
      <c r="N269" s="55"/>
      <c r="O269" s="22"/>
      <c r="P269" s="89"/>
      <c r="T269" s="62"/>
    </row>
    <row r="270" spans="14:20">
      <c r="N270" s="55"/>
      <c r="O270" s="22"/>
      <c r="P270" s="89"/>
      <c r="T270" s="62"/>
    </row>
    <row r="271" spans="14:20">
      <c r="N271" s="55"/>
      <c r="O271" s="22"/>
      <c r="P271" s="89"/>
      <c r="T271" s="62"/>
    </row>
    <row r="272" spans="14:20">
      <c r="N272" s="55"/>
      <c r="O272" s="22"/>
      <c r="P272" s="89"/>
      <c r="T272" s="62"/>
    </row>
    <row r="273" spans="14:20">
      <c r="N273" s="55"/>
      <c r="O273" s="22"/>
      <c r="P273" s="89"/>
      <c r="T273" s="62"/>
    </row>
    <row r="274" spans="14:20">
      <c r="N274" s="55"/>
      <c r="O274" s="22"/>
      <c r="P274" s="89"/>
      <c r="T274" s="62"/>
    </row>
    <row r="275" spans="14:20">
      <c r="N275" s="55"/>
      <c r="O275" s="22"/>
      <c r="P275" s="89"/>
      <c r="T275" s="62"/>
    </row>
    <row r="276" spans="14:20">
      <c r="N276" s="55"/>
      <c r="O276" s="22"/>
      <c r="P276" s="89"/>
      <c r="T276" s="62"/>
    </row>
    <row r="277" spans="14:20">
      <c r="N277" s="55"/>
      <c r="O277" s="22"/>
      <c r="P277" s="89"/>
      <c r="T277" s="62"/>
    </row>
    <row r="278" spans="14:20">
      <c r="N278" s="55"/>
      <c r="O278" s="22"/>
      <c r="P278" s="89"/>
      <c r="T278" s="62"/>
    </row>
    <row r="279" spans="14:20">
      <c r="N279" s="55"/>
      <c r="O279" s="22"/>
      <c r="P279" s="89"/>
      <c r="T279" s="62"/>
    </row>
    <row r="280" spans="14:20">
      <c r="N280" s="55"/>
      <c r="O280" s="22"/>
      <c r="P280" s="89"/>
      <c r="T280" s="62"/>
    </row>
    <row r="281" spans="14:20">
      <c r="N281" s="55"/>
      <c r="O281" s="22"/>
      <c r="P281" s="89"/>
      <c r="T281" s="62"/>
    </row>
    <row r="282" spans="14:20">
      <c r="N282" s="55"/>
      <c r="O282" s="22"/>
      <c r="P282" s="89"/>
      <c r="T282" s="62"/>
    </row>
    <row r="283" spans="14:20">
      <c r="N283" s="55"/>
      <c r="O283" s="22"/>
      <c r="P283" s="89"/>
      <c r="T283" s="62"/>
    </row>
    <row r="284" spans="14:20">
      <c r="N284" s="55"/>
      <c r="O284" s="22"/>
      <c r="P284" s="89"/>
      <c r="T284" s="62"/>
    </row>
    <row r="285" spans="14:20">
      <c r="N285" s="55"/>
      <c r="O285" s="22"/>
      <c r="P285" s="89"/>
      <c r="T285" s="62"/>
    </row>
    <row r="286" spans="14:20">
      <c r="N286" s="55"/>
      <c r="O286" s="22"/>
      <c r="P286" s="89"/>
      <c r="T286" s="62"/>
    </row>
    <row r="287" spans="14:20">
      <c r="N287" s="55"/>
      <c r="O287" s="22"/>
      <c r="P287" s="89"/>
      <c r="T287" s="62"/>
    </row>
    <row r="288" spans="14:20">
      <c r="N288" s="55"/>
      <c r="O288" s="22"/>
      <c r="P288" s="89"/>
      <c r="T288" s="62"/>
    </row>
    <row r="289" spans="14:20">
      <c r="N289" s="55"/>
      <c r="O289" s="22"/>
      <c r="P289" s="89"/>
      <c r="T289" s="62"/>
    </row>
    <row r="290" spans="14:20">
      <c r="N290" s="55"/>
      <c r="O290" s="22"/>
      <c r="P290" s="89"/>
      <c r="T290" s="62"/>
    </row>
    <row r="291" spans="14:20">
      <c r="N291" s="55"/>
      <c r="O291" s="22"/>
      <c r="P291" s="89"/>
      <c r="T291" s="62"/>
    </row>
    <row r="292" spans="14:20">
      <c r="N292" s="55"/>
      <c r="O292" s="22"/>
      <c r="P292" s="89"/>
      <c r="T292" s="62"/>
    </row>
    <row r="293" spans="14:20">
      <c r="N293" s="55"/>
      <c r="O293" s="22"/>
      <c r="P293" s="89"/>
      <c r="T293" s="62"/>
    </row>
    <row r="294" spans="14:20">
      <c r="N294" s="55"/>
      <c r="O294" s="22"/>
      <c r="P294" s="89"/>
      <c r="T294" s="62"/>
    </row>
    <row r="295" spans="14:20">
      <c r="N295" s="55"/>
      <c r="O295" s="22"/>
      <c r="P295" s="89"/>
      <c r="T295" s="62"/>
    </row>
    <row r="296" spans="14:20">
      <c r="N296" s="55"/>
      <c r="O296" s="22"/>
      <c r="P296" s="89"/>
      <c r="T296" s="62"/>
    </row>
    <row r="297" spans="14:20">
      <c r="N297" s="55"/>
      <c r="O297" s="22"/>
      <c r="P297" s="89"/>
      <c r="T297" s="62"/>
    </row>
    <row r="298" spans="14:20">
      <c r="N298" s="55"/>
      <c r="O298" s="22"/>
      <c r="P298" s="89"/>
      <c r="T298" s="62"/>
    </row>
    <row r="299" spans="14:20">
      <c r="N299" s="55"/>
      <c r="O299" s="22"/>
      <c r="P299" s="89"/>
      <c r="T299" s="62"/>
    </row>
    <row r="300" spans="14:20">
      <c r="N300" s="55"/>
      <c r="O300" s="22"/>
      <c r="P300" s="89"/>
      <c r="T300" s="62"/>
    </row>
    <row r="301" spans="14:20">
      <c r="N301" s="55"/>
      <c r="O301" s="22"/>
      <c r="P301" s="89"/>
      <c r="T301" s="62"/>
    </row>
    <row r="302" spans="14:20">
      <c r="N302" s="55"/>
      <c r="O302" s="22"/>
      <c r="P302" s="89"/>
      <c r="T302" s="62"/>
    </row>
    <row r="303" spans="14:20">
      <c r="N303" s="55"/>
      <c r="O303" s="22"/>
      <c r="P303" s="89"/>
      <c r="T303" s="62"/>
    </row>
    <row r="304" spans="14:20">
      <c r="N304" s="55"/>
      <c r="O304" s="22"/>
      <c r="P304" s="89"/>
      <c r="T304" s="62"/>
    </row>
    <row r="305" spans="14:20">
      <c r="N305" s="55"/>
      <c r="O305" s="22"/>
      <c r="P305" s="89"/>
      <c r="T305" s="62"/>
    </row>
    <row r="306" spans="14:20">
      <c r="N306" s="55"/>
      <c r="O306" s="22"/>
      <c r="P306" s="89"/>
      <c r="T306" s="62"/>
    </row>
    <row r="307" spans="14:20">
      <c r="N307" s="55"/>
      <c r="O307" s="22"/>
      <c r="P307" s="89"/>
      <c r="T307" s="62"/>
    </row>
    <row r="308" spans="14:20">
      <c r="N308" s="55"/>
      <c r="O308" s="22"/>
      <c r="P308" s="89"/>
      <c r="T308" s="62"/>
    </row>
    <row r="309" spans="14:20">
      <c r="N309" s="55"/>
      <c r="O309" s="22"/>
      <c r="P309" s="89"/>
      <c r="T309" s="62"/>
    </row>
    <row r="310" spans="14:20">
      <c r="N310" s="55"/>
      <c r="O310" s="22"/>
      <c r="P310" s="89"/>
      <c r="T310" s="62"/>
    </row>
    <row r="311" spans="14:20">
      <c r="N311" s="55"/>
      <c r="O311" s="22"/>
      <c r="P311" s="89"/>
      <c r="T311" s="62"/>
    </row>
    <row r="312" spans="14:20">
      <c r="N312" s="55"/>
      <c r="O312" s="22"/>
      <c r="P312" s="89"/>
      <c r="T312" s="62"/>
    </row>
    <row r="313" spans="14:20">
      <c r="N313" s="55"/>
      <c r="O313" s="22"/>
      <c r="P313" s="89"/>
      <c r="T313" s="62"/>
    </row>
    <row r="314" spans="14:20">
      <c r="N314" s="55"/>
      <c r="O314" s="22"/>
      <c r="P314" s="89"/>
      <c r="T314" s="62"/>
    </row>
    <row r="315" spans="14:20">
      <c r="N315" s="55"/>
      <c r="O315" s="22"/>
      <c r="P315" s="89"/>
      <c r="T315" s="62"/>
    </row>
    <row r="316" spans="14:20">
      <c r="N316" s="55"/>
      <c r="O316" s="22"/>
      <c r="P316" s="89"/>
      <c r="T316" s="62"/>
    </row>
    <row r="317" spans="14:20">
      <c r="N317" s="55"/>
      <c r="O317" s="22"/>
      <c r="P317" s="89"/>
      <c r="T317" s="62"/>
    </row>
    <row r="318" spans="14:20">
      <c r="N318" s="55"/>
      <c r="O318" s="22"/>
      <c r="P318" s="89"/>
      <c r="T318" s="62"/>
    </row>
    <row r="319" spans="14:20">
      <c r="N319" s="55"/>
      <c r="O319" s="22"/>
      <c r="P319" s="89"/>
      <c r="T319" s="62"/>
    </row>
    <row r="320" spans="14:20">
      <c r="N320" s="55"/>
      <c r="O320" s="22"/>
      <c r="P320" s="89"/>
      <c r="T320" s="62"/>
    </row>
    <row r="321" spans="14:20">
      <c r="N321" s="55"/>
      <c r="O321" s="22"/>
      <c r="P321" s="89"/>
      <c r="T321" s="62"/>
    </row>
    <row r="322" spans="14:20">
      <c r="N322" s="55"/>
      <c r="O322" s="22"/>
      <c r="P322" s="89"/>
      <c r="T322" s="62"/>
    </row>
    <row r="323" spans="14:20">
      <c r="N323" s="55"/>
      <c r="O323" s="22"/>
      <c r="P323" s="89"/>
      <c r="T323" s="62"/>
    </row>
    <row r="324" spans="14:20">
      <c r="N324" s="55"/>
      <c r="O324" s="22"/>
      <c r="P324" s="89"/>
      <c r="T324" s="62"/>
    </row>
    <row r="325" spans="14:20">
      <c r="N325" s="55"/>
      <c r="O325" s="22"/>
      <c r="P325" s="89"/>
      <c r="T325" s="62"/>
    </row>
    <row r="326" spans="14:20">
      <c r="N326" s="55"/>
      <c r="O326" s="22"/>
      <c r="P326" s="89"/>
      <c r="T326" s="62"/>
    </row>
    <row r="327" spans="14:20">
      <c r="N327" s="55"/>
      <c r="O327" s="22"/>
      <c r="P327" s="89"/>
      <c r="T327" s="62"/>
    </row>
    <row r="328" spans="14:20">
      <c r="N328" s="55"/>
      <c r="O328" s="22"/>
      <c r="P328" s="89"/>
      <c r="T328" s="62"/>
    </row>
    <row r="329" spans="14:20">
      <c r="N329" s="55"/>
      <c r="O329" s="22"/>
      <c r="P329" s="89"/>
      <c r="T329" s="62"/>
    </row>
    <row r="330" spans="14:20">
      <c r="N330" s="55"/>
      <c r="O330" s="22"/>
      <c r="P330" s="89"/>
      <c r="T330" s="62"/>
    </row>
    <row r="331" spans="14:20">
      <c r="N331" s="55"/>
      <c r="O331" s="22"/>
      <c r="P331" s="89"/>
      <c r="T331" s="62"/>
    </row>
    <row r="332" spans="14:20">
      <c r="N332" s="55"/>
      <c r="O332" s="22"/>
      <c r="P332" s="89"/>
      <c r="T332" s="62"/>
    </row>
    <row r="333" spans="14:20">
      <c r="N333" s="55"/>
      <c r="O333" s="22"/>
      <c r="P333" s="89"/>
      <c r="T333" s="62"/>
    </row>
    <row r="334" spans="14:20">
      <c r="N334" s="55"/>
      <c r="O334" s="22"/>
      <c r="P334" s="89"/>
      <c r="T334" s="62"/>
    </row>
    <row r="335" spans="14:20">
      <c r="N335" s="55"/>
      <c r="O335" s="22"/>
      <c r="P335" s="89"/>
      <c r="T335" s="62"/>
    </row>
    <row r="336" spans="14:20">
      <c r="N336" s="55"/>
      <c r="O336" s="22"/>
      <c r="P336" s="89"/>
      <c r="T336" s="62"/>
    </row>
    <row r="337" spans="14:20">
      <c r="N337" s="55"/>
      <c r="O337" s="22"/>
      <c r="P337" s="89"/>
      <c r="T337" s="62"/>
    </row>
    <row r="338" spans="14:20">
      <c r="N338" s="55"/>
      <c r="O338" s="22"/>
      <c r="P338" s="89"/>
      <c r="T338" s="62"/>
    </row>
    <row r="339" spans="14:20">
      <c r="N339" s="55"/>
      <c r="O339" s="22"/>
      <c r="P339" s="89"/>
      <c r="T339" s="62"/>
    </row>
    <row r="340" spans="14:20">
      <c r="N340" s="55"/>
      <c r="O340" s="22"/>
      <c r="P340" s="89"/>
      <c r="T340" s="62"/>
    </row>
    <row r="341" spans="14:20">
      <c r="N341" s="55"/>
      <c r="O341" s="22"/>
      <c r="P341" s="89"/>
      <c r="T341" s="62"/>
    </row>
    <row r="342" spans="14:20">
      <c r="N342" s="55"/>
      <c r="O342" s="22"/>
      <c r="P342" s="89"/>
      <c r="T342" s="62"/>
    </row>
    <row r="343" spans="14:20">
      <c r="N343" s="55"/>
      <c r="O343" s="22"/>
      <c r="P343" s="89"/>
      <c r="T343" s="62"/>
    </row>
    <row r="344" spans="14:20">
      <c r="N344" s="55"/>
      <c r="O344" s="22"/>
      <c r="P344" s="89"/>
      <c r="T344" s="62"/>
    </row>
    <row r="345" spans="14:20">
      <c r="N345" s="55"/>
      <c r="O345" s="22"/>
      <c r="P345" s="89"/>
      <c r="T345" s="62"/>
    </row>
    <row r="346" spans="14:20">
      <c r="N346" s="55"/>
      <c r="O346" s="22"/>
      <c r="P346" s="89"/>
      <c r="T346" s="62"/>
    </row>
    <row r="347" spans="14:20">
      <c r="N347" s="55"/>
      <c r="O347" s="22"/>
      <c r="P347" s="89"/>
      <c r="T347" s="62"/>
    </row>
    <row r="348" spans="14:20">
      <c r="N348" s="55"/>
      <c r="O348" s="22"/>
      <c r="P348" s="89"/>
      <c r="T348" s="62"/>
    </row>
    <row r="349" spans="14:20">
      <c r="N349" s="55"/>
      <c r="O349" s="22"/>
      <c r="P349" s="89"/>
      <c r="T349" s="62"/>
    </row>
    <row r="350" spans="14:20">
      <c r="N350" s="55"/>
      <c r="O350" s="22"/>
      <c r="P350" s="89"/>
      <c r="T350" s="62"/>
    </row>
    <row r="351" spans="14:20">
      <c r="N351" s="55"/>
      <c r="O351" s="22"/>
      <c r="P351" s="89"/>
      <c r="T351" s="62"/>
    </row>
    <row r="352" spans="14:20">
      <c r="N352" s="55"/>
      <c r="O352" s="22"/>
      <c r="P352" s="89"/>
      <c r="T352" s="62"/>
    </row>
    <row r="353" spans="14:20">
      <c r="N353" s="55"/>
      <c r="O353" s="22"/>
      <c r="P353" s="89"/>
      <c r="T353" s="62"/>
    </row>
    <row r="354" spans="14:20">
      <c r="N354" s="55"/>
      <c r="O354" s="22"/>
      <c r="P354" s="89"/>
      <c r="T354" s="62"/>
    </row>
    <row r="355" spans="14:20">
      <c r="N355" s="55"/>
      <c r="O355" s="22"/>
      <c r="P355" s="89"/>
      <c r="T355" s="62"/>
    </row>
    <row r="356" spans="14:20">
      <c r="N356" s="55"/>
      <c r="O356" s="22"/>
      <c r="P356" s="89"/>
      <c r="T356" s="62"/>
    </row>
    <row r="357" spans="14:20">
      <c r="N357" s="55"/>
      <c r="O357" s="22"/>
      <c r="P357" s="89"/>
      <c r="T357" s="62"/>
    </row>
    <row r="358" spans="14:20">
      <c r="N358" s="55"/>
      <c r="O358" s="22"/>
      <c r="P358" s="89"/>
      <c r="T358" s="62"/>
    </row>
    <row r="359" spans="14:20">
      <c r="N359" s="55"/>
      <c r="O359" s="22"/>
      <c r="P359" s="89"/>
      <c r="T359" s="62"/>
    </row>
    <row r="360" spans="14:20">
      <c r="N360" s="55"/>
      <c r="O360" s="22"/>
      <c r="P360" s="89"/>
      <c r="T360" s="62"/>
    </row>
    <row r="361" spans="14:20">
      <c r="N361" s="55"/>
      <c r="O361" s="22"/>
      <c r="P361" s="89"/>
      <c r="T361" s="62"/>
    </row>
    <row r="362" spans="14:20">
      <c r="N362" s="55"/>
      <c r="O362" s="22"/>
      <c r="P362" s="89"/>
      <c r="T362" s="62"/>
    </row>
    <row r="363" spans="14:20">
      <c r="N363" s="55"/>
      <c r="O363" s="22"/>
      <c r="P363" s="89"/>
      <c r="T363" s="62"/>
    </row>
    <row r="364" spans="14:20">
      <c r="N364" s="55"/>
      <c r="O364" s="22"/>
      <c r="P364" s="89"/>
      <c r="T364" s="62"/>
    </row>
    <row r="365" spans="14:20">
      <c r="N365" s="55"/>
      <c r="O365" s="22"/>
      <c r="P365" s="89"/>
      <c r="T365" s="62"/>
    </row>
    <row r="366" spans="14:20">
      <c r="N366" s="55"/>
      <c r="O366" s="22"/>
      <c r="P366" s="89"/>
      <c r="T366" s="62"/>
    </row>
    <row r="367" spans="14:20">
      <c r="N367" s="55"/>
      <c r="O367" s="22"/>
      <c r="P367" s="89"/>
      <c r="T367" s="62"/>
    </row>
    <row r="368" spans="14:20">
      <c r="N368" s="55"/>
      <c r="O368" s="22"/>
      <c r="P368" s="89"/>
      <c r="T368" s="62"/>
    </row>
    <row r="369" spans="14:20">
      <c r="N369" s="55"/>
      <c r="O369" s="22"/>
      <c r="P369" s="89"/>
      <c r="T369" s="62"/>
    </row>
    <row r="370" spans="14:20">
      <c r="N370" s="55"/>
      <c r="O370" s="22"/>
      <c r="P370" s="89"/>
      <c r="T370" s="62"/>
    </row>
    <row r="371" spans="14:20">
      <c r="N371" s="55"/>
      <c r="O371" s="22"/>
      <c r="P371" s="89"/>
      <c r="T371" s="62"/>
    </row>
    <row r="372" spans="14:20">
      <c r="N372" s="55"/>
      <c r="O372" s="22"/>
      <c r="P372" s="89"/>
      <c r="T372" s="62"/>
    </row>
    <row r="373" spans="14:20">
      <c r="N373" s="55"/>
      <c r="O373" s="22"/>
      <c r="P373" s="89"/>
      <c r="T373" s="62"/>
    </row>
    <row r="374" spans="14:20">
      <c r="N374" s="55"/>
      <c r="O374" s="22"/>
      <c r="P374" s="89"/>
      <c r="T374" s="62"/>
    </row>
    <row r="375" spans="14:20">
      <c r="N375" s="55"/>
      <c r="O375" s="22"/>
      <c r="P375" s="89"/>
      <c r="T375" s="62"/>
    </row>
    <row r="376" spans="14:20">
      <c r="N376" s="55"/>
      <c r="O376" s="22"/>
      <c r="P376" s="89"/>
      <c r="T376" s="62"/>
    </row>
    <row r="377" spans="14:20">
      <c r="N377" s="55"/>
      <c r="O377" s="22"/>
      <c r="P377" s="89"/>
      <c r="T377" s="62"/>
    </row>
    <row r="378" spans="14:20">
      <c r="N378" s="55"/>
      <c r="O378" s="22"/>
      <c r="P378" s="89"/>
      <c r="T378" s="62"/>
    </row>
    <row r="379" spans="14:20">
      <c r="N379" s="55"/>
      <c r="O379" s="22"/>
      <c r="P379" s="89"/>
      <c r="T379" s="62"/>
    </row>
    <row r="380" spans="14:20">
      <c r="N380" s="55"/>
      <c r="O380" s="22"/>
      <c r="P380" s="89"/>
      <c r="T380" s="62"/>
    </row>
    <row r="381" spans="14:20">
      <c r="N381" s="55"/>
      <c r="O381" s="22"/>
      <c r="P381" s="89"/>
      <c r="T381" s="62"/>
    </row>
    <row r="382" spans="14:20">
      <c r="N382" s="55"/>
      <c r="O382" s="22"/>
      <c r="P382" s="89"/>
      <c r="T382" s="62"/>
    </row>
    <row r="383" spans="14:20">
      <c r="N383" s="55"/>
      <c r="O383" s="22"/>
      <c r="P383" s="89"/>
      <c r="T383" s="62"/>
    </row>
    <row r="384" spans="14:20">
      <c r="N384" s="55"/>
      <c r="O384" s="22"/>
      <c r="P384" s="89"/>
      <c r="T384" s="62"/>
    </row>
    <row r="385" spans="14:20">
      <c r="N385" s="55"/>
      <c r="O385" s="22"/>
      <c r="P385" s="89"/>
      <c r="T385" s="62"/>
    </row>
    <row r="386" spans="14:20">
      <c r="N386" s="55"/>
      <c r="O386" s="22"/>
      <c r="P386" s="89"/>
      <c r="T386" s="62"/>
    </row>
    <row r="387" spans="14:20">
      <c r="N387" s="55"/>
      <c r="O387" s="22"/>
      <c r="P387" s="89"/>
      <c r="T387" s="62"/>
    </row>
    <row r="388" spans="14:20">
      <c r="N388" s="55"/>
      <c r="O388" s="22"/>
      <c r="P388" s="89"/>
      <c r="T388" s="62"/>
    </row>
    <row r="389" spans="14:20">
      <c r="N389" s="55"/>
      <c r="O389" s="22"/>
      <c r="P389" s="89"/>
      <c r="T389" s="62"/>
    </row>
    <row r="390" spans="14:20">
      <c r="N390" s="55"/>
      <c r="O390" s="22"/>
      <c r="P390" s="89"/>
      <c r="T390" s="62"/>
    </row>
    <row r="391" spans="14:20">
      <c r="N391" s="55"/>
      <c r="O391" s="22"/>
      <c r="P391" s="89"/>
      <c r="T391" s="62"/>
    </row>
    <row r="392" spans="14:20">
      <c r="N392" s="55"/>
      <c r="O392" s="22"/>
      <c r="P392" s="89"/>
      <c r="T392" s="62"/>
    </row>
    <row r="393" spans="14:20">
      <c r="N393" s="55"/>
      <c r="O393" s="22"/>
      <c r="P393" s="89"/>
      <c r="T393" s="62"/>
    </row>
    <row r="394" spans="14:20">
      <c r="N394" s="55"/>
      <c r="O394" s="22"/>
      <c r="P394" s="89"/>
      <c r="T394" s="62"/>
    </row>
    <row r="395" spans="14:20">
      <c r="N395" s="55"/>
      <c r="O395" s="22"/>
      <c r="P395" s="89"/>
      <c r="T395" s="62"/>
    </row>
    <row r="396" spans="14:20">
      <c r="N396" s="55"/>
      <c r="O396" s="22"/>
      <c r="P396" s="89"/>
      <c r="T396" s="62"/>
    </row>
    <row r="397" spans="14:20">
      <c r="N397" s="55"/>
      <c r="O397" s="22"/>
      <c r="P397" s="89"/>
      <c r="T397" s="62"/>
    </row>
    <row r="398" spans="14:20">
      <c r="N398" s="55"/>
      <c r="O398" s="22"/>
      <c r="P398" s="89"/>
      <c r="T398" s="62"/>
    </row>
    <row r="399" spans="14:20">
      <c r="N399" s="55"/>
      <c r="O399" s="22"/>
      <c r="P399" s="89"/>
      <c r="T399" s="62"/>
    </row>
    <row r="400" spans="14:20">
      <c r="N400" s="55"/>
      <c r="O400" s="22"/>
      <c r="P400" s="89"/>
      <c r="T400" s="62"/>
    </row>
    <row r="401" spans="14:20">
      <c r="N401" s="55"/>
      <c r="O401" s="22"/>
      <c r="P401" s="89"/>
      <c r="T401" s="62"/>
    </row>
    <row r="402" spans="14:20">
      <c r="N402" s="55"/>
      <c r="O402" s="22"/>
      <c r="P402" s="89"/>
      <c r="T402" s="62"/>
    </row>
    <row r="403" spans="14:20">
      <c r="N403" s="55"/>
      <c r="O403" s="22"/>
      <c r="P403" s="89"/>
      <c r="T403" s="62"/>
    </row>
    <row r="404" spans="14:20">
      <c r="N404" s="55"/>
      <c r="O404" s="22"/>
      <c r="P404" s="89"/>
      <c r="T404" s="62"/>
    </row>
    <row r="405" spans="14:20">
      <c r="N405" s="55"/>
      <c r="O405" s="22"/>
      <c r="P405" s="89"/>
      <c r="T405" s="62"/>
    </row>
    <row r="406" spans="14:20">
      <c r="N406" s="55"/>
      <c r="O406" s="22"/>
      <c r="P406" s="89"/>
      <c r="T406" s="62"/>
    </row>
    <row r="407" spans="14:20">
      <c r="N407" s="55"/>
      <c r="O407" s="22"/>
      <c r="P407" s="89"/>
      <c r="T407" s="62"/>
    </row>
    <row r="408" spans="14:20">
      <c r="N408" s="55"/>
      <c r="O408" s="22"/>
      <c r="P408" s="89"/>
      <c r="T408" s="62"/>
    </row>
    <row r="409" spans="14:20">
      <c r="N409" s="55"/>
      <c r="O409" s="22"/>
      <c r="P409" s="89"/>
      <c r="T409" s="62"/>
    </row>
    <row r="410" spans="14:20">
      <c r="N410" s="55"/>
      <c r="O410" s="22"/>
      <c r="P410" s="89"/>
      <c r="T410" s="62"/>
    </row>
    <row r="411" spans="14:20">
      <c r="N411" s="55"/>
      <c r="O411" s="22"/>
      <c r="P411" s="89"/>
      <c r="T411" s="62"/>
    </row>
    <row r="412" spans="14:20">
      <c r="N412" s="55"/>
      <c r="O412" s="22"/>
      <c r="P412" s="89"/>
      <c r="T412" s="62"/>
    </row>
    <row r="413" spans="14:20">
      <c r="N413" s="55"/>
      <c r="O413" s="22"/>
      <c r="P413" s="89"/>
      <c r="T413" s="62"/>
    </row>
    <row r="414" spans="14:20">
      <c r="N414" s="55"/>
      <c r="O414" s="22"/>
      <c r="P414" s="89"/>
      <c r="T414" s="62"/>
    </row>
    <row r="415" spans="14:20">
      <c r="N415" s="55"/>
      <c r="O415" s="22"/>
      <c r="P415" s="89"/>
      <c r="T415" s="62"/>
    </row>
    <row r="416" spans="14:20">
      <c r="N416" s="55"/>
      <c r="O416" s="22"/>
      <c r="P416" s="89"/>
      <c r="T416" s="62"/>
    </row>
    <row r="417" spans="14:20">
      <c r="N417" s="55"/>
      <c r="O417" s="22"/>
      <c r="P417" s="89"/>
      <c r="T417" s="62"/>
    </row>
    <row r="418" spans="14:20">
      <c r="N418" s="55"/>
      <c r="O418" s="22"/>
      <c r="P418" s="89"/>
      <c r="T418" s="62"/>
    </row>
    <row r="419" spans="14:20">
      <c r="N419" s="55"/>
      <c r="O419" s="22"/>
      <c r="P419" s="89"/>
      <c r="T419" s="62"/>
    </row>
    <row r="420" spans="14:20">
      <c r="N420" s="55"/>
      <c r="O420" s="22"/>
      <c r="P420" s="89"/>
      <c r="T420" s="62"/>
    </row>
    <row r="421" spans="14:20">
      <c r="N421" s="55"/>
      <c r="O421" s="22"/>
      <c r="P421" s="89"/>
      <c r="T421" s="62"/>
    </row>
    <row r="422" spans="14:20">
      <c r="N422" s="55"/>
      <c r="O422" s="22"/>
      <c r="P422" s="89"/>
      <c r="T422" s="62"/>
    </row>
    <row r="423" spans="14:20">
      <c r="N423" s="55"/>
      <c r="O423" s="22"/>
      <c r="P423" s="89"/>
      <c r="T423" s="62"/>
    </row>
    <row r="424" spans="14:20">
      <c r="N424" s="55"/>
      <c r="O424" s="22"/>
      <c r="P424" s="89"/>
      <c r="T424" s="62"/>
    </row>
    <row r="425" spans="14:20">
      <c r="N425" s="55"/>
      <c r="O425" s="22"/>
      <c r="P425" s="89"/>
      <c r="T425" s="62"/>
    </row>
    <row r="426" spans="14:20">
      <c r="N426" s="55"/>
      <c r="O426" s="22"/>
      <c r="P426" s="89"/>
      <c r="T426" s="62"/>
    </row>
    <row r="427" spans="14:20">
      <c r="N427" s="55"/>
      <c r="O427" s="22"/>
      <c r="P427" s="89"/>
      <c r="T427" s="62"/>
    </row>
    <row r="428" spans="14:20">
      <c r="N428" s="55"/>
      <c r="O428" s="22"/>
      <c r="P428" s="89"/>
      <c r="T428" s="62"/>
    </row>
    <row r="429" spans="14:20">
      <c r="N429" s="55"/>
      <c r="O429" s="22"/>
      <c r="P429" s="89"/>
      <c r="T429" s="62"/>
    </row>
    <row r="430" spans="14:20">
      <c r="N430" s="55"/>
      <c r="O430" s="22"/>
      <c r="P430" s="89"/>
      <c r="T430" s="62"/>
    </row>
    <row r="431" spans="14:20">
      <c r="N431" s="55"/>
      <c r="O431" s="22"/>
      <c r="P431" s="89"/>
      <c r="T431" s="62"/>
    </row>
    <row r="432" spans="14:20">
      <c r="N432" s="55"/>
      <c r="O432" s="22"/>
      <c r="P432" s="89"/>
      <c r="T432" s="62"/>
    </row>
    <row r="433" spans="14:20">
      <c r="N433" s="55"/>
      <c r="O433" s="22"/>
      <c r="P433" s="89"/>
      <c r="T433" s="62"/>
    </row>
    <row r="434" spans="14:20">
      <c r="N434" s="55"/>
      <c r="O434" s="22"/>
      <c r="P434" s="89"/>
      <c r="T434" s="62"/>
    </row>
    <row r="435" spans="14:20">
      <c r="N435" s="55"/>
      <c r="O435" s="22"/>
      <c r="P435" s="89"/>
      <c r="T435" s="62"/>
    </row>
    <row r="436" spans="14:20">
      <c r="N436" s="55"/>
      <c r="O436" s="22"/>
      <c r="P436" s="89"/>
      <c r="T436" s="62"/>
    </row>
    <row r="437" spans="14:20">
      <c r="N437" s="55"/>
      <c r="O437" s="22"/>
      <c r="P437" s="89"/>
      <c r="T437" s="62"/>
    </row>
    <row r="438" spans="14:20">
      <c r="N438" s="55"/>
      <c r="O438" s="22"/>
      <c r="P438" s="89"/>
      <c r="T438" s="62"/>
    </row>
    <row r="439" spans="14:20">
      <c r="N439" s="55"/>
      <c r="O439" s="22"/>
      <c r="P439" s="89"/>
      <c r="T439" s="62"/>
    </row>
    <row r="440" spans="14:20">
      <c r="N440" s="55"/>
      <c r="O440" s="22"/>
      <c r="P440" s="89"/>
      <c r="T440" s="62"/>
    </row>
    <row r="441" spans="14:20">
      <c r="N441" s="55"/>
      <c r="O441" s="22"/>
      <c r="P441" s="89"/>
      <c r="T441" s="62"/>
    </row>
    <row r="442" spans="14:20">
      <c r="N442" s="55"/>
      <c r="O442" s="22"/>
      <c r="P442" s="89"/>
      <c r="T442" s="62"/>
    </row>
    <row r="443" spans="14:20">
      <c r="N443" s="55"/>
      <c r="O443" s="22"/>
      <c r="P443" s="89"/>
      <c r="T443" s="62"/>
    </row>
    <row r="444" spans="14:20">
      <c r="N444" s="55"/>
      <c r="O444" s="22"/>
      <c r="P444" s="89"/>
      <c r="T444" s="62"/>
    </row>
    <row r="445" spans="14:20">
      <c r="N445" s="55"/>
      <c r="O445" s="22"/>
      <c r="P445" s="89"/>
      <c r="T445" s="62"/>
    </row>
    <row r="446" spans="14:20">
      <c r="N446" s="55"/>
      <c r="O446" s="22"/>
      <c r="P446" s="89"/>
      <c r="T446" s="62"/>
    </row>
    <row r="447" spans="14:20">
      <c r="N447" s="55"/>
      <c r="O447" s="22"/>
      <c r="P447" s="89"/>
      <c r="T447" s="62"/>
    </row>
    <row r="448" spans="14:20">
      <c r="N448" s="55"/>
      <c r="O448" s="22"/>
      <c r="P448" s="89"/>
      <c r="T448" s="62"/>
    </row>
    <row r="449" spans="14:20">
      <c r="N449" s="55"/>
      <c r="O449" s="22"/>
      <c r="P449" s="89"/>
      <c r="T449" s="62"/>
    </row>
    <row r="450" spans="14:20">
      <c r="N450" s="55"/>
      <c r="O450" s="22"/>
      <c r="P450" s="89"/>
      <c r="T450" s="62"/>
    </row>
    <row r="451" spans="14:20">
      <c r="N451" s="55"/>
      <c r="O451" s="22"/>
      <c r="P451" s="89"/>
      <c r="T451" s="62"/>
    </row>
    <row r="452" spans="14:20">
      <c r="N452" s="55"/>
      <c r="O452" s="22"/>
      <c r="P452" s="89"/>
      <c r="T452" s="62"/>
    </row>
    <row r="453" spans="14:20">
      <c r="N453" s="55"/>
      <c r="O453" s="22"/>
      <c r="P453" s="89"/>
      <c r="T453" s="62"/>
    </row>
    <row r="454" spans="14:20">
      <c r="N454" s="55"/>
      <c r="O454" s="22"/>
      <c r="P454" s="89"/>
      <c r="T454" s="62"/>
    </row>
    <row r="455" spans="14:20">
      <c r="N455" s="55"/>
      <c r="O455" s="22"/>
      <c r="P455" s="89"/>
      <c r="T455" s="62"/>
    </row>
    <row r="456" spans="14:20">
      <c r="N456" s="55"/>
      <c r="O456" s="22"/>
      <c r="P456" s="89"/>
      <c r="T456" s="62"/>
    </row>
    <row r="457" spans="14:20">
      <c r="N457" s="55"/>
      <c r="O457" s="22"/>
      <c r="P457" s="89"/>
      <c r="T457" s="62"/>
    </row>
    <row r="458" spans="14:20">
      <c r="N458" s="55"/>
      <c r="O458" s="22"/>
      <c r="P458" s="89"/>
      <c r="T458" s="62"/>
    </row>
    <row r="459" spans="14:20">
      <c r="N459" s="55"/>
      <c r="O459" s="22"/>
      <c r="P459" s="89"/>
      <c r="T459" s="62"/>
    </row>
    <row r="460" spans="14:20">
      <c r="N460" s="55"/>
      <c r="O460" s="22"/>
      <c r="P460" s="89"/>
      <c r="T460" s="62"/>
    </row>
    <row r="461" spans="14:20">
      <c r="N461" s="55"/>
      <c r="O461" s="22"/>
      <c r="P461" s="89"/>
      <c r="T461" s="62"/>
    </row>
    <row r="462" spans="14:20">
      <c r="N462" s="55"/>
      <c r="O462" s="22"/>
      <c r="P462" s="89"/>
      <c r="T462" s="62"/>
    </row>
    <row r="463" spans="14:20">
      <c r="N463" s="55"/>
      <c r="O463" s="22"/>
      <c r="P463" s="89"/>
      <c r="T463" s="62"/>
    </row>
    <row r="464" spans="14:20">
      <c r="N464" s="55"/>
      <c r="O464" s="22"/>
      <c r="P464" s="89"/>
      <c r="T464" s="62"/>
    </row>
    <row r="465" spans="14:20">
      <c r="N465" s="55"/>
      <c r="O465" s="22"/>
      <c r="P465" s="89"/>
      <c r="T465" s="62"/>
    </row>
    <row r="466" spans="14:20">
      <c r="N466" s="55"/>
      <c r="O466" s="22"/>
      <c r="P466" s="89"/>
      <c r="T466" s="62"/>
    </row>
    <row r="467" spans="14:20">
      <c r="N467" s="55"/>
      <c r="O467" s="22"/>
      <c r="P467" s="89"/>
      <c r="T467" s="62"/>
    </row>
    <row r="468" spans="14:20">
      <c r="N468" s="55"/>
      <c r="O468" s="22"/>
      <c r="P468" s="89"/>
      <c r="T468" s="62"/>
    </row>
    <row r="469" spans="14:20">
      <c r="N469" s="55"/>
      <c r="O469" s="22"/>
      <c r="P469" s="89"/>
      <c r="T469" s="62"/>
    </row>
    <row r="470" spans="14:20">
      <c r="N470" s="55"/>
      <c r="O470" s="22"/>
      <c r="P470" s="89"/>
      <c r="T470" s="62"/>
    </row>
    <row r="471" spans="14:20">
      <c r="N471" s="55"/>
      <c r="O471" s="22"/>
      <c r="P471" s="89"/>
      <c r="T471" s="62"/>
    </row>
    <row r="472" spans="14:20">
      <c r="N472" s="55"/>
      <c r="O472" s="22"/>
      <c r="P472" s="89"/>
      <c r="T472" s="62"/>
    </row>
    <row r="473" spans="14:20">
      <c r="N473" s="55"/>
      <c r="O473" s="22"/>
      <c r="P473" s="89"/>
      <c r="T473" s="62"/>
    </row>
    <row r="474" spans="14:20">
      <c r="N474" s="55"/>
      <c r="O474" s="22"/>
      <c r="P474" s="89"/>
      <c r="T474" s="62"/>
    </row>
    <row r="475" spans="14:20">
      <c r="N475" s="55"/>
      <c r="O475" s="22"/>
      <c r="P475" s="89"/>
      <c r="T475" s="62"/>
    </row>
    <row r="476" spans="14:20">
      <c r="N476" s="55"/>
      <c r="O476" s="22"/>
      <c r="P476" s="89"/>
      <c r="T476" s="62"/>
    </row>
    <row r="477" spans="14:20">
      <c r="N477" s="55"/>
      <c r="O477" s="22"/>
      <c r="P477" s="89"/>
      <c r="T477" s="62"/>
    </row>
    <row r="478" spans="14:20">
      <c r="N478" s="55"/>
      <c r="O478" s="22"/>
      <c r="P478" s="89"/>
      <c r="T478" s="62"/>
    </row>
    <row r="479" spans="14:20">
      <c r="N479" s="55"/>
      <c r="O479" s="22"/>
      <c r="P479" s="89"/>
      <c r="T479" s="62"/>
    </row>
    <row r="480" spans="14:20">
      <c r="N480" s="55"/>
      <c r="O480" s="22"/>
      <c r="P480" s="89"/>
      <c r="T480" s="62"/>
    </row>
    <row r="481" spans="14:20">
      <c r="N481" s="55"/>
      <c r="O481" s="22"/>
      <c r="P481" s="89"/>
      <c r="T481" s="62"/>
    </row>
    <row r="482" spans="14:20">
      <c r="N482" s="55"/>
      <c r="O482" s="22"/>
      <c r="P482" s="89"/>
      <c r="T482" s="62"/>
    </row>
    <row r="483" spans="14:20">
      <c r="N483" s="55"/>
      <c r="O483" s="22"/>
      <c r="P483" s="89"/>
      <c r="T483" s="62"/>
    </row>
    <row r="484" spans="14:20">
      <c r="N484" s="55"/>
      <c r="O484" s="22"/>
      <c r="P484" s="89"/>
      <c r="T484" s="62"/>
    </row>
    <row r="485" spans="14:20">
      <c r="N485" s="55"/>
      <c r="O485" s="22"/>
      <c r="P485" s="89"/>
      <c r="T485" s="62"/>
    </row>
    <row r="486" spans="14:20">
      <c r="N486" s="55"/>
      <c r="O486" s="22"/>
      <c r="P486" s="89"/>
      <c r="T486" s="62"/>
    </row>
    <row r="487" spans="14:20">
      <c r="N487" s="55"/>
      <c r="O487" s="22"/>
      <c r="P487" s="89"/>
      <c r="T487" s="62"/>
    </row>
    <row r="488" spans="14:20">
      <c r="N488" s="55"/>
      <c r="O488" s="22"/>
      <c r="P488" s="89"/>
      <c r="T488" s="62"/>
    </row>
    <row r="489" spans="14:20">
      <c r="N489" s="55"/>
      <c r="O489" s="22"/>
      <c r="P489" s="89"/>
      <c r="T489" s="62"/>
    </row>
    <row r="490" spans="14:20">
      <c r="N490" s="55"/>
      <c r="O490" s="22"/>
      <c r="P490" s="89"/>
      <c r="T490" s="62"/>
    </row>
    <row r="491" spans="14:20">
      <c r="N491" s="55"/>
      <c r="O491" s="22"/>
      <c r="P491" s="89"/>
      <c r="T491" s="62"/>
    </row>
    <row r="492" spans="14:20">
      <c r="N492" s="55"/>
      <c r="O492" s="22"/>
      <c r="P492" s="89"/>
      <c r="T492" s="62"/>
    </row>
    <row r="493" spans="14:20">
      <c r="N493" s="55"/>
      <c r="O493" s="22"/>
      <c r="P493" s="89"/>
      <c r="T493" s="62"/>
    </row>
    <row r="494" spans="14:20">
      <c r="N494" s="55"/>
      <c r="O494" s="22"/>
      <c r="P494" s="89"/>
      <c r="T494" s="62"/>
    </row>
    <row r="495" spans="14:20">
      <c r="N495" s="55"/>
      <c r="O495" s="22"/>
      <c r="P495" s="89"/>
      <c r="T495" s="62"/>
    </row>
    <row r="496" spans="14:20">
      <c r="N496" s="55"/>
      <c r="O496" s="22"/>
      <c r="P496" s="89"/>
      <c r="T496" s="62"/>
    </row>
    <row r="497" spans="14:20">
      <c r="N497" s="55"/>
      <c r="O497" s="22"/>
      <c r="P497" s="89"/>
      <c r="T497" s="62"/>
    </row>
    <row r="498" spans="14:20">
      <c r="N498" s="55"/>
      <c r="O498" s="22"/>
      <c r="P498" s="89"/>
      <c r="T498" s="62"/>
    </row>
    <row r="499" spans="14:20">
      <c r="N499" s="55"/>
      <c r="O499" s="22"/>
      <c r="P499" s="89"/>
      <c r="T499" s="62"/>
    </row>
    <row r="500" spans="14:20">
      <c r="N500" s="55"/>
      <c r="O500" s="22"/>
      <c r="P500" s="89"/>
      <c r="T500" s="62"/>
    </row>
    <row r="501" spans="14:20">
      <c r="N501" s="55"/>
      <c r="O501" s="22"/>
      <c r="P501" s="89"/>
      <c r="T501" s="62"/>
    </row>
    <row r="502" spans="14:20">
      <c r="N502" s="55"/>
      <c r="O502" s="22"/>
      <c r="P502" s="89"/>
      <c r="T502" s="62"/>
    </row>
    <row r="503" spans="14:20">
      <c r="N503" s="55"/>
      <c r="O503" s="22"/>
      <c r="P503" s="89"/>
      <c r="T503" s="62"/>
    </row>
    <row r="504" spans="14:20">
      <c r="N504" s="55"/>
      <c r="O504" s="22"/>
      <c r="P504" s="89"/>
      <c r="T504" s="62"/>
    </row>
    <row r="505" spans="14:20">
      <c r="N505" s="55"/>
      <c r="O505" s="22"/>
      <c r="P505" s="89"/>
      <c r="T505" s="62"/>
    </row>
    <row r="506" spans="14:20">
      <c r="N506" s="55"/>
      <c r="O506" s="22"/>
      <c r="P506" s="89"/>
      <c r="T506" s="62"/>
    </row>
    <row r="507" spans="14:20">
      <c r="N507" s="55"/>
      <c r="O507" s="22"/>
      <c r="P507" s="89"/>
      <c r="T507" s="62"/>
    </row>
    <row r="508" spans="14:20">
      <c r="N508" s="55"/>
      <c r="O508" s="22"/>
      <c r="P508" s="89"/>
      <c r="T508" s="62"/>
    </row>
    <row r="509" spans="14:20">
      <c r="N509" s="55"/>
      <c r="O509" s="22"/>
      <c r="P509" s="89"/>
      <c r="T509" s="62"/>
    </row>
    <row r="510" spans="14:20">
      <c r="N510" s="55"/>
      <c r="O510" s="22"/>
      <c r="P510" s="89"/>
      <c r="T510" s="62"/>
    </row>
    <row r="511" spans="14:20">
      <c r="N511" s="55"/>
      <c r="O511" s="22"/>
      <c r="P511" s="89"/>
      <c r="T511" s="62"/>
    </row>
    <row r="512" spans="14:20">
      <c r="N512" s="55"/>
      <c r="O512" s="22"/>
      <c r="P512" s="89"/>
      <c r="T512" s="62"/>
    </row>
    <row r="513" spans="14:20">
      <c r="N513" s="55"/>
      <c r="O513" s="22"/>
      <c r="P513" s="89"/>
      <c r="T513" s="62"/>
    </row>
    <row r="514" spans="14:20">
      <c r="N514" s="55"/>
      <c r="O514" s="22"/>
      <c r="P514" s="89"/>
      <c r="T514" s="62"/>
    </row>
    <row r="515" spans="14:20">
      <c r="N515" s="55"/>
      <c r="O515" s="22"/>
      <c r="P515" s="89"/>
      <c r="T515" s="62"/>
    </row>
    <row r="516" spans="14:20">
      <c r="N516" s="55"/>
      <c r="O516" s="22"/>
      <c r="P516" s="89"/>
      <c r="T516" s="62"/>
    </row>
    <row r="517" spans="14:20">
      <c r="N517" s="55"/>
      <c r="O517" s="22"/>
      <c r="P517" s="89"/>
      <c r="T517" s="62"/>
    </row>
    <row r="518" spans="14:20">
      <c r="N518" s="55"/>
      <c r="O518" s="22"/>
      <c r="P518" s="89"/>
      <c r="T518" s="62"/>
    </row>
    <row r="519" spans="14:20">
      <c r="N519" s="55"/>
      <c r="O519" s="22"/>
      <c r="P519" s="89"/>
      <c r="T519" s="62"/>
    </row>
    <row r="520" spans="14:20">
      <c r="N520" s="55"/>
      <c r="O520" s="22"/>
      <c r="P520" s="89"/>
      <c r="T520" s="62"/>
    </row>
    <row r="521" spans="14:20">
      <c r="N521" s="55"/>
      <c r="O521" s="22"/>
      <c r="P521" s="89"/>
      <c r="T521" s="62"/>
    </row>
    <row r="522" spans="14:20">
      <c r="N522" s="55"/>
      <c r="O522" s="22"/>
      <c r="P522" s="89"/>
      <c r="T522" s="62"/>
    </row>
    <row r="523" spans="14:20">
      <c r="N523" s="55"/>
      <c r="O523" s="22"/>
      <c r="P523" s="89"/>
      <c r="T523" s="62"/>
    </row>
    <row r="524" spans="14:20">
      <c r="N524" s="55"/>
      <c r="O524" s="22"/>
      <c r="P524" s="89"/>
      <c r="T524" s="62"/>
    </row>
    <row r="525" spans="14:20">
      <c r="N525" s="55"/>
      <c r="O525" s="22"/>
      <c r="P525" s="89"/>
      <c r="T525" s="62"/>
    </row>
    <row r="526" spans="14:20">
      <c r="N526" s="55"/>
      <c r="O526" s="22"/>
      <c r="P526" s="89"/>
      <c r="T526" s="62"/>
    </row>
    <row r="527" spans="14:20">
      <c r="N527" s="55"/>
      <c r="O527" s="22"/>
      <c r="P527" s="89"/>
      <c r="T527" s="62"/>
    </row>
    <row r="528" spans="14:20">
      <c r="N528" s="55"/>
      <c r="O528" s="22"/>
      <c r="P528" s="89"/>
      <c r="T528" s="62"/>
    </row>
    <row r="529" spans="14:20">
      <c r="N529" s="55"/>
      <c r="O529" s="22"/>
      <c r="P529" s="89"/>
      <c r="T529" s="62"/>
    </row>
    <row r="530" spans="14:20">
      <c r="N530" s="55"/>
      <c r="O530" s="22"/>
      <c r="P530" s="89"/>
      <c r="T530" s="62"/>
    </row>
    <row r="531" spans="14:20">
      <c r="N531" s="55"/>
      <c r="O531" s="22"/>
      <c r="P531" s="89"/>
      <c r="T531" s="62"/>
    </row>
    <row r="532" spans="14:20">
      <c r="N532" s="55"/>
      <c r="O532" s="22"/>
      <c r="P532" s="89"/>
      <c r="T532" s="62"/>
    </row>
    <row r="533" spans="14:20">
      <c r="N533" s="55"/>
      <c r="O533" s="22"/>
      <c r="P533" s="89"/>
      <c r="T533" s="62"/>
    </row>
    <row r="534" spans="14:20">
      <c r="N534" s="55"/>
      <c r="O534" s="22"/>
      <c r="P534" s="89"/>
      <c r="T534" s="62"/>
    </row>
    <row r="535" spans="14:20">
      <c r="N535" s="55"/>
      <c r="O535" s="22"/>
      <c r="P535" s="89"/>
      <c r="T535" s="62"/>
    </row>
    <row r="536" spans="14:20">
      <c r="N536" s="55"/>
      <c r="O536" s="22"/>
      <c r="P536" s="89"/>
      <c r="T536" s="62"/>
    </row>
    <row r="537" spans="14:20">
      <c r="N537" s="55"/>
      <c r="O537" s="22"/>
      <c r="P537" s="89"/>
      <c r="T537" s="62"/>
    </row>
    <row r="538" spans="14:20">
      <c r="N538" s="55"/>
      <c r="O538" s="22"/>
      <c r="P538" s="89"/>
      <c r="T538" s="62"/>
    </row>
    <row r="539" spans="14:20">
      <c r="N539" s="55"/>
      <c r="O539" s="22"/>
      <c r="P539" s="89"/>
      <c r="T539" s="62"/>
    </row>
    <row r="540" spans="14:20">
      <c r="N540" s="55"/>
      <c r="O540" s="22"/>
      <c r="P540" s="89"/>
      <c r="T540" s="62"/>
    </row>
    <row r="541" spans="14:20">
      <c r="N541" s="55"/>
      <c r="O541" s="22"/>
      <c r="P541" s="89"/>
      <c r="T541" s="62"/>
    </row>
    <row r="542" spans="14:20">
      <c r="N542" s="55"/>
      <c r="O542" s="22"/>
      <c r="P542" s="89"/>
      <c r="T542" s="62"/>
    </row>
    <row r="543" spans="14:20">
      <c r="N543" s="55"/>
      <c r="O543" s="22"/>
      <c r="P543" s="89"/>
      <c r="T543" s="62"/>
    </row>
    <row r="544" spans="14:20">
      <c r="N544" s="55"/>
      <c r="O544" s="22"/>
      <c r="P544" s="89"/>
      <c r="T544" s="62"/>
    </row>
    <row r="545" spans="14:20">
      <c r="N545" s="55"/>
      <c r="O545" s="22"/>
      <c r="P545" s="89"/>
      <c r="T545" s="62"/>
    </row>
    <row r="546" spans="14:20">
      <c r="N546" s="55"/>
      <c r="O546" s="22"/>
      <c r="P546" s="89"/>
      <c r="T546" s="62"/>
    </row>
    <row r="547" spans="14:20">
      <c r="N547" s="55"/>
      <c r="O547" s="22"/>
      <c r="P547" s="89"/>
      <c r="T547" s="62"/>
    </row>
    <row r="548" spans="14:20">
      <c r="N548" s="55"/>
      <c r="O548" s="22"/>
      <c r="P548" s="89"/>
      <c r="T548" s="62"/>
    </row>
    <row r="549" spans="14:20">
      <c r="N549" s="55"/>
      <c r="O549" s="22"/>
      <c r="P549" s="89"/>
      <c r="T549" s="62"/>
    </row>
    <row r="550" spans="14:20">
      <c r="N550" s="55"/>
      <c r="O550" s="22"/>
      <c r="P550" s="89"/>
      <c r="T550" s="62"/>
    </row>
    <row r="551" spans="14:20">
      <c r="N551" s="55"/>
      <c r="O551" s="22"/>
      <c r="P551" s="89"/>
      <c r="T551" s="62"/>
    </row>
    <row r="552" spans="14:20">
      <c r="N552" s="55"/>
      <c r="O552" s="22"/>
      <c r="P552" s="89"/>
      <c r="T552" s="62"/>
    </row>
    <row r="553" spans="14:20">
      <c r="N553" s="55"/>
      <c r="O553" s="22"/>
      <c r="P553" s="89"/>
      <c r="T553" s="62"/>
    </row>
    <row r="554" spans="14:20">
      <c r="N554" s="55"/>
      <c r="O554" s="22"/>
      <c r="P554" s="89"/>
      <c r="T554" s="62"/>
    </row>
    <row r="555" spans="14:20">
      <c r="N555" s="55"/>
      <c r="O555" s="22"/>
      <c r="P555" s="89"/>
      <c r="T555" s="62"/>
    </row>
    <row r="556" spans="14:20">
      <c r="N556" s="55"/>
      <c r="O556" s="22"/>
      <c r="P556" s="89"/>
      <c r="T556" s="62"/>
    </row>
    <row r="557" spans="14:20">
      <c r="N557" s="55"/>
      <c r="O557" s="22"/>
      <c r="P557" s="89"/>
      <c r="T557" s="62"/>
    </row>
    <row r="558" spans="14:20">
      <c r="N558" s="55"/>
      <c r="O558" s="22"/>
      <c r="P558" s="89"/>
      <c r="T558" s="62"/>
    </row>
    <row r="559" spans="14:20">
      <c r="N559" s="55"/>
      <c r="O559" s="22"/>
      <c r="P559" s="89"/>
      <c r="T559" s="62"/>
    </row>
    <row r="560" spans="14:20">
      <c r="N560" s="55"/>
      <c r="O560" s="22"/>
      <c r="P560" s="89"/>
      <c r="T560" s="62"/>
    </row>
    <row r="561" spans="14:20">
      <c r="N561" s="55"/>
      <c r="O561" s="22"/>
      <c r="P561" s="89"/>
      <c r="T561" s="62"/>
    </row>
    <row r="562" spans="14:20">
      <c r="N562" s="55"/>
      <c r="O562" s="22"/>
      <c r="P562" s="89"/>
      <c r="T562" s="62"/>
    </row>
    <row r="563" spans="14:20">
      <c r="N563" s="55"/>
      <c r="O563" s="22"/>
      <c r="P563" s="89"/>
      <c r="T563" s="62"/>
    </row>
    <row r="564" spans="14:20">
      <c r="N564" s="55"/>
      <c r="O564" s="22"/>
      <c r="P564" s="89"/>
      <c r="T564" s="62"/>
    </row>
    <row r="565" spans="14:20">
      <c r="N565" s="55"/>
      <c r="O565" s="22"/>
      <c r="P565" s="89"/>
      <c r="T565" s="62"/>
    </row>
    <row r="566" spans="14:20">
      <c r="N566" s="55"/>
      <c r="O566" s="22"/>
      <c r="P566" s="89"/>
      <c r="T566" s="62"/>
    </row>
    <row r="567" spans="14:20">
      <c r="N567" s="55"/>
      <c r="O567" s="22"/>
      <c r="P567" s="89"/>
      <c r="T567" s="62"/>
    </row>
    <row r="568" spans="14:20">
      <c r="N568" s="55"/>
      <c r="O568" s="22"/>
      <c r="P568" s="89"/>
      <c r="T568" s="62"/>
    </row>
    <row r="569" spans="14:20">
      <c r="N569" s="55"/>
      <c r="O569" s="22"/>
      <c r="P569" s="89"/>
      <c r="T569" s="62"/>
    </row>
    <row r="570" spans="14:20">
      <c r="N570" s="55"/>
      <c r="O570" s="22"/>
      <c r="P570" s="89"/>
      <c r="T570" s="62"/>
    </row>
    <row r="571" spans="14:20">
      <c r="N571" s="55"/>
      <c r="O571" s="22"/>
      <c r="P571" s="89"/>
      <c r="T571" s="62"/>
    </row>
    <row r="572" spans="14:20">
      <c r="N572" s="55"/>
      <c r="O572" s="22"/>
      <c r="P572" s="89"/>
      <c r="T572" s="62"/>
    </row>
    <row r="573" spans="14:20">
      <c r="N573" s="55"/>
      <c r="O573" s="22"/>
      <c r="P573" s="89"/>
      <c r="T573" s="62"/>
    </row>
    <row r="574" spans="14:20">
      <c r="N574" s="55"/>
      <c r="O574" s="22"/>
      <c r="P574" s="89"/>
      <c r="T574" s="62"/>
    </row>
    <row r="575" spans="14:20">
      <c r="N575" s="55"/>
      <c r="O575" s="22"/>
      <c r="P575" s="89"/>
      <c r="T575" s="62"/>
    </row>
    <row r="576" spans="14:20">
      <c r="N576" s="55"/>
      <c r="O576" s="22"/>
      <c r="P576" s="89"/>
      <c r="T576" s="62"/>
    </row>
    <row r="577" spans="14:20">
      <c r="N577" s="55"/>
      <c r="O577" s="22"/>
      <c r="P577" s="89"/>
      <c r="T577" s="62"/>
    </row>
    <row r="578" spans="14:20">
      <c r="N578" s="55"/>
      <c r="O578" s="22"/>
      <c r="P578" s="89"/>
      <c r="T578" s="62"/>
    </row>
    <row r="579" spans="14:20">
      <c r="N579" s="55"/>
      <c r="O579" s="22"/>
      <c r="P579" s="89"/>
      <c r="T579" s="62"/>
    </row>
    <row r="580" spans="14:20">
      <c r="N580" s="55"/>
      <c r="O580" s="22"/>
      <c r="P580" s="89"/>
      <c r="T580" s="62"/>
    </row>
    <row r="581" spans="14:20">
      <c r="N581" s="55"/>
      <c r="O581" s="22"/>
      <c r="P581" s="89"/>
      <c r="T581" s="62"/>
    </row>
    <row r="582" spans="14:20">
      <c r="N582" s="55"/>
      <c r="O582" s="22"/>
      <c r="P582" s="89"/>
      <c r="T582" s="62"/>
    </row>
    <row r="583" spans="14:20">
      <c r="N583" s="55"/>
      <c r="O583" s="22"/>
      <c r="P583" s="89"/>
      <c r="T583" s="62"/>
    </row>
    <row r="584" spans="14:20">
      <c r="N584" s="55"/>
      <c r="O584" s="22"/>
      <c r="P584" s="89"/>
      <c r="T584" s="62"/>
    </row>
    <row r="585" spans="14:20">
      <c r="N585" s="55"/>
      <c r="O585" s="22"/>
      <c r="P585" s="89"/>
      <c r="T585" s="62"/>
    </row>
    <row r="586" spans="14:20">
      <c r="N586" s="55"/>
      <c r="O586" s="22"/>
      <c r="P586" s="89"/>
      <c r="T586" s="62"/>
    </row>
    <row r="587" spans="14:20">
      <c r="N587" s="55"/>
      <c r="O587" s="22"/>
      <c r="P587" s="89"/>
      <c r="T587" s="62"/>
    </row>
    <row r="588" spans="14:20">
      <c r="N588" s="55"/>
      <c r="O588" s="22"/>
      <c r="P588" s="89"/>
      <c r="T588" s="62"/>
    </row>
    <row r="589" spans="14:20">
      <c r="N589" s="55"/>
      <c r="O589" s="22"/>
      <c r="P589" s="89"/>
      <c r="T589" s="62"/>
    </row>
    <row r="590" spans="14:20">
      <c r="N590" s="55"/>
      <c r="O590" s="22"/>
      <c r="P590" s="89"/>
      <c r="T590" s="62"/>
    </row>
    <row r="591" spans="14:20">
      <c r="N591" s="55"/>
      <c r="O591" s="22"/>
      <c r="P591" s="89"/>
      <c r="T591" s="62"/>
    </row>
    <row r="592" spans="14:20">
      <c r="N592" s="55"/>
      <c r="O592" s="22"/>
      <c r="P592" s="89"/>
      <c r="T592" s="62"/>
    </row>
    <row r="593" spans="14:20">
      <c r="N593" s="55"/>
      <c r="O593" s="22"/>
      <c r="P593" s="89"/>
      <c r="T593" s="62"/>
    </row>
    <row r="594" spans="14:20">
      <c r="N594" s="55"/>
      <c r="O594" s="22"/>
      <c r="P594" s="89"/>
      <c r="T594" s="62"/>
    </row>
    <row r="595" spans="14:20">
      <c r="N595" s="55"/>
      <c r="O595" s="22"/>
      <c r="P595" s="89"/>
      <c r="T595" s="62"/>
    </row>
    <row r="596" spans="14:20">
      <c r="N596" s="55"/>
      <c r="O596" s="22"/>
      <c r="P596" s="89"/>
      <c r="T596" s="62"/>
    </row>
    <row r="597" spans="14:20">
      <c r="N597" s="55"/>
      <c r="O597" s="22"/>
      <c r="P597" s="89"/>
      <c r="T597" s="62"/>
    </row>
    <row r="598" spans="14:20">
      <c r="N598" s="55"/>
      <c r="O598" s="22"/>
      <c r="P598" s="89"/>
      <c r="T598" s="62"/>
    </row>
    <row r="599" spans="14:20">
      <c r="N599" s="55"/>
      <c r="O599" s="22"/>
      <c r="P599" s="89"/>
      <c r="T599" s="62"/>
    </row>
    <row r="600" spans="14:20">
      <c r="N600" s="55"/>
      <c r="O600" s="22"/>
      <c r="P600" s="89"/>
      <c r="T600" s="62"/>
    </row>
    <row r="601" spans="14:20">
      <c r="N601" s="55"/>
      <c r="O601" s="22"/>
      <c r="P601" s="89"/>
      <c r="T601" s="62"/>
    </row>
    <row r="602" spans="14:20">
      <c r="N602" s="55"/>
      <c r="O602" s="22"/>
      <c r="P602" s="89"/>
      <c r="T602" s="62"/>
    </row>
    <row r="603" spans="14:20">
      <c r="N603" s="55"/>
      <c r="O603" s="22"/>
      <c r="P603" s="89"/>
      <c r="T603" s="62"/>
    </row>
    <row r="604" spans="14:20">
      <c r="N604" s="55"/>
      <c r="O604" s="22"/>
      <c r="P604" s="89"/>
      <c r="T604" s="62"/>
    </row>
    <row r="605" spans="14:20">
      <c r="N605" s="55"/>
      <c r="O605" s="22"/>
      <c r="P605" s="89"/>
      <c r="T605" s="62"/>
    </row>
    <row r="606" spans="14:20">
      <c r="N606" s="55"/>
      <c r="O606" s="22"/>
      <c r="P606" s="89"/>
      <c r="T606" s="62"/>
    </row>
    <row r="607" spans="14:20">
      <c r="N607" s="55"/>
      <c r="O607" s="22"/>
      <c r="P607" s="89"/>
      <c r="T607" s="62"/>
    </row>
    <row r="608" spans="14:20">
      <c r="N608" s="55"/>
      <c r="O608" s="22"/>
      <c r="P608" s="89"/>
      <c r="T608" s="62"/>
    </row>
    <row r="609" spans="14:20">
      <c r="N609" s="55"/>
      <c r="O609" s="22"/>
      <c r="P609" s="89"/>
      <c r="T609" s="62"/>
    </row>
    <row r="610" spans="14:20">
      <c r="N610" s="55"/>
      <c r="O610" s="22"/>
      <c r="P610" s="89"/>
      <c r="T610" s="62"/>
    </row>
    <row r="611" spans="14:20">
      <c r="N611" s="55"/>
      <c r="O611" s="22"/>
      <c r="P611" s="89"/>
      <c r="T611" s="62"/>
    </row>
    <row r="612" spans="14:20">
      <c r="N612" s="55"/>
      <c r="O612" s="22"/>
      <c r="P612" s="89"/>
      <c r="T612" s="62"/>
    </row>
    <row r="613" spans="14:20">
      <c r="N613" s="55"/>
      <c r="O613" s="22"/>
      <c r="P613" s="89"/>
      <c r="T613" s="62"/>
    </row>
    <row r="614" spans="14:20">
      <c r="N614" s="55"/>
      <c r="O614" s="22"/>
      <c r="P614" s="89"/>
      <c r="T614" s="62"/>
    </row>
    <row r="615" spans="14:20">
      <c r="N615" s="55"/>
      <c r="O615" s="22"/>
      <c r="P615" s="89"/>
      <c r="T615" s="62"/>
    </row>
    <row r="616" spans="14:20">
      <c r="N616" s="55"/>
      <c r="O616" s="22"/>
      <c r="P616" s="89"/>
      <c r="T616" s="62"/>
    </row>
    <row r="617" spans="14:20">
      <c r="N617" s="55"/>
      <c r="O617" s="22"/>
      <c r="P617" s="89"/>
      <c r="T617" s="62"/>
    </row>
    <row r="618" spans="14:20">
      <c r="N618" s="55"/>
      <c r="O618" s="22"/>
      <c r="P618" s="89"/>
      <c r="T618" s="62"/>
    </row>
    <row r="619" spans="14:20">
      <c r="N619" s="55"/>
      <c r="O619" s="22"/>
      <c r="P619" s="89"/>
      <c r="T619" s="62"/>
    </row>
    <row r="620" spans="14:20">
      <c r="N620" s="55"/>
      <c r="O620" s="22"/>
      <c r="P620" s="89"/>
      <c r="T620" s="62"/>
    </row>
    <row r="621" spans="14:20">
      <c r="N621" s="55"/>
      <c r="O621" s="22"/>
      <c r="P621" s="89"/>
      <c r="T621" s="62"/>
    </row>
    <row r="622" spans="14:20">
      <c r="N622" s="55"/>
      <c r="O622" s="22"/>
      <c r="P622" s="89"/>
      <c r="T622" s="62"/>
    </row>
    <row r="623" spans="14:20">
      <c r="N623" s="55"/>
      <c r="O623" s="22"/>
      <c r="P623" s="89"/>
      <c r="T623" s="62"/>
    </row>
    <row r="624" spans="14:20">
      <c r="N624" s="55"/>
      <c r="O624" s="22"/>
      <c r="P624" s="89"/>
      <c r="T624" s="62"/>
    </row>
    <row r="625" spans="14:20">
      <c r="N625" s="55"/>
      <c r="O625" s="22"/>
      <c r="P625" s="89"/>
      <c r="T625" s="62"/>
    </row>
    <row r="626" spans="14:20">
      <c r="N626" s="55"/>
      <c r="O626" s="22"/>
      <c r="P626" s="89"/>
      <c r="T626" s="62"/>
    </row>
    <row r="627" spans="14:20">
      <c r="N627" s="55"/>
      <c r="O627" s="22"/>
      <c r="P627" s="89"/>
      <c r="T627" s="62"/>
    </row>
    <row r="628" spans="14:20">
      <c r="N628" s="55"/>
      <c r="O628" s="22"/>
      <c r="P628" s="89"/>
      <c r="T628" s="62"/>
    </row>
    <row r="629" spans="14:20">
      <c r="N629" s="55"/>
      <c r="O629" s="22"/>
      <c r="P629" s="89"/>
      <c r="T629" s="62"/>
    </row>
    <row r="630" spans="14:20">
      <c r="N630" s="55"/>
      <c r="O630" s="22"/>
      <c r="P630" s="89"/>
      <c r="T630" s="62"/>
    </row>
    <row r="631" spans="14:20">
      <c r="N631" s="55"/>
      <c r="O631" s="22"/>
      <c r="P631" s="89"/>
      <c r="T631" s="62"/>
    </row>
    <row r="632" spans="14:20">
      <c r="N632" s="55"/>
      <c r="O632" s="22"/>
      <c r="P632" s="89"/>
      <c r="T632" s="62"/>
    </row>
    <row r="633" spans="14:20">
      <c r="N633" s="55"/>
      <c r="O633" s="22"/>
      <c r="P633" s="89"/>
      <c r="T633" s="62"/>
    </row>
    <row r="634" spans="14:20">
      <c r="N634" s="55"/>
      <c r="O634" s="22"/>
      <c r="P634" s="89"/>
      <c r="T634" s="62"/>
    </row>
    <row r="635" spans="14:20">
      <c r="N635" s="55"/>
      <c r="O635" s="22"/>
      <c r="P635" s="89"/>
      <c r="T635" s="62"/>
    </row>
    <row r="636" spans="14:20">
      <c r="N636" s="55"/>
      <c r="O636" s="22"/>
      <c r="P636" s="89"/>
      <c r="T636" s="62"/>
    </row>
    <row r="637" spans="14:20">
      <c r="N637" s="55"/>
      <c r="O637" s="22"/>
      <c r="P637" s="89"/>
      <c r="T637" s="62"/>
    </row>
    <row r="638" spans="14:20">
      <c r="N638" s="55"/>
      <c r="O638" s="22"/>
      <c r="P638" s="89"/>
      <c r="T638" s="62"/>
    </row>
    <row r="639" spans="14:20">
      <c r="N639" s="55"/>
      <c r="O639" s="22"/>
      <c r="P639" s="89"/>
      <c r="T639" s="62"/>
    </row>
    <row r="640" spans="14:20">
      <c r="N640" s="55"/>
      <c r="O640" s="22"/>
      <c r="P640" s="89"/>
      <c r="T640" s="62"/>
    </row>
    <row r="641" spans="14:20">
      <c r="N641" s="55"/>
      <c r="O641" s="22"/>
      <c r="P641" s="89"/>
      <c r="T641" s="62"/>
    </row>
    <row r="642" spans="14:20">
      <c r="N642" s="55"/>
      <c r="O642" s="22"/>
      <c r="P642" s="89"/>
      <c r="T642" s="62"/>
    </row>
    <row r="643" spans="14:20">
      <c r="N643" s="55"/>
      <c r="O643" s="22"/>
      <c r="P643" s="89"/>
      <c r="T643" s="62"/>
    </row>
    <row r="644" spans="14:20">
      <c r="N644" s="55"/>
      <c r="O644" s="22"/>
      <c r="P644" s="89"/>
      <c r="T644" s="62"/>
    </row>
    <row r="645" spans="14:20">
      <c r="N645" s="55"/>
      <c r="O645" s="22"/>
      <c r="P645" s="89"/>
      <c r="T645" s="62"/>
    </row>
    <row r="646" spans="14:20">
      <c r="N646" s="55"/>
      <c r="O646" s="22"/>
      <c r="P646" s="89"/>
      <c r="T646" s="62"/>
    </row>
    <row r="647" spans="14:20">
      <c r="N647" s="55"/>
      <c r="O647" s="22"/>
      <c r="P647" s="89"/>
      <c r="T647" s="62"/>
    </row>
    <row r="648" spans="14:20">
      <c r="N648" s="55"/>
      <c r="O648" s="22"/>
      <c r="P648" s="89"/>
      <c r="T648" s="62"/>
    </row>
    <row r="649" spans="14:20">
      <c r="N649" s="55"/>
      <c r="O649" s="22"/>
      <c r="P649" s="89"/>
      <c r="T649" s="62"/>
    </row>
    <row r="650" spans="14:20">
      <c r="N650" s="55"/>
      <c r="O650" s="22"/>
      <c r="P650" s="89"/>
      <c r="T650" s="62"/>
    </row>
    <row r="651" spans="14:20">
      <c r="N651" s="55"/>
      <c r="O651" s="22"/>
      <c r="P651" s="89"/>
      <c r="T651" s="62"/>
    </row>
    <row r="652" spans="14:20">
      <c r="N652" s="55"/>
      <c r="O652" s="22"/>
      <c r="P652" s="89"/>
      <c r="T652" s="62"/>
    </row>
    <row r="653" spans="14:20">
      <c r="N653" s="55"/>
      <c r="O653" s="22"/>
      <c r="P653" s="89"/>
      <c r="T653" s="62"/>
    </row>
    <row r="654" spans="14:20">
      <c r="N654" s="55"/>
      <c r="O654" s="22"/>
      <c r="P654" s="89"/>
      <c r="T654" s="62"/>
    </row>
    <row r="655" spans="14:20">
      <c r="N655" s="55"/>
      <c r="O655" s="22"/>
      <c r="P655" s="89"/>
      <c r="T655" s="62"/>
    </row>
    <row r="656" spans="14:20">
      <c r="N656" s="55"/>
      <c r="O656" s="22"/>
      <c r="P656" s="89"/>
      <c r="T656" s="62"/>
    </row>
    <row r="657" spans="14:20">
      <c r="N657" s="55"/>
      <c r="O657" s="22"/>
      <c r="P657" s="89"/>
      <c r="T657" s="62"/>
    </row>
    <row r="658" spans="14:20">
      <c r="N658" s="55"/>
      <c r="O658" s="22"/>
      <c r="P658" s="89"/>
      <c r="T658" s="62"/>
    </row>
    <row r="659" spans="14:20">
      <c r="N659" s="55"/>
      <c r="O659" s="22"/>
      <c r="P659" s="89"/>
      <c r="T659" s="62"/>
    </row>
    <row r="660" spans="14:20">
      <c r="N660" s="55"/>
      <c r="O660" s="22"/>
      <c r="P660" s="89"/>
      <c r="T660" s="62"/>
    </row>
    <row r="661" spans="14:20">
      <c r="N661" s="55"/>
      <c r="O661" s="22"/>
      <c r="P661" s="89"/>
      <c r="T661" s="62"/>
    </row>
    <row r="662" spans="14:20">
      <c r="N662" s="55"/>
      <c r="O662" s="22"/>
      <c r="P662" s="89"/>
      <c r="T662" s="62"/>
    </row>
    <row r="663" spans="14:20">
      <c r="N663" s="55"/>
      <c r="O663" s="22"/>
      <c r="P663" s="89"/>
      <c r="T663" s="62"/>
    </row>
    <row r="664" spans="14:20">
      <c r="N664" s="55"/>
      <c r="O664" s="22"/>
      <c r="P664" s="89"/>
      <c r="T664" s="62"/>
    </row>
    <row r="665" spans="14:20">
      <c r="N665" s="55"/>
      <c r="O665" s="22"/>
      <c r="P665" s="89"/>
      <c r="T665" s="62"/>
    </row>
    <row r="666" spans="14:20">
      <c r="N666" s="55"/>
      <c r="O666" s="22"/>
      <c r="P666" s="89"/>
      <c r="T666" s="62"/>
    </row>
    <row r="667" spans="14:20">
      <c r="N667" s="55"/>
      <c r="O667" s="22"/>
      <c r="P667" s="89"/>
      <c r="T667" s="62"/>
    </row>
    <row r="668" spans="14:20">
      <c r="N668" s="55"/>
      <c r="O668" s="22"/>
      <c r="P668" s="89"/>
      <c r="T668" s="62"/>
    </row>
    <row r="669" spans="14:20">
      <c r="N669" s="55"/>
      <c r="O669" s="22"/>
      <c r="P669" s="89"/>
      <c r="T669" s="62"/>
    </row>
    <row r="670" spans="14:20">
      <c r="N670" s="55"/>
      <c r="O670" s="22"/>
      <c r="P670" s="89"/>
      <c r="T670" s="62"/>
    </row>
    <row r="671" spans="14:20">
      <c r="N671" s="55"/>
      <c r="O671" s="22"/>
      <c r="P671" s="89"/>
      <c r="T671" s="62"/>
    </row>
    <row r="672" spans="14:20">
      <c r="N672" s="55"/>
      <c r="O672" s="22"/>
      <c r="P672" s="89"/>
      <c r="T672" s="62"/>
    </row>
    <row r="673" spans="14:20">
      <c r="N673" s="55"/>
      <c r="O673" s="22"/>
      <c r="P673" s="89"/>
      <c r="T673" s="62"/>
    </row>
    <row r="674" spans="14:20">
      <c r="N674" s="55"/>
      <c r="O674" s="22"/>
      <c r="P674" s="89"/>
      <c r="T674" s="62"/>
    </row>
    <row r="675" spans="14:20">
      <c r="N675" s="55"/>
      <c r="O675" s="22"/>
      <c r="P675" s="89"/>
      <c r="T675" s="62"/>
    </row>
    <row r="676" spans="14:20">
      <c r="N676" s="55"/>
      <c r="O676" s="22"/>
      <c r="P676" s="89"/>
      <c r="T676" s="62"/>
    </row>
    <row r="677" spans="14:20">
      <c r="N677" s="55"/>
      <c r="O677" s="22"/>
      <c r="P677" s="89"/>
      <c r="T677" s="62"/>
    </row>
    <row r="678" spans="14:20">
      <c r="N678" s="55"/>
      <c r="O678" s="22"/>
      <c r="P678" s="89"/>
      <c r="T678" s="62"/>
    </row>
    <row r="679" spans="14:20">
      <c r="N679" s="55"/>
      <c r="O679" s="22"/>
      <c r="P679" s="89"/>
      <c r="T679" s="62"/>
    </row>
    <row r="680" spans="14:20">
      <c r="N680" s="55"/>
      <c r="O680" s="22"/>
      <c r="P680" s="89"/>
      <c r="T680" s="62"/>
    </row>
    <row r="681" spans="14:20">
      <c r="N681" s="55"/>
      <c r="O681" s="22"/>
      <c r="P681" s="89"/>
      <c r="T681" s="62"/>
    </row>
    <row r="682" spans="14:20">
      <c r="N682" s="55"/>
      <c r="O682" s="22"/>
      <c r="P682" s="89"/>
      <c r="T682" s="62"/>
    </row>
    <row r="683" spans="14:20">
      <c r="N683" s="55"/>
      <c r="O683" s="22"/>
      <c r="P683" s="89"/>
      <c r="T683" s="62"/>
    </row>
    <row r="684" spans="14:20">
      <c r="N684" s="55"/>
      <c r="O684" s="22"/>
      <c r="P684" s="89"/>
      <c r="T684" s="62"/>
    </row>
    <row r="685" spans="14:20">
      <c r="N685" s="55"/>
      <c r="O685" s="22"/>
      <c r="P685" s="89"/>
      <c r="T685" s="62"/>
    </row>
    <row r="686" spans="14:20">
      <c r="N686" s="55"/>
      <c r="O686" s="22"/>
      <c r="P686" s="89"/>
      <c r="T686" s="62"/>
    </row>
    <row r="687" spans="14:20">
      <c r="N687" s="55"/>
      <c r="O687" s="22"/>
      <c r="P687" s="89"/>
      <c r="T687" s="62"/>
    </row>
    <row r="688" spans="14:20">
      <c r="N688" s="55"/>
      <c r="O688" s="22"/>
      <c r="P688" s="89"/>
      <c r="T688" s="62"/>
    </row>
    <row r="689" spans="14:20">
      <c r="N689" s="55"/>
      <c r="O689" s="22"/>
      <c r="P689" s="89"/>
      <c r="T689" s="62"/>
    </row>
    <row r="690" spans="14:20">
      <c r="N690" s="55"/>
      <c r="O690" s="22"/>
      <c r="P690" s="89"/>
      <c r="T690" s="62"/>
    </row>
    <row r="691" spans="14:20">
      <c r="N691" s="55"/>
      <c r="O691" s="22"/>
      <c r="P691" s="89"/>
      <c r="T691" s="62"/>
    </row>
    <row r="692" spans="14:20">
      <c r="N692" s="55"/>
      <c r="O692" s="22"/>
      <c r="P692" s="89"/>
      <c r="T692" s="62"/>
    </row>
    <row r="693" spans="14:20">
      <c r="N693" s="55"/>
      <c r="O693" s="22"/>
      <c r="P693" s="89"/>
      <c r="T693" s="62"/>
    </row>
    <row r="694" spans="14:20">
      <c r="N694" s="55"/>
      <c r="O694" s="22"/>
      <c r="P694" s="89"/>
      <c r="T694" s="62"/>
    </row>
    <row r="695" spans="14:20">
      <c r="N695" s="55"/>
      <c r="O695" s="22"/>
      <c r="P695" s="89"/>
      <c r="T695" s="62"/>
    </row>
    <row r="696" spans="14:20">
      <c r="N696" s="55"/>
      <c r="O696" s="22"/>
      <c r="P696" s="89"/>
      <c r="T696" s="62"/>
    </row>
    <row r="697" spans="14:20">
      <c r="N697" s="55"/>
      <c r="O697" s="22"/>
      <c r="P697" s="89"/>
      <c r="T697" s="62"/>
    </row>
    <row r="698" spans="14:20">
      <c r="N698" s="55"/>
      <c r="O698" s="22"/>
      <c r="P698" s="89"/>
      <c r="T698" s="62"/>
    </row>
    <row r="699" spans="14:20">
      <c r="N699" s="55"/>
      <c r="O699" s="22"/>
      <c r="P699" s="89"/>
      <c r="T699" s="62"/>
    </row>
    <row r="700" spans="14:20">
      <c r="N700" s="55"/>
      <c r="O700" s="22"/>
      <c r="P700" s="89"/>
      <c r="T700" s="62"/>
    </row>
    <row r="701" spans="14:20">
      <c r="N701" s="55"/>
      <c r="O701" s="22"/>
      <c r="P701" s="89"/>
      <c r="T701" s="62"/>
    </row>
    <row r="702" spans="14:20">
      <c r="N702" s="55"/>
      <c r="O702" s="22"/>
      <c r="P702" s="89"/>
      <c r="T702" s="62"/>
    </row>
    <row r="703" spans="14:20">
      <c r="N703" s="55"/>
      <c r="O703" s="22"/>
      <c r="P703" s="89"/>
      <c r="T703" s="62"/>
    </row>
    <row r="704" spans="14:20">
      <c r="N704" s="55"/>
      <c r="O704" s="22"/>
      <c r="P704" s="89"/>
      <c r="T704" s="62"/>
    </row>
    <row r="705" spans="14:20">
      <c r="N705" s="55"/>
      <c r="O705" s="22"/>
      <c r="P705" s="89"/>
      <c r="T705" s="62"/>
    </row>
    <row r="706" spans="14:20">
      <c r="N706" s="55"/>
      <c r="O706" s="22"/>
      <c r="P706" s="89"/>
      <c r="T706" s="62"/>
    </row>
    <row r="707" spans="14:20">
      <c r="N707" s="55"/>
      <c r="O707" s="22"/>
      <c r="P707" s="89"/>
      <c r="T707" s="62"/>
    </row>
    <row r="708" spans="14:20">
      <c r="N708" s="55"/>
      <c r="O708" s="22"/>
      <c r="P708" s="89"/>
      <c r="T708" s="62"/>
    </row>
    <row r="709" spans="14:20">
      <c r="N709" s="55"/>
      <c r="O709" s="22"/>
      <c r="P709" s="89"/>
      <c r="T709" s="62"/>
    </row>
    <row r="710" spans="14:20">
      <c r="N710" s="55"/>
      <c r="O710" s="22"/>
      <c r="P710" s="89"/>
      <c r="T710" s="62"/>
    </row>
    <row r="711" spans="14:20">
      <c r="N711" s="55"/>
      <c r="O711" s="22"/>
      <c r="P711" s="89"/>
      <c r="T711" s="62"/>
    </row>
    <row r="712" spans="14:20">
      <c r="N712" s="55"/>
      <c r="O712" s="22"/>
      <c r="P712" s="89"/>
      <c r="T712" s="62"/>
    </row>
    <row r="713" spans="14:20">
      <c r="N713" s="55"/>
      <c r="O713" s="22"/>
      <c r="P713" s="89"/>
      <c r="T713" s="62"/>
    </row>
    <row r="714" spans="14:20">
      <c r="N714" s="55"/>
      <c r="O714" s="22"/>
      <c r="P714" s="89"/>
      <c r="T714" s="62"/>
    </row>
    <row r="715" spans="14:20">
      <c r="N715" s="55"/>
      <c r="O715" s="22"/>
      <c r="P715" s="89"/>
      <c r="T715" s="62"/>
    </row>
    <row r="716" spans="14:20">
      <c r="N716" s="55"/>
      <c r="O716" s="22"/>
      <c r="P716" s="89"/>
      <c r="T716" s="62"/>
    </row>
    <row r="717" spans="14:20">
      <c r="N717" s="55"/>
      <c r="O717" s="22"/>
      <c r="P717" s="89"/>
      <c r="T717" s="62"/>
    </row>
    <row r="718" spans="14:20">
      <c r="N718" s="55"/>
      <c r="O718" s="22"/>
      <c r="P718" s="89"/>
      <c r="T718" s="62"/>
    </row>
    <row r="719" spans="14:20">
      <c r="N719" s="55"/>
      <c r="O719" s="22"/>
      <c r="P719" s="89"/>
      <c r="T719" s="62"/>
    </row>
    <row r="720" spans="14:20">
      <c r="N720" s="55"/>
      <c r="O720" s="22"/>
      <c r="P720" s="89"/>
      <c r="T720" s="62"/>
    </row>
    <row r="721" spans="14:20">
      <c r="N721" s="55"/>
      <c r="O721" s="22"/>
      <c r="P721" s="89"/>
      <c r="T721" s="62"/>
    </row>
    <row r="722" spans="14:20">
      <c r="N722" s="55"/>
      <c r="O722" s="22"/>
      <c r="P722" s="89"/>
      <c r="T722" s="62"/>
    </row>
    <row r="723" spans="14:20">
      <c r="N723" s="55"/>
      <c r="O723" s="22"/>
      <c r="P723" s="89"/>
      <c r="T723" s="62"/>
    </row>
    <row r="724" spans="14:20">
      <c r="N724" s="55"/>
      <c r="O724" s="22"/>
      <c r="P724" s="89"/>
      <c r="T724" s="62"/>
    </row>
    <row r="725" spans="14:20">
      <c r="N725" s="55"/>
      <c r="O725" s="22"/>
      <c r="P725" s="89"/>
      <c r="T725" s="62"/>
    </row>
    <row r="726" spans="14:20">
      <c r="N726" s="55"/>
      <c r="O726" s="22"/>
      <c r="P726" s="89"/>
      <c r="T726" s="62"/>
    </row>
    <row r="727" spans="14:20">
      <c r="N727" s="55"/>
      <c r="O727" s="22"/>
      <c r="P727" s="89"/>
      <c r="T727" s="62"/>
    </row>
    <row r="728" spans="14:20">
      <c r="N728" s="55"/>
      <c r="O728" s="22"/>
      <c r="P728" s="89"/>
      <c r="T728" s="62"/>
    </row>
    <row r="729" spans="14:20">
      <c r="N729" s="55"/>
      <c r="O729" s="22"/>
      <c r="P729" s="89"/>
      <c r="T729" s="62"/>
    </row>
    <row r="730" spans="14:20">
      <c r="N730" s="55"/>
      <c r="O730" s="22"/>
      <c r="P730" s="89"/>
      <c r="T730" s="62"/>
    </row>
    <row r="731" spans="14:20">
      <c r="N731" s="55"/>
      <c r="O731" s="22"/>
      <c r="P731" s="89"/>
      <c r="T731" s="62"/>
    </row>
    <row r="732" spans="14:20">
      <c r="N732" s="55"/>
      <c r="O732" s="22"/>
      <c r="P732" s="89"/>
      <c r="T732" s="62"/>
    </row>
    <row r="733" spans="14:20">
      <c r="N733" s="55"/>
      <c r="O733" s="22"/>
      <c r="P733" s="89"/>
      <c r="T733" s="62"/>
    </row>
    <row r="734" spans="14:20">
      <c r="N734" s="55"/>
      <c r="O734" s="22"/>
      <c r="P734" s="89"/>
      <c r="T734" s="62"/>
    </row>
    <row r="735" spans="14:20">
      <c r="N735" s="55"/>
      <c r="O735" s="22"/>
      <c r="P735" s="89"/>
      <c r="T735" s="62"/>
    </row>
    <row r="736" spans="14:20">
      <c r="N736" s="55"/>
      <c r="O736" s="22"/>
      <c r="P736" s="89"/>
      <c r="T736" s="62"/>
    </row>
    <row r="737" spans="14:20">
      <c r="N737" s="55"/>
      <c r="O737" s="22"/>
      <c r="P737" s="89"/>
      <c r="T737" s="62"/>
    </row>
    <row r="738" spans="14:20">
      <c r="N738" s="55"/>
      <c r="O738" s="22"/>
      <c r="P738" s="89"/>
      <c r="T738" s="62"/>
    </row>
    <row r="739" spans="14:20">
      <c r="N739" s="55"/>
      <c r="O739" s="22"/>
      <c r="P739" s="89"/>
      <c r="T739" s="62"/>
    </row>
    <row r="740" spans="14:20">
      <c r="N740" s="55"/>
      <c r="O740" s="22"/>
      <c r="P740" s="89"/>
      <c r="T740" s="62"/>
    </row>
    <row r="741" spans="14:20">
      <c r="N741" s="55"/>
      <c r="O741" s="22"/>
      <c r="P741" s="89"/>
      <c r="T741" s="62"/>
    </row>
    <row r="742" spans="14:20">
      <c r="N742" s="55"/>
      <c r="O742" s="22"/>
      <c r="P742" s="89"/>
      <c r="T742" s="62"/>
    </row>
    <row r="743" spans="14:20">
      <c r="N743" s="55"/>
      <c r="O743" s="22"/>
      <c r="P743" s="89"/>
      <c r="T743" s="62"/>
    </row>
    <row r="744" spans="14:20">
      <c r="N744" s="55"/>
      <c r="O744" s="22"/>
      <c r="P744" s="89"/>
      <c r="T744" s="62"/>
    </row>
    <row r="745" spans="14:20">
      <c r="N745" s="55"/>
      <c r="O745" s="22"/>
      <c r="P745" s="89"/>
      <c r="T745" s="62"/>
    </row>
    <row r="746" spans="14:20">
      <c r="N746" s="55"/>
      <c r="O746" s="22"/>
      <c r="P746" s="89"/>
      <c r="T746" s="62"/>
    </row>
    <row r="747" spans="14:20">
      <c r="N747" s="55"/>
      <c r="O747" s="22"/>
      <c r="P747" s="89"/>
      <c r="T747" s="62"/>
    </row>
    <row r="748" spans="14:20">
      <c r="N748" s="55"/>
      <c r="O748" s="22"/>
      <c r="P748" s="89"/>
      <c r="T748" s="62"/>
    </row>
    <row r="749" spans="14:20">
      <c r="N749" s="55"/>
      <c r="O749" s="22"/>
      <c r="P749" s="89"/>
      <c r="T749" s="62"/>
    </row>
    <row r="750" spans="14:20">
      <c r="N750" s="55"/>
      <c r="O750" s="22"/>
      <c r="P750" s="89"/>
      <c r="T750" s="62"/>
    </row>
    <row r="751" spans="14:20">
      <c r="N751" s="55"/>
      <c r="O751" s="22"/>
      <c r="P751" s="89"/>
      <c r="T751" s="62"/>
    </row>
    <row r="752" spans="14:20">
      <c r="N752" s="55"/>
      <c r="O752" s="22"/>
      <c r="P752" s="89"/>
      <c r="T752" s="62"/>
    </row>
    <row r="753" spans="14:20">
      <c r="N753" s="55"/>
      <c r="O753" s="22"/>
      <c r="P753" s="89"/>
      <c r="T753" s="62"/>
    </row>
    <row r="754" spans="14:20">
      <c r="N754" s="55"/>
      <c r="O754" s="22"/>
      <c r="P754" s="89"/>
      <c r="T754" s="62"/>
    </row>
    <row r="755" spans="14:20">
      <c r="N755" s="55"/>
      <c r="O755" s="22"/>
      <c r="P755" s="89"/>
      <c r="T755" s="62"/>
    </row>
    <row r="756" spans="14:20">
      <c r="N756" s="55"/>
      <c r="O756" s="22"/>
      <c r="P756" s="89"/>
      <c r="T756" s="62"/>
    </row>
    <row r="757" spans="14:20">
      <c r="N757" s="55"/>
      <c r="O757" s="22"/>
      <c r="P757" s="89"/>
      <c r="T757" s="62"/>
    </row>
    <row r="758" spans="14:20">
      <c r="N758" s="55"/>
      <c r="O758" s="22"/>
      <c r="P758" s="89"/>
      <c r="T758" s="62"/>
    </row>
    <row r="759" spans="14:20">
      <c r="N759" s="55"/>
      <c r="O759" s="22"/>
      <c r="P759" s="89"/>
      <c r="T759" s="62"/>
    </row>
    <row r="760" spans="14:20">
      <c r="N760" s="55"/>
      <c r="O760" s="22"/>
      <c r="P760" s="89"/>
      <c r="T760" s="62"/>
    </row>
    <row r="761" spans="14:20">
      <c r="N761" s="55"/>
      <c r="O761" s="22"/>
      <c r="P761" s="89"/>
      <c r="T761" s="62"/>
    </row>
    <row r="762" spans="14:20">
      <c r="N762" s="55"/>
      <c r="O762" s="22"/>
      <c r="P762" s="89"/>
      <c r="T762" s="62"/>
    </row>
    <row r="763" spans="14:20">
      <c r="N763" s="55"/>
      <c r="O763" s="22"/>
      <c r="P763" s="89"/>
      <c r="T763" s="62"/>
    </row>
    <row r="764" spans="14:20">
      <c r="N764" s="55"/>
      <c r="O764" s="22"/>
      <c r="P764" s="89"/>
      <c r="T764" s="62"/>
    </row>
    <row r="765" spans="14:20">
      <c r="N765" s="55"/>
      <c r="O765" s="22"/>
      <c r="P765" s="89"/>
      <c r="T765" s="62"/>
    </row>
    <row r="766" spans="14:20">
      <c r="N766" s="55"/>
      <c r="O766" s="22"/>
      <c r="P766" s="89"/>
      <c r="T766" s="62"/>
    </row>
    <row r="767" spans="14:20">
      <c r="N767" s="55"/>
      <c r="O767" s="22"/>
      <c r="P767" s="89"/>
      <c r="T767" s="62"/>
    </row>
    <row r="768" spans="14:20">
      <c r="N768" s="55"/>
      <c r="O768" s="22"/>
      <c r="P768" s="89"/>
      <c r="T768" s="62"/>
    </row>
    <row r="769" spans="14:20">
      <c r="N769" s="55"/>
      <c r="O769" s="22"/>
      <c r="P769" s="89"/>
      <c r="T769" s="62"/>
    </row>
    <row r="770" spans="14:20">
      <c r="N770" s="55"/>
      <c r="O770" s="22"/>
      <c r="P770" s="89"/>
      <c r="T770" s="62"/>
    </row>
    <row r="771" spans="14:20">
      <c r="N771" s="55"/>
      <c r="O771" s="22"/>
      <c r="P771" s="89"/>
      <c r="T771" s="62"/>
    </row>
    <row r="772" spans="14:20">
      <c r="N772" s="55"/>
      <c r="O772" s="22"/>
      <c r="P772" s="89"/>
      <c r="T772" s="62"/>
    </row>
    <row r="773" spans="14:20">
      <c r="N773" s="55"/>
      <c r="O773" s="22"/>
      <c r="P773" s="89"/>
      <c r="T773" s="62"/>
    </row>
    <row r="774" spans="14:20">
      <c r="N774" s="55"/>
      <c r="O774" s="22"/>
      <c r="P774" s="89"/>
      <c r="T774" s="62"/>
    </row>
    <row r="775" spans="14:20">
      <c r="N775" s="55"/>
      <c r="O775" s="22"/>
      <c r="P775" s="89"/>
      <c r="T775" s="62"/>
    </row>
    <row r="776" spans="14:20">
      <c r="N776" s="55"/>
      <c r="O776" s="22"/>
      <c r="P776" s="89"/>
      <c r="T776" s="62"/>
    </row>
    <row r="777" spans="14:20">
      <c r="N777" s="55"/>
      <c r="O777" s="22"/>
      <c r="P777" s="89"/>
      <c r="T777" s="62"/>
    </row>
    <row r="778" spans="14:20">
      <c r="N778" s="55"/>
      <c r="O778" s="22"/>
      <c r="P778" s="89"/>
      <c r="T778" s="62"/>
    </row>
    <row r="779" spans="14:20">
      <c r="N779" s="55"/>
      <c r="O779" s="22"/>
      <c r="P779" s="89"/>
      <c r="T779" s="62"/>
    </row>
    <row r="780" spans="14:20">
      <c r="N780" s="55"/>
      <c r="O780" s="22"/>
      <c r="P780" s="89"/>
      <c r="T780" s="62"/>
    </row>
    <row r="781" spans="14:20">
      <c r="N781" s="55"/>
      <c r="O781" s="22"/>
      <c r="P781" s="89"/>
      <c r="T781" s="62"/>
    </row>
    <row r="782" spans="14:20">
      <c r="N782" s="55"/>
      <c r="O782" s="22"/>
      <c r="P782" s="89"/>
      <c r="T782" s="62"/>
    </row>
    <row r="783" spans="14:20">
      <c r="N783" s="55"/>
      <c r="O783" s="22"/>
      <c r="P783" s="89"/>
      <c r="T783" s="62"/>
    </row>
    <row r="784" spans="14:20">
      <c r="N784" s="55"/>
      <c r="O784" s="22"/>
      <c r="P784" s="89"/>
      <c r="T784" s="62"/>
    </row>
    <row r="785" spans="14:20">
      <c r="N785" s="55"/>
      <c r="O785" s="22"/>
      <c r="P785" s="89"/>
      <c r="T785" s="62"/>
    </row>
    <row r="786" spans="14:20">
      <c r="N786" s="55"/>
      <c r="O786" s="22"/>
      <c r="P786" s="89"/>
      <c r="T786" s="62"/>
    </row>
    <row r="787" spans="14:20">
      <c r="N787" s="55"/>
      <c r="O787" s="22"/>
      <c r="P787" s="89"/>
      <c r="T787" s="62"/>
    </row>
    <row r="788" spans="14:20">
      <c r="N788" s="55"/>
      <c r="O788" s="22"/>
      <c r="P788" s="89"/>
      <c r="T788" s="62"/>
    </row>
    <row r="789" spans="14:20">
      <c r="N789" s="55"/>
      <c r="O789" s="22"/>
      <c r="P789" s="89"/>
      <c r="T789" s="62"/>
    </row>
    <row r="790" spans="14:20">
      <c r="N790" s="55"/>
      <c r="O790" s="22"/>
      <c r="P790" s="89"/>
      <c r="T790" s="62"/>
    </row>
    <row r="791" spans="14:20">
      <c r="N791" s="55"/>
      <c r="O791" s="22"/>
      <c r="P791" s="89"/>
      <c r="T791" s="62"/>
    </row>
    <row r="792" spans="14:20">
      <c r="N792" s="55"/>
      <c r="O792" s="22"/>
      <c r="P792" s="89"/>
      <c r="T792" s="62"/>
    </row>
    <row r="793" spans="14:20">
      <c r="N793" s="55"/>
      <c r="O793" s="22"/>
      <c r="P793" s="89"/>
      <c r="T793" s="62"/>
    </row>
    <row r="794" spans="14:20">
      <c r="N794" s="55"/>
      <c r="O794" s="22"/>
      <c r="P794" s="89"/>
      <c r="T794" s="62"/>
    </row>
    <row r="795" spans="14:20">
      <c r="N795" s="55"/>
      <c r="O795" s="22"/>
      <c r="P795" s="89"/>
      <c r="T795" s="62"/>
    </row>
    <row r="796" spans="14:20">
      <c r="N796" s="55"/>
      <c r="O796" s="22"/>
      <c r="P796" s="89"/>
      <c r="T796" s="62"/>
    </row>
  </sheetData>
  <conditionalFormatting sqref="S1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4 S7:S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4 S7:S8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7">
      <colorScale>
        <cfvo type="min"/>
        <cfvo type="max"/>
        <color rgb="FFFF7128"/>
        <color rgb="FFFFEF9C"/>
      </colorScale>
    </cfRule>
  </conditionalFormatting>
  <conditionalFormatting sqref="S3:S4 S7:S31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4 S1 S7:S31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6:S39 S41:S42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 S40 S43:S47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7 S4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4 S1 S7:S47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9:S51 S53:S5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1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4 S1 S7:S5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3:S55 S49:S50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4 S1 S7:S5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7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7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7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1:S92 S1 S3:S4 S7:S6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94:S9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96:S10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4 S7:S100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2:S103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2:S103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4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4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4 S1 S7:S104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2:S1048576 S1 S3:S4 S7:S106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7:S11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4 S1 S7:S11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4 S1 S7:S104857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4">
      <colorScale>
        <cfvo type="min"/>
        <cfvo type="max"/>
        <color rgb="FFFF7128"/>
        <color rgb="FFFFEF9C"/>
      </colorScale>
    </cfRule>
  </conditionalFormatting>
  <conditionalFormatting sqref="S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">
      <colorScale>
        <cfvo type="min"/>
        <cfvo type="max"/>
        <color rgb="FFFF7128"/>
        <color rgb="FFFFEF9C"/>
      </colorScale>
    </cfRule>
  </conditionalFormatting>
  <conditionalFormatting sqref="S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:S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AEEB-8516-43F7-AA54-103BB1DDEA15}">
  <sheetPr codeName="Sheet5"/>
  <dimension ref="A2:D36"/>
  <sheetViews>
    <sheetView zoomScale="85" zoomScaleNormal="85" workbookViewId="0">
      <selection activeCell="F17" sqref="F17"/>
    </sheetView>
  </sheetViews>
  <sheetFormatPr defaultRowHeight="15"/>
  <cols>
    <col min="2" max="3" width="11.140625" bestFit="1" customWidth="1"/>
    <col min="4" max="4" width="10.140625" bestFit="1" customWidth="1"/>
  </cols>
  <sheetData>
    <row r="2" spans="1:4">
      <c r="B2" t="s">
        <v>706</v>
      </c>
      <c r="C2" t="s">
        <v>705</v>
      </c>
      <c r="D2" t="s">
        <v>704</v>
      </c>
    </row>
    <row r="3" spans="1:4">
      <c r="A3">
        <v>9</v>
      </c>
      <c r="B3" s="69">
        <v>6067.45</v>
      </c>
      <c r="C3" s="69">
        <v>18862.750499999991</v>
      </c>
      <c r="D3" s="69">
        <v>9602</v>
      </c>
    </row>
    <row r="4" spans="1:4">
      <c r="A4">
        <v>10</v>
      </c>
      <c r="B4" s="69">
        <v>10287.349999999999</v>
      </c>
      <c r="C4" s="69">
        <v>24179.630000000005</v>
      </c>
      <c r="D4" s="69">
        <v>18914.383999999995</v>
      </c>
    </row>
    <row r="5" spans="1:4">
      <c r="A5">
        <v>11</v>
      </c>
      <c r="B5" s="69">
        <v>13477.699999999999</v>
      </c>
      <c r="C5" s="69">
        <v>12929.1</v>
      </c>
      <c r="D5" s="69">
        <v>-1131.3879999999881</v>
      </c>
    </row>
    <row r="6" spans="1:4">
      <c r="A6">
        <v>12</v>
      </c>
      <c r="B6" s="70">
        <v>10194.239999999998</v>
      </c>
      <c r="C6" s="69">
        <v>23073.27900000001</v>
      </c>
      <c r="D6" s="69">
        <v>10158.200000000004</v>
      </c>
    </row>
    <row r="7" spans="1:4">
      <c r="A7">
        <v>1</v>
      </c>
      <c r="B7" s="69">
        <v>20089.86</v>
      </c>
      <c r="C7" s="69">
        <v>-26631.872499999998</v>
      </c>
      <c r="D7" s="69">
        <v>22211.941999999999</v>
      </c>
    </row>
    <row r="8" spans="1:4">
      <c r="A8">
        <v>2</v>
      </c>
      <c r="B8" s="69">
        <v>12511.18</v>
      </c>
      <c r="C8" s="69">
        <v>10347.252500000002</v>
      </c>
      <c r="D8" s="69">
        <v>15504.132000000003</v>
      </c>
    </row>
    <row r="9" spans="1:4">
      <c r="A9">
        <v>3</v>
      </c>
      <c r="B9" s="69">
        <v>-4912.170000000001</v>
      </c>
      <c r="C9" s="69">
        <v>4128.6914999999999</v>
      </c>
      <c r="D9" s="69">
        <v>0</v>
      </c>
    </row>
    <row r="10" spans="1:4">
      <c r="A10">
        <v>4</v>
      </c>
      <c r="B10" s="69">
        <v>4074.3600000000006</v>
      </c>
      <c r="C10" s="69">
        <v>20181.559999999998</v>
      </c>
      <c r="D10" s="69">
        <v>0</v>
      </c>
    </row>
    <row r="11" spans="1:4">
      <c r="A11">
        <v>5</v>
      </c>
      <c r="B11" s="69">
        <v>3718.5</v>
      </c>
      <c r="C11" s="69">
        <v>11447.582</v>
      </c>
      <c r="D11" s="69">
        <v>0</v>
      </c>
    </row>
    <row r="12" spans="1:4">
      <c r="A12">
        <v>6</v>
      </c>
      <c r="B12" s="69">
        <v>3254.509</v>
      </c>
      <c r="C12" s="69">
        <v>31610.893000000015</v>
      </c>
      <c r="D12" s="69">
        <v>0</v>
      </c>
    </row>
    <row r="13" spans="1:4">
      <c r="A13">
        <v>7</v>
      </c>
      <c r="B13" s="69">
        <v>14115.770000000004</v>
      </c>
      <c r="C13" s="69">
        <v>17503.342500000002</v>
      </c>
      <c r="D13" s="69">
        <v>7103.07</v>
      </c>
    </row>
    <row r="14" spans="1:4">
      <c r="A14">
        <v>8</v>
      </c>
      <c r="B14" s="69">
        <v>19848.409999999996</v>
      </c>
      <c r="C14" s="69">
        <v>62606.845000000008</v>
      </c>
      <c r="D14" s="69">
        <v>7510.0960000000005</v>
      </c>
    </row>
    <row r="16" spans="1:4">
      <c r="B16" s="69">
        <f>SUM(B3:B14)</f>
        <v>112727.15900000001</v>
      </c>
      <c r="C16" s="69">
        <f>SUM(C3:C14)</f>
        <v>210239.05350000004</v>
      </c>
      <c r="D16" s="69">
        <f>SUM(D3:D14)</f>
        <v>89872.436000000002</v>
      </c>
    </row>
    <row r="36" spans="2:2">
      <c r="B36" s="1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 cost</vt:lpstr>
      <vt:lpstr>09.17-08.18</vt:lpstr>
      <vt:lpstr>09.18-08.19</vt:lpstr>
      <vt:lpstr>09.19-08.20</vt:lpstr>
      <vt:lpstr>09.20-08.21</vt:lpstr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2019-04-11T15:54:46Z</dcterms:created>
  <dcterms:modified xsi:type="dcterms:W3CDTF">2020-09-24T00:52:35Z</dcterms:modified>
  <cp:category/>
  <cp:contentStatus/>
</cp:coreProperties>
</file>