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ase\Documents\Fin Inclusion\"/>
    </mc:Choice>
  </mc:AlternateContent>
  <xr:revisionPtr revIDLastSave="0" documentId="8_{F0B98D66-0FC5-4150-BCE1-2FB60A7D5BF5}" xr6:coauthVersionLast="47" xr6:coauthVersionMax="47" xr10:uidLastSave="{00000000-0000-0000-0000-000000000000}"/>
  <bookViews>
    <workbookView xWindow="-120" yWindow="-120" windowWidth="20730" windowHeight="11160" firstSheet="1" activeTab="1"/>
  </bookViews>
  <sheets>
    <sheet name="S1. Selected data" sheetId="23" state="hidden" r:id="rId1"/>
    <sheet name="MFI_Access &amp; Usage" sheetId="24" r:id="rId2"/>
    <sheet name="MFI_Sectoral Loans" sheetId="25" r:id="rId3"/>
    <sheet name="FSIs" sheetId="28" state="hidden" r:id="rId4"/>
    <sheet name="Sheet1" sheetId="29" state="hidden" r:id="rId5"/>
  </sheets>
  <externalReferences>
    <externalReference r:id="rId6"/>
  </externalReferences>
  <definedNames>
    <definedName name="_xlnm._FilterDatabase" localSheetId="0" hidden="1">'S1. Selected data'!$J$15:$J$24</definedName>
    <definedName name="Beg_Bal" localSheetId="1">#REF!</definedName>
    <definedName name="Beg_Bal" localSheetId="2">#REF!</definedName>
    <definedName name="Beg_Bal" localSheetId="0">#REF!</definedName>
    <definedName name="Beg_Bal">#REF!</definedName>
    <definedName name="Cum_Int" localSheetId="1">#REF!</definedName>
    <definedName name="Cum_Int" localSheetId="2">#REF!</definedName>
    <definedName name="Cum_Int" localSheetId="0">#REF!</definedName>
    <definedName name="Cum_Int">#REF!</definedName>
    <definedName name="Data" localSheetId="1">#REF!</definedName>
    <definedName name="Data" localSheetId="2">#REF!</definedName>
    <definedName name="Data" localSheetId="0">#REF!</definedName>
    <definedName name="Data">#REF!</definedName>
    <definedName name="End_Bal" localSheetId="1">#REF!</definedName>
    <definedName name="End_Bal" localSheetId="2">#REF!</definedName>
    <definedName name="End_Bal" localSheetId="0">#REF!</definedName>
    <definedName name="End_Bal">#REF!</definedName>
    <definedName name="Extra_Pay" localSheetId="1">#REF!</definedName>
    <definedName name="Extra_Pay" localSheetId="2">#REF!</definedName>
    <definedName name="Extra_Pay" localSheetId="0">#REF!</definedName>
    <definedName name="Extra_Pay">#REF!</definedName>
    <definedName name="Full_Print" localSheetId="1">#REF!</definedName>
    <definedName name="Full_Print" localSheetId="2">#REF!</definedName>
    <definedName name="Full_Print" localSheetId="0">#REF!</definedName>
    <definedName name="Full_Print">#REF!</definedName>
    <definedName name="Header_Row" localSheetId="1">ROW(#REF!)</definedName>
    <definedName name="Header_Row" localSheetId="2">ROW(#REF!)</definedName>
    <definedName name="Header_Row" localSheetId="0">ROW(#REF!)</definedName>
    <definedName name="Header_Row">ROW(#REF!)</definedName>
    <definedName name="Int" localSheetId="1">#REF!</definedName>
    <definedName name="Int" localSheetId="2">#REF!</definedName>
    <definedName name="Int" localSheetId="0">#REF!</definedName>
    <definedName name="Int">#REF!</definedName>
    <definedName name="Interest_Rate" localSheetId="1">#REF!</definedName>
    <definedName name="Interest_Rate" localSheetId="2">#REF!</definedName>
    <definedName name="Interest_Rate" localSheetId="0">#REF!</definedName>
    <definedName name="Interest_Rate">#REF!</definedName>
    <definedName name="Last_Row" localSheetId="1">IF('MFI_Access &amp; Usage'!Values_Entered,'MFI_Access &amp; Usage'!Header_Row+'MFI_Access &amp; Usage'!Number_of_Payments,'MFI_Access &amp; Usage'!Header_Row)</definedName>
    <definedName name="Last_Row" localSheetId="2">IF('MFI_Sectoral Loans'!Values_Entered,'MFI_Sectoral Loans'!Header_Row+'MFI_Sectoral Loans'!Number_of_Payments,'MFI_Sectoral Loans'!Header_Row)</definedName>
    <definedName name="Last_Row" localSheetId="0">IF('S1. Selected data'!Values_Entered,'S1. Selected data'!Header_Row+'S1. Selected data'!Number_of_Payments,'S1. Selected data'!Header_Row)</definedName>
    <definedName name="Last_Row">IF(Values_Entered,Header_Row+Number_of_Payments,Header_Row)</definedName>
    <definedName name="Loan_Amount" localSheetId="1">#REF!</definedName>
    <definedName name="Loan_Amount" localSheetId="2">#REF!</definedName>
    <definedName name="Loan_Amount" localSheetId="0">#REF!</definedName>
    <definedName name="Loan_Amount">#REF!</definedName>
    <definedName name="Loan_Start" localSheetId="1">#REF!</definedName>
    <definedName name="Loan_Start" localSheetId="2">#REF!</definedName>
    <definedName name="Loan_Start" localSheetId="0">#REF!</definedName>
    <definedName name="Loan_Start">#REF!</definedName>
    <definedName name="Loan_Years" localSheetId="1">#REF!</definedName>
    <definedName name="Loan_Years" localSheetId="2">#REF!</definedName>
    <definedName name="Loan_Years" localSheetId="0">#REF!</definedName>
    <definedName name="Loan_Years">#REF!</definedName>
    <definedName name="Num_Pmt_Per_Year" localSheetId="1">#REF!</definedName>
    <definedName name="Num_Pmt_Per_Year" localSheetId="2">#REF!</definedName>
    <definedName name="Num_Pmt_Per_Year" localSheetId="0">#REF!</definedName>
    <definedName name="Num_Pmt_Per_Year">#REF!</definedName>
    <definedName name="Number_of_Payments" localSheetId="1">MATCH(0.01,'MFI_Access &amp; Usage'!End_Bal,-1)+1</definedName>
    <definedName name="Number_of_Payments" localSheetId="2">MATCH(0.01,'MFI_Sectoral Loans'!End_Bal,-1)+1</definedName>
    <definedName name="Number_of_Payments" localSheetId="0">MATCH(0.01,'S1. Selected data'!End_Bal,-1)+1</definedName>
    <definedName name="Number_of_Payments">MATCH(0.01,End_Bal,-1)+1</definedName>
    <definedName name="out" localSheetId="1">IF('MFI_Access &amp; Usage'!Values_Entered,'MFI_Access &amp; Usage'!Header_Row+'MFI_Access &amp; Usage'!Number_of_Payments,'MFI_Access &amp; Usage'!Header_Row)</definedName>
    <definedName name="out" localSheetId="2">IF('MFI_Sectoral Loans'!Values_Entered,'MFI_Sectoral Loans'!Header_Row+'MFI_Sectoral Loans'!Number_of_Payments,'MFI_Sectoral Loans'!Header_Row)</definedName>
    <definedName name="out" localSheetId="0">IF('S1. Selected data'!Values_Entered,'S1. Selected data'!Header_Row+'S1. Selected data'!Number_of_Payments,'S1. Selected data'!Header_Row)</definedName>
    <definedName name="out">IF(Values_Entered,Header_Row+Number_of_Payments,Header_Row)</definedName>
    <definedName name="Pay_Date" localSheetId="1">#REF!</definedName>
    <definedName name="Pay_Date" localSheetId="2">#REF!</definedName>
    <definedName name="Pay_Date" localSheetId="0">#REF!</definedName>
    <definedName name="Pay_Date">#REF!</definedName>
    <definedName name="Pay_Num" localSheetId="1">#REF!</definedName>
    <definedName name="Pay_Num" localSheetId="2">#REF!</definedName>
    <definedName name="Pay_Num" localSheetId="0">#REF!</definedName>
    <definedName name="Pay_Num">#REF!</definedName>
    <definedName name="Payment_Date" localSheetId="1">DATE(YEAR('MFI_Access &amp; Usage'!Loan_Start),MONTH('MFI_Access &amp; Usage'!Loan_Start)+Payment_Number,DAY('MFI_Access &amp; Usage'!Loan_Start))</definedName>
    <definedName name="Payment_Date" localSheetId="2">DATE(YEAR('MFI_Sectoral Loans'!Loan_Start),MONTH('MFI_Sectoral Loans'!Loan_Start)+Payment_Number,DAY('MFI_Sectoral Loans'!Loan_Start))</definedName>
    <definedName name="Payment_Date" localSheetId="0">DATE(YEAR('S1. Selected data'!Loan_Start),MONTH('S1. Selected data'!Loan_Start)+Payment_Number,DAY('S1. Selected data'!Loan_Start))</definedName>
    <definedName name="Payment_Date">DATE(YEAR(Loan_Start),MONTH(Loan_Start)+Payment_Number,DAY(Loan_Start))</definedName>
    <definedName name="Princ" localSheetId="1">#REF!</definedName>
    <definedName name="Princ" localSheetId="2">#REF!</definedName>
    <definedName name="Princ" localSheetId="0">#REF!</definedName>
    <definedName name="Princ">#REF!</definedName>
    <definedName name="Print_Area_Reset" localSheetId="1">OFFSET('MFI_Access &amp; Usage'!Full_Print,0,0,'MFI_Access &amp; Usage'!Last_Row)</definedName>
    <definedName name="Print_Area_Reset" localSheetId="2">OFFSET('MFI_Sectoral Loans'!Full_Print,0,0,'MFI_Sectoral Loans'!Last_Row)</definedName>
    <definedName name="Print_Area_Reset" localSheetId="0">OFFSET('S1. Selected data'!Full_Print,0,0,'S1. Selected data'!Last_Row)</definedName>
    <definedName name="Print_Area_Reset">OFFSET(Full_Print,0,0,Last_Row)</definedName>
    <definedName name="Sched_Pay" localSheetId="1">#REF!</definedName>
    <definedName name="Sched_Pay" localSheetId="2">#REF!</definedName>
    <definedName name="Sched_Pay" localSheetId="0">#REF!</definedName>
    <definedName name="Sched_Pay">#REF!</definedName>
    <definedName name="Scheduled_Extra_Payments" localSheetId="1">#REF!</definedName>
    <definedName name="Scheduled_Extra_Payments" localSheetId="2">#REF!</definedName>
    <definedName name="Scheduled_Extra_Payments" localSheetId="0">#REF!</definedName>
    <definedName name="Scheduled_Extra_Payments">#REF!</definedName>
    <definedName name="Scheduled_Interest_Rate" localSheetId="1">#REF!</definedName>
    <definedName name="Scheduled_Interest_Rate" localSheetId="2">#REF!</definedName>
    <definedName name="Scheduled_Interest_Rate" localSheetId="0">#REF!</definedName>
    <definedName name="Scheduled_Interest_Rate">#REF!</definedName>
    <definedName name="Scheduled_Monthly_Payment" localSheetId="1">#REF!</definedName>
    <definedName name="Scheduled_Monthly_Payment" localSheetId="2">#REF!</definedName>
    <definedName name="Scheduled_Monthly_Payment" localSheetId="0">#REF!</definedName>
    <definedName name="Scheduled_Monthly_Payment">#REF!</definedName>
    <definedName name="Total_Interest" localSheetId="1">#REF!</definedName>
    <definedName name="Total_Interest" localSheetId="2">#REF!</definedName>
    <definedName name="Total_Interest" localSheetId="0">#REF!</definedName>
    <definedName name="Total_Interest">#REF!</definedName>
    <definedName name="Total_Pay" localSheetId="1">#REF!</definedName>
    <definedName name="Total_Pay" localSheetId="2">#REF!</definedName>
    <definedName name="Total_Pay" localSheetId="0">#REF!</definedName>
    <definedName name="Total_Pay">#REF!</definedName>
    <definedName name="Values_Entered" localSheetId="1">IF('MFI_Access &amp; Usage'!Loan_Amount*'MFI_Access &amp; Usage'!Interest_Rate*'MFI_Access &amp; Usage'!Loan_Years*'MFI_Access &amp; Usage'!Loan_Start&gt;0,1,0)</definedName>
    <definedName name="Values_Entered" localSheetId="2">IF('MFI_Sectoral Loans'!Loan_Amount*'MFI_Sectoral Loans'!Interest_Rate*'MFI_Sectoral Loans'!Loan_Years*'MFI_Sectoral Loans'!Loan_Start&gt;0,1,0)</definedName>
    <definedName name="Values_Entered" localSheetId="0">IF('S1. Selected data'!Loan_Amount*'S1. Selected data'!Interest_Rate*'S1. Selected data'!Loan_Years*'S1. Selected data'!Loan_Start&gt;0,1,0)</definedName>
    <definedName name="Values_Entered">IF(Loan_Amount*Interest_Rate*Loan_Years*Loan_Start&gt;0,1,0)</definedName>
    <definedName name="vDateTime" localSheetId="1">#REF!</definedName>
    <definedName name="vDateTime" localSheetId="2">#REF!</definedName>
    <definedName name="vDateTime" localSheetId="0">#REF!</definedName>
    <definedName name="vDateTime">#REF!</definedName>
    <definedName name="vDiastolic" localSheetId="1">#REF!</definedName>
    <definedName name="vDiastolic" localSheetId="2">#REF!</definedName>
    <definedName name="vDiastolic" localSheetId="0">#REF!</definedName>
    <definedName name="vDiastolic">#REF!</definedName>
    <definedName name="vHeartRate" localSheetId="1">#REF!</definedName>
    <definedName name="vHeartRate" localSheetId="2">#REF!</definedName>
    <definedName name="vHeartRate" localSheetId="0">#REF!</definedName>
    <definedName name="vHeartRate">#REF!</definedName>
    <definedName name="vSystolic" localSheetId="1">#REF!</definedName>
    <definedName name="vSystolic" localSheetId="2">#REF!</definedName>
    <definedName name="vSystolic" localSheetId="0">#REF!</definedName>
    <definedName name="vSystol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1" i="25" l="1"/>
  <c r="AE20" i="25"/>
  <c r="AE33" i="25"/>
  <c r="AH40" i="24"/>
  <c r="AH36" i="24"/>
  <c r="AH27" i="24"/>
  <c r="AG23" i="24"/>
  <c r="AD20" i="25"/>
  <c r="AD19" i="25"/>
  <c r="AD18" i="25"/>
  <c r="AD17" i="25"/>
  <c r="AD16" i="25"/>
  <c r="AD15" i="25"/>
  <c r="AD33" i="25"/>
  <c r="AD32" i="25"/>
  <c r="AD31" i="25"/>
  <c r="AD30" i="25"/>
  <c r="AD29" i="25"/>
  <c r="AD28" i="25"/>
  <c r="AD45" i="25"/>
  <c r="AD44" i="25"/>
  <c r="AD43" i="25"/>
  <c r="AD42" i="25"/>
  <c r="AD41" i="25"/>
  <c r="AD40" i="25"/>
  <c r="AG39" i="24"/>
  <c r="AG38" i="24"/>
  <c r="AG37" i="24"/>
  <c r="AG36" i="24"/>
  <c r="AG43" i="24"/>
  <c r="AG42" i="24"/>
  <c r="AG41" i="24"/>
  <c r="AG40" i="24"/>
  <c r="AG26" i="24"/>
  <c r="AG25" i="24"/>
  <c r="AG24" i="24"/>
  <c r="AG30" i="24"/>
  <c r="AG29" i="24"/>
  <c r="AG28" i="24"/>
  <c r="AG27" i="24"/>
  <c r="AG16" i="24"/>
  <c r="AG15" i="24"/>
  <c r="AG14" i="24"/>
  <c r="AG13" i="24"/>
  <c r="AG10" i="24"/>
  <c r="AG12" i="24"/>
  <c r="AG11" i="24"/>
  <c r="AC45" i="25"/>
  <c r="AC33" i="25"/>
  <c r="AC20" i="25"/>
  <c r="AB45" i="25"/>
  <c r="AA45" i="25"/>
  <c r="AA33" i="25"/>
  <c r="AB33" i="25"/>
  <c r="AE36" i="24"/>
  <c r="AD36" i="24"/>
  <c r="AE40" i="24"/>
  <c r="AD40" i="24"/>
  <c r="Z41" i="25"/>
  <c r="Z42" i="25"/>
  <c r="Z43" i="25"/>
  <c r="Z44" i="25"/>
  <c r="Z40" i="25"/>
  <c r="Z33" i="25"/>
  <c r="Z20" i="25"/>
  <c r="Y45" i="25"/>
  <c r="Y33" i="25"/>
  <c r="Y20" i="25"/>
  <c r="AB10" i="24"/>
  <c r="AB23" i="24"/>
  <c r="AB27" i="24"/>
  <c r="X45" i="25"/>
  <c r="X33" i="25"/>
  <c r="X20" i="25"/>
  <c r="AA14" i="24"/>
  <c r="AA36" i="24"/>
  <c r="AA23" i="24"/>
  <c r="AA40" i="24"/>
  <c r="AA27" i="24"/>
  <c r="Z36" i="24"/>
  <c r="W20" i="25"/>
  <c r="W33" i="25"/>
  <c r="G15" i="29"/>
  <c r="G8" i="29"/>
  <c r="H8" i="29"/>
  <c r="D21" i="29"/>
  <c r="D15" i="29"/>
  <c r="E15" i="29"/>
  <c r="D8" i="29"/>
  <c r="E8" i="29"/>
  <c r="H15" i="29"/>
  <c r="H14" i="29"/>
  <c r="E14" i="29"/>
  <c r="H13" i="29"/>
  <c r="E13" i="29"/>
  <c r="H12" i="29"/>
  <c r="E12" i="29"/>
  <c r="H7" i="29"/>
  <c r="E7" i="29"/>
  <c r="H6" i="29"/>
  <c r="E6" i="29"/>
  <c r="H5" i="29"/>
  <c r="E5" i="29"/>
  <c r="M10" i="29"/>
  <c r="C47" i="23"/>
  <c r="D47" i="23"/>
  <c r="L47" i="23"/>
  <c r="K47" i="23"/>
  <c r="H31" i="23"/>
  <c r="G31" i="23"/>
  <c r="F31" i="23"/>
  <c r="E31" i="23"/>
  <c r="D31" i="23"/>
  <c r="H30" i="23"/>
  <c r="G30" i="23"/>
  <c r="F30" i="23"/>
  <c r="E30" i="23"/>
  <c r="D30" i="23"/>
  <c r="H21" i="23"/>
  <c r="G21" i="23"/>
  <c r="F21" i="23"/>
  <c r="E21" i="23"/>
  <c r="D21" i="23"/>
  <c r="H15" i="23"/>
  <c r="H16" i="23" s="1"/>
  <c r="G15" i="23"/>
  <c r="G16" i="23" s="1"/>
  <c r="F15" i="23"/>
  <c r="F16" i="23"/>
  <c r="E15" i="23"/>
  <c r="D15" i="23"/>
  <c r="E16" i="23"/>
  <c r="D16" i="23"/>
  <c r="H6" i="23"/>
  <c r="G6" i="23"/>
  <c r="F6" i="23"/>
  <c r="E6" i="23"/>
  <c r="D6" i="23"/>
  <c r="Z45" i="25"/>
</calcChain>
</file>

<file path=xl/sharedStrings.xml><?xml version="1.0" encoding="utf-8"?>
<sst xmlns="http://schemas.openxmlformats.org/spreadsheetml/2006/main" count="152" uniqueCount="91">
  <si>
    <t>Total Assets</t>
  </si>
  <si>
    <t>Total Deposits</t>
  </si>
  <si>
    <t>MFIs+USACCOs</t>
  </si>
  <si>
    <t>Females</t>
  </si>
  <si>
    <t>Males</t>
  </si>
  <si>
    <t>Groups/entities</t>
  </si>
  <si>
    <t>UMURENGE SACCOs</t>
  </si>
  <si>
    <t>Number of Accounts</t>
  </si>
  <si>
    <t>TOTAL</t>
  </si>
  <si>
    <t xml:space="preserve">Agriculture, Livestock, Fishing </t>
  </si>
  <si>
    <t xml:space="preserve">Public Works (Construction), Buildings, Residences/Homes </t>
  </si>
  <si>
    <t xml:space="preserve">Commerce, Restaurants, Hotels </t>
  </si>
  <si>
    <t xml:space="preserve">Transport, Warehouses, Communications </t>
  </si>
  <si>
    <t xml:space="preserve">Others </t>
  </si>
  <si>
    <t>Number of MFIs</t>
  </si>
  <si>
    <t>Province</t>
  </si>
  <si>
    <t>Kigali City</t>
  </si>
  <si>
    <t>Northern</t>
  </si>
  <si>
    <t>Southern</t>
  </si>
  <si>
    <t>Eastern</t>
  </si>
  <si>
    <t>Western</t>
  </si>
  <si>
    <t>Gross loan</t>
  </si>
  <si>
    <t>Non-Performing Loans (NPLs)</t>
  </si>
  <si>
    <t>Microfinance</t>
  </si>
  <si>
    <t>NPLs ratio (in %)</t>
  </si>
  <si>
    <t>Annual Growth of Loans</t>
  </si>
  <si>
    <t>Annual Growth of NPLs</t>
  </si>
  <si>
    <t>Annual Growth</t>
  </si>
  <si>
    <t>Total Assets (Billion FRW)</t>
  </si>
  <si>
    <t>Annual Assets Growth</t>
  </si>
  <si>
    <t>Table 1. Evolution of Microfinance Institutions</t>
  </si>
  <si>
    <t>Table 2. Number of accounts opened in UMURENGE SACCOs by provinces</t>
  </si>
  <si>
    <t>Table 3. Number of accounts opened in all MFIs (in Thousands)</t>
  </si>
  <si>
    <t>Table 4. Trend of Non-performing Loans (In Billion FRW)</t>
  </si>
  <si>
    <t xml:space="preserve">Gross Loans </t>
  </si>
  <si>
    <t>Net Equity</t>
  </si>
  <si>
    <t>Table 5. Microfinance Sector (in Billion Frw)</t>
  </si>
  <si>
    <t>Table 6. Number of staff working in MFIs (UMURENGE SACCOs included)</t>
  </si>
  <si>
    <t>Gender</t>
  </si>
  <si>
    <t>FINANCIAL SOUNDNESS INDICATORS</t>
  </si>
  <si>
    <t>Capital Adequacy (%)</t>
  </si>
  <si>
    <t>Asset quality (%)</t>
  </si>
  <si>
    <t>NPLs to total gross loans</t>
  </si>
  <si>
    <t>NPLs to total deposits</t>
  </si>
  <si>
    <t>Earning assets to total assets</t>
  </si>
  <si>
    <t>Earnings &amp; profitability (%)</t>
  </si>
  <si>
    <t>Return on assets</t>
  </si>
  <si>
    <t>Return on equity</t>
  </si>
  <si>
    <t>Cost to income</t>
  </si>
  <si>
    <t>Overhead to income</t>
  </si>
  <si>
    <t>Liquidity (%)</t>
  </si>
  <si>
    <t>Short term gap</t>
  </si>
  <si>
    <t>Liquid assets to total deposits</t>
  </si>
  <si>
    <t>Liquid assets to total assets</t>
  </si>
  <si>
    <t>Total Equity (Net) to total assets</t>
  </si>
  <si>
    <t>Provisions/NPLs</t>
  </si>
  <si>
    <t>Loans to total deposits</t>
  </si>
  <si>
    <t>Source: MFSD</t>
  </si>
  <si>
    <t>Liquid assets to Current deposits (Quick-ratio)</t>
  </si>
  <si>
    <t>Other MFIs (Ltd+Non-Umurenge SACCOs)</t>
  </si>
  <si>
    <t>Number of Deposit Accounts</t>
  </si>
  <si>
    <t>U-SACCOs</t>
  </si>
  <si>
    <t>Other SACCOs</t>
  </si>
  <si>
    <t>Men</t>
  </si>
  <si>
    <t>Women</t>
  </si>
  <si>
    <t>Group&amp;Entities</t>
  </si>
  <si>
    <t>Number of members fully paid share</t>
  </si>
  <si>
    <t>Number of members</t>
  </si>
  <si>
    <t>No. of Deposit A/C</t>
  </si>
  <si>
    <t>No. of Members</t>
  </si>
  <si>
    <t>Category</t>
  </si>
  <si>
    <t>Table 02. Number of Loans and Deposit-Accounts (In Thousands) in UMURENGE SACCOs</t>
  </si>
  <si>
    <t>Number of Accounts Owned by:</t>
  </si>
  <si>
    <t>UMURENGE SACCOs (Amount in Billions FRW)</t>
  </si>
  <si>
    <t>Other MFIs (Amount in Billions FRW)</t>
  </si>
  <si>
    <t>NATIONAL BANK OF RWANDA</t>
  </si>
  <si>
    <t>MFIs SECTORAL LOANS</t>
  </si>
  <si>
    <t>DEPOSIT ACCOUNTS &amp; OUTSTANDING LOANS IN MFIs</t>
  </si>
  <si>
    <t>CONDUCT SUPERVISION &amp; FINANCIAL INCLUSION DEPARTMENT</t>
  </si>
  <si>
    <t xml:space="preserve">                                                                                                                                                                       Total Microfinance Sector (Amount in Billions FRW)</t>
  </si>
  <si>
    <t>Dec-19</t>
  </si>
  <si>
    <t>Number of loans acconts</t>
  </si>
  <si>
    <t>Number of loans accounts</t>
  </si>
  <si>
    <t>Table 01. Number of Loans and Deposit-Accounts (In Thousands) MFIs+U-SACCOs</t>
  </si>
  <si>
    <t>Table 03. Number of Loans and Deposit-Accounts (In Thousands) in all non-UMURENGE SACCOs</t>
  </si>
  <si>
    <t>FINANCIAL SECTOR  DEVELOPMENT &amp;  INCLUSION DEPARTMENT</t>
  </si>
  <si>
    <t>Loans by Sector (Amount in Billions FRW)</t>
  </si>
  <si>
    <t>Sector</t>
  </si>
  <si>
    <t xml:space="preserve"> Sector</t>
  </si>
  <si>
    <t>LOANS BY ECONOMIC SECTOR : Ltd and SACCOs (Umurenge SACCOs excluded)</t>
  </si>
  <si>
    <t>LOANS BY ECONOMIC SECTOR : UMURENGE SACCOs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</si>
</sst>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8" formatCode="0.0%"/>
    <numFmt numFmtId="179" formatCode="_(* #,##0.0_);_(* \(#,##0.0\);_(* &quot;-&quot;??_);_(@_)"/>
    <numFmt numFmtId="181" formatCode="_(* #,##0_);_(* \(#,##0\);_(* &quot;-&quot;??_);_(@_)"/>
    <numFmt numFmtId="184" formatCode="&quot;Vrai&quot;;&quot;Vrai&quot;;&quot;Faux&quot;"/>
    <numFmt numFmtId="185" formatCode="_-* #,##0.00\ _€_-;\-* #,##0.00\ _€_-;_-* &quot;-&quot;??\ _€_-;_-@_-"/>
    <numFmt numFmtId="186" formatCode="#,##0&quot;   &quot;;[Red]\-#,##0&quot;   &quot;"/>
    <numFmt numFmtId="187" formatCode="#,##0.0"/>
    <numFmt numFmtId="193" formatCode="0.0"/>
    <numFmt numFmtId="207" formatCode="[$-409]mmm\-yy;@"/>
    <numFmt numFmtId="208" formatCode="#,##0.0_);\(#,##0.0\)"/>
    <numFmt numFmtId="216" formatCode="[$-409]d\-mmm\-yyyy;@"/>
  </numFmts>
  <fonts count="57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sz val="8"/>
      <color indexed="9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2"/>
      <name val="Garamond"/>
      <family val="1"/>
    </font>
    <font>
      <b/>
      <sz val="12"/>
      <color indexed="9"/>
      <name val="Garamond"/>
      <family val="1"/>
    </font>
    <font>
      <sz val="12"/>
      <name val="Garamond"/>
      <family val="1"/>
    </font>
    <font>
      <sz val="10"/>
      <name val="BentonSans Book"/>
      <family val="3"/>
    </font>
    <font>
      <sz val="10"/>
      <name val="Verdana"/>
      <family val="2"/>
    </font>
    <font>
      <b/>
      <sz val="10"/>
      <name val="Bookman Old Style"/>
      <family val="1"/>
    </font>
    <font>
      <sz val="11"/>
      <name val="BentonSans Book"/>
      <family val="3"/>
    </font>
    <font>
      <sz val="11"/>
      <name val="BentonSans Bold"/>
      <family val="3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rgb="FF3F3F76"/>
      <name val="Agency FB"/>
      <family val="2"/>
    </font>
    <font>
      <sz val="11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4"/>
      <color theme="1"/>
      <name val="Tekton Pro Ext"/>
      <family val="2"/>
    </font>
    <font>
      <sz val="10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9"/>
      <color theme="1"/>
      <name val="Times New Roman"/>
      <family val="1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002060"/>
      <name val="Calibri"/>
      <family val="2"/>
    </font>
    <font>
      <sz val="12"/>
      <color theme="1"/>
      <name val="Garamond"/>
      <family val="1"/>
    </font>
    <font>
      <b/>
      <u/>
      <sz val="12"/>
      <color theme="10"/>
      <name val="Garamond"/>
      <family val="1"/>
    </font>
    <font>
      <b/>
      <sz val="10"/>
      <color rgb="FF0033CC"/>
      <name val="Times New Roman"/>
      <family val="2"/>
    </font>
    <font>
      <b/>
      <sz val="12"/>
      <color rgb="FF0033CC"/>
      <name val="Garamond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0"/>
      <color theme="1"/>
      <name val="BentonSans Book"/>
      <family val="3"/>
    </font>
    <font>
      <b/>
      <sz val="10"/>
      <color theme="1"/>
      <name val="BentonSans Bold"/>
      <family val="3"/>
    </font>
    <font>
      <sz val="10"/>
      <color theme="1"/>
      <name val="BentonSans Book"/>
      <family val="3"/>
    </font>
    <font>
      <b/>
      <sz val="10"/>
      <color rgb="FF0070C0"/>
      <name val="BentonSans Book"/>
      <family val="3"/>
    </font>
    <font>
      <b/>
      <sz val="11"/>
      <color theme="1"/>
      <name val="BentonSans Book"/>
      <family val="3"/>
    </font>
    <font>
      <sz val="11"/>
      <color theme="1"/>
      <name val="BentonSans Book"/>
      <family val="3"/>
    </font>
    <font>
      <b/>
      <sz val="11"/>
      <color rgb="FF0070C0"/>
      <name val="BentonSans Book"/>
      <family val="3"/>
    </font>
    <font>
      <b/>
      <sz val="11"/>
      <color rgb="FF000000"/>
      <name val="BentonSans Book"/>
      <family val="3"/>
    </font>
    <font>
      <sz val="11"/>
      <color rgb="FF000000"/>
      <name val="BentonSans Book"/>
      <family val="3"/>
    </font>
    <font>
      <b/>
      <sz val="11"/>
      <color theme="9" tint="-0.249977111117893"/>
      <name val="BentonSans Book"/>
      <family val="3"/>
    </font>
    <font>
      <b/>
      <sz val="10"/>
      <color rgb="FF000000"/>
      <name val="Bookman Old Style"/>
      <family val="1"/>
    </font>
    <font>
      <b/>
      <sz val="10"/>
      <color rgb="FF000000"/>
      <name val="BentonSans Book"/>
      <family val="3"/>
    </font>
    <font>
      <sz val="10"/>
      <color rgb="FF000000"/>
      <name val="BentonSans Book"/>
      <family val="3"/>
    </font>
    <font>
      <sz val="10"/>
      <color theme="0"/>
      <name val="Verdana"/>
      <family val="2"/>
    </font>
    <font>
      <sz val="10"/>
      <color theme="1"/>
      <name val="BentonSans Regular"/>
      <family val="3"/>
    </font>
    <font>
      <b/>
      <sz val="10"/>
      <color theme="1"/>
      <name val="BentonSans Regular"/>
      <family val="3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CFF99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D3DF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CDE2EC"/>
      </patternFill>
    </fill>
    <fill>
      <patternFill patternType="solid">
        <fgColor theme="4" tint="0.59999389629810485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hair">
        <color indexed="2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rgb="FF0070C0"/>
      </left>
      <right style="thin">
        <color indexed="64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indexed="64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indexed="64"/>
      </right>
      <top style="thin">
        <color rgb="FF0070C0"/>
      </top>
      <bottom/>
      <diagonal/>
    </border>
    <border>
      <left style="medium">
        <color rgb="FF0070C0"/>
      </left>
      <right style="thin">
        <color indexed="64"/>
      </right>
      <top/>
      <bottom/>
      <diagonal/>
    </border>
    <border>
      <left style="medium">
        <color rgb="FF0070C0"/>
      </left>
      <right style="thin">
        <color indexed="64"/>
      </right>
      <top/>
      <bottom style="medium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/>
      <diagonal/>
    </border>
    <border>
      <left style="thin">
        <color rgb="FF0070C0"/>
      </left>
      <right/>
      <top style="thin">
        <color indexed="64"/>
      </top>
      <bottom style="thin">
        <color rgb="FF0070C0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</borders>
  <cellStyleXfs count="373">
    <xf numFmtId="0" fontId="0" fillId="0" borderId="0"/>
    <xf numFmtId="0" fontId="20" fillId="10" borderId="0" applyNumberFormat="0" applyBorder="0" applyAlignment="0" applyProtection="0"/>
    <xf numFmtId="0" fontId="21" fillId="11" borderId="55" applyNumberFormat="0" applyAlignment="0" applyProtection="0"/>
    <xf numFmtId="38" fontId="3" fillId="2" borderId="0" applyNumberFormat="0">
      <alignment horizontal="center" wrapText="1"/>
    </xf>
    <xf numFmtId="171" fontId="18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4" fontId="3" fillId="0" borderId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38" fontId="4" fillId="3" borderId="0" applyNumberFormat="0" applyFont="0" applyBorder="0" applyAlignment="0">
      <alignment vertical="top" wrapText="1"/>
    </xf>
    <xf numFmtId="38" fontId="5" fillId="3" borderId="0" applyNumberFormat="0">
      <alignment horizontal="center" vertical="top" wrapText="1"/>
    </xf>
    <xf numFmtId="0" fontId="3" fillId="0" borderId="1">
      <alignment horizontal="right" vertical="top"/>
    </xf>
    <xf numFmtId="0" fontId="3" fillId="0" borderId="1">
      <alignment horizontal="right" vertical="top"/>
    </xf>
    <xf numFmtId="10" fontId="3" fillId="0" borderId="1">
      <alignment horizontal="right" vertical="top"/>
    </xf>
    <xf numFmtId="38" fontId="5" fillId="3" borderId="2" applyNumberFormat="0">
      <alignment horizontal="center" wrapText="1"/>
    </xf>
    <xf numFmtId="0" fontId="23" fillId="0" borderId="0" applyNumberFormat="0" applyFill="0" applyBorder="0" applyAlignment="0" applyProtection="0">
      <alignment vertical="top"/>
      <protection locked="0"/>
    </xf>
    <xf numFmtId="0" fontId="24" fillId="12" borderId="55" applyNumberFormat="0" applyAlignment="0" applyProtection="0"/>
    <xf numFmtId="37" fontId="6" fillId="4" borderId="3">
      <alignment vertical="top" wrapText="1"/>
    </xf>
    <xf numFmtId="0" fontId="7" fillId="5" borderId="3">
      <alignment vertical="top" wrapText="1"/>
    </xf>
    <xf numFmtId="38" fontId="4" fillId="6" borderId="4">
      <alignment vertical="top" wrapText="1"/>
    </xf>
    <xf numFmtId="38" fontId="4" fillId="3" borderId="5">
      <alignment vertical="top" wrapText="1"/>
    </xf>
    <xf numFmtId="38" fontId="5" fillId="6" borderId="5">
      <alignment vertical="top" wrapText="1"/>
    </xf>
    <xf numFmtId="38" fontId="5" fillId="3" borderId="5">
      <alignment vertical="top" wrapText="1"/>
    </xf>
    <xf numFmtId="38" fontId="8" fillId="6" borderId="5">
      <alignment horizontal="right" vertical="top" wrapText="1"/>
    </xf>
    <xf numFmtId="38" fontId="8" fillId="3" borderId="5">
      <alignment horizontal="right" vertical="top" wrapText="1"/>
    </xf>
    <xf numFmtId="38" fontId="5" fillId="6" borderId="5">
      <alignment horizontal="center" vertical="top" wrapText="1"/>
    </xf>
    <xf numFmtId="38" fontId="3" fillId="7" borderId="4">
      <alignment vertical="top" wrapText="1"/>
    </xf>
    <xf numFmtId="38" fontId="3" fillId="3" borderId="5">
      <alignment vertical="top" wrapText="1"/>
    </xf>
    <xf numFmtId="38" fontId="5" fillId="3" borderId="5">
      <alignment vertical="top" wrapText="1"/>
    </xf>
    <xf numFmtId="38" fontId="3" fillId="3" borderId="5">
      <alignment vertical="top" wrapText="1"/>
    </xf>
    <xf numFmtId="38" fontId="5" fillId="7" borderId="5">
      <alignment horizontal="center" vertical="top"/>
    </xf>
    <xf numFmtId="38" fontId="3" fillId="7" borderId="4">
      <alignment horizontal="left" vertical="top" wrapText="1" indent="1"/>
    </xf>
    <xf numFmtId="38" fontId="3" fillId="3" borderId="4">
      <alignment horizontal="left" vertical="top" wrapText="1" indent="1"/>
    </xf>
    <xf numFmtId="38" fontId="9" fillId="0" borderId="6">
      <alignment vertical="top" wrapText="1"/>
    </xf>
    <xf numFmtId="38" fontId="5" fillId="0" borderId="6">
      <alignment horizontal="center" vertical="top" wrapText="1"/>
    </xf>
    <xf numFmtId="171" fontId="2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38" fontId="8" fillId="7" borderId="4">
      <alignment vertical="top" wrapText="1"/>
    </xf>
  </cellStyleXfs>
  <cellXfs count="293">
    <xf numFmtId="0" fontId="0" fillId="0" borderId="0" xfId="0"/>
    <xf numFmtId="0" fontId="0" fillId="8" borderId="0" xfId="0" applyFill="1"/>
    <xf numFmtId="0" fontId="27" fillId="8" borderId="0" xfId="0" applyFont="1" applyFill="1"/>
    <xf numFmtId="9" fontId="18" fillId="8" borderId="0" xfId="332" applyFont="1" applyFill="1"/>
    <xf numFmtId="178" fontId="18" fillId="8" borderId="0" xfId="332" applyNumberFormat="1" applyFont="1" applyFill="1"/>
    <xf numFmtId="0" fontId="28" fillId="8" borderId="0" xfId="0" applyFont="1" applyFill="1"/>
    <xf numFmtId="0" fontId="29" fillId="13" borderId="56" xfId="0" applyFont="1" applyFill="1" applyBorder="1"/>
    <xf numFmtId="0" fontId="27" fillId="13" borderId="56" xfId="0" applyFont="1" applyFill="1" applyBorder="1"/>
    <xf numFmtId="0" fontId="0" fillId="8" borderId="56" xfId="0" applyFill="1" applyBorder="1"/>
    <xf numFmtId="0" fontId="29" fillId="13" borderId="56" xfId="0" applyFont="1" applyFill="1" applyBorder="1" applyAlignment="1">
      <alignment horizontal="left" indent="3"/>
    </xf>
    <xf numFmtId="181" fontId="18" fillId="8" borderId="56" xfId="4" applyNumberFormat="1" applyFont="1" applyFill="1" applyBorder="1"/>
    <xf numFmtId="178" fontId="0" fillId="8" borderId="56" xfId="0" applyNumberFormat="1" applyFill="1" applyBorder="1"/>
    <xf numFmtId="0" fontId="29" fillId="13" borderId="56" xfId="0" applyFont="1" applyFill="1" applyBorder="1" applyAlignment="1"/>
    <xf numFmtId="0" fontId="29" fillId="13" borderId="57" xfId="0" applyFont="1" applyFill="1" applyBorder="1"/>
    <xf numFmtId="0" fontId="0" fillId="8" borderId="57" xfId="0" applyFill="1" applyBorder="1"/>
    <xf numFmtId="0" fontId="30" fillId="0" borderId="7" xfId="0" applyFont="1" applyFill="1" applyBorder="1"/>
    <xf numFmtId="0" fontId="30" fillId="0" borderId="8" xfId="0" applyFont="1" applyFill="1" applyBorder="1"/>
    <xf numFmtId="178" fontId="30" fillId="0" borderId="8" xfId="332" applyNumberFormat="1" applyFont="1" applyFill="1" applyBorder="1"/>
    <xf numFmtId="178" fontId="30" fillId="0" borderId="9" xfId="332" applyNumberFormat="1" applyFont="1" applyFill="1" applyBorder="1"/>
    <xf numFmtId="0" fontId="27" fillId="13" borderId="57" xfId="0" applyFont="1" applyFill="1" applyBorder="1"/>
    <xf numFmtId="181" fontId="31" fillId="13" borderId="57" xfId="4" applyNumberFormat="1" applyFont="1" applyFill="1" applyBorder="1"/>
    <xf numFmtId="179" fontId="18" fillId="8" borderId="57" xfId="4" applyNumberFormat="1" applyFont="1" applyFill="1" applyBorder="1"/>
    <xf numFmtId="0" fontId="30" fillId="0" borderId="10" xfId="0" applyFont="1" applyFill="1" applyBorder="1"/>
    <xf numFmtId="171" fontId="30" fillId="0" borderId="11" xfId="4" applyFont="1" applyFill="1" applyBorder="1"/>
    <xf numFmtId="178" fontId="30" fillId="0" borderId="11" xfId="332" applyNumberFormat="1" applyFont="1" applyFill="1" applyBorder="1"/>
    <xf numFmtId="178" fontId="30" fillId="0" borderId="12" xfId="332" applyNumberFormat="1" applyFont="1" applyFill="1" applyBorder="1"/>
    <xf numFmtId="0" fontId="30" fillId="0" borderId="13" xfId="0" applyFont="1" applyFill="1" applyBorder="1"/>
    <xf numFmtId="171" fontId="30" fillId="0" borderId="14" xfId="4" applyFont="1" applyFill="1" applyBorder="1"/>
    <xf numFmtId="178" fontId="30" fillId="0" borderId="14" xfId="332" applyNumberFormat="1" applyFont="1" applyFill="1" applyBorder="1"/>
    <xf numFmtId="178" fontId="30" fillId="0" borderId="15" xfId="332" applyNumberFormat="1" applyFont="1" applyFill="1" applyBorder="1"/>
    <xf numFmtId="0" fontId="32" fillId="14" borderId="58" xfId="0" applyFont="1" applyFill="1" applyBorder="1" applyAlignment="1">
      <alignment vertical="center" wrapText="1" readingOrder="1"/>
    </xf>
    <xf numFmtId="0" fontId="33" fillId="14" borderId="58" xfId="0" applyFont="1" applyFill="1" applyBorder="1" applyAlignment="1">
      <alignment vertical="center" wrapText="1" readingOrder="1"/>
    </xf>
    <xf numFmtId="0" fontId="32" fillId="0" borderId="59" xfId="0" applyFont="1" applyBorder="1" applyAlignment="1">
      <alignment horizontal="center" vertical="center" wrapText="1" readingOrder="1"/>
    </xf>
    <xf numFmtId="0" fontId="34" fillId="14" borderId="59" xfId="0" applyFont="1" applyFill="1" applyBorder="1" applyAlignment="1">
      <alignment horizontal="left" vertical="center" wrapText="1" readingOrder="1"/>
    </xf>
    <xf numFmtId="0" fontId="33" fillId="0" borderId="59" xfId="0" applyFont="1" applyBorder="1" applyAlignment="1">
      <alignment horizontal="right" vertical="center" wrapText="1" readingOrder="1"/>
    </xf>
    <xf numFmtId="0" fontId="32" fillId="0" borderId="59" xfId="0" applyFont="1" applyBorder="1" applyAlignment="1">
      <alignment horizontal="right" vertical="center" wrapText="1" readingOrder="1"/>
    </xf>
    <xf numFmtId="2" fontId="32" fillId="0" borderId="59" xfId="0" applyNumberFormat="1" applyFont="1" applyBorder="1" applyAlignment="1">
      <alignment horizontal="right" vertical="center" wrapText="1" readingOrder="1"/>
    </xf>
    <xf numFmtId="2" fontId="33" fillId="0" borderId="59" xfId="0" applyNumberFormat="1" applyFont="1" applyBorder="1" applyAlignment="1">
      <alignment horizontal="right" vertical="center" wrapText="1" readingOrder="1"/>
    </xf>
    <xf numFmtId="181" fontId="27" fillId="13" borderId="57" xfId="4" applyNumberFormat="1" applyFont="1" applyFill="1" applyBorder="1"/>
    <xf numFmtId="0" fontId="35" fillId="15" borderId="11" xfId="0" applyFont="1" applyFill="1" applyBorder="1"/>
    <xf numFmtId="207" fontId="35" fillId="15" borderId="11" xfId="0" applyNumberFormat="1" applyFont="1" applyFill="1" applyBorder="1"/>
    <xf numFmtId="14" fontId="10" fillId="15" borderId="2" xfId="259" applyNumberFormat="1" applyFont="1" applyFill="1" applyBorder="1"/>
    <xf numFmtId="207" fontId="10" fillId="15" borderId="2" xfId="259" applyNumberFormat="1" applyFont="1" applyFill="1" applyBorder="1"/>
    <xf numFmtId="0" fontId="11" fillId="16" borderId="16" xfId="259" applyFont="1" applyFill="1" applyBorder="1"/>
    <xf numFmtId="0" fontId="0" fillId="16" borderId="0" xfId="0" applyFill="1"/>
    <xf numFmtId="2" fontId="12" fillId="16" borderId="17" xfId="259" applyNumberFormat="1" applyFont="1" applyFill="1" applyBorder="1"/>
    <xf numFmtId="208" fontId="12" fillId="16" borderId="18" xfId="259" applyNumberFormat="1" applyFont="1" applyFill="1" applyBorder="1"/>
    <xf numFmtId="0" fontId="36" fillId="8" borderId="0" xfId="228" applyFont="1" applyFill="1" applyAlignment="1" applyProtection="1"/>
    <xf numFmtId="0" fontId="37" fillId="8" borderId="0" xfId="0" applyFont="1" applyFill="1"/>
    <xf numFmtId="0" fontId="38" fillId="8" borderId="19" xfId="0" applyFont="1" applyFill="1" applyBorder="1" applyAlignment="1">
      <alignment horizontal="left" indent="1"/>
    </xf>
    <xf numFmtId="208" fontId="38" fillId="8" borderId="19" xfId="259" applyNumberFormat="1" applyFont="1" applyFill="1" applyBorder="1"/>
    <xf numFmtId="0" fontId="37" fillId="8" borderId="19" xfId="0" applyFont="1" applyFill="1" applyBorder="1"/>
    <xf numFmtId="0" fontId="35" fillId="8" borderId="0" xfId="0" applyFont="1" applyFill="1"/>
    <xf numFmtId="208" fontId="12" fillId="8" borderId="20" xfId="259" applyNumberFormat="1" applyFont="1" applyFill="1" applyBorder="1"/>
    <xf numFmtId="0" fontId="35" fillId="8" borderId="19" xfId="0" applyFont="1" applyFill="1" applyBorder="1" applyAlignment="1">
      <alignment horizontal="left" indent="1"/>
    </xf>
    <xf numFmtId="208" fontId="12" fillId="8" borderId="19" xfId="259" applyNumberFormat="1" applyFont="1" applyFill="1" applyBorder="1"/>
    <xf numFmtId="0" fontId="0" fillId="8" borderId="19" xfId="0" applyFill="1" applyBorder="1"/>
    <xf numFmtId="0" fontId="35" fillId="8" borderId="2" xfId="0" applyFont="1" applyFill="1" applyBorder="1" applyAlignment="1">
      <alignment horizontal="left" indent="1"/>
    </xf>
    <xf numFmtId="39" fontId="12" fillId="8" borderId="21" xfId="259" applyNumberFormat="1" applyFont="1" applyFill="1" applyBorder="1"/>
    <xf numFmtId="0" fontId="39" fillId="0" borderId="0" xfId="0" applyFont="1"/>
    <xf numFmtId="181" fontId="39" fillId="0" borderId="0" xfId="214" applyNumberFormat="1" applyFont="1"/>
    <xf numFmtId="216" fontId="40" fillId="17" borderId="22" xfId="214" applyNumberFormat="1" applyFont="1" applyFill="1" applyBorder="1" applyAlignment="1">
      <alignment vertical="top"/>
    </xf>
    <xf numFmtId="216" fontId="40" fillId="17" borderId="23" xfId="214" applyNumberFormat="1" applyFont="1" applyFill="1" applyBorder="1" applyAlignment="1">
      <alignment vertical="top"/>
    </xf>
    <xf numFmtId="216" fontId="40" fillId="17" borderId="24" xfId="214" applyNumberFormat="1" applyFont="1" applyFill="1" applyBorder="1" applyAlignment="1">
      <alignment vertical="top"/>
    </xf>
    <xf numFmtId="216" fontId="40" fillId="17" borderId="25" xfId="214" applyNumberFormat="1" applyFont="1" applyFill="1" applyBorder="1" applyAlignment="1">
      <alignment vertical="top"/>
    </xf>
    <xf numFmtId="181" fontId="39" fillId="18" borderId="26" xfId="214" applyNumberFormat="1" applyFont="1" applyFill="1" applyBorder="1" applyAlignment="1" applyProtection="1">
      <alignment horizontal="left" indent="3"/>
    </xf>
    <xf numFmtId="181" fontId="39" fillId="0" borderId="27" xfId="214" applyNumberFormat="1" applyFont="1" applyBorder="1"/>
    <xf numFmtId="181" fontId="39" fillId="0" borderId="28" xfId="214" applyNumberFormat="1" applyFont="1" applyBorder="1"/>
    <xf numFmtId="181" fontId="40" fillId="0" borderId="28" xfId="214" applyNumberFormat="1" applyFont="1" applyBorder="1"/>
    <xf numFmtId="181" fontId="39" fillId="0" borderId="29" xfId="214" applyNumberFormat="1" applyFont="1" applyBorder="1"/>
    <xf numFmtId="181" fontId="39" fillId="0" borderId="30" xfId="214" applyNumberFormat="1" applyFont="1" applyBorder="1"/>
    <xf numFmtId="181" fontId="40" fillId="0" borderId="31" xfId="214" applyNumberFormat="1" applyFont="1" applyBorder="1"/>
    <xf numFmtId="181" fontId="39" fillId="0" borderId="32" xfId="214" applyNumberFormat="1" applyFont="1" applyBorder="1" applyAlignment="1" applyProtection="1">
      <alignment horizontal="left" indent="3"/>
    </xf>
    <xf numFmtId="181" fontId="39" fillId="0" borderId="9" xfId="214" applyNumberFormat="1" applyFont="1" applyBorder="1"/>
    <xf numFmtId="181" fontId="39" fillId="0" borderId="7" xfId="214" applyNumberFormat="1" applyFont="1" applyBorder="1"/>
    <xf numFmtId="181" fontId="40" fillId="0" borderId="7" xfId="214" applyNumberFormat="1" applyFont="1" applyBorder="1"/>
    <xf numFmtId="181" fontId="39" fillId="0" borderId="33" xfId="214" applyNumberFormat="1" applyFont="1" applyBorder="1"/>
    <xf numFmtId="181" fontId="39" fillId="0" borderId="8" xfId="214" applyNumberFormat="1" applyFont="1" applyBorder="1"/>
    <xf numFmtId="181" fontId="40" fillId="0" borderId="34" xfId="214" applyNumberFormat="1" applyFont="1" applyBorder="1"/>
    <xf numFmtId="181" fontId="39" fillId="0" borderId="35" xfId="214" applyNumberFormat="1" applyFont="1" applyBorder="1" applyAlignment="1" applyProtection="1">
      <alignment horizontal="left" indent="3"/>
    </xf>
    <xf numFmtId="181" fontId="39" fillId="0" borderId="36" xfId="214" applyNumberFormat="1" applyFont="1" applyBorder="1"/>
    <xf numFmtId="181" fontId="39" fillId="0" borderId="37" xfId="214" applyNumberFormat="1" applyFont="1" applyBorder="1"/>
    <xf numFmtId="181" fontId="40" fillId="0" borderId="37" xfId="214" applyNumberFormat="1" applyFont="1" applyBorder="1"/>
    <xf numFmtId="181" fontId="39" fillId="0" borderId="38" xfId="214" applyNumberFormat="1" applyFont="1" applyBorder="1"/>
    <xf numFmtId="181" fontId="39" fillId="0" borderId="39" xfId="214" applyNumberFormat="1" applyFont="1" applyBorder="1"/>
    <xf numFmtId="181" fontId="40" fillId="0" borderId="40" xfId="214" applyNumberFormat="1" applyFont="1" applyBorder="1"/>
    <xf numFmtId="0" fontId="40" fillId="0" borderId="41" xfId="0" applyFont="1" applyBorder="1"/>
    <xf numFmtId="181" fontId="40" fillId="0" borderId="42" xfId="214" applyNumberFormat="1" applyFont="1" applyBorder="1"/>
    <xf numFmtId="181" fontId="40" fillId="0" borderId="43" xfId="214" applyNumberFormat="1" applyFont="1" applyBorder="1"/>
    <xf numFmtId="181" fontId="40" fillId="0" borderId="44" xfId="214" applyNumberFormat="1" applyFont="1" applyBorder="1"/>
    <xf numFmtId="181" fontId="40" fillId="0" borderId="45" xfId="214" applyNumberFormat="1" applyFont="1" applyBorder="1"/>
    <xf numFmtId="0" fontId="40" fillId="0" borderId="0" xfId="0" applyFont="1" applyBorder="1"/>
    <xf numFmtId="181" fontId="40" fillId="0" borderId="0" xfId="214" applyNumberFormat="1" applyFont="1" applyBorder="1"/>
    <xf numFmtId="0" fontId="39" fillId="0" borderId="0" xfId="0" applyFont="1" applyBorder="1"/>
    <xf numFmtId="181" fontId="39" fillId="0" borderId="32" xfId="214" applyNumberFormat="1" applyFont="1" applyBorder="1" applyAlignment="1" applyProtection="1">
      <alignment horizontal="left" indent="3"/>
    </xf>
    <xf numFmtId="181" fontId="39" fillId="0" borderId="35" xfId="214" applyNumberFormat="1" applyFont="1" applyBorder="1" applyAlignment="1" applyProtection="1">
      <alignment horizontal="left" indent="3"/>
    </xf>
    <xf numFmtId="181" fontId="39" fillId="0" borderId="38" xfId="214" applyNumberFormat="1" applyFont="1" applyBorder="1"/>
    <xf numFmtId="181" fontId="40" fillId="0" borderId="40" xfId="214" applyNumberFormat="1" applyFont="1" applyBorder="1"/>
    <xf numFmtId="0" fontId="40" fillId="17" borderId="24" xfId="0" applyFont="1" applyFill="1" applyBorder="1" applyAlignment="1">
      <alignment wrapText="1"/>
    </xf>
    <xf numFmtId="216" fontId="40" fillId="17" borderId="46" xfId="214" applyNumberFormat="1" applyFont="1" applyFill="1" applyBorder="1" applyAlignment="1">
      <alignment vertical="top"/>
    </xf>
    <xf numFmtId="181" fontId="39" fillId="18" borderId="29" xfId="214" applyNumberFormat="1" applyFont="1" applyFill="1" applyBorder="1" applyAlignment="1" applyProtection="1">
      <alignment horizontal="left" indent="3"/>
    </xf>
    <xf numFmtId="181" fontId="39" fillId="0" borderId="47" xfId="214" applyNumberFormat="1" applyFont="1" applyBorder="1"/>
    <xf numFmtId="181" fontId="39" fillId="0" borderId="31" xfId="214" applyNumberFormat="1" applyFont="1" applyBorder="1"/>
    <xf numFmtId="181" fontId="39" fillId="0" borderId="33" xfId="214" applyNumberFormat="1" applyFont="1" applyBorder="1" applyAlignment="1" applyProtection="1">
      <alignment horizontal="left" indent="3"/>
    </xf>
    <xf numFmtId="181" fontId="39" fillId="0" borderId="1" xfId="214" applyNumberFormat="1" applyFont="1" applyBorder="1"/>
    <xf numFmtId="181" fontId="39" fillId="0" borderId="34" xfId="214" applyNumberFormat="1" applyFont="1" applyBorder="1"/>
    <xf numFmtId="181" fontId="39" fillId="0" borderId="38" xfId="214" applyNumberFormat="1" applyFont="1" applyBorder="1" applyAlignment="1" applyProtection="1">
      <alignment horizontal="left" indent="3"/>
    </xf>
    <xf numFmtId="181" fontId="39" fillId="0" borderId="48" xfId="214" applyNumberFormat="1" applyFont="1" applyBorder="1"/>
    <xf numFmtId="181" fontId="39" fillId="0" borderId="37" xfId="214" applyNumberFormat="1" applyFont="1" applyBorder="1"/>
    <xf numFmtId="181" fontId="39" fillId="0" borderId="40" xfId="214" applyNumberFormat="1" applyFont="1" applyBorder="1"/>
    <xf numFmtId="0" fontId="40" fillId="0" borderId="44" xfId="0" applyFont="1" applyBorder="1"/>
    <xf numFmtId="181" fontId="40" fillId="0" borderId="49" xfId="214" applyNumberFormat="1" applyFont="1" applyBorder="1"/>
    <xf numFmtId="216" fontId="40" fillId="17" borderId="50" xfId="214" applyNumberFormat="1" applyFont="1" applyFill="1" applyBorder="1" applyAlignment="1">
      <alignment vertical="top"/>
    </xf>
    <xf numFmtId="216" fontId="40" fillId="17" borderId="6" xfId="214" applyNumberFormat="1" applyFont="1" applyFill="1" applyBorder="1" applyAlignment="1">
      <alignment vertical="top"/>
    </xf>
    <xf numFmtId="181" fontId="39" fillId="0" borderId="0" xfId="4" applyNumberFormat="1" applyFont="1"/>
    <xf numFmtId="181" fontId="39" fillId="0" borderId="7" xfId="4" applyNumberFormat="1" applyFont="1" applyBorder="1"/>
    <xf numFmtId="181" fontId="39" fillId="0" borderId="37" xfId="4" applyNumberFormat="1" applyFont="1" applyBorder="1"/>
    <xf numFmtId="216" fontId="40" fillId="17" borderId="51" xfId="214" applyNumberFormat="1" applyFont="1" applyFill="1" applyBorder="1" applyAlignment="1">
      <alignment vertical="top"/>
    </xf>
    <xf numFmtId="181" fontId="40" fillId="19" borderId="26" xfId="214" applyNumberFormat="1" applyFont="1" applyFill="1" applyBorder="1"/>
    <xf numFmtId="181" fontId="40" fillId="19" borderId="32" xfId="214" applyNumberFormat="1" applyFont="1" applyFill="1" applyBorder="1"/>
    <xf numFmtId="181" fontId="40" fillId="19" borderId="35" xfId="214" applyNumberFormat="1" applyFont="1" applyFill="1" applyBorder="1"/>
    <xf numFmtId="181" fontId="40" fillId="19" borderId="41" xfId="214" applyNumberFormat="1" applyFont="1" applyFill="1" applyBorder="1"/>
    <xf numFmtId="181" fontId="40" fillId="20" borderId="28" xfId="214" applyNumberFormat="1" applyFont="1" applyFill="1" applyBorder="1"/>
    <xf numFmtId="181" fontId="40" fillId="20" borderId="7" xfId="214" applyNumberFormat="1" applyFont="1" applyFill="1" applyBorder="1"/>
    <xf numFmtId="181" fontId="40" fillId="20" borderId="37" xfId="214" applyNumberFormat="1" applyFont="1" applyFill="1" applyBorder="1"/>
    <xf numFmtId="181" fontId="40" fillId="20" borderId="43" xfId="214" applyNumberFormat="1" applyFont="1" applyFill="1" applyBorder="1"/>
    <xf numFmtId="0" fontId="41" fillId="0" borderId="0" xfId="0" applyFont="1"/>
    <xf numFmtId="0" fontId="42" fillId="0" borderId="0" xfId="0" applyFont="1"/>
    <xf numFmtId="0" fontId="42" fillId="21" borderId="0" xfId="0" applyFont="1" applyFill="1" applyBorder="1"/>
    <xf numFmtId="0" fontId="41" fillId="21" borderId="0" xfId="0" applyFont="1" applyFill="1" applyBorder="1"/>
    <xf numFmtId="0" fontId="43" fillId="21" borderId="0" xfId="0" applyFont="1" applyFill="1" applyBorder="1"/>
    <xf numFmtId="0" fontId="44" fillId="21" borderId="0" xfId="0" applyFont="1" applyFill="1" applyBorder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22" borderId="60" xfId="0" applyFont="1" applyFill="1" applyBorder="1" applyAlignment="1">
      <alignment vertical="center" wrapText="1"/>
    </xf>
    <xf numFmtId="179" fontId="48" fillId="22" borderId="61" xfId="4" applyNumberFormat="1" applyFont="1" applyFill="1" applyBorder="1" applyAlignment="1">
      <alignment horizontal="right" vertical="center"/>
    </xf>
    <xf numFmtId="179" fontId="48" fillId="22" borderId="62" xfId="4" applyNumberFormat="1" applyFont="1" applyFill="1" applyBorder="1" applyAlignment="1">
      <alignment horizontal="right" vertical="center"/>
    </xf>
    <xf numFmtId="179" fontId="48" fillId="22" borderId="63" xfId="4" applyNumberFormat="1" applyFont="1" applyFill="1" applyBorder="1" applyAlignment="1">
      <alignment horizontal="right" vertical="center"/>
    </xf>
    <xf numFmtId="179" fontId="48" fillId="22" borderId="63" xfId="0" applyNumberFormat="1" applyFont="1" applyFill="1" applyBorder="1" applyAlignment="1">
      <alignment horizontal="right" vertical="center"/>
    </xf>
    <xf numFmtId="0" fontId="49" fillId="0" borderId="64" xfId="0" applyFont="1" applyBorder="1" applyAlignment="1">
      <alignment horizontal="left" vertical="center" wrapText="1" indent="4"/>
    </xf>
    <xf numFmtId="179" fontId="49" fillId="0" borderId="65" xfId="4" applyNumberFormat="1" applyFont="1" applyBorder="1" applyAlignment="1">
      <alignment horizontal="right" vertical="center"/>
    </xf>
    <xf numFmtId="179" fontId="49" fillId="0" borderId="66" xfId="4" applyNumberFormat="1" applyFont="1" applyBorder="1" applyAlignment="1">
      <alignment horizontal="right" vertical="center"/>
    </xf>
    <xf numFmtId="179" fontId="49" fillId="0" borderId="67" xfId="4" applyNumberFormat="1" applyFont="1" applyBorder="1" applyAlignment="1">
      <alignment horizontal="right" vertical="center"/>
    </xf>
    <xf numFmtId="179" fontId="49" fillId="0" borderId="67" xfId="0" applyNumberFormat="1" applyFont="1" applyBorder="1" applyAlignment="1">
      <alignment horizontal="right" vertical="center"/>
    </xf>
    <xf numFmtId="0" fontId="49" fillId="22" borderId="64" xfId="0" applyFont="1" applyFill="1" applyBorder="1" applyAlignment="1">
      <alignment horizontal="left" vertical="center" wrapText="1" indent="4"/>
    </xf>
    <xf numFmtId="179" fontId="49" fillId="22" borderId="65" xfId="4" applyNumberFormat="1" applyFont="1" applyFill="1" applyBorder="1" applyAlignment="1">
      <alignment horizontal="right" vertical="center"/>
    </xf>
    <xf numFmtId="179" fontId="49" fillId="22" borderId="66" xfId="4" applyNumberFormat="1" applyFont="1" applyFill="1" applyBorder="1" applyAlignment="1">
      <alignment horizontal="right" vertical="center"/>
    </xf>
    <xf numFmtId="179" fontId="49" fillId="22" borderId="67" xfId="4" applyNumberFormat="1" applyFont="1" applyFill="1" applyBorder="1" applyAlignment="1">
      <alignment horizontal="right" vertical="center"/>
    </xf>
    <xf numFmtId="179" fontId="49" fillId="22" borderId="67" xfId="0" applyNumberFormat="1" applyFont="1" applyFill="1" applyBorder="1" applyAlignment="1">
      <alignment horizontal="right" vertical="center"/>
    </xf>
    <xf numFmtId="0" fontId="48" fillId="22" borderId="64" xfId="0" applyFont="1" applyFill="1" applyBorder="1" applyAlignment="1">
      <alignment vertical="center" wrapText="1"/>
    </xf>
    <xf numFmtId="179" fontId="48" fillId="22" borderId="65" xfId="4" applyNumberFormat="1" applyFont="1" applyFill="1" applyBorder="1" applyAlignment="1">
      <alignment horizontal="right" vertical="center"/>
    </xf>
    <xf numFmtId="179" fontId="48" fillId="22" borderId="66" xfId="4" applyNumberFormat="1" applyFont="1" applyFill="1" applyBorder="1" applyAlignment="1">
      <alignment horizontal="right" vertical="center"/>
    </xf>
    <xf numFmtId="179" fontId="48" fillId="22" borderId="67" xfId="4" applyNumberFormat="1" applyFont="1" applyFill="1" applyBorder="1" applyAlignment="1">
      <alignment horizontal="right" vertical="center"/>
    </xf>
    <xf numFmtId="0" fontId="49" fillId="0" borderId="68" xfId="0" applyFont="1" applyBorder="1" applyAlignment="1">
      <alignment horizontal="left" vertical="center" wrapText="1" indent="4"/>
    </xf>
    <xf numFmtId="179" fontId="49" fillId="0" borderId="69" xfId="4" applyNumberFormat="1" applyFont="1" applyBorder="1" applyAlignment="1">
      <alignment horizontal="right" vertical="center"/>
    </xf>
    <xf numFmtId="179" fontId="49" fillId="0" borderId="70" xfId="4" applyNumberFormat="1" applyFont="1" applyBorder="1" applyAlignment="1">
      <alignment horizontal="right" vertical="center"/>
    </xf>
    <xf numFmtId="179" fontId="49" fillId="0" borderId="71" xfId="4" applyNumberFormat="1" applyFont="1" applyBorder="1" applyAlignment="1">
      <alignment horizontal="right" vertical="center"/>
    </xf>
    <xf numFmtId="0" fontId="45" fillId="23" borderId="72" xfId="0" applyFont="1" applyFill="1" applyBorder="1"/>
    <xf numFmtId="193" fontId="49" fillId="0" borderId="67" xfId="0" applyNumberFormat="1" applyFont="1" applyBorder="1" applyAlignment="1">
      <alignment horizontal="right" vertical="center"/>
    </xf>
    <xf numFmtId="193" fontId="49" fillId="22" borderId="67" xfId="0" applyNumberFormat="1" applyFont="1" applyFill="1" applyBorder="1" applyAlignment="1">
      <alignment horizontal="right" vertical="center"/>
    </xf>
    <xf numFmtId="193" fontId="49" fillId="0" borderId="71" xfId="0" applyNumberFormat="1" applyFont="1" applyBorder="1" applyAlignment="1">
      <alignment horizontal="right" vertical="center"/>
    </xf>
    <xf numFmtId="0" fontId="49" fillId="0" borderId="0" xfId="0" applyFont="1" applyBorder="1" applyAlignment="1">
      <alignment horizontal="left" vertical="center" wrapText="1" indent="4"/>
    </xf>
    <xf numFmtId="193" fontId="49" fillId="0" borderId="0" xfId="0" applyNumberFormat="1" applyFont="1" applyBorder="1" applyAlignment="1">
      <alignment horizontal="right" vertical="center"/>
    </xf>
    <xf numFmtId="179" fontId="48" fillId="22" borderId="67" xfId="0" applyNumberFormat="1" applyFont="1" applyFill="1" applyBorder="1" applyAlignment="1">
      <alignment horizontal="right" vertical="center"/>
    </xf>
    <xf numFmtId="179" fontId="49" fillId="0" borderId="71" xfId="0" applyNumberFormat="1" applyFont="1" applyBorder="1" applyAlignment="1">
      <alignment horizontal="right" vertical="center"/>
    </xf>
    <xf numFmtId="179" fontId="49" fillId="0" borderId="0" xfId="4" applyNumberFormat="1" applyFont="1" applyBorder="1" applyAlignment="1">
      <alignment horizontal="right" vertical="center"/>
    </xf>
    <xf numFmtId="193" fontId="46" fillId="0" borderId="0" xfId="0" applyNumberFormat="1" applyFont="1"/>
    <xf numFmtId="0" fontId="50" fillId="0" borderId="0" xfId="0" applyFont="1" applyAlignment="1">
      <alignment wrapText="1"/>
    </xf>
    <xf numFmtId="0" fontId="50" fillId="0" borderId="0" xfId="0" applyFont="1"/>
    <xf numFmtId="0" fontId="46" fillId="0" borderId="0" xfId="0" applyFont="1" applyFill="1"/>
    <xf numFmtId="181" fontId="48" fillId="22" borderId="67" xfId="4" applyNumberFormat="1" applyFont="1" applyFill="1" applyBorder="1" applyAlignment="1">
      <alignment horizontal="right" vertical="center"/>
    </xf>
    <xf numFmtId="0" fontId="50" fillId="18" borderId="0" xfId="0" applyFont="1" applyFill="1"/>
    <xf numFmtId="0" fontId="50" fillId="0" borderId="0" xfId="0" applyFont="1" applyFill="1"/>
    <xf numFmtId="0" fontId="46" fillId="18" borderId="0" xfId="250" applyFont="1" applyFill="1" applyBorder="1"/>
    <xf numFmtId="0" fontId="46" fillId="18" borderId="0" xfId="0" applyFont="1" applyFill="1" applyBorder="1"/>
    <xf numFmtId="0" fontId="45" fillId="18" borderId="0" xfId="0" applyFont="1" applyFill="1" applyBorder="1"/>
    <xf numFmtId="17" fontId="51" fillId="23" borderId="73" xfId="0" quotePrefix="1" applyNumberFormat="1" applyFont="1" applyFill="1" applyBorder="1" applyAlignment="1">
      <alignment horizontal="center" vertical="center"/>
    </xf>
    <xf numFmtId="0" fontId="48" fillId="23" borderId="74" xfId="0" applyFont="1" applyFill="1" applyBorder="1" applyAlignment="1">
      <alignment vertical="center"/>
    </xf>
    <xf numFmtId="0" fontId="41" fillId="21" borderId="0" xfId="0" applyFont="1" applyFill="1" applyBorder="1" applyAlignment="1"/>
    <xf numFmtId="17" fontId="52" fillId="23" borderId="1" xfId="0" quotePrefix="1" applyNumberFormat="1" applyFont="1" applyFill="1" applyBorder="1" applyAlignment="1">
      <alignment horizontal="center" vertical="center"/>
    </xf>
    <xf numFmtId="0" fontId="53" fillId="24" borderId="75" xfId="0" applyFont="1" applyFill="1" applyBorder="1" applyAlignment="1">
      <alignment horizontal="left" vertical="center" wrapText="1"/>
    </xf>
    <xf numFmtId="193" fontId="53" fillId="24" borderId="65" xfId="0" applyNumberFormat="1" applyFont="1" applyFill="1" applyBorder="1" applyAlignment="1">
      <alignment horizontal="right" vertical="center" wrapText="1"/>
    </xf>
    <xf numFmtId="0" fontId="53" fillId="21" borderId="75" xfId="0" applyFont="1" applyFill="1" applyBorder="1" applyAlignment="1">
      <alignment horizontal="left" vertical="center" wrapText="1"/>
    </xf>
    <xf numFmtId="193" fontId="53" fillId="21" borderId="65" xfId="0" applyNumberFormat="1" applyFont="1" applyFill="1" applyBorder="1" applyAlignment="1">
      <alignment horizontal="right" vertical="center" wrapText="1"/>
    </xf>
    <xf numFmtId="193" fontId="13" fillId="24" borderId="65" xfId="0" applyNumberFormat="1" applyFont="1" applyFill="1" applyBorder="1" applyAlignment="1">
      <alignment horizontal="right" vertical="center" wrapText="1"/>
    </xf>
    <xf numFmtId="0" fontId="52" fillId="21" borderId="76" xfId="0" applyFont="1" applyFill="1" applyBorder="1" applyAlignment="1">
      <alignment horizontal="left" vertical="center" wrapText="1"/>
    </xf>
    <xf numFmtId="193" fontId="52" fillId="21" borderId="69" xfId="0" applyNumberFormat="1" applyFont="1" applyFill="1" applyBorder="1" applyAlignment="1">
      <alignment horizontal="right" vertical="center" wrapText="1"/>
    </xf>
    <xf numFmtId="193" fontId="43" fillId="21" borderId="0" xfId="0" applyNumberFormat="1" applyFont="1" applyFill="1" applyBorder="1"/>
    <xf numFmtId="17" fontId="52" fillId="23" borderId="61" xfId="0" quotePrefix="1" applyNumberFormat="1" applyFont="1" applyFill="1" applyBorder="1" applyAlignment="1">
      <alignment horizontal="center" vertical="center"/>
    </xf>
    <xf numFmtId="17" fontId="52" fillId="23" borderId="62" xfId="0" quotePrefix="1" applyNumberFormat="1" applyFont="1" applyFill="1" applyBorder="1" applyAlignment="1">
      <alignment horizontal="center" vertical="center"/>
    </xf>
    <xf numFmtId="0" fontId="53" fillId="24" borderId="64" xfId="0" applyFont="1" applyFill="1" applyBorder="1" applyAlignment="1">
      <alignment horizontal="left" vertical="center" wrapText="1"/>
    </xf>
    <xf numFmtId="0" fontId="53" fillId="21" borderId="64" xfId="0" applyFont="1" applyFill="1" applyBorder="1" applyAlignment="1">
      <alignment horizontal="left" vertical="center" wrapText="1"/>
    </xf>
    <xf numFmtId="0" fontId="52" fillId="21" borderId="68" xfId="0" applyFont="1" applyFill="1" applyBorder="1" applyAlignment="1">
      <alignment horizontal="left" vertical="center" wrapText="1"/>
    </xf>
    <xf numFmtId="0" fontId="52" fillId="21" borderId="69" xfId="0" applyFont="1" applyFill="1" applyBorder="1" applyAlignment="1">
      <alignment horizontal="right" vertical="center" wrapText="1"/>
    </xf>
    <xf numFmtId="0" fontId="52" fillId="23" borderId="7" xfId="0" applyFont="1" applyFill="1" applyBorder="1" applyAlignment="1">
      <alignment horizontal="center" vertical="center"/>
    </xf>
    <xf numFmtId="0" fontId="52" fillId="23" borderId="8" xfId="0" applyFont="1" applyFill="1" applyBorder="1" applyAlignment="1">
      <alignment vertical="center" wrapText="1"/>
    </xf>
    <xf numFmtId="193" fontId="53" fillId="24" borderId="66" xfId="0" applyNumberFormat="1" applyFont="1" applyFill="1" applyBorder="1" applyAlignment="1">
      <alignment horizontal="right" vertical="center" wrapText="1"/>
    </xf>
    <xf numFmtId="193" fontId="53" fillId="21" borderId="66" xfId="0" applyNumberFormat="1" applyFont="1" applyFill="1" applyBorder="1" applyAlignment="1">
      <alignment horizontal="right" vertical="center" wrapText="1"/>
    </xf>
    <xf numFmtId="193" fontId="13" fillId="24" borderId="66" xfId="0" applyNumberFormat="1" applyFont="1" applyFill="1" applyBorder="1" applyAlignment="1">
      <alignment horizontal="right" vertical="center" wrapText="1"/>
    </xf>
    <xf numFmtId="193" fontId="52" fillId="21" borderId="70" xfId="0" applyNumberFormat="1" applyFont="1" applyFill="1" applyBorder="1" applyAlignment="1">
      <alignment horizontal="right" vertical="center" wrapText="1"/>
    </xf>
    <xf numFmtId="181" fontId="43" fillId="21" borderId="0" xfId="4" applyNumberFormat="1" applyFont="1" applyFill="1" applyBorder="1"/>
    <xf numFmtId="38" fontId="43" fillId="21" borderId="0" xfId="0" applyNumberFormat="1" applyFont="1" applyFill="1" applyBorder="1"/>
    <xf numFmtId="181" fontId="43" fillId="21" borderId="0" xfId="0" applyNumberFormat="1" applyFont="1" applyFill="1" applyBorder="1"/>
    <xf numFmtId="181" fontId="48" fillId="22" borderId="66" xfId="4" applyNumberFormat="1" applyFont="1" applyFill="1" applyBorder="1" applyAlignment="1">
      <alignment horizontal="right" vertical="center"/>
    </xf>
    <xf numFmtId="179" fontId="49" fillId="0" borderId="67" xfId="0" applyNumberFormat="1" applyFont="1" applyBorder="1" applyAlignment="1">
      <alignment horizontal="left" vertical="center"/>
    </xf>
    <xf numFmtId="0" fontId="52" fillId="23" borderId="7" xfId="0" applyFont="1" applyFill="1" applyBorder="1" applyAlignment="1">
      <alignment vertical="center" wrapText="1"/>
    </xf>
    <xf numFmtId="0" fontId="41" fillId="25" borderId="7" xfId="0" applyFont="1" applyFill="1" applyBorder="1" applyAlignment="1"/>
    <xf numFmtId="0" fontId="41" fillId="25" borderId="8" xfId="0" applyFont="1" applyFill="1" applyBorder="1" applyAlignment="1"/>
    <xf numFmtId="0" fontId="52" fillId="21" borderId="0" xfId="0" applyFont="1" applyFill="1" applyBorder="1" applyAlignment="1">
      <alignment horizontal="left" vertical="center" wrapText="1"/>
    </xf>
    <xf numFmtId="193" fontId="52" fillId="21" borderId="0" xfId="0" applyNumberFormat="1" applyFont="1" applyFill="1" applyBorder="1" applyAlignment="1">
      <alignment horizontal="right" vertical="center" wrapText="1"/>
    </xf>
    <xf numFmtId="179" fontId="53" fillId="21" borderId="65" xfId="4" applyNumberFormat="1" applyFont="1" applyFill="1" applyBorder="1" applyAlignment="1">
      <alignment horizontal="right" vertical="center" wrapText="1"/>
    </xf>
    <xf numFmtId="179" fontId="53" fillId="24" borderId="65" xfId="4" applyNumberFormat="1" applyFont="1" applyFill="1" applyBorder="1" applyAlignment="1">
      <alignment horizontal="right" vertical="center" wrapText="1"/>
    </xf>
    <xf numFmtId="179" fontId="13" fillId="24" borderId="65" xfId="4" applyNumberFormat="1" applyFont="1" applyFill="1" applyBorder="1" applyAlignment="1">
      <alignment horizontal="right" vertical="center" wrapText="1"/>
    </xf>
    <xf numFmtId="187" fontId="14" fillId="9" borderId="1" xfId="0" applyNumberFormat="1" applyFont="1" applyFill="1" applyBorder="1" applyAlignment="1">
      <alignment horizontal="right" vertical="center"/>
    </xf>
    <xf numFmtId="187" fontId="14" fillId="26" borderId="1" xfId="0" applyNumberFormat="1" applyFont="1" applyFill="1" applyBorder="1" applyAlignment="1">
      <alignment horizontal="right" vertical="center"/>
    </xf>
    <xf numFmtId="17" fontId="52" fillId="23" borderId="7" xfId="0" quotePrefix="1" applyNumberFormat="1" applyFont="1" applyFill="1" applyBorder="1" applyAlignment="1">
      <alignment horizontal="center" vertical="center"/>
    </xf>
    <xf numFmtId="179" fontId="53" fillId="24" borderId="66" xfId="4" applyNumberFormat="1" applyFont="1" applyFill="1" applyBorder="1" applyAlignment="1">
      <alignment horizontal="right" vertical="center" wrapText="1"/>
    </xf>
    <xf numFmtId="179" fontId="53" fillId="21" borderId="66" xfId="4" applyNumberFormat="1" applyFont="1" applyFill="1" applyBorder="1" applyAlignment="1">
      <alignment horizontal="right" vertical="center" wrapText="1"/>
    </xf>
    <xf numFmtId="179" fontId="13" fillId="24" borderId="66" xfId="4" applyNumberFormat="1" applyFont="1" applyFill="1" applyBorder="1" applyAlignment="1">
      <alignment horizontal="right" vertical="center" wrapText="1"/>
    </xf>
    <xf numFmtId="181" fontId="48" fillId="22" borderId="63" xfId="0" applyNumberFormat="1" applyFont="1" applyFill="1" applyBorder="1" applyAlignment="1">
      <alignment horizontal="right" vertical="center"/>
    </xf>
    <xf numFmtId="181" fontId="48" fillId="22" borderId="60" xfId="4" applyNumberFormat="1" applyFont="1" applyFill="1" applyBorder="1" applyAlignment="1">
      <alignment vertical="center" wrapText="1"/>
    </xf>
    <xf numFmtId="181" fontId="48" fillId="22" borderId="61" xfId="4" applyNumberFormat="1" applyFont="1" applyFill="1" applyBorder="1" applyAlignment="1">
      <alignment horizontal="right" vertical="center"/>
    </xf>
    <xf numFmtId="181" fontId="48" fillId="22" borderId="62" xfId="4" applyNumberFormat="1" applyFont="1" applyFill="1" applyBorder="1" applyAlignment="1">
      <alignment horizontal="right" vertical="center"/>
    </xf>
    <xf numFmtId="181" fontId="48" fillId="22" borderId="63" xfId="4" applyNumberFormat="1" applyFont="1" applyFill="1" applyBorder="1" applyAlignment="1">
      <alignment horizontal="right" vertical="center"/>
    </xf>
    <xf numFmtId="181" fontId="46" fillId="0" borderId="0" xfId="4" applyNumberFormat="1" applyFont="1"/>
    <xf numFmtId="181" fontId="48" fillId="22" borderId="60" xfId="0" applyNumberFormat="1" applyFont="1" applyFill="1" applyBorder="1" applyAlignment="1">
      <alignment vertical="center" wrapText="1"/>
    </xf>
    <xf numFmtId="181" fontId="46" fillId="0" borderId="0" xfId="0" applyNumberFormat="1" applyFont="1"/>
    <xf numFmtId="0" fontId="45" fillId="23" borderId="72" xfId="0" applyFont="1" applyFill="1" applyBorder="1" applyAlignment="1">
      <alignment horizontal="center" vertical="center"/>
    </xf>
    <xf numFmtId="17" fontId="52" fillId="23" borderId="1" xfId="0" quotePrefix="1" applyNumberFormat="1" applyFont="1" applyFill="1" applyBorder="1" applyAlignment="1">
      <alignment horizontal="right"/>
    </xf>
    <xf numFmtId="17" fontId="52" fillId="23" borderId="1" xfId="0" quotePrefix="1" applyNumberFormat="1" applyFont="1" applyFill="1" applyBorder="1" applyAlignment="1">
      <alignment horizontal="right" vertical="center"/>
    </xf>
    <xf numFmtId="3" fontId="54" fillId="18" borderId="1" xfId="0" applyNumberFormat="1" applyFont="1" applyFill="1" applyBorder="1" applyAlignment="1">
      <alignment horizontal="right" vertical="center"/>
    </xf>
    <xf numFmtId="0" fontId="43" fillId="25" borderId="0" xfId="0" applyFont="1" applyFill="1" applyBorder="1"/>
    <xf numFmtId="0" fontId="52" fillId="21" borderId="69" xfId="0" applyNumberFormat="1" applyFont="1" applyFill="1" applyBorder="1" applyAlignment="1">
      <alignment horizontal="right" vertical="center" wrapText="1"/>
    </xf>
    <xf numFmtId="0" fontId="41" fillId="25" borderId="8" xfId="0" applyFont="1" applyFill="1" applyBorder="1" applyAlignment="1">
      <alignment horizontal="center"/>
    </xf>
    <xf numFmtId="17" fontId="15" fillId="23" borderId="77" xfId="0" quotePrefix="1" applyNumberFormat="1" applyFont="1" applyFill="1" applyBorder="1" applyAlignment="1">
      <alignment horizontal="center" vertical="center"/>
    </xf>
    <xf numFmtId="179" fontId="16" fillId="22" borderId="78" xfId="0" applyNumberFormat="1" applyFont="1" applyFill="1" applyBorder="1" applyAlignment="1">
      <alignment horizontal="right" vertical="center"/>
    </xf>
    <xf numFmtId="179" fontId="49" fillId="0" borderId="66" xfId="0" applyNumberFormat="1" applyFont="1" applyBorder="1" applyAlignment="1">
      <alignment horizontal="left" vertical="center"/>
    </xf>
    <xf numFmtId="3" fontId="46" fillId="0" borderId="79" xfId="0" applyNumberFormat="1" applyFont="1" applyBorder="1"/>
    <xf numFmtId="179" fontId="17" fillId="0" borderId="78" xfId="0" applyNumberFormat="1" applyFont="1" applyBorder="1" applyAlignment="1">
      <alignment horizontal="left" vertical="center"/>
    </xf>
    <xf numFmtId="3" fontId="13" fillId="0" borderId="80" xfId="4" applyNumberFormat="1" applyFont="1" applyFill="1" applyBorder="1"/>
    <xf numFmtId="3" fontId="43" fillId="27" borderId="81" xfId="4" applyNumberFormat="1" applyFont="1" applyFill="1" applyBorder="1"/>
    <xf numFmtId="3" fontId="13" fillId="0" borderId="82" xfId="4" applyNumberFormat="1" applyFont="1" applyFill="1" applyBorder="1"/>
    <xf numFmtId="179" fontId="48" fillId="22" borderId="62" xfId="0" applyNumberFormat="1" applyFont="1" applyFill="1" applyBorder="1" applyAlignment="1">
      <alignment horizontal="right" vertical="center"/>
    </xf>
    <xf numFmtId="179" fontId="49" fillId="22" borderId="66" xfId="0" applyNumberFormat="1" applyFont="1" applyFill="1" applyBorder="1" applyAlignment="1">
      <alignment horizontal="right" vertical="center"/>
    </xf>
    <xf numFmtId="179" fontId="49" fillId="0" borderId="66" xfId="0" applyNumberFormat="1" applyFont="1" applyBorder="1" applyAlignment="1">
      <alignment horizontal="right" vertical="center"/>
    </xf>
    <xf numFmtId="17" fontId="51" fillId="23" borderId="83" xfId="0" quotePrefix="1" applyNumberFormat="1" applyFont="1" applyFill="1" applyBorder="1" applyAlignment="1">
      <alignment horizontal="center" vertical="center"/>
    </xf>
    <xf numFmtId="181" fontId="48" fillId="22" borderId="62" xfId="0" applyNumberFormat="1" applyFont="1" applyFill="1" applyBorder="1" applyAlignment="1">
      <alignment horizontal="right" vertical="center"/>
    </xf>
    <xf numFmtId="17" fontId="51" fillId="23" borderId="84" xfId="0" quotePrefix="1" applyNumberFormat="1" applyFont="1" applyFill="1" applyBorder="1" applyAlignment="1">
      <alignment horizontal="center" vertical="center"/>
    </xf>
    <xf numFmtId="179" fontId="48" fillId="22" borderId="66" xfId="0" applyNumberFormat="1" applyFont="1" applyFill="1" applyBorder="1" applyAlignment="1">
      <alignment horizontal="right" vertical="center"/>
    </xf>
    <xf numFmtId="179" fontId="49" fillId="0" borderId="70" xfId="0" applyNumberFormat="1" applyFont="1" applyBorder="1" applyAlignment="1">
      <alignment horizontal="right" vertical="center"/>
    </xf>
    <xf numFmtId="17" fontId="51" fillId="23" borderId="1" xfId="0" quotePrefix="1" applyNumberFormat="1" applyFont="1" applyFill="1" applyBorder="1" applyAlignment="1">
      <alignment horizontal="center" vertical="center"/>
    </xf>
    <xf numFmtId="181" fontId="55" fillId="0" borderId="85" xfId="0" applyNumberFormat="1" applyFont="1" applyBorder="1"/>
    <xf numFmtId="181" fontId="56" fillId="0" borderId="86" xfId="0" applyNumberFormat="1" applyFont="1" applyBorder="1"/>
    <xf numFmtId="181" fontId="55" fillId="24" borderId="87" xfId="0" applyNumberFormat="1" applyFont="1" applyFill="1" applyBorder="1"/>
    <xf numFmtId="181" fontId="55" fillId="24" borderId="85" xfId="0" applyNumberFormat="1" applyFont="1" applyFill="1" applyBorder="1"/>
    <xf numFmtId="181" fontId="55" fillId="24" borderId="86" xfId="0" applyNumberFormat="1" applyFont="1" applyFill="1" applyBorder="1"/>
    <xf numFmtId="0" fontId="26" fillId="0" borderId="0" xfId="0" applyFont="1" applyFill="1"/>
    <xf numFmtId="181" fontId="29" fillId="24" borderId="85" xfId="0" applyNumberFormat="1" applyFont="1" applyFill="1" applyBorder="1"/>
    <xf numFmtId="179" fontId="48" fillId="22" borderId="1" xfId="4" applyNumberFormat="1" applyFont="1" applyFill="1" applyBorder="1" applyAlignment="1">
      <alignment horizontal="right" vertical="center"/>
    </xf>
    <xf numFmtId="179" fontId="49" fillId="0" borderId="1" xfId="0" applyNumberFormat="1" applyFont="1" applyBorder="1" applyAlignment="1">
      <alignment horizontal="left" vertical="center"/>
    </xf>
    <xf numFmtId="179" fontId="49" fillId="22" borderId="1" xfId="0" applyNumberFormat="1" applyFont="1" applyFill="1" applyBorder="1" applyAlignment="1">
      <alignment horizontal="right" vertical="center"/>
    </xf>
    <xf numFmtId="179" fontId="49" fillId="0" borderId="1" xfId="0" applyNumberFormat="1" applyFont="1" applyBorder="1" applyAlignment="1">
      <alignment horizontal="right" vertical="center"/>
    </xf>
    <xf numFmtId="179" fontId="48" fillId="22" borderId="1" xfId="0" applyNumberFormat="1" applyFont="1" applyFill="1" applyBorder="1" applyAlignment="1">
      <alignment horizontal="right" vertical="center"/>
    </xf>
    <xf numFmtId="179" fontId="49" fillId="0" borderId="1" xfId="4" applyNumberFormat="1" applyFont="1" applyBorder="1" applyAlignment="1">
      <alignment horizontal="right" vertical="center"/>
    </xf>
    <xf numFmtId="3" fontId="46" fillId="27" borderId="1" xfId="4" applyNumberFormat="1" applyFont="1" applyFill="1" applyBorder="1" applyAlignment="1">
      <alignment vertical="center"/>
    </xf>
    <xf numFmtId="3" fontId="46" fillId="0" borderId="1" xfId="4" applyNumberFormat="1" applyFont="1" applyFill="1" applyBorder="1" applyAlignment="1">
      <alignment vertical="center"/>
    </xf>
    <xf numFmtId="3" fontId="16" fillId="0" borderId="1" xfId="4" applyNumberFormat="1" applyFont="1" applyFill="1" applyBorder="1" applyAlignment="1">
      <alignment vertical="center"/>
    </xf>
    <xf numFmtId="3" fontId="45" fillId="27" borderId="1" xfId="4" applyNumberFormat="1" applyFont="1" applyFill="1" applyBorder="1" applyAlignment="1">
      <alignment vertical="center"/>
    </xf>
    <xf numFmtId="179" fontId="53" fillId="24" borderId="1" xfId="4" applyNumberFormat="1" applyFont="1" applyFill="1" applyBorder="1" applyAlignment="1">
      <alignment horizontal="right" vertical="center" wrapText="1"/>
    </xf>
    <xf numFmtId="179" fontId="53" fillId="21" borderId="1" xfId="4" applyNumberFormat="1" applyFont="1" applyFill="1" applyBorder="1" applyAlignment="1">
      <alignment horizontal="right" vertical="center" wrapText="1"/>
    </xf>
    <xf numFmtId="179" fontId="13" fillId="24" borderId="1" xfId="4" applyNumberFormat="1" applyFont="1" applyFill="1" applyBorder="1" applyAlignment="1">
      <alignment horizontal="right" vertical="center" wrapText="1"/>
    </xf>
    <xf numFmtId="193" fontId="52" fillId="21" borderId="1" xfId="0" applyNumberFormat="1" applyFont="1" applyFill="1" applyBorder="1" applyAlignment="1">
      <alignment horizontal="right" vertical="center" wrapText="1"/>
    </xf>
    <xf numFmtId="0" fontId="43" fillId="25" borderId="0" xfId="0" applyFont="1" applyFill="1" applyBorder="1" applyAlignment="1">
      <alignment horizontal="center"/>
    </xf>
    <xf numFmtId="181" fontId="46" fillId="24" borderId="87" xfId="0" applyNumberFormat="1" applyFont="1" applyFill="1" applyBorder="1" applyAlignment="1">
      <alignment horizontal="right" vertical="center"/>
    </xf>
    <xf numFmtId="181" fontId="46" fillId="0" borderId="85" xfId="0" applyNumberFormat="1" applyFont="1" applyBorder="1" applyAlignment="1">
      <alignment horizontal="right" vertical="center"/>
    </xf>
    <xf numFmtId="181" fontId="46" fillId="24" borderId="85" xfId="0" applyNumberFormat="1" applyFont="1" applyFill="1" applyBorder="1" applyAlignment="1">
      <alignment horizontal="right" vertical="center"/>
    </xf>
    <xf numFmtId="181" fontId="46" fillId="24" borderId="86" xfId="0" applyNumberFormat="1" applyFont="1" applyFill="1" applyBorder="1" applyAlignment="1">
      <alignment horizontal="right" vertical="center"/>
    </xf>
    <xf numFmtId="181" fontId="45" fillId="0" borderId="86" xfId="0" applyNumberFormat="1" applyFont="1" applyBorder="1" applyAlignment="1">
      <alignment horizontal="right" vertical="center"/>
    </xf>
    <xf numFmtId="0" fontId="43" fillId="25" borderId="14" xfId="0" applyFont="1" applyFill="1" applyBorder="1" applyAlignment="1">
      <alignment horizontal="center"/>
    </xf>
    <xf numFmtId="0" fontId="52" fillId="23" borderId="8" xfId="0" applyFont="1" applyFill="1" applyBorder="1" applyAlignment="1">
      <alignment horizontal="center" vertical="center" wrapText="1"/>
    </xf>
    <xf numFmtId="0" fontId="52" fillId="23" borderId="9" xfId="0" applyFont="1" applyFill="1" applyBorder="1" applyAlignment="1">
      <alignment horizontal="center" vertical="center" wrapText="1"/>
    </xf>
    <xf numFmtId="0" fontId="52" fillId="23" borderId="88" xfId="0" applyFont="1" applyFill="1" applyBorder="1" applyAlignment="1">
      <alignment horizontal="center" vertical="center" wrapText="1"/>
    </xf>
    <xf numFmtId="0" fontId="52" fillId="23" borderId="64" xfId="0" applyFont="1" applyFill="1" applyBorder="1" applyAlignment="1">
      <alignment horizontal="center" vertical="center" wrapText="1"/>
    </xf>
    <xf numFmtId="0" fontId="52" fillId="23" borderId="75" xfId="0" applyFont="1" applyFill="1" applyBorder="1" applyAlignment="1">
      <alignment horizontal="center" vertical="center" wrapText="1"/>
    </xf>
    <xf numFmtId="0" fontId="41" fillId="25" borderId="8" xfId="0" applyFont="1" applyFill="1" applyBorder="1" applyAlignment="1">
      <alignment horizontal="center"/>
    </xf>
    <xf numFmtId="0" fontId="40" fillId="17" borderId="51" xfId="0" applyFont="1" applyFill="1" applyBorder="1" applyAlignment="1">
      <alignment horizontal="center" wrapText="1"/>
    </xf>
    <xf numFmtId="0" fontId="40" fillId="17" borderId="41" xfId="0" applyFont="1" applyFill="1" applyBorder="1" applyAlignment="1">
      <alignment horizontal="center" wrapText="1"/>
    </xf>
    <xf numFmtId="216" fontId="40" fillId="17" borderId="52" xfId="214" applyNumberFormat="1" applyFont="1" applyFill="1" applyBorder="1" applyAlignment="1">
      <alignment horizontal="center" vertical="top"/>
    </xf>
    <xf numFmtId="216" fontId="40" fillId="17" borderId="53" xfId="214" applyNumberFormat="1" applyFont="1" applyFill="1" applyBorder="1" applyAlignment="1">
      <alignment horizontal="center" vertical="top"/>
    </xf>
    <xf numFmtId="216" fontId="40" fillId="17" borderId="54" xfId="214" applyNumberFormat="1" applyFont="1" applyFill="1" applyBorder="1" applyAlignment="1">
      <alignment horizontal="center" vertical="top"/>
    </xf>
    <xf numFmtId="0" fontId="40" fillId="17" borderId="51" xfId="0" applyFont="1" applyFill="1" applyBorder="1" applyAlignment="1">
      <alignment horizontal="center"/>
    </xf>
    <xf numFmtId="0" fontId="40" fillId="17" borderId="41" xfId="0" applyFont="1" applyFill="1" applyBorder="1" applyAlignment="1">
      <alignment horizontal="center"/>
    </xf>
  </cellXfs>
  <cellStyles count="373">
    <cellStyle name="20% - Accent3 2" xfId="1"/>
    <cellStyle name="Calculation 2" xfId="2"/>
    <cellStyle name="ColHeadings" xfId="3"/>
    <cellStyle name="Comma" xfId="4" builtinId="3"/>
    <cellStyle name="Comma 10" xfId="5"/>
    <cellStyle name="Comma 10 2" xfId="6"/>
    <cellStyle name="Comma 10 3" xfId="7"/>
    <cellStyle name="Comma 11" xfId="8"/>
    <cellStyle name="Comma 12" xfId="9"/>
    <cellStyle name="Comma 13" xfId="10"/>
    <cellStyle name="Comma 14" xfId="11"/>
    <cellStyle name="Comma 15" xfId="12"/>
    <cellStyle name="Comma 16" xfId="13"/>
    <cellStyle name="Comma 16 2" xfId="14"/>
    <cellStyle name="Comma 17" xfId="15"/>
    <cellStyle name="Comma 17 2" xfId="16"/>
    <cellStyle name="Comma 18" xfId="17"/>
    <cellStyle name="Comma 18 2" xfId="18"/>
    <cellStyle name="Comma 19" xfId="19"/>
    <cellStyle name="Comma 2" xfId="20"/>
    <cellStyle name="Comma 2 10" xfId="21"/>
    <cellStyle name="Comma 2 101" xfId="22"/>
    <cellStyle name="Comma 2 11" xfId="23"/>
    <cellStyle name="Comma 2 12" xfId="24"/>
    <cellStyle name="Comma 2 13" xfId="25"/>
    <cellStyle name="Comma 2 14" xfId="26"/>
    <cellStyle name="Comma 2 15" xfId="27"/>
    <cellStyle name="Comma 2 16" xfId="28"/>
    <cellStyle name="Comma 2 17" xfId="29"/>
    <cellStyle name="Comma 2 18" xfId="30"/>
    <cellStyle name="Comma 2 19" xfId="31"/>
    <cellStyle name="Comma 2 2" xfId="32"/>
    <cellStyle name="Comma 2 2 10" xfId="33"/>
    <cellStyle name="Comma 2 2 11" xfId="34"/>
    <cellStyle name="Comma 2 2 12" xfId="35"/>
    <cellStyle name="Comma 2 2 13" xfId="36"/>
    <cellStyle name="Comma 2 2 14" xfId="37"/>
    <cellStyle name="Comma 2 2 15" xfId="38"/>
    <cellStyle name="Comma 2 2 16" xfId="39"/>
    <cellStyle name="Comma 2 2 17" xfId="40"/>
    <cellStyle name="Comma 2 2 18" xfId="41"/>
    <cellStyle name="Comma 2 2 19" xfId="42"/>
    <cellStyle name="Comma 2 2 2" xfId="43"/>
    <cellStyle name="Comma 2 2 2 10" xfId="44"/>
    <cellStyle name="Comma 2 2 2 11" xfId="45"/>
    <cellStyle name="Comma 2 2 2 12" xfId="46"/>
    <cellStyle name="Comma 2 2 2 13" xfId="47"/>
    <cellStyle name="Comma 2 2 2 14" xfId="48"/>
    <cellStyle name="Comma 2 2 2 15" xfId="49"/>
    <cellStyle name="Comma 2 2 2 16" xfId="50"/>
    <cellStyle name="Comma 2 2 2 17" xfId="51"/>
    <cellStyle name="Comma 2 2 2 18" xfId="52"/>
    <cellStyle name="Comma 2 2 2 19" xfId="53"/>
    <cellStyle name="Comma 2 2 2 2" xfId="54"/>
    <cellStyle name="Comma 2 2 2 2 2" xfId="55"/>
    <cellStyle name="Comma 2 2 2 20" xfId="56"/>
    <cellStyle name="Comma 2 2 2 3" xfId="57"/>
    <cellStyle name="Comma 2 2 2 4" xfId="58"/>
    <cellStyle name="Comma 2 2 2 5" xfId="59"/>
    <cellStyle name="Comma 2 2 2 6" xfId="60"/>
    <cellStyle name="Comma 2 2 2 7" xfId="61"/>
    <cellStyle name="Comma 2 2 2 8" xfId="62"/>
    <cellStyle name="Comma 2 2 2 9" xfId="63"/>
    <cellStyle name="Comma 2 2 20" xfId="64"/>
    <cellStyle name="Comma 2 2 21" xfId="65"/>
    <cellStyle name="Comma 2 2 22" xfId="66"/>
    <cellStyle name="Comma 2 2 23" xfId="67"/>
    <cellStyle name="Comma 2 2 24" xfId="68"/>
    <cellStyle name="Comma 2 2 25" xfId="69"/>
    <cellStyle name="Comma 2 2 26" xfId="70"/>
    <cellStyle name="Comma 2 2 27" xfId="71"/>
    <cellStyle name="Comma 2 2 28" xfId="72"/>
    <cellStyle name="Comma 2 2 29" xfId="73"/>
    <cellStyle name="Comma 2 2 3" xfId="74"/>
    <cellStyle name="Comma 2 2 30" xfId="75"/>
    <cellStyle name="Comma 2 2 31" xfId="76"/>
    <cellStyle name="Comma 2 2 32" xfId="77"/>
    <cellStyle name="Comma 2 2 33" xfId="78"/>
    <cellStyle name="Comma 2 2 34" xfId="79"/>
    <cellStyle name="Comma 2 2 35" xfId="80"/>
    <cellStyle name="Comma 2 2 36" xfId="81"/>
    <cellStyle name="Comma 2 2 37" xfId="82"/>
    <cellStyle name="Comma 2 2 37 2" xfId="83"/>
    <cellStyle name="Comma 2 2 38" xfId="84"/>
    <cellStyle name="Comma 2 2 39" xfId="85"/>
    <cellStyle name="Comma 2 2 4" xfId="86"/>
    <cellStyle name="Comma 2 2 40" xfId="87"/>
    <cellStyle name="Comma 2 2 41" xfId="88"/>
    <cellStyle name="Comma 2 2 42" xfId="89"/>
    <cellStyle name="Comma 2 2 43" xfId="90"/>
    <cellStyle name="Comma 2 2 44" xfId="91"/>
    <cellStyle name="Comma 2 2 45" xfId="92"/>
    <cellStyle name="Comma 2 2 46" xfId="93"/>
    <cellStyle name="Comma 2 2 47" xfId="94"/>
    <cellStyle name="Comma 2 2 48" xfId="95"/>
    <cellStyle name="Comma 2 2 49" xfId="96"/>
    <cellStyle name="Comma 2 2 5" xfId="97"/>
    <cellStyle name="Comma 2 2 50" xfId="98"/>
    <cellStyle name="Comma 2 2 51" xfId="99"/>
    <cellStyle name="Comma 2 2 52" xfId="100"/>
    <cellStyle name="Comma 2 2 53" xfId="101"/>
    <cellStyle name="Comma 2 2 54" xfId="102"/>
    <cellStyle name="Comma 2 2 6" xfId="103"/>
    <cellStyle name="Comma 2 2 7" xfId="104"/>
    <cellStyle name="Comma 2 2 8" xfId="105"/>
    <cellStyle name="Comma 2 2 9" xfId="106"/>
    <cellStyle name="Comma 2 20" xfId="107"/>
    <cellStyle name="Comma 2 21" xfId="108"/>
    <cellStyle name="Comma 2 22" xfId="109"/>
    <cellStyle name="Comma 2 23" xfId="110"/>
    <cellStyle name="Comma 2 24" xfId="111"/>
    <cellStyle name="Comma 2 25" xfId="112"/>
    <cellStyle name="Comma 2 26" xfId="113"/>
    <cellStyle name="Comma 2 27" xfId="114"/>
    <cellStyle name="Comma 2 28" xfId="115"/>
    <cellStyle name="Comma 2 29" xfId="116"/>
    <cellStyle name="Comma 2 3" xfId="117"/>
    <cellStyle name="Comma 2 30" xfId="118"/>
    <cellStyle name="Comma 2 31" xfId="119"/>
    <cellStyle name="Comma 2 32" xfId="120"/>
    <cellStyle name="Comma 2 33" xfId="121"/>
    <cellStyle name="Comma 2 34" xfId="122"/>
    <cellStyle name="Comma 2 35" xfId="123"/>
    <cellStyle name="Comma 2 36" xfId="124"/>
    <cellStyle name="Comma 2 37" xfId="125"/>
    <cellStyle name="Comma 2 38" xfId="126"/>
    <cellStyle name="Comma 2 39" xfId="127"/>
    <cellStyle name="Comma 2 4" xfId="128"/>
    <cellStyle name="Comma 2 40" xfId="129"/>
    <cellStyle name="Comma 2 41" xfId="130"/>
    <cellStyle name="Comma 2 42" xfId="131"/>
    <cellStyle name="Comma 2 43" xfId="132"/>
    <cellStyle name="Comma 2 44" xfId="133"/>
    <cellStyle name="Comma 2 45" xfId="134"/>
    <cellStyle name="Comma 2 46" xfId="135"/>
    <cellStyle name="Comma 2 47" xfId="136"/>
    <cellStyle name="Comma 2 48" xfId="137"/>
    <cellStyle name="Comma 2 49" xfId="138"/>
    <cellStyle name="Comma 2 5" xfId="139"/>
    <cellStyle name="Comma 2 50" xfId="140"/>
    <cellStyle name="Comma 2 51" xfId="141"/>
    <cellStyle name="Comma 2 52" xfId="142"/>
    <cellStyle name="Comma 2 53" xfId="143"/>
    <cellStyle name="Comma 2 54" xfId="144"/>
    <cellStyle name="Comma 2 55" xfId="145"/>
    <cellStyle name="Comma 2 56" xfId="146"/>
    <cellStyle name="Comma 2 57" xfId="147"/>
    <cellStyle name="Comma 2 6" xfId="148"/>
    <cellStyle name="Comma 2 7" xfId="149"/>
    <cellStyle name="Comma 2 8" xfId="150"/>
    <cellStyle name="Comma 2 9" xfId="151"/>
    <cellStyle name="Comma 2_format situation crédits" xfId="152"/>
    <cellStyle name="Comma 20" xfId="153"/>
    <cellStyle name="Comma 20 2" xfId="154"/>
    <cellStyle name="Comma 21" xfId="155"/>
    <cellStyle name="Comma 22" xfId="156"/>
    <cellStyle name="Comma 23" xfId="157"/>
    <cellStyle name="Comma 23 2" xfId="158"/>
    <cellStyle name="Comma 24" xfId="159"/>
    <cellStyle name="Comma 24 2" xfId="160"/>
    <cellStyle name="Comma 25" xfId="161"/>
    <cellStyle name="Comma 26" xfId="162"/>
    <cellStyle name="Comma 27" xfId="163"/>
    <cellStyle name="Comma 28" xfId="164"/>
    <cellStyle name="Comma 29" xfId="165"/>
    <cellStyle name="Comma 3" xfId="166"/>
    <cellStyle name="Comma 3 10" xfId="167"/>
    <cellStyle name="Comma 3 11" xfId="168"/>
    <cellStyle name="Comma 3 12" xfId="169"/>
    <cellStyle name="Comma 3 13" xfId="170"/>
    <cellStyle name="Comma 3 14" xfId="171"/>
    <cellStyle name="Comma 3 15" xfId="172"/>
    <cellStyle name="Comma 3 16" xfId="173"/>
    <cellStyle name="Comma 3 17" xfId="174"/>
    <cellStyle name="Comma 3 18" xfId="175"/>
    <cellStyle name="Comma 3 19" xfId="176"/>
    <cellStyle name="Comma 3 2" xfId="177"/>
    <cellStyle name="Comma 3 20" xfId="178"/>
    <cellStyle name="Comma 3 21" xfId="179"/>
    <cellStyle name="Comma 3 22" xfId="180"/>
    <cellStyle name="Comma 3 23" xfId="181"/>
    <cellStyle name="Comma 3 24" xfId="182"/>
    <cellStyle name="Comma 3 25" xfId="183"/>
    <cellStyle name="Comma 3 26" xfId="184"/>
    <cellStyle name="Comma 3 27" xfId="185"/>
    <cellStyle name="Comma 3 28" xfId="186"/>
    <cellStyle name="Comma 3 29" xfId="187"/>
    <cellStyle name="Comma 3 3" xfId="188"/>
    <cellStyle name="Comma 3 30" xfId="189"/>
    <cellStyle name="Comma 3 31" xfId="190"/>
    <cellStyle name="Comma 3 32" xfId="191"/>
    <cellStyle name="Comma 3 33" xfId="192"/>
    <cellStyle name="Comma 3 34" xfId="193"/>
    <cellStyle name="Comma 3 35" xfId="194"/>
    <cellStyle name="Comma 3 36" xfId="195"/>
    <cellStyle name="Comma 3 37" xfId="196"/>
    <cellStyle name="Comma 3 4" xfId="197"/>
    <cellStyle name="Comma 3 5" xfId="198"/>
    <cellStyle name="Comma 3 6" xfId="199"/>
    <cellStyle name="Comma 3 7" xfId="200"/>
    <cellStyle name="Comma 3 8" xfId="201"/>
    <cellStyle name="Comma 3 9" xfId="202"/>
    <cellStyle name="Comma 3_M.I.CLPd" xfId="203"/>
    <cellStyle name="Comma 30" xfId="204"/>
    <cellStyle name="Comma 31" xfId="205"/>
    <cellStyle name="Comma 32" xfId="206"/>
    <cellStyle name="Comma 33" xfId="207"/>
    <cellStyle name="Comma 34" xfId="208"/>
    <cellStyle name="Comma 4" xfId="209"/>
    <cellStyle name="Comma 4 2" xfId="210"/>
    <cellStyle name="Comma 4 2 2" xfId="211"/>
    <cellStyle name="Comma 5" xfId="212"/>
    <cellStyle name="Comma 5 2" xfId="213"/>
    <cellStyle name="Comma 6" xfId="214"/>
    <cellStyle name="Comma 6 2" xfId="215"/>
    <cellStyle name="Comma 7" xfId="216"/>
    <cellStyle name="Comma 8" xfId="217"/>
    <cellStyle name="Comma 8 2" xfId="218"/>
    <cellStyle name="Comma 9" xfId="219"/>
    <cellStyle name="Currency 2" xfId="220"/>
    <cellStyle name="Currency 3" xfId="221"/>
    <cellStyle name="FormBorder" xfId="222"/>
    <cellStyle name="FormLower" xfId="223"/>
    <cellStyle name="Formula Ratio" xfId="224"/>
    <cellStyle name="FormulaP1" xfId="225"/>
    <cellStyle name="FormulaP2" xfId="226"/>
    <cellStyle name="FormUpper" xfId="227"/>
    <cellStyle name="Hyperlink" xfId="228" builtinId="8"/>
    <cellStyle name="Input 2" xfId="229"/>
    <cellStyle name="Level1 Adj" xfId="230"/>
    <cellStyle name="Level1 AdjHyper" xfId="231"/>
    <cellStyle name="Level2" xfId="232"/>
    <cellStyle name="Level2Adj" xfId="233"/>
    <cellStyle name="Level2Def" xfId="234"/>
    <cellStyle name="Level2DefAdj" xfId="235"/>
    <cellStyle name="Level2Mnth" xfId="236"/>
    <cellStyle name="Level2MnthAdj" xfId="237"/>
    <cellStyle name="Level2Ref" xfId="238"/>
    <cellStyle name="Level3" xfId="239"/>
    <cellStyle name="Level3Adj" xfId="240"/>
    <cellStyle name="Level3Adj Def" xfId="241"/>
    <cellStyle name="Level3Adj_format situation crédits" xfId="242"/>
    <cellStyle name="Level3Ref" xfId="243"/>
    <cellStyle name="Level3Tit" xfId="244"/>
    <cellStyle name="Level3TitAdj" xfId="245"/>
    <cellStyle name="Margin" xfId="246"/>
    <cellStyle name="MarginRef" xfId="247"/>
    <cellStyle name="Milliers 2" xfId="248"/>
    <cellStyle name="Milliers_Feuil5" xfId="249"/>
    <cellStyle name="Normal" xfId="0" builtinId="0"/>
    <cellStyle name="Normal 10" xfId="250"/>
    <cellStyle name="Normal 10 10" xfId="251"/>
    <cellStyle name="Normal 11" xfId="252"/>
    <cellStyle name="Normal 12" xfId="253"/>
    <cellStyle name="Normal 13" xfId="254"/>
    <cellStyle name="Normal 15" xfId="255"/>
    <cellStyle name="Normal 16" xfId="256"/>
    <cellStyle name="Normal 17" xfId="257"/>
    <cellStyle name="Normal 19" xfId="258"/>
    <cellStyle name="Normal 2" xfId="259"/>
    <cellStyle name="Normal 2 135" xfId="260"/>
    <cellStyle name="Normal 2 137" xfId="261"/>
    <cellStyle name="Normal 2 2" xfId="262"/>
    <cellStyle name="Normal 2 2 2" xfId="263"/>
    <cellStyle name="Normal 2 22 2" xfId="264"/>
    <cellStyle name="Normal 2 27 2" xfId="265"/>
    <cellStyle name="Normal 2 3" xfId="266"/>
    <cellStyle name="Normal 2 4" xfId="267"/>
    <cellStyle name="Normal 2 5" xfId="268"/>
    <cellStyle name="Normal 2 5 2" xfId="269"/>
    <cellStyle name="Normal 2 50" xfId="270"/>
    <cellStyle name="Normal 2_format situation crédits" xfId="271"/>
    <cellStyle name="Normal 21 2" xfId="272"/>
    <cellStyle name="Normal 24" xfId="273"/>
    <cellStyle name="Normal 25" xfId="274"/>
    <cellStyle name="Normal 26 2" xfId="275"/>
    <cellStyle name="Normal 28 2" xfId="276"/>
    <cellStyle name="Normal 29 2" xfId="277"/>
    <cellStyle name="Normal 3" xfId="278"/>
    <cellStyle name="Normal 3 10" xfId="279"/>
    <cellStyle name="Normal 3 11" xfId="280"/>
    <cellStyle name="Normal 3 12" xfId="281"/>
    <cellStyle name="Normal 3 13" xfId="282"/>
    <cellStyle name="Normal 3 14" xfId="283"/>
    <cellStyle name="Normal 3 15" xfId="284"/>
    <cellStyle name="Normal 3 16" xfId="285"/>
    <cellStyle name="Normal 3 17" xfId="286"/>
    <cellStyle name="Normal 3 18" xfId="287"/>
    <cellStyle name="Normal 3 19" xfId="288"/>
    <cellStyle name="Normal 3 2" xfId="289"/>
    <cellStyle name="Normal 3 20" xfId="290"/>
    <cellStyle name="Normal 3 21" xfId="291"/>
    <cellStyle name="Normal 3 22" xfId="292"/>
    <cellStyle name="Normal 3 23" xfId="293"/>
    <cellStyle name="Normal 3 24" xfId="294"/>
    <cellStyle name="Normal 3 25" xfId="295"/>
    <cellStyle name="Normal 3 26" xfId="296"/>
    <cellStyle name="Normal 3 27" xfId="297"/>
    <cellStyle name="Normal 3 28" xfId="298"/>
    <cellStyle name="Normal 3 29" xfId="299"/>
    <cellStyle name="Normal 3 3" xfId="300"/>
    <cellStyle name="Normal 3 30" xfId="301"/>
    <cellStyle name="Normal 3 31" xfId="302"/>
    <cellStyle name="Normal 3 32" xfId="303"/>
    <cellStyle name="Normal 3 33" xfId="304"/>
    <cellStyle name="Normal 3 34" xfId="305"/>
    <cellStyle name="Normal 3 35" xfId="306"/>
    <cellStyle name="Normal 3 36" xfId="307"/>
    <cellStyle name="Normal 3 4" xfId="308"/>
    <cellStyle name="Normal 3 5" xfId="309"/>
    <cellStyle name="Normal 3 6" xfId="310"/>
    <cellStyle name="Normal 3 7" xfId="311"/>
    <cellStyle name="Normal 3 8" xfId="312"/>
    <cellStyle name="Normal 3 9" xfId="313"/>
    <cellStyle name="Normal 31 2" xfId="314"/>
    <cellStyle name="Normal 32 2" xfId="315"/>
    <cellStyle name="Normal 34 2" xfId="316"/>
    <cellStyle name="Normal 35 2" xfId="317"/>
    <cellStyle name="Normal 37 2" xfId="318"/>
    <cellStyle name="Normal 38 2" xfId="319"/>
    <cellStyle name="Normal 4" xfId="320"/>
    <cellStyle name="Normal 4 21" xfId="321"/>
    <cellStyle name="Normal 5" xfId="322"/>
    <cellStyle name="Normal 5 2" xfId="323"/>
    <cellStyle name="Normal 51 2" xfId="324"/>
    <cellStyle name="Normal 54 2" xfId="325"/>
    <cellStyle name="Normal 55 2" xfId="326"/>
    <cellStyle name="Normal 57 2" xfId="327"/>
    <cellStyle name="Normal 6" xfId="328"/>
    <cellStyle name="Normal 7" xfId="329"/>
    <cellStyle name="Normal 8" xfId="330"/>
    <cellStyle name="Normal 9" xfId="331"/>
    <cellStyle name="Percent" xfId="332" builtinId="5"/>
    <cellStyle name="Percent 2" xfId="333"/>
    <cellStyle name="Percent 2 10" xfId="334"/>
    <cellStyle name="Percent 2 11" xfId="335"/>
    <cellStyle name="Percent 2 12" xfId="336"/>
    <cellStyle name="Percent 2 13" xfId="337"/>
    <cellStyle name="Percent 2 14" xfId="338"/>
    <cellStyle name="Percent 2 15" xfId="339"/>
    <cellStyle name="Percent 2 16" xfId="340"/>
    <cellStyle name="Percent 2 17" xfId="341"/>
    <cellStyle name="Percent 2 18" xfId="342"/>
    <cellStyle name="Percent 2 19" xfId="343"/>
    <cellStyle name="Percent 2 2" xfId="344"/>
    <cellStyle name="Percent 2 20" xfId="345"/>
    <cellStyle name="Percent 2 21" xfId="346"/>
    <cellStyle name="Percent 2 22" xfId="347"/>
    <cellStyle name="Percent 2 23" xfId="348"/>
    <cellStyle name="Percent 2 24" xfId="349"/>
    <cellStyle name="Percent 2 25" xfId="350"/>
    <cellStyle name="Percent 2 26" xfId="351"/>
    <cellStyle name="Percent 2 27" xfId="352"/>
    <cellStyle name="Percent 2 28" xfId="353"/>
    <cellStyle name="Percent 2 29" xfId="354"/>
    <cellStyle name="Percent 2 3" xfId="355"/>
    <cellStyle name="Percent 2 30" xfId="356"/>
    <cellStyle name="Percent 2 31" xfId="357"/>
    <cellStyle name="Percent 2 32" xfId="358"/>
    <cellStyle name="Percent 2 33" xfId="359"/>
    <cellStyle name="Percent 2 34" xfId="360"/>
    <cellStyle name="Percent 2 35" xfId="361"/>
    <cellStyle name="Percent 2 36" xfId="362"/>
    <cellStyle name="Percent 2 4" xfId="363"/>
    <cellStyle name="Percent 2 5" xfId="364"/>
    <cellStyle name="Percent 2 6" xfId="365"/>
    <cellStyle name="Percent 2 7" xfId="366"/>
    <cellStyle name="Percent 2 8" xfId="367"/>
    <cellStyle name="Percent 2 9" xfId="368"/>
    <cellStyle name="Percent 3" xfId="369"/>
    <cellStyle name="Percent 4" xfId="370"/>
    <cellStyle name="Percent 5" xfId="371"/>
    <cellStyle name="SubAcct" xfId="3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971550</xdr:colOff>
      <xdr:row>7</xdr:row>
      <xdr:rowOff>47625</xdr:rowOff>
    </xdr:to>
    <xdr:pic>
      <xdr:nvPicPr>
        <xdr:cNvPr id="7194" name="Picture 2">
          <a:extLst>
            <a:ext uri="{FF2B5EF4-FFF2-40B4-BE49-F238E27FC236}">
              <a16:creationId xmlns:a16="http://schemas.microsoft.com/office/drawing/2014/main" id="{06ABA5F6-2DBD-0F15-C881-75FC4A61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1450"/>
          <a:ext cx="971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r-file-01\userprofiledata$\Users\emukiza\AppData\Local\Microsoft\Windows\Temporary%20Internet%20Files\Content.Outlook\XJ5W337A\2015%2009%20CONSOLIDATED%20REPORT%20of%20all%20MFIs+SACCOs%20(Published%20dat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IS (in Million)"/>
      <sheetName val="Consolidated BS (in Million)"/>
      <sheetName val="Consolidated BS (Absolute data)"/>
      <sheetName val="Outreach Data (number)"/>
      <sheetName val="Loans per Economic Sector"/>
      <sheetName val="Loans per Gender"/>
      <sheetName val="Nr of accounts&amp;loans(in Thous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L13" sqref="L13"/>
    </sheetView>
  </sheetViews>
  <sheetFormatPr defaultRowHeight="12.75"/>
  <cols>
    <col min="1" max="1" width="4.33203125" style="1" customWidth="1"/>
    <col min="2" max="2" width="27.83203125" style="1" customWidth="1"/>
    <col min="3" max="3" width="9.33203125" style="1"/>
    <col min="4" max="4" width="10.83203125" style="1" customWidth="1"/>
    <col min="5" max="5" width="10.5" style="1" customWidth="1"/>
    <col min="6" max="6" width="10.33203125" style="1" customWidth="1"/>
    <col min="7" max="7" width="10.83203125" style="1" customWidth="1"/>
    <col min="8" max="8" width="10.6640625" style="1" customWidth="1"/>
    <col min="9" max="10" width="9.33203125" style="1"/>
    <col min="11" max="11" width="11.5" style="1" bestFit="1" customWidth="1"/>
    <col min="12" max="12" width="13.33203125" style="1" bestFit="1" customWidth="1"/>
    <col min="13" max="16384" width="9.33203125" style="1"/>
  </cols>
  <sheetData>
    <row r="1" spans="1:8" ht="18">
      <c r="A1" s="5" t="s">
        <v>23</v>
      </c>
    </row>
    <row r="2" spans="1:8">
      <c r="B2" s="2" t="s">
        <v>30</v>
      </c>
    </row>
    <row r="3" spans="1:8">
      <c r="B3" s="6"/>
      <c r="C3" s="7">
        <v>2010</v>
      </c>
      <c r="D3" s="7">
        <v>2011</v>
      </c>
      <c r="E3" s="7">
        <v>2012</v>
      </c>
      <c r="F3" s="7">
        <v>2013</v>
      </c>
      <c r="G3" s="7">
        <v>2014</v>
      </c>
      <c r="H3" s="7">
        <v>2015</v>
      </c>
    </row>
    <row r="4" spans="1:8">
      <c r="B4" s="6" t="s">
        <v>14</v>
      </c>
      <c r="C4" s="8">
        <v>524</v>
      </c>
      <c r="D4" s="8">
        <v>490</v>
      </c>
      <c r="E4" s="8">
        <v>490</v>
      </c>
      <c r="F4" s="8">
        <v>490</v>
      </c>
      <c r="G4" s="8">
        <v>490</v>
      </c>
      <c r="H4" s="8">
        <v>493</v>
      </c>
    </row>
    <row r="5" spans="1:8">
      <c r="B5" s="13" t="s">
        <v>28</v>
      </c>
      <c r="C5" s="14">
        <v>45.28</v>
      </c>
      <c r="D5" s="14">
        <v>77.42</v>
      </c>
      <c r="E5" s="14">
        <v>101.02</v>
      </c>
      <c r="F5" s="14">
        <v>128.75</v>
      </c>
      <c r="G5" s="14">
        <v>159.33000000000001</v>
      </c>
      <c r="H5" s="14">
        <v>208.95</v>
      </c>
    </row>
    <row r="6" spans="1:8">
      <c r="B6" s="15" t="s">
        <v>29</v>
      </c>
      <c r="C6" s="16"/>
      <c r="D6" s="17">
        <f>(D5-C5)/C5</f>
        <v>0.7098056537102474</v>
      </c>
      <c r="E6" s="17">
        <f>(E5-D5)/D5</f>
        <v>0.30483079307672428</v>
      </c>
      <c r="F6" s="17">
        <f>(F5-E5)/E5</f>
        <v>0.27450009899029898</v>
      </c>
      <c r="G6" s="17">
        <f>(G5-F5)/F5</f>
        <v>0.23751456310679622</v>
      </c>
      <c r="H6" s="18">
        <f>(H5-G5)/G5</f>
        <v>0.31142910939559387</v>
      </c>
    </row>
    <row r="8" spans="1:8">
      <c r="B8" s="2" t="s">
        <v>31</v>
      </c>
    </row>
    <row r="9" spans="1:8">
      <c r="B9" s="7" t="s">
        <v>15</v>
      </c>
      <c r="C9" s="7">
        <v>2010</v>
      </c>
      <c r="D9" s="7">
        <v>2011</v>
      </c>
      <c r="E9" s="7">
        <v>2012</v>
      </c>
      <c r="F9" s="7">
        <v>2013</v>
      </c>
      <c r="G9" s="7">
        <v>2014</v>
      </c>
      <c r="H9" s="7">
        <v>2015</v>
      </c>
    </row>
    <row r="10" spans="1:8">
      <c r="B10" s="9" t="s">
        <v>16</v>
      </c>
      <c r="C10" s="10"/>
      <c r="D10" s="10">
        <v>46914</v>
      </c>
      <c r="E10" s="10">
        <v>76136</v>
      </c>
      <c r="F10" s="10">
        <v>97482</v>
      </c>
      <c r="G10" s="10">
        <v>116272</v>
      </c>
      <c r="H10" s="10">
        <v>135824</v>
      </c>
    </row>
    <row r="11" spans="1:8">
      <c r="B11" s="9" t="s">
        <v>19</v>
      </c>
      <c r="C11" s="10"/>
      <c r="D11" s="10">
        <v>212431</v>
      </c>
      <c r="E11" s="10">
        <v>309846</v>
      </c>
      <c r="F11" s="10">
        <v>416712</v>
      </c>
      <c r="G11" s="10">
        <v>470502</v>
      </c>
      <c r="H11" s="10">
        <v>494706</v>
      </c>
    </row>
    <row r="12" spans="1:8">
      <c r="B12" s="9" t="s">
        <v>18</v>
      </c>
      <c r="C12" s="10"/>
      <c r="D12" s="10">
        <v>275845</v>
      </c>
      <c r="E12" s="10">
        <v>402353</v>
      </c>
      <c r="F12" s="10">
        <v>488212</v>
      </c>
      <c r="G12" s="10">
        <v>571496</v>
      </c>
      <c r="H12" s="10">
        <v>628021</v>
      </c>
    </row>
    <row r="13" spans="1:8">
      <c r="B13" s="9" t="s">
        <v>17</v>
      </c>
      <c r="C13" s="10"/>
      <c r="D13" s="10">
        <v>171408</v>
      </c>
      <c r="E13" s="10">
        <v>225900</v>
      </c>
      <c r="F13" s="10">
        <v>272562</v>
      </c>
      <c r="G13" s="10">
        <v>325954</v>
      </c>
      <c r="H13" s="10">
        <v>359011</v>
      </c>
    </row>
    <row r="14" spans="1:8">
      <c r="B14" s="9" t="s">
        <v>20</v>
      </c>
      <c r="C14" s="10"/>
      <c r="D14" s="10">
        <v>248467</v>
      </c>
      <c r="E14" s="10">
        <v>339942</v>
      </c>
      <c r="F14" s="10">
        <v>386105</v>
      </c>
      <c r="G14" s="10">
        <v>456215</v>
      </c>
      <c r="H14" s="10">
        <v>500221</v>
      </c>
    </row>
    <row r="15" spans="1:8">
      <c r="B15" s="19" t="s">
        <v>8</v>
      </c>
      <c r="C15" s="20">
        <v>454049</v>
      </c>
      <c r="D15" s="20">
        <f>SUM(D10:D14)</f>
        <v>955065</v>
      </c>
      <c r="E15" s="20">
        <f>SUM(E10:E14)</f>
        <v>1354177</v>
      </c>
      <c r="F15" s="20">
        <f>SUM(F10:F14)</f>
        <v>1661073</v>
      </c>
      <c r="G15" s="20">
        <f>SUM(G10:G14)</f>
        <v>1940439</v>
      </c>
      <c r="H15" s="20">
        <f>SUM(H10:H14)</f>
        <v>2117783</v>
      </c>
    </row>
    <row r="16" spans="1:8">
      <c r="B16" s="15" t="s">
        <v>27</v>
      </c>
      <c r="C16" s="16"/>
      <c r="D16" s="17">
        <f>(D15-C15)/C15</f>
        <v>1.1034403775803934</v>
      </c>
      <c r="E16" s="17">
        <f>(E15-D15)/D15</f>
        <v>0.41788988184050302</v>
      </c>
      <c r="F16" s="17">
        <f>(F15-E15)/E15</f>
        <v>0.22662916295284885</v>
      </c>
      <c r="G16" s="17">
        <f>(G15-F15)/F15</f>
        <v>0.16818405933995675</v>
      </c>
      <c r="H16" s="18">
        <f>(H15-G15)/G15</f>
        <v>9.1393751620123073E-2</v>
      </c>
    </row>
    <row r="17" spans="2:8">
      <c r="D17" s="3"/>
      <c r="E17" s="4"/>
      <c r="F17" s="4"/>
      <c r="G17" s="4"/>
      <c r="H17" s="4"/>
    </row>
    <row r="18" spans="2:8">
      <c r="B18" s="2" t="s">
        <v>32</v>
      </c>
    </row>
    <row r="19" spans="2:8">
      <c r="B19" s="6"/>
      <c r="C19" s="7">
        <v>2010</v>
      </c>
      <c r="D19" s="7">
        <v>2011</v>
      </c>
      <c r="E19" s="7">
        <v>2012</v>
      </c>
      <c r="F19" s="7">
        <v>2013</v>
      </c>
      <c r="G19" s="7">
        <v>2014</v>
      </c>
      <c r="H19" s="7">
        <v>2015</v>
      </c>
    </row>
    <row r="20" spans="2:8">
      <c r="B20" s="13" t="s">
        <v>7</v>
      </c>
      <c r="C20" s="21">
        <v>699.58699999999999</v>
      </c>
      <c r="D20" s="21">
        <v>1517.941</v>
      </c>
      <c r="E20" s="21">
        <v>1988.693</v>
      </c>
      <c r="F20" s="21">
        <v>2361.4</v>
      </c>
      <c r="G20" s="21">
        <v>2571</v>
      </c>
      <c r="H20" s="21">
        <v>2793.9</v>
      </c>
    </row>
    <row r="21" spans="2:8">
      <c r="B21" s="15" t="s">
        <v>27</v>
      </c>
      <c r="C21" s="16"/>
      <c r="D21" s="17">
        <f>(D20-C20)/C20</f>
        <v>1.1697673055674278</v>
      </c>
      <c r="E21" s="17">
        <f>(E20-D20)/D20</f>
        <v>0.31012536060360707</v>
      </c>
      <c r="F21" s="17">
        <f>(F20-E20)/E20</f>
        <v>0.18741303961948882</v>
      </c>
      <c r="G21" s="17">
        <f>(G20-F20)/F20</f>
        <v>8.8760904548149361E-2</v>
      </c>
      <c r="H21" s="18">
        <f>(H20-G20)/G20</f>
        <v>8.6697782963827338E-2</v>
      </c>
    </row>
    <row r="22" spans="2:8">
      <c r="C22" s="4"/>
      <c r="D22" s="4"/>
      <c r="E22" s="4"/>
      <c r="F22" s="4"/>
      <c r="G22" s="4"/>
    </row>
    <row r="23" spans="2:8">
      <c r="B23" s="2" t="s">
        <v>33</v>
      </c>
    </row>
    <row r="24" spans="2:8">
      <c r="B24" s="9"/>
      <c r="C24" s="7">
        <v>2010</v>
      </c>
      <c r="D24" s="7">
        <v>2011</v>
      </c>
      <c r="E24" s="7">
        <v>2012</v>
      </c>
      <c r="F24" s="7">
        <v>2013</v>
      </c>
      <c r="G24" s="7">
        <v>2014</v>
      </c>
      <c r="H24" s="7">
        <v>2015</v>
      </c>
    </row>
    <row r="25" spans="2:8">
      <c r="B25" s="6" t="s">
        <v>21</v>
      </c>
      <c r="C25" s="8">
        <v>33.6</v>
      </c>
      <c r="D25" s="8">
        <v>40.700000000000003</v>
      </c>
      <c r="E25" s="8">
        <v>59.2</v>
      </c>
      <c r="F25" s="8">
        <v>73.5</v>
      </c>
      <c r="G25" s="8">
        <v>89.9</v>
      </c>
      <c r="H25" s="8">
        <v>116.5</v>
      </c>
    </row>
    <row r="26" spans="2:8">
      <c r="B26" s="12" t="s">
        <v>22</v>
      </c>
      <c r="C26" s="8">
        <v>3.8</v>
      </c>
      <c r="D26" s="8">
        <v>4.9000000000000004</v>
      </c>
      <c r="E26" s="8">
        <v>5.0999999999999996</v>
      </c>
      <c r="F26" s="8">
        <v>4.9000000000000004</v>
      </c>
      <c r="G26" s="8">
        <v>6.3</v>
      </c>
      <c r="H26" s="8">
        <v>9.1999999999999993</v>
      </c>
    </row>
    <row r="28" spans="2:8">
      <c r="B28" s="6" t="s">
        <v>24</v>
      </c>
      <c r="C28" s="11">
        <v>0.113</v>
      </c>
      <c r="D28" s="11">
        <v>0.12</v>
      </c>
      <c r="E28" s="11">
        <v>8.5000000000000006E-2</v>
      </c>
      <c r="F28" s="11">
        <v>6.8000000000000005E-2</v>
      </c>
      <c r="G28" s="11">
        <v>7.0000000000000007E-2</v>
      </c>
      <c r="H28" s="11">
        <v>7.9000000000000001E-2</v>
      </c>
    </row>
    <row r="30" spans="2:8">
      <c r="B30" s="22" t="s">
        <v>25</v>
      </c>
      <c r="C30" s="23"/>
      <c r="D30" s="24">
        <f t="shared" ref="D30:H31" si="0">(D25-C25)/C25</f>
        <v>0.21130952380952384</v>
      </c>
      <c r="E30" s="24">
        <f t="shared" si="0"/>
        <v>0.45454545454545453</v>
      </c>
      <c r="F30" s="24">
        <f t="shared" si="0"/>
        <v>0.241554054054054</v>
      </c>
      <c r="G30" s="24">
        <f t="shared" si="0"/>
        <v>0.22312925170068035</v>
      </c>
      <c r="H30" s="25">
        <f t="shared" si="0"/>
        <v>0.29588431590656278</v>
      </c>
    </row>
    <row r="31" spans="2:8">
      <c r="B31" s="26" t="s">
        <v>26</v>
      </c>
      <c r="C31" s="27"/>
      <c r="D31" s="28">
        <f t="shared" si="0"/>
        <v>0.28947368421052649</v>
      </c>
      <c r="E31" s="28">
        <f t="shared" si="0"/>
        <v>4.0816326530612096E-2</v>
      </c>
      <c r="F31" s="28">
        <f t="shared" si="0"/>
        <v>-3.9215686274509665E-2</v>
      </c>
      <c r="G31" s="28">
        <f t="shared" si="0"/>
        <v>0.28571428571428559</v>
      </c>
      <c r="H31" s="29">
        <f t="shared" si="0"/>
        <v>0.46031746031746024</v>
      </c>
    </row>
    <row r="34" spans="1:12" ht="13.5" thickBot="1">
      <c r="A34"/>
      <c r="B34" t="s">
        <v>36</v>
      </c>
      <c r="C34"/>
      <c r="D34"/>
      <c r="E34"/>
      <c r="F34"/>
      <c r="G34"/>
      <c r="H34"/>
      <c r="I34"/>
      <c r="J34"/>
      <c r="K34"/>
      <c r="L34"/>
    </row>
    <row r="35" spans="1:12" ht="21.75" thickBot="1">
      <c r="A35" s="30"/>
      <c r="B35" s="31"/>
      <c r="C35" s="31">
        <v>2006</v>
      </c>
      <c r="D35" s="31">
        <v>2007</v>
      </c>
      <c r="E35" s="31">
        <v>2008</v>
      </c>
      <c r="F35" s="31">
        <v>2009</v>
      </c>
      <c r="G35" s="31">
        <v>2010</v>
      </c>
      <c r="H35" s="31">
        <v>2011</v>
      </c>
      <c r="I35" s="31">
        <v>2012</v>
      </c>
      <c r="J35" s="31">
        <v>2013</v>
      </c>
      <c r="K35" s="31">
        <v>2014</v>
      </c>
      <c r="L35" s="31">
        <v>2015</v>
      </c>
    </row>
    <row r="36" spans="1:12" ht="21.75" thickBot="1">
      <c r="A36" s="32">
        <v>1</v>
      </c>
      <c r="B36" s="33" t="s">
        <v>0</v>
      </c>
      <c r="C36" s="34"/>
      <c r="D36" s="34"/>
      <c r="E36" s="34">
        <v>60.13</v>
      </c>
      <c r="F36" s="34">
        <v>36.06</v>
      </c>
      <c r="G36" s="34">
        <v>45.28</v>
      </c>
      <c r="H36" s="34">
        <v>77.42</v>
      </c>
      <c r="I36" s="34">
        <v>101.02</v>
      </c>
      <c r="J36" s="34">
        <v>128.75</v>
      </c>
      <c r="K36" s="37">
        <v>159.33000000000001</v>
      </c>
      <c r="L36" s="34">
        <v>208.95</v>
      </c>
    </row>
    <row r="37" spans="1:12" ht="21.75" thickBot="1">
      <c r="A37" s="32">
        <v>2</v>
      </c>
      <c r="B37" s="33" t="s">
        <v>34</v>
      </c>
      <c r="C37" s="35"/>
      <c r="D37" s="35"/>
      <c r="E37" s="35">
        <v>42.32</v>
      </c>
      <c r="F37" s="35">
        <v>24.72</v>
      </c>
      <c r="G37" s="35">
        <v>33.61</v>
      </c>
      <c r="H37" s="35">
        <v>40.72</v>
      </c>
      <c r="I37" s="35">
        <v>59.19</v>
      </c>
      <c r="J37" s="35">
        <v>73.540000000000006</v>
      </c>
      <c r="K37" s="36">
        <v>89.96</v>
      </c>
      <c r="L37" s="36">
        <v>116.58</v>
      </c>
    </row>
    <row r="38" spans="1:12" ht="21.75" thickBot="1">
      <c r="A38" s="32">
        <v>3</v>
      </c>
      <c r="B38" s="33" t="s">
        <v>1</v>
      </c>
      <c r="C38" s="35"/>
      <c r="D38" s="35"/>
      <c r="E38" s="35">
        <v>38.32</v>
      </c>
      <c r="F38" s="35">
        <v>19.100000000000001</v>
      </c>
      <c r="G38" s="35">
        <v>23.9</v>
      </c>
      <c r="H38" s="35">
        <v>45.87</v>
      </c>
      <c r="I38" s="35">
        <v>54.47</v>
      </c>
      <c r="J38" s="35">
        <v>69.489999999999995</v>
      </c>
      <c r="K38" s="36">
        <v>86.13</v>
      </c>
      <c r="L38" s="36">
        <v>117.29</v>
      </c>
    </row>
    <row r="39" spans="1:12" ht="21.75" thickBot="1">
      <c r="A39" s="32">
        <v>4</v>
      </c>
      <c r="B39" s="33" t="s">
        <v>35</v>
      </c>
      <c r="C39" s="35"/>
      <c r="D39" s="35"/>
      <c r="E39" s="35">
        <v>16.23</v>
      </c>
      <c r="F39" s="35">
        <v>11.96</v>
      </c>
      <c r="G39" s="35">
        <v>15.67</v>
      </c>
      <c r="H39" s="35">
        <v>20.190000000000001</v>
      </c>
      <c r="I39" s="35">
        <v>30.11</v>
      </c>
      <c r="J39" s="35">
        <v>42.98</v>
      </c>
      <c r="K39" s="36">
        <v>52.82</v>
      </c>
      <c r="L39" s="36">
        <v>64.98</v>
      </c>
    </row>
    <row r="43" spans="1:12">
      <c r="B43" s="2" t="s">
        <v>37</v>
      </c>
    </row>
    <row r="44" spans="1:12">
      <c r="B44" s="7" t="s">
        <v>38</v>
      </c>
      <c r="C44" s="7">
        <v>2006</v>
      </c>
      <c r="D44" s="7">
        <v>2007</v>
      </c>
      <c r="E44" s="7">
        <v>2008</v>
      </c>
      <c r="F44" s="7">
        <v>2009</v>
      </c>
      <c r="G44" s="7">
        <v>2010</v>
      </c>
      <c r="H44" s="7">
        <v>2011</v>
      </c>
      <c r="I44" s="7">
        <v>2012</v>
      </c>
      <c r="J44" s="7">
        <v>2013</v>
      </c>
      <c r="K44" s="7">
        <v>2014</v>
      </c>
      <c r="L44" s="7">
        <v>2015</v>
      </c>
    </row>
    <row r="45" spans="1:12">
      <c r="B45" s="9" t="s">
        <v>3</v>
      </c>
      <c r="C45" s="10"/>
      <c r="D45" s="10"/>
      <c r="E45" s="10">
        <v>588</v>
      </c>
      <c r="F45" s="10">
        <v>601</v>
      </c>
      <c r="G45" s="10">
        <v>633</v>
      </c>
      <c r="H45" s="10">
        <v>1378</v>
      </c>
      <c r="I45" s="10">
        <v>1642</v>
      </c>
      <c r="J45" s="10">
        <v>1869</v>
      </c>
      <c r="K45" s="10"/>
      <c r="L45" s="10">
        <v>2198</v>
      </c>
    </row>
    <row r="46" spans="1:12">
      <c r="B46" s="9" t="s">
        <v>4</v>
      </c>
      <c r="C46" s="10"/>
      <c r="D46" s="10"/>
      <c r="E46" s="10">
        <v>685</v>
      </c>
      <c r="F46" s="10">
        <v>782</v>
      </c>
      <c r="G46" s="10">
        <v>710</v>
      </c>
      <c r="H46" s="10">
        <v>1706</v>
      </c>
      <c r="I46" s="10">
        <v>1960</v>
      </c>
      <c r="J46" s="10">
        <v>2194</v>
      </c>
      <c r="K46" s="10"/>
      <c r="L46" s="10">
        <v>2452</v>
      </c>
    </row>
    <row r="47" spans="1:12">
      <c r="B47" s="19" t="s">
        <v>8</v>
      </c>
      <c r="C47" s="38">
        <f>SUM(C45:C46)</f>
        <v>0</v>
      </c>
      <c r="D47" s="38">
        <f>SUM(D45:D46)</f>
        <v>0</v>
      </c>
      <c r="E47" s="38">
        <v>1273</v>
      </c>
      <c r="F47" s="38">
        <v>1383</v>
      </c>
      <c r="G47" s="20">
        <v>1343</v>
      </c>
      <c r="H47" s="20">
        <v>3084</v>
      </c>
      <c r="I47" s="20">
        <v>3602</v>
      </c>
      <c r="J47" s="20">
        <v>4063</v>
      </c>
      <c r="K47" s="20">
        <f>SUM(K45:K46)</f>
        <v>0</v>
      </c>
      <c r="L47" s="20">
        <f>SUM(L45:L46)</f>
        <v>4650</v>
      </c>
    </row>
  </sheetData>
  <pageMargins left="0.7" right="0.7" top="0.75" bottom="0.75" header="0.3" footer="0.3"/>
  <pageSetup orientation="portrait" r:id="rId1"/>
  <headerFooter>
    <oddHeader xml:space="preserve">&amp;C 
</oddHeader>
    <oddFooter xml:space="preserve">&amp;C 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84"/>
  <sheetViews>
    <sheetView showGridLines="0" tabSelected="1" zoomScale="87" zoomScaleNormal="87" workbookViewId="0">
      <selection activeCell="AF10" sqref="AF10"/>
    </sheetView>
  </sheetViews>
  <sheetFormatPr defaultRowHeight="15"/>
  <cols>
    <col min="1" max="1" width="7.6640625" style="133" customWidth="1"/>
    <col min="2" max="2" width="68.1640625" style="133" customWidth="1"/>
    <col min="3" max="3" width="14" style="133" customWidth="1"/>
    <col min="4" max="4" width="13.83203125" style="133" customWidth="1"/>
    <col min="5" max="5" width="14" style="133" customWidth="1"/>
    <col min="6" max="6" width="14.1640625" style="133" customWidth="1"/>
    <col min="7" max="7" width="15.83203125" style="133" customWidth="1"/>
    <col min="8" max="8" width="15.6640625" style="133" customWidth="1"/>
    <col min="9" max="9" width="13.6640625" style="133" customWidth="1"/>
    <col min="10" max="10" width="13.83203125" style="133" customWidth="1"/>
    <col min="11" max="11" width="13.6640625" style="133" customWidth="1"/>
    <col min="12" max="12" width="15" style="133" customWidth="1"/>
    <col min="13" max="14" width="14" style="133" customWidth="1"/>
    <col min="15" max="15" width="14.1640625" style="133" customWidth="1"/>
    <col min="16" max="16" width="13.83203125" style="133" customWidth="1"/>
    <col min="17" max="17" width="14.83203125" style="133" customWidth="1"/>
    <col min="18" max="19" width="14.1640625" style="133" customWidth="1"/>
    <col min="20" max="20" width="14.6640625" style="133" customWidth="1"/>
    <col min="21" max="21" width="14.5" style="133" customWidth="1"/>
    <col min="22" max="22" width="15.5" style="133" customWidth="1"/>
    <col min="23" max="23" width="15.1640625" style="133" customWidth="1"/>
    <col min="24" max="24" width="19" style="133" customWidth="1"/>
    <col min="25" max="25" width="18.6640625" style="133" customWidth="1"/>
    <col min="26" max="26" width="19.1640625" style="133" customWidth="1"/>
    <col min="27" max="27" width="15.33203125" style="133" customWidth="1"/>
    <col min="28" max="28" width="19" style="133" customWidth="1"/>
    <col min="29" max="29" width="17.1640625" style="133" customWidth="1"/>
    <col min="30" max="30" width="20.5" style="133" customWidth="1"/>
    <col min="31" max="31" width="18.83203125" style="133" customWidth="1"/>
    <col min="32" max="32" width="18.1640625" style="133" customWidth="1"/>
    <col min="33" max="33" width="18.6640625" style="133" customWidth="1"/>
    <col min="34" max="35" width="18.1640625" style="133" customWidth="1"/>
    <col min="36" max="40" width="9.33203125" style="133"/>
    <col min="41" max="41" width="16" style="133" customWidth="1"/>
    <col min="42" max="16384" width="9.33203125" style="133"/>
  </cols>
  <sheetData>
    <row r="2" spans="2:35" ht="15.75">
      <c r="B2" s="132"/>
      <c r="C2" s="132"/>
      <c r="D2" s="132"/>
      <c r="E2" s="132"/>
      <c r="F2" s="132"/>
      <c r="G2" s="132"/>
      <c r="H2" s="132"/>
      <c r="I2" s="132"/>
    </row>
    <row r="3" spans="2:35" ht="15.75">
      <c r="B3" s="132" t="s">
        <v>75</v>
      </c>
      <c r="C3" s="132"/>
      <c r="D3" s="132"/>
      <c r="I3" s="132"/>
      <c r="J3" s="132"/>
      <c r="K3" s="132"/>
      <c r="L3" s="132"/>
    </row>
    <row r="4" spans="2:35" ht="15.75">
      <c r="B4" s="132" t="s">
        <v>78</v>
      </c>
      <c r="C4" s="132"/>
      <c r="D4" s="132"/>
      <c r="E4" s="132"/>
      <c r="F4" s="132"/>
      <c r="G4" s="132"/>
      <c r="H4" s="132"/>
      <c r="I4" s="132"/>
    </row>
    <row r="5" spans="2:35" ht="15.75">
      <c r="B5" s="132" t="s">
        <v>77</v>
      </c>
    </row>
    <row r="6" spans="2:35" ht="15.75">
      <c r="B6" s="134"/>
      <c r="AE6" s="231"/>
    </row>
    <row r="7" spans="2:35" ht="15.75">
      <c r="B7" s="134" t="s">
        <v>83</v>
      </c>
    </row>
    <row r="8" spans="2:35" ht="16.5" thickBot="1">
      <c r="B8" s="134"/>
    </row>
    <row r="9" spans="2:35" ht="22.5" customHeight="1">
      <c r="B9" s="178" t="s">
        <v>2</v>
      </c>
      <c r="C9" s="177">
        <v>41274</v>
      </c>
      <c r="D9" s="177">
        <v>41639</v>
      </c>
      <c r="E9" s="177">
        <v>41820</v>
      </c>
      <c r="F9" s="177">
        <v>41912</v>
      </c>
      <c r="G9" s="177">
        <v>42004</v>
      </c>
      <c r="H9" s="177">
        <v>42094</v>
      </c>
      <c r="I9" s="177">
        <v>42185</v>
      </c>
      <c r="J9" s="177">
        <v>42277</v>
      </c>
      <c r="K9" s="177">
        <v>42369</v>
      </c>
      <c r="L9" s="177">
        <v>42460</v>
      </c>
      <c r="M9" s="177">
        <v>42551</v>
      </c>
      <c r="N9" s="177">
        <v>42643</v>
      </c>
      <c r="O9" s="177">
        <v>42735</v>
      </c>
      <c r="P9" s="177">
        <v>42825</v>
      </c>
      <c r="Q9" s="177">
        <v>42916</v>
      </c>
      <c r="R9" s="177">
        <v>43008</v>
      </c>
      <c r="S9" s="177">
        <v>43100</v>
      </c>
      <c r="T9" s="177">
        <v>43190</v>
      </c>
      <c r="U9" s="177">
        <v>43281</v>
      </c>
      <c r="V9" s="177">
        <v>43373</v>
      </c>
      <c r="W9" s="177">
        <v>43465</v>
      </c>
      <c r="X9" s="177">
        <v>43555</v>
      </c>
      <c r="Y9" s="177">
        <v>43646</v>
      </c>
      <c r="Z9" s="177">
        <v>43709</v>
      </c>
      <c r="AA9" s="177">
        <v>43818</v>
      </c>
      <c r="AB9" s="177">
        <v>43909</v>
      </c>
      <c r="AC9" s="177">
        <v>44001</v>
      </c>
      <c r="AD9" s="177">
        <v>44093</v>
      </c>
      <c r="AE9" s="177">
        <v>44184</v>
      </c>
      <c r="AF9" s="177">
        <v>44274</v>
      </c>
      <c r="AG9" s="177">
        <v>44377</v>
      </c>
      <c r="AH9" s="235">
        <v>44469</v>
      </c>
      <c r="AI9" s="251">
        <v>44561</v>
      </c>
    </row>
    <row r="10" spans="2:35" s="225" customFormat="1" ht="34.5" customHeight="1">
      <c r="B10" s="221" t="s">
        <v>72</v>
      </c>
      <c r="C10" s="222">
        <v>1988.7</v>
      </c>
      <c r="D10" s="222">
        <v>2361.4</v>
      </c>
      <c r="E10" s="222">
        <v>2397</v>
      </c>
      <c r="F10" s="222">
        <v>2471.096</v>
      </c>
      <c r="G10" s="222">
        <v>2571</v>
      </c>
      <c r="H10" s="222">
        <v>2627.8870000000002</v>
      </c>
      <c r="I10" s="223">
        <v>2718.8919999999998</v>
      </c>
      <c r="J10" s="223">
        <v>2745.2809999999999</v>
      </c>
      <c r="K10" s="223">
        <v>2793.9</v>
      </c>
      <c r="L10" s="224">
        <v>2919.8319999999999</v>
      </c>
      <c r="M10" s="224">
        <v>3008.3</v>
      </c>
      <c r="N10" s="224">
        <v>3061.7460000000001</v>
      </c>
      <c r="O10" s="224">
        <v>3180.277</v>
      </c>
      <c r="P10" s="224">
        <v>3288.2049999999999</v>
      </c>
      <c r="Q10" s="224">
        <v>3356.5230000000001</v>
      </c>
      <c r="R10" s="224">
        <v>3414.81</v>
      </c>
      <c r="S10" s="224">
        <v>3458.31</v>
      </c>
      <c r="T10" s="224">
        <v>3579.2669999999998</v>
      </c>
      <c r="U10" s="224">
        <v>3687.8510000000001</v>
      </c>
      <c r="V10" s="224">
        <v>3656.8292542372901</v>
      </c>
      <c r="W10" s="224">
        <v>3681.3130000000001</v>
      </c>
      <c r="X10" s="224">
        <v>3729.683</v>
      </c>
      <c r="Y10" s="224">
        <v>3772.5030000000002</v>
      </c>
      <c r="Z10" s="224">
        <v>3824</v>
      </c>
      <c r="AA10" s="224">
        <v>3907.4</v>
      </c>
      <c r="AB10" s="224">
        <f>AB11+AB12+AB13</f>
        <v>3954</v>
      </c>
      <c r="AC10" s="224">
        <v>4108.1000000000004</v>
      </c>
      <c r="AD10" s="224">
        <v>4269.3609999999999</v>
      </c>
      <c r="AE10" s="224">
        <v>4368.6059999999998</v>
      </c>
      <c r="AF10" s="224">
        <v>4458.7049999999999</v>
      </c>
      <c r="AG10" s="224">
        <f>4597116/1000</f>
        <v>4597.116</v>
      </c>
      <c r="AH10" s="239">
        <v>4751.5</v>
      </c>
      <c r="AI10" s="259">
        <v>4860.1049999999996</v>
      </c>
    </row>
    <row r="11" spans="2:35" ht="28.5" customHeight="1">
      <c r="B11" s="140" t="s">
        <v>3</v>
      </c>
      <c r="C11" s="141">
        <v>784.8</v>
      </c>
      <c r="D11" s="141">
        <v>918.3</v>
      </c>
      <c r="E11" s="141">
        <v>919.4</v>
      </c>
      <c r="F11" s="141">
        <v>948.20299999999997</v>
      </c>
      <c r="G11" s="141">
        <v>987</v>
      </c>
      <c r="H11" s="141">
        <v>1010.56</v>
      </c>
      <c r="I11" s="142">
        <v>1045.9929999999999</v>
      </c>
      <c r="J11" s="142">
        <v>1057.384</v>
      </c>
      <c r="K11" s="142">
        <v>1081.8</v>
      </c>
      <c r="L11" s="143">
        <v>1129.808</v>
      </c>
      <c r="M11" s="143">
        <v>1153.2249999999999</v>
      </c>
      <c r="N11" s="143">
        <v>1188.3130000000001</v>
      </c>
      <c r="O11" s="143">
        <v>1249.42001</v>
      </c>
      <c r="P11" s="143">
        <v>1298.8860099999999</v>
      </c>
      <c r="Q11" s="143">
        <v>1333.039</v>
      </c>
      <c r="R11" s="143">
        <v>1351.4757999999999</v>
      </c>
      <c r="S11" s="143">
        <v>1373.1590000000001</v>
      </c>
      <c r="T11" s="143">
        <v>1431.895</v>
      </c>
      <c r="U11" s="143">
        <v>1464.4359999999999</v>
      </c>
      <c r="V11" s="143">
        <v>1461.8430000000001</v>
      </c>
      <c r="W11" s="144">
        <v>1469.2930000000001</v>
      </c>
      <c r="X11" s="144">
        <v>1532.0219999999999</v>
      </c>
      <c r="Y11" s="144">
        <v>1516.152</v>
      </c>
      <c r="Z11" s="205">
        <v>1538</v>
      </c>
      <c r="AA11" s="205">
        <v>1598.1</v>
      </c>
      <c r="AB11" s="205">
        <v>1600.8</v>
      </c>
      <c r="AC11" s="205">
        <v>1671.4</v>
      </c>
      <c r="AD11" s="205">
        <v>1742.6</v>
      </c>
      <c r="AE11" s="205">
        <v>1793.193</v>
      </c>
      <c r="AF11" s="205">
        <v>1861.4960000000001</v>
      </c>
      <c r="AG11" s="205">
        <f>1939103/1000</f>
        <v>1939.1030000000001</v>
      </c>
      <c r="AH11" s="238">
        <v>1998</v>
      </c>
      <c r="AI11" s="260">
        <v>2061.663</v>
      </c>
    </row>
    <row r="12" spans="2:35" ht="31.5" customHeight="1">
      <c r="B12" s="145" t="s">
        <v>4</v>
      </c>
      <c r="C12" s="146">
        <v>1079.2</v>
      </c>
      <c r="D12" s="146">
        <v>1261</v>
      </c>
      <c r="E12" s="146">
        <v>1286</v>
      </c>
      <c r="F12" s="146">
        <v>1331.6559999999999</v>
      </c>
      <c r="G12" s="146">
        <v>1369</v>
      </c>
      <c r="H12" s="146">
        <v>1395.65</v>
      </c>
      <c r="I12" s="147">
        <v>1440.7909999999999</v>
      </c>
      <c r="J12" s="147">
        <v>1447.2460000000001</v>
      </c>
      <c r="K12" s="147">
        <v>1463.3</v>
      </c>
      <c r="L12" s="148">
        <v>1531.37</v>
      </c>
      <c r="M12" s="148">
        <v>1580.1120000000001</v>
      </c>
      <c r="N12" s="148">
        <v>1598.2159999999999</v>
      </c>
      <c r="O12" s="148">
        <v>1663.11799</v>
      </c>
      <c r="P12" s="148">
        <v>1710.6409900000001</v>
      </c>
      <c r="Q12" s="148">
        <v>1739.5309999999999</v>
      </c>
      <c r="R12" s="148">
        <v>1771.8132000000001</v>
      </c>
      <c r="S12" s="148">
        <v>1797.8</v>
      </c>
      <c r="T12" s="148">
        <v>1851.547</v>
      </c>
      <c r="U12" s="148">
        <v>1906.595</v>
      </c>
      <c r="V12" s="148">
        <v>1889.942</v>
      </c>
      <c r="W12" s="149">
        <v>1896.3560000000002</v>
      </c>
      <c r="X12" s="149">
        <v>1860.5319999999999</v>
      </c>
      <c r="Y12" s="149">
        <v>1920.8139999999999</v>
      </c>
      <c r="Z12" s="149">
        <v>1949</v>
      </c>
      <c r="AA12" s="149">
        <v>1963.2</v>
      </c>
      <c r="AB12" s="149">
        <v>2005.8</v>
      </c>
      <c r="AC12" s="149">
        <v>2078.8000000000002</v>
      </c>
      <c r="AD12" s="149">
        <v>2154.261</v>
      </c>
      <c r="AE12" s="149">
        <v>2196.989</v>
      </c>
      <c r="AF12" s="149">
        <v>2216.5509999999999</v>
      </c>
      <c r="AG12" s="149">
        <f>2260254/1000</f>
        <v>2260.2539999999999</v>
      </c>
      <c r="AH12" s="236">
        <v>2356</v>
      </c>
      <c r="AI12" s="261">
        <v>2378.5059999999999</v>
      </c>
    </row>
    <row r="13" spans="2:35" ht="28.5" customHeight="1">
      <c r="B13" s="140" t="s">
        <v>5</v>
      </c>
      <c r="C13" s="141">
        <v>124.8</v>
      </c>
      <c r="D13" s="141">
        <v>182.1</v>
      </c>
      <c r="E13" s="141">
        <v>191.6</v>
      </c>
      <c r="F13" s="141">
        <v>191.23699999999999</v>
      </c>
      <c r="G13" s="141">
        <v>215</v>
      </c>
      <c r="H13" s="141">
        <v>221.67699999999999</v>
      </c>
      <c r="I13" s="142">
        <v>232.108</v>
      </c>
      <c r="J13" s="142">
        <v>240.65100000000001</v>
      </c>
      <c r="K13" s="142">
        <v>248.8</v>
      </c>
      <c r="L13" s="143">
        <v>258.60000000000002</v>
      </c>
      <c r="M13" s="143">
        <v>275.03699999999998</v>
      </c>
      <c r="N13" s="143">
        <v>275.21699999999998</v>
      </c>
      <c r="O13" s="143">
        <v>267.73899999999998</v>
      </c>
      <c r="P13" s="143">
        <v>278.678</v>
      </c>
      <c r="Q13" s="143">
        <v>283.95299999999997</v>
      </c>
      <c r="R13" s="143">
        <v>291.52100000000002</v>
      </c>
      <c r="S13" s="143">
        <v>287.28300000000002</v>
      </c>
      <c r="T13" s="143">
        <v>295.82499999999999</v>
      </c>
      <c r="U13" s="143">
        <v>316.82</v>
      </c>
      <c r="V13" s="143">
        <v>313.08100000000002</v>
      </c>
      <c r="W13" s="144">
        <v>315.66399999999999</v>
      </c>
      <c r="X13" s="144">
        <v>337.12900000000002</v>
      </c>
      <c r="Y13" s="144">
        <v>335.53700000000003</v>
      </c>
      <c r="Z13" s="144">
        <v>336</v>
      </c>
      <c r="AA13" s="144">
        <v>346.1</v>
      </c>
      <c r="AB13" s="144">
        <v>347.4</v>
      </c>
      <c r="AC13" s="144">
        <v>357.9</v>
      </c>
      <c r="AD13" s="144">
        <v>372.5</v>
      </c>
      <c r="AE13" s="144">
        <v>378.42399999999998</v>
      </c>
      <c r="AF13" s="144">
        <v>381</v>
      </c>
      <c r="AG13" s="144">
        <f>397759/1000</f>
        <v>397.75900000000001</v>
      </c>
      <c r="AH13" s="144">
        <v>397.5</v>
      </c>
      <c r="AI13" s="262">
        <v>419.93599999999998</v>
      </c>
    </row>
    <row r="14" spans="2:35" ht="33" customHeight="1">
      <c r="B14" s="150" t="s">
        <v>81</v>
      </c>
      <c r="C14" s="151">
        <v>137.19999999999999</v>
      </c>
      <c r="D14" s="151">
        <v>147.5</v>
      </c>
      <c r="E14" s="151">
        <v>169.8</v>
      </c>
      <c r="F14" s="151">
        <v>165.16900000000001</v>
      </c>
      <c r="G14" s="151">
        <v>162</v>
      </c>
      <c r="H14" s="151">
        <v>170.68799999999999</v>
      </c>
      <c r="I14" s="152">
        <v>167.089</v>
      </c>
      <c r="J14" s="152">
        <v>167.791</v>
      </c>
      <c r="K14" s="152">
        <v>171.4</v>
      </c>
      <c r="L14" s="153">
        <v>175.4</v>
      </c>
      <c r="M14" s="153">
        <v>189.749</v>
      </c>
      <c r="N14" s="153">
        <v>194.321</v>
      </c>
      <c r="O14" s="153">
        <v>190.80200000000002</v>
      </c>
      <c r="P14" s="153">
        <v>216.40600000000001</v>
      </c>
      <c r="Q14" s="153">
        <v>222.87100000000001</v>
      </c>
      <c r="R14" s="153">
        <v>232.63</v>
      </c>
      <c r="S14" s="153">
        <v>241.76400000000001</v>
      </c>
      <c r="T14" s="153">
        <v>246.72800000000001</v>
      </c>
      <c r="U14" s="153">
        <v>253.93600000000001</v>
      </c>
      <c r="V14" s="153">
        <v>272.01300000000003</v>
      </c>
      <c r="W14" s="139">
        <v>281.08300000000003</v>
      </c>
      <c r="X14" s="139">
        <v>294.25400000000002</v>
      </c>
      <c r="Y14" s="139">
        <v>310.66700000000003</v>
      </c>
      <c r="Z14" s="139">
        <v>466.3</v>
      </c>
      <c r="AA14" s="139">
        <f>AA15+AA16+AA17</f>
        <v>509.59999999999997</v>
      </c>
      <c r="AB14" s="139">
        <v>521.70000000000005</v>
      </c>
      <c r="AC14" s="139">
        <v>526.29999999999995</v>
      </c>
      <c r="AD14" s="139">
        <v>599.27599999999995</v>
      </c>
      <c r="AE14" s="139">
        <v>675.48599999999999</v>
      </c>
      <c r="AF14" s="139">
        <v>335.74099999999999</v>
      </c>
      <c r="AG14" s="139">
        <f>333144/1000</f>
        <v>333.14400000000001</v>
      </c>
      <c r="AH14" s="139">
        <v>311.20100000000002</v>
      </c>
      <c r="AI14" s="263">
        <v>399.59199999999998</v>
      </c>
    </row>
    <row r="15" spans="2:35" ht="19.5" customHeight="1">
      <c r="B15" s="140" t="s">
        <v>3</v>
      </c>
      <c r="C15" s="141">
        <v>41</v>
      </c>
      <c r="D15" s="141">
        <v>43.8</v>
      </c>
      <c r="E15" s="141">
        <v>52.5</v>
      </c>
      <c r="F15" s="141">
        <v>49.317999999999998</v>
      </c>
      <c r="G15" s="141">
        <v>48</v>
      </c>
      <c r="H15" s="141">
        <v>51.948</v>
      </c>
      <c r="I15" s="142">
        <v>49.256</v>
      </c>
      <c r="J15" s="142">
        <v>51.259</v>
      </c>
      <c r="K15" s="142">
        <v>63.1</v>
      </c>
      <c r="L15" s="143">
        <v>53.527999999999999</v>
      </c>
      <c r="M15" s="143">
        <v>59.802</v>
      </c>
      <c r="N15" s="143">
        <v>60.844000000000001</v>
      </c>
      <c r="O15" s="143">
        <v>62.165999999999997</v>
      </c>
      <c r="P15" s="143">
        <v>73.540000000000006</v>
      </c>
      <c r="Q15" s="143">
        <v>77.53</v>
      </c>
      <c r="R15" s="143">
        <v>82.875</v>
      </c>
      <c r="S15" s="143">
        <v>87.156999999999996</v>
      </c>
      <c r="T15" s="143">
        <v>89.965999999999994</v>
      </c>
      <c r="U15" s="143">
        <v>92.84</v>
      </c>
      <c r="V15" s="143">
        <v>98.567999999999998</v>
      </c>
      <c r="W15" s="144">
        <v>105.565</v>
      </c>
      <c r="X15" s="144">
        <v>113.842</v>
      </c>
      <c r="Y15" s="144">
        <v>120.572</v>
      </c>
      <c r="Z15" s="144">
        <v>175.1</v>
      </c>
      <c r="AA15" s="144">
        <v>205.3</v>
      </c>
      <c r="AB15" s="144">
        <v>207</v>
      </c>
      <c r="AC15" s="144">
        <v>208.4</v>
      </c>
      <c r="AD15" s="144">
        <v>230.11199999999999</v>
      </c>
      <c r="AE15" s="144">
        <v>260.32100000000003</v>
      </c>
      <c r="AF15" s="144">
        <v>141.95599999999999</v>
      </c>
      <c r="AG15" s="144">
        <f>147974/1000</f>
        <v>147.97399999999999</v>
      </c>
      <c r="AH15" s="240">
        <v>133.43299999999999</v>
      </c>
      <c r="AI15" s="262">
        <v>170.17400000000001</v>
      </c>
    </row>
    <row r="16" spans="2:35" ht="25.5" customHeight="1">
      <c r="B16" s="145" t="s">
        <v>4</v>
      </c>
      <c r="C16" s="146">
        <v>90.9</v>
      </c>
      <c r="D16" s="146">
        <v>97.7</v>
      </c>
      <c r="E16" s="146">
        <v>110.8</v>
      </c>
      <c r="F16" s="146">
        <v>108.402</v>
      </c>
      <c r="G16" s="146">
        <v>107</v>
      </c>
      <c r="H16" s="146">
        <v>112.517</v>
      </c>
      <c r="I16" s="147">
        <v>111.539</v>
      </c>
      <c r="J16" s="147">
        <v>109.831</v>
      </c>
      <c r="K16" s="147">
        <v>102.2</v>
      </c>
      <c r="L16" s="148">
        <v>115.91500000000001</v>
      </c>
      <c r="M16" s="148">
        <v>123.739</v>
      </c>
      <c r="N16" s="148">
        <v>126.05200000000001</v>
      </c>
      <c r="O16" s="148">
        <v>121.349</v>
      </c>
      <c r="P16" s="148">
        <v>135.16200000000001</v>
      </c>
      <c r="Q16" s="148">
        <v>137.48400000000001</v>
      </c>
      <c r="R16" s="148">
        <v>142.70400000000001</v>
      </c>
      <c r="S16" s="148">
        <v>147.19999999999999</v>
      </c>
      <c r="T16" s="148">
        <v>148.62100000000001</v>
      </c>
      <c r="U16" s="148">
        <v>153.047</v>
      </c>
      <c r="V16" s="148">
        <v>159.41</v>
      </c>
      <c r="W16" s="149">
        <v>166.90199999999999</v>
      </c>
      <c r="X16" s="149">
        <v>170.88</v>
      </c>
      <c r="Y16" s="149">
        <v>172.869</v>
      </c>
      <c r="Z16" s="149">
        <v>269.89999999999998</v>
      </c>
      <c r="AA16" s="149">
        <v>293.39999999999998</v>
      </c>
      <c r="AB16" s="149">
        <v>306.89999999999998</v>
      </c>
      <c r="AC16" s="149">
        <v>311.10000000000002</v>
      </c>
      <c r="AD16" s="149">
        <v>359.08</v>
      </c>
      <c r="AE16" s="149">
        <v>403.27100000000002</v>
      </c>
      <c r="AF16" s="149">
        <v>186.63399999999999</v>
      </c>
      <c r="AG16" s="149">
        <f>175731/1000</f>
        <v>175.73099999999999</v>
      </c>
      <c r="AH16" s="241">
        <v>171.83199999999999</v>
      </c>
      <c r="AI16" s="261">
        <v>222.3</v>
      </c>
    </row>
    <row r="17" spans="2:35" ht="28.5" customHeight="1" thickBot="1">
      <c r="B17" s="154" t="s">
        <v>5</v>
      </c>
      <c r="C17" s="155">
        <v>5.3</v>
      </c>
      <c r="D17" s="155">
        <v>6</v>
      </c>
      <c r="E17" s="155">
        <v>6.3</v>
      </c>
      <c r="F17" s="155">
        <v>7.4489999999999998</v>
      </c>
      <c r="G17" s="155">
        <v>7</v>
      </c>
      <c r="H17" s="155">
        <v>6.2229999999999999</v>
      </c>
      <c r="I17" s="156">
        <v>6.2939999999999996</v>
      </c>
      <c r="J17" s="156">
        <v>6.7009999999999996</v>
      </c>
      <c r="K17" s="156">
        <v>6.1</v>
      </c>
      <c r="L17" s="157">
        <v>6.0369999999999999</v>
      </c>
      <c r="M17" s="157">
        <v>6.2080000000000002</v>
      </c>
      <c r="N17" s="157">
        <v>7.4249999999999998</v>
      </c>
      <c r="O17" s="157">
        <v>7.2869999999999999</v>
      </c>
      <c r="P17" s="157">
        <v>7.7039999999999997</v>
      </c>
      <c r="Q17" s="157">
        <v>7.8570000000000002</v>
      </c>
      <c r="R17" s="157">
        <v>7.0510000000000002</v>
      </c>
      <c r="S17" s="157">
        <v>7.3550000000000004</v>
      </c>
      <c r="T17" s="157">
        <v>8.141</v>
      </c>
      <c r="U17" s="157">
        <v>8.0489999999999995</v>
      </c>
      <c r="V17" s="157">
        <v>14.035</v>
      </c>
      <c r="W17" s="157">
        <v>8.6159999999999997</v>
      </c>
      <c r="X17" s="157">
        <v>9.532</v>
      </c>
      <c r="Y17" s="157">
        <v>17.225999999999999</v>
      </c>
      <c r="Z17" s="157">
        <v>21.3</v>
      </c>
      <c r="AA17" s="157">
        <v>10.9</v>
      </c>
      <c r="AB17" s="157">
        <v>7.8</v>
      </c>
      <c r="AC17" s="157">
        <v>6.8000000000000007</v>
      </c>
      <c r="AD17" s="157">
        <v>10.084</v>
      </c>
      <c r="AE17" s="157">
        <v>11.894</v>
      </c>
      <c r="AF17" s="157">
        <v>7.1509999999999998</v>
      </c>
      <c r="AG17" s="157">
        <v>9.4</v>
      </c>
      <c r="AH17" s="242">
        <v>5.9359999999999999</v>
      </c>
      <c r="AI17" s="264">
        <v>7.1180000000000003</v>
      </c>
    </row>
    <row r="20" spans="2:35" ht="15.75">
      <c r="B20" s="134" t="s">
        <v>71</v>
      </c>
    </row>
    <row r="21" spans="2:35" ht="16.5" thickBot="1">
      <c r="B21" s="134"/>
    </row>
    <row r="22" spans="2:35" ht="20.25" customHeight="1" thickBot="1">
      <c r="B22" s="158" t="s">
        <v>6</v>
      </c>
      <c r="C22" s="177">
        <v>41274</v>
      </c>
      <c r="D22" s="177">
        <v>41639</v>
      </c>
      <c r="E22" s="177">
        <v>41820</v>
      </c>
      <c r="F22" s="177">
        <v>41912</v>
      </c>
      <c r="G22" s="177">
        <v>42004</v>
      </c>
      <c r="H22" s="177">
        <v>42094</v>
      </c>
      <c r="I22" s="177">
        <v>42185</v>
      </c>
      <c r="J22" s="177">
        <v>42277</v>
      </c>
      <c r="K22" s="177">
        <v>42369</v>
      </c>
      <c r="L22" s="177">
        <v>42460</v>
      </c>
      <c r="M22" s="177">
        <v>42551</v>
      </c>
      <c r="N22" s="177">
        <v>42643</v>
      </c>
      <c r="O22" s="177">
        <v>42735</v>
      </c>
      <c r="P22" s="177">
        <v>42825</v>
      </c>
      <c r="Q22" s="177">
        <v>42916</v>
      </c>
      <c r="R22" s="177">
        <v>43008</v>
      </c>
      <c r="S22" s="177">
        <v>43100</v>
      </c>
      <c r="T22" s="177">
        <v>43190</v>
      </c>
      <c r="U22" s="177">
        <v>43281</v>
      </c>
      <c r="V22" s="177">
        <v>43373</v>
      </c>
      <c r="W22" s="177">
        <v>43465</v>
      </c>
      <c r="X22" s="177">
        <v>43555</v>
      </c>
      <c r="Y22" s="177">
        <v>43646</v>
      </c>
      <c r="Z22" s="177">
        <v>43727</v>
      </c>
      <c r="AA22" s="177" t="s">
        <v>80</v>
      </c>
      <c r="AB22" s="177">
        <v>43921</v>
      </c>
      <c r="AC22" s="177">
        <v>44012</v>
      </c>
      <c r="AD22" s="177">
        <v>44094</v>
      </c>
      <c r="AE22" s="177">
        <v>44196</v>
      </c>
      <c r="AF22" s="177">
        <v>44286</v>
      </c>
      <c r="AG22" s="177">
        <v>44377</v>
      </c>
      <c r="AH22" s="246">
        <v>44469</v>
      </c>
      <c r="AI22" s="246">
        <v>44561</v>
      </c>
    </row>
    <row r="23" spans="2:35" s="227" customFormat="1" ht="24.75" customHeight="1">
      <c r="B23" s="226" t="s">
        <v>82</v>
      </c>
      <c r="C23" s="222">
        <v>55.545000000000002</v>
      </c>
      <c r="D23" s="222">
        <v>65.063000000000002</v>
      </c>
      <c r="E23" s="222">
        <v>66.793999999999997</v>
      </c>
      <c r="F23" s="222">
        <v>67.423000000000002</v>
      </c>
      <c r="G23" s="222">
        <v>70.201999999999998</v>
      </c>
      <c r="H23" s="222">
        <v>67.198999999999998</v>
      </c>
      <c r="I23" s="223">
        <v>68.406000000000006</v>
      </c>
      <c r="J23" s="223">
        <v>71.024000000000001</v>
      </c>
      <c r="K23" s="223">
        <v>75.7</v>
      </c>
      <c r="L23" s="224">
        <v>72.73</v>
      </c>
      <c r="M23" s="224">
        <v>79.241</v>
      </c>
      <c r="N23" s="224">
        <v>85.322999999999993</v>
      </c>
      <c r="O23" s="224">
        <v>91.876000000000005</v>
      </c>
      <c r="P23" s="224">
        <v>94.501999999999995</v>
      </c>
      <c r="Q23" s="224">
        <v>97.135999999999996</v>
      </c>
      <c r="R23" s="224">
        <v>98.870999999999995</v>
      </c>
      <c r="S23" s="224">
        <v>104.67100000000001</v>
      </c>
      <c r="T23" s="224">
        <v>106.36500000000001</v>
      </c>
      <c r="U23" s="224">
        <v>109.033</v>
      </c>
      <c r="V23" s="224">
        <v>111.761</v>
      </c>
      <c r="W23" s="220">
        <v>118.873</v>
      </c>
      <c r="X23" s="224">
        <v>121.27500000000001</v>
      </c>
      <c r="Y23" s="220">
        <v>122.55500000000001</v>
      </c>
      <c r="Z23" s="220">
        <v>115.89999999999999</v>
      </c>
      <c r="AA23" s="220">
        <f>AA24+AA25+AA26</f>
        <v>118.5</v>
      </c>
      <c r="AB23" s="220">
        <f>AB24+AB25+AB26</f>
        <v>108.1</v>
      </c>
      <c r="AC23" s="220">
        <v>100.8</v>
      </c>
      <c r="AD23" s="139">
        <v>103.24100000000001</v>
      </c>
      <c r="AE23" s="139">
        <v>110.78699999999999</v>
      </c>
      <c r="AF23" s="139">
        <v>101.557</v>
      </c>
      <c r="AG23" s="243">
        <f>106145/1000</f>
        <v>106.145</v>
      </c>
      <c r="AH23" s="268">
        <v>97</v>
      </c>
      <c r="AI23" s="263">
        <v>104.944</v>
      </c>
    </row>
    <row r="24" spans="2:35" ht="24.75" customHeight="1">
      <c r="B24" s="140" t="s">
        <v>3</v>
      </c>
      <c r="C24" s="141">
        <v>14.204000000000001</v>
      </c>
      <c r="D24" s="141">
        <v>17.552</v>
      </c>
      <c r="E24" s="141">
        <v>17.978999999999999</v>
      </c>
      <c r="F24" s="141">
        <v>17.437999999999999</v>
      </c>
      <c r="G24" s="141">
        <v>18.568000000000001</v>
      </c>
      <c r="H24" s="141">
        <v>17.771000000000001</v>
      </c>
      <c r="I24" s="142">
        <v>18.187999999999999</v>
      </c>
      <c r="J24" s="142">
        <v>19.600000000000001</v>
      </c>
      <c r="K24" s="142">
        <v>21.1</v>
      </c>
      <c r="L24" s="143">
        <v>20.425000000000001</v>
      </c>
      <c r="M24" s="143">
        <v>22.788</v>
      </c>
      <c r="N24" s="143">
        <v>25.076000000000001</v>
      </c>
      <c r="O24" s="143">
        <v>27.63</v>
      </c>
      <c r="P24" s="143">
        <v>29.131</v>
      </c>
      <c r="Q24" s="143">
        <v>30.125</v>
      </c>
      <c r="R24" s="143">
        <v>30.72</v>
      </c>
      <c r="S24" s="143">
        <v>32.956000000000003</v>
      </c>
      <c r="T24" s="143">
        <v>33.433999999999997</v>
      </c>
      <c r="U24" s="143">
        <v>34.020000000000003</v>
      </c>
      <c r="V24" s="143">
        <v>34.924999999999997</v>
      </c>
      <c r="W24" s="159">
        <v>37.529000000000003</v>
      </c>
      <c r="X24" s="143">
        <v>41.161000000000001</v>
      </c>
      <c r="Y24" s="159">
        <v>44.487000000000002</v>
      </c>
      <c r="Z24" s="143">
        <v>34.799999999999997</v>
      </c>
      <c r="AA24" s="214">
        <v>44.6</v>
      </c>
      <c r="AB24" s="205">
        <v>36.6</v>
      </c>
      <c r="AC24" s="205">
        <v>34.200000000000003</v>
      </c>
      <c r="AD24" s="205">
        <v>34.307000000000002</v>
      </c>
      <c r="AE24" s="205">
        <v>37.35</v>
      </c>
      <c r="AF24" s="205">
        <v>36.744</v>
      </c>
      <c r="AG24" s="237">
        <f>39077/1000</f>
        <v>39.076999999999998</v>
      </c>
      <c r="AH24" s="266">
        <v>33.4</v>
      </c>
      <c r="AI24" s="260">
        <v>36.668999999999997</v>
      </c>
    </row>
    <row r="25" spans="2:35" ht="24.75" customHeight="1">
      <c r="B25" s="145" t="s">
        <v>4</v>
      </c>
      <c r="C25" s="146">
        <v>39.200000000000003</v>
      </c>
      <c r="D25" s="146">
        <v>43.837000000000003</v>
      </c>
      <c r="E25" s="146">
        <v>45.646000000000001</v>
      </c>
      <c r="F25" s="146">
        <v>46.683</v>
      </c>
      <c r="G25" s="146">
        <v>47.948</v>
      </c>
      <c r="H25" s="146">
        <v>46.445</v>
      </c>
      <c r="I25" s="147">
        <v>47.51</v>
      </c>
      <c r="J25" s="147">
        <v>48.777000000000001</v>
      </c>
      <c r="K25" s="147">
        <v>51.8</v>
      </c>
      <c r="L25" s="148">
        <v>49.584000000000003</v>
      </c>
      <c r="M25" s="148">
        <v>53.539000000000001</v>
      </c>
      <c r="N25" s="148">
        <v>56.863</v>
      </c>
      <c r="O25" s="148">
        <v>60.508000000000003</v>
      </c>
      <c r="P25" s="148">
        <v>61.554000000000002</v>
      </c>
      <c r="Q25" s="148">
        <v>62.976999999999997</v>
      </c>
      <c r="R25" s="148">
        <v>64.257999999999996</v>
      </c>
      <c r="S25" s="148">
        <v>67.58</v>
      </c>
      <c r="T25" s="148">
        <v>68.498000000000005</v>
      </c>
      <c r="U25" s="148">
        <v>70.12</v>
      </c>
      <c r="V25" s="148">
        <v>71.965000000000003</v>
      </c>
      <c r="W25" s="160">
        <v>76.165000000000006</v>
      </c>
      <c r="X25" s="148">
        <v>74.614000000000004</v>
      </c>
      <c r="Y25" s="160">
        <v>72.144999999999996</v>
      </c>
      <c r="Z25" s="148">
        <v>71.5</v>
      </c>
      <c r="AA25" s="215">
        <v>69</v>
      </c>
      <c r="AB25" s="149">
        <v>67.400000000000006</v>
      </c>
      <c r="AC25" s="149">
        <v>63</v>
      </c>
      <c r="AD25" s="149">
        <v>65.427000000000007</v>
      </c>
      <c r="AE25" s="149">
        <v>69.563999999999993</v>
      </c>
      <c r="AF25" s="149">
        <v>62.122999999999998</v>
      </c>
      <c r="AG25" s="244">
        <f>63647/1000</f>
        <v>63.646999999999998</v>
      </c>
      <c r="AH25" s="265">
        <v>61.4</v>
      </c>
      <c r="AI25" s="261">
        <v>66.052000000000007</v>
      </c>
    </row>
    <row r="26" spans="2:35" ht="24.75" customHeight="1">
      <c r="B26" s="140" t="s">
        <v>5</v>
      </c>
      <c r="C26" s="141">
        <v>2.141</v>
      </c>
      <c r="D26" s="141">
        <v>3.6739999999999999</v>
      </c>
      <c r="E26" s="141">
        <v>3.1829999999999998</v>
      </c>
      <c r="F26" s="141">
        <v>3.302</v>
      </c>
      <c r="G26" s="141">
        <v>3.6859999999999999</v>
      </c>
      <c r="H26" s="141">
        <v>2.9830000000000001</v>
      </c>
      <c r="I26" s="142">
        <v>2.7080000000000002</v>
      </c>
      <c r="J26" s="142">
        <v>2.5920000000000001</v>
      </c>
      <c r="K26" s="142">
        <v>2.8</v>
      </c>
      <c r="L26" s="143">
        <v>2.7210000000000001</v>
      </c>
      <c r="M26" s="143">
        <v>2.9140000000000001</v>
      </c>
      <c r="N26" s="143">
        <v>3.3839999999999999</v>
      </c>
      <c r="O26" s="143">
        <v>3.738</v>
      </c>
      <c r="P26" s="143">
        <v>3.8170000000000002</v>
      </c>
      <c r="Q26" s="143">
        <v>4.0339999999999998</v>
      </c>
      <c r="R26" s="143">
        <v>3.8929999999999998</v>
      </c>
      <c r="S26" s="143">
        <v>4.1349999999999998</v>
      </c>
      <c r="T26" s="143">
        <v>4.4329999999999998</v>
      </c>
      <c r="U26" s="143">
        <v>4.8929999999999998</v>
      </c>
      <c r="V26" s="143">
        <v>4.8710000000000004</v>
      </c>
      <c r="W26" s="159">
        <v>5.1790000000000003</v>
      </c>
      <c r="X26" s="143">
        <v>5.5</v>
      </c>
      <c r="Y26" s="159">
        <v>5.923</v>
      </c>
      <c r="Z26" s="143">
        <v>9.6</v>
      </c>
      <c r="AA26" s="214">
        <v>4.9000000000000004</v>
      </c>
      <c r="AB26" s="144">
        <v>4.0999999999999996</v>
      </c>
      <c r="AC26" s="144">
        <v>3.6</v>
      </c>
      <c r="AD26" s="144">
        <v>3.5070000000000001</v>
      </c>
      <c r="AE26" s="144">
        <v>3.8730000000000002</v>
      </c>
      <c r="AF26" s="144">
        <v>2.69</v>
      </c>
      <c r="AG26" s="245">
        <f>3421/1000</f>
        <v>3.4209999999999998</v>
      </c>
      <c r="AH26" s="266">
        <v>2.1</v>
      </c>
      <c r="AI26" s="262">
        <v>2.2229999999999999</v>
      </c>
    </row>
    <row r="27" spans="2:35" ht="26.25" customHeight="1">
      <c r="B27" s="150" t="s">
        <v>72</v>
      </c>
      <c r="C27" s="151">
        <v>1354.1769999999999</v>
      </c>
      <c r="D27" s="151">
        <v>1661.0730000000001</v>
      </c>
      <c r="E27" s="151">
        <v>1801.444</v>
      </c>
      <c r="F27" s="151">
        <v>1852.6279999999999</v>
      </c>
      <c r="G27" s="151">
        <v>1940.4390000000001</v>
      </c>
      <c r="H27" s="151">
        <v>1986.962</v>
      </c>
      <c r="I27" s="152">
        <v>2040.7239999999999</v>
      </c>
      <c r="J27" s="152">
        <v>2057.558</v>
      </c>
      <c r="K27" s="204">
        <v>2117.7829999999999</v>
      </c>
      <c r="L27" s="171">
        <v>2174.8330000000001</v>
      </c>
      <c r="M27" s="171">
        <v>2228.1590000000001</v>
      </c>
      <c r="N27" s="171">
        <v>2268.2640000000001</v>
      </c>
      <c r="O27" s="171">
        <v>2349.652</v>
      </c>
      <c r="P27" s="171">
        <v>2428.31</v>
      </c>
      <c r="Q27" s="171">
        <v>2481.0039999999999</v>
      </c>
      <c r="R27" s="171">
        <v>2514.1849999999999</v>
      </c>
      <c r="S27" s="171">
        <v>2568.7779999999998</v>
      </c>
      <c r="T27" s="171">
        <v>2612.7619999999997</v>
      </c>
      <c r="U27" s="171">
        <v>2735.0169999999998</v>
      </c>
      <c r="V27" s="171">
        <v>2678.9152542372881</v>
      </c>
      <c r="W27" s="171">
        <v>2728.7539999999999</v>
      </c>
      <c r="X27" s="171">
        <v>2782.5409999999997</v>
      </c>
      <c r="Y27" s="171">
        <v>2815.913</v>
      </c>
      <c r="Z27" s="171">
        <v>2859.2000000000003</v>
      </c>
      <c r="AA27" s="171">
        <f>AA28+AA29+AA30</f>
        <v>2936.7</v>
      </c>
      <c r="AB27" s="139">
        <f>AB28+AB29+AB30</f>
        <v>3003.0000000000005</v>
      </c>
      <c r="AC27" s="139">
        <v>3068.3</v>
      </c>
      <c r="AD27" s="139">
        <v>3168.8069999999998</v>
      </c>
      <c r="AE27" s="220">
        <v>3234.386</v>
      </c>
      <c r="AF27" s="220">
        <v>3312.6559999999999</v>
      </c>
      <c r="AG27" s="247">
        <f>3366393/1000</f>
        <v>3366.393</v>
      </c>
      <c r="AH27" s="268">
        <f>AH28+AH29+AH30</f>
        <v>3403.6000000000004</v>
      </c>
      <c r="AI27" s="263">
        <v>3424.97</v>
      </c>
    </row>
    <row r="28" spans="2:35" ht="21.75" customHeight="1">
      <c r="B28" s="140" t="s">
        <v>3</v>
      </c>
      <c r="C28" s="141">
        <v>532.41499999999996</v>
      </c>
      <c r="D28" s="141">
        <v>652.05799999999999</v>
      </c>
      <c r="E28" s="141">
        <v>705.90599999999995</v>
      </c>
      <c r="F28" s="141">
        <v>723.96</v>
      </c>
      <c r="G28" s="141">
        <v>764.625</v>
      </c>
      <c r="H28" s="141">
        <v>783.44</v>
      </c>
      <c r="I28" s="142">
        <v>805.12599999999998</v>
      </c>
      <c r="J28" s="142">
        <v>813.25699999999995</v>
      </c>
      <c r="K28" s="142">
        <v>839.83399999999995</v>
      </c>
      <c r="L28" s="143">
        <v>861.78</v>
      </c>
      <c r="M28" s="143">
        <v>883.07100000000003</v>
      </c>
      <c r="N28" s="143">
        <v>902.34900000000005</v>
      </c>
      <c r="O28" s="143">
        <v>940.48900000000003</v>
      </c>
      <c r="P28" s="143">
        <v>974.37300000000005</v>
      </c>
      <c r="Q28" s="143">
        <v>999.399</v>
      </c>
      <c r="R28" s="143">
        <v>1011.995</v>
      </c>
      <c r="S28" s="143">
        <v>1037.7650000000001</v>
      </c>
      <c r="T28" s="143">
        <v>1057.6969999999999</v>
      </c>
      <c r="U28" s="143">
        <v>1106.163</v>
      </c>
      <c r="V28" s="143">
        <v>1085.4295704295705</v>
      </c>
      <c r="W28" s="159">
        <v>1103.056</v>
      </c>
      <c r="X28" s="143">
        <v>1184.905</v>
      </c>
      <c r="Y28" s="143">
        <v>1149.4000000000001</v>
      </c>
      <c r="Z28" s="143">
        <v>1156.5999999999999</v>
      </c>
      <c r="AA28" s="143">
        <v>1220.3</v>
      </c>
      <c r="AB28" s="144">
        <v>1231.4000000000001</v>
      </c>
      <c r="AC28" s="144">
        <v>1266.8</v>
      </c>
      <c r="AD28" s="144">
        <v>1314.258</v>
      </c>
      <c r="AE28" s="144">
        <v>1355.4369999999999</v>
      </c>
      <c r="AF28" s="144">
        <v>1406.652</v>
      </c>
      <c r="AG28" s="245">
        <f>1421937/1000</f>
        <v>1421.9369999999999</v>
      </c>
      <c r="AH28" s="266">
        <v>1445.8</v>
      </c>
      <c r="AI28" s="262">
        <v>1480.7149999999999</v>
      </c>
    </row>
    <row r="29" spans="2:35" ht="24" customHeight="1">
      <c r="B29" s="145" t="s">
        <v>4</v>
      </c>
      <c r="C29" s="146">
        <v>725.01800000000003</v>
      </c>
      <c r="D29" s="146">
        <v>878.71400000000006</v>
      </c>
      <c r="E29" s="146">
        <v>945.89400000000001</v>
      </c>
      <c r="F29" s="146">
        <v>972.02300000000002</v>
      </c>
      <c r="G29" s="146">
        <v>1013</v>
      </c>
      <c r="H29" s="146">
        <v>1035.1510000000001</v>
      </c>
      <c r="I29" s="147">
        <v>1060.047</v>
      </c>
      <c r="J29" s="147">
        <v>1062.893</v>
      </c>
      <c r="K29" s="147">
        <v>1090.7149999999999</v>
      </c>
      <c r="L29" s="148">
        <v>1120.604</v>
      </c>
      <c r="M29" s="148">
        <v>1146.51</v>
      </c>
      <c r="N29" s="148">
        <v>1162.5830000000001</v>
      </c>
      <c r="O29" s="148">
        <v>1200.3009999999999</v>
      </c>
      <c r="P29" s="148">
        <v>1236.9480000000001</v>
      </c>
      <c r="Q29" s="148">
        <v>1259.4939999999999</v>
      </c>
      <c r="R29" s="148">
        <v>1275.4559999999999</v>
      </c>
      <c r="S29" s="148">
        <v>1301.2139999999999</v>
      </c>
      <c r="T29" s="148">
        <v>1320.5419999999999</v>
      </c>
      <c r="U29" s="148">
        <v>1381.549</v>
      </c>
      <c r="V29" s="148">
        <v>1355.1089999999999</v>
      </c>
      <c r="W29" s="160">
        <v>1375.9110000000001</v>
      </c>
      <c r="X29" s="148">
        <v>1343.473</v>
      </c>
      <c r="Y29" s="148">
        <v>1407.6869999999999</v>
      </c>
      <c r="Z29" s="148">
        <v>1437.7</v>
      </c>
      <c r="AA29" s="148">
        <v>1445.1</v>
      </c>
      <c r="AB29" s="149">
        <v>1491.7</v>
      </c>
      <c r="AC29" s="149">
        <v>1517.7</v>
      </c>
      <c r="AD29" s="149">
        <v>1563.0709999999999</v>
      </c>
      <c r="AE29" s="149">
        <v>1585.538</v>
      </c>
      <c r="AF29" s="149">
        <v>1608.078</v>
      </c>
      <c r="AG29" s="244">
        <f>1631459/1000</f>
        <v>1631.4590000000001</v>
      </c>
      <c r="AH29" s="265">
        <v>1653</v>
      </c>
      <c r="AI29" s="261">
        <v>1630.7180000000001</v>
      </c>
    </row>
    <row r="30" spans="2:35" ht="20.25" customHeight="1" thickBot="1">
      <c r="B30" s="154" t="s">
        <v>5</v>
      </c>
      <c r="C30" s="155">
        <v>96.744</v>
      </c>
      <c r="D30" s="155">
        <v>130.30099999999999</v>
      </c>
      <c r="E30" s="155">
        <v>149.64400000000001</v>
      </c>
      <c r="F30" s="155">
        <v>156.63999999999999</v>
      </c>
      <c r="G30" s="155">
        <v>162.245</v>
      </c>
      <c r="H30" s="155">
        <v>168.37100000000001</v>
      </c>
      <c r="I30" s="156">
        <v>175.55099999999999</v>
      </c>
      <c r="J30" s="156">
        <v>181.40799999999999</v>
      </c>
      <c r="K30" s="156">
        <v>187.23400000000001</v>
      </c>
      <c r="L30" s="157">
        <v>192.44900000000001</v>
      </c>
      <c r="M30" s="157">
        <v>198.578</v>
      </c>
      <c r="N30" s="157">
        <v>203.33199999999999</v>
      </c>
      <c r="O30" s="157">
        <v>208.86199999999999</v>
      </c>
      <c r="P30" s="157">
        <v>216.989</v>
      </c>
      <c r="Q30" s="157">
        <v>222.11099999999999</v>
      </c>
      <c r="R30" s="157">
        <v>226.73400000000001</v>
      </c>
      <c r="S30" s="157">
        <v>229.79900000000001</v>
      </c>
      <c r="T30" s="157">
        <v>234.523</v>
      </c>
      <c r="U30" s="157">
        <v>247.30500000000001</v>
      </c>
      <c r="V30" s="157">
        <v>244.83832335329342</v>
      </c>
      <c r="W30" s="161">
        <v>249.78700000000001</v>
      </c>
      <c r="X30" s="157">
        <v>254.16300000000001</v>
      </c>
      <c r="Y30" s="157">
        <v>258.80900000000003</v>
      </c>
      <c r="Z30" s="157">
        <v>264.89999999999998</v>
      </c>
      <c r="AA30" s="157">
        <v>271.3</v>
      </c>
      <c r="AB30" s="157">
        <v>279.89999999999998</v>
      </c>
      <c r="AC30" s="157">
        <v>283.8</v>
      </c>
      <c r="AD30" s="157">
        <v>291.47800000000001</v>
      </c>
      <c r="AE30" s="157">
        <v>293.411</v>
      </c>
      <c r="AF30" s="157">
        <v>297.92599999999999</v>
      </c>
      <c r="AG30" s="156">
        <f>312997/1000</f>
        <v>312.99700000000001</v>
      </c>
      <c r="AH30" s="267">
        <v>304.8</v>
      </c>
      <c r="AI30" s="264">
        <v>313.53699999999998</v>
      </c>
    </row>
    <row r="31" spans="2:35"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</row>
    <row r="32" spans="2:35">
      <c r="B32" s="16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</row>
    <row r="33" spans="2:35" ht="15.75">
      <c r="B33" s="134" t="s">
        <v>84</v>
      </c>
    </row>
    <row r="34" spans="2:35" ht="16.5" thickBot="1">
      <c r="B34" s="134"/>
    </row>
    <row r="35" spans="2:35" ht="21.75" customHeight="1" thickBot="1">
      <c r="B35" s="228" t="s">
        <v>59</v>
      </c>
      <c r="C35" s="177">
        <v>41274</v>
      </c>
      <c r="D35" s="177">
        <v>41639</v>
      </c>
      <c r="E35" s="177">
        <v>41820</v>
      </c>
      <c r="F35" s="177">
        <v>41912</v>
      </c>
      <c r="G35" s="177">
        <v>42004</v>
      </c>
      <c r="H35" s="177">
        <v>42094</v>
      </c>
      <c r="I35" s="177">
        <v>42185</v>
      </c>
      <c r="J35" s="177">
        <v>42277</v>
      </c>
      <c r="K35" s="177">
        <v>42369</v>
      </c>
      <c r="L35" s="177">
        <v>42460</v>
      </c>
      <c r="M35" s="177">
        <v>42551</v>
      </c>
      <c r="N35" s="177">
        <v>42643</v>
      </c>
      <c r="O35" s="177">
        <v>42735</v>
      </c>
      <c r="P35" s="177">
        <v>42825</v>
      </c>
      <c r="Q35" s="177">
        <v>42916</v>
      </c>
      <c r="R35" s="177">
        <v>43008</v>
      </c>
      <c r="S35" s="177">
        <v>43100</v>
      </c>
      <c r="T35" s="177">
        <v>43190</v>
      </c>
      <c r="U35" s="177">
        <v>43281</v>
      </c>
      <c r="V35" s="177">
        <v>43373</v>
      </c>
      <c r="W35" s="177">
        <v>43465</v>
      </c>
      <c r="X35" s="177">
        <v>43555</v>
      </c>
      <c r="Y35" s="177">
        <v>43646</v>
      </c>
      <c r="Z35" s="177">
        <v>43709</v>
      </c>
      <c r="AA35" s="177">
        <v>44184</v>
      </c>
      <c r="AB35" s="177">
        <v>43921</v>
      </c>
      <c r="AC35" s="177">
        <v>44012</v>
      </c>
      <c r="AD35" s="177">
        <v>44094</v>
      </c>
      <c r="AE35" s="177">
        <v>44196</v>
      </c>
      <c r="AF35" s="177">
        <v>44286</v>
      </c>
      <c r="AG35" s="248">
        <v>44377</v>
      </c>
      <c r="AH35" s="251">
        <v>44469</v>
      </c>
      <c r="AI35" s="246">
        <v>44561</v>
      </c>
    </row>
    <row r="36" spans="2:35" ht="24.75" customHeight="1">
      <c r="B36" s="135" t="s">
        <v>82</v>
      </c>
      <c r="C36" s="136">
        <v>81.655000000000015</v>
      </c>
      <c r="D36" s="136">
        <v>82.436999999999983</v>
      </c>
      <c r="E36" s="136">
        <v>102.792</v>
      </c>
      <c r="F36" s="136">
        <v>97.745999999999995</v>
      </c>
      <c r="G36" s="136">
        <v>92.272000000000006</v>
      </c>
      <c r="H36" s="136">
        <v>103.489</v>
      </c>
      <c r="I36" s="137">
        <v>98.683000000000007</v>
      </c>
      <c r="J36" s="137">
        <v>96.766999999999996</v>
      </c>
      <c r="K36" s="137">
        <v>95.7</v>
      </c>
      <c r="L36" s="138">
        <v>102.7</v>
      </c>
      <c r="M36" s="138">
        <v>110.508</v>
      </c>
      <c r="N36" s="138">
        <v>108.998</v>
      </c>
      <c r="O36" s="138">
        <v>98.926000000000002</v>
      </c>
      <c r="P36" s="138">
        <v>121.904</v>
      </c>
      <c r="Q36" s="138">
        <v>125.735</v>
      </c>
      <c r="R36" s="138">
        <v>133.75899999999999</v>
      </c>
      <c r="S36" s="138">
        <v>137.09299999999999</v>
      </c>
      <c r="T36" s="138">
        <v>140.363</v>
      </c>
      <c r="U36" s="138">
        <v>144.90299999999999</v>
      </c>
      <c r="V36" s="138">
        <v>160.25200000000001</v>
      </c>
      <c r="W36" s="139">
        <v>161.50700000000001</v>
      </c>
      <c r="X36" s="138">
        <v>172.97900000000001</v>
      </c>
      <c r="Y36" s="139">
        <v>188.11199999999999</v>
      </c>
      <c r="Z36" s="139">
        <f>Z37+Z38+Z39</f>
        <v>297.5</v>
      </c>
      <c r="AA36" s="139">
        <f>AA37+AA38+AA39</f>
        <v>390.9</v>
      </c>
      <c r="AB36" s="139">
        <v>413.6</v>
      </c>
      <c r="AC36" s="139">
        <v>425.49999999999994</v>
      </c>
      <c r="AD36" s="139">
        <f>AD37+AD38+AD39</f>
        <v>496.43500000000006</v>
      </c>
      <c r="AE36" s="139">
        <f>AE37+AE38+AE39</f>
        <v>564.69899999999996</v>
      </c>
      <c r="AF36" s="139">
        <v>234.184</v>
      </c>
      <c r="AG36" s="243">
        <f>226999/1000</f>
        <v>226.999</v>
      </c>
      <c r="AH36" s="268">
        <f>AH37+AH38+AH39</f>
        <v>214.90000000000003</v>
      </c>
      <c r="AI36" s="263">
        <v>294.64800000000002</v>
      </c>
    </row>
    <row r="37" spans="2:35" ht="21" customHeight="1">
      <c r="B37" s="140" t="s">
        <v>3</v>
      </c>
      <c r="C37" s="141">
        <v>26.795999999999999</v>
      </c>
      <c r="D37" s="141">
        <v>26.247999999999998</v>
      </c>
      <c r="E37" s="141">
        <v>34.521000000000001</v>
      </c>
      <c r="F37" s="141">
        <v>31.88</v>
      </c>
      <c r="G37" s="141">
        <v>29.652000000000001</v>
      </c>
      <c r="H37" s="141">
        <v>34.177</v>
      </c>
      <c r="I37" s="142">
        <v>31.068000000000001</v>
      </c>
      <c r="J37" s="142">
        <v>31.603999999999999</v>
      </c>
      <c r="K37" s="142">
        <v>42</v>
      </c>
      <c r="L37" s="143">
        <v>33.1</v>
      </c>
      <c r="M37" s="143">
        <v>37.014000000000003</v>
      </c>
      <c r="N37" s="143">
        <v>35.768000000000001</v>
      </c>
      <c r="O37" s="143">
        <v>34.536000000000001</v>
      </c>
      <c r="P37" s="143">
        <v>44.408999999999999</v>
      </c>
      <c r="Q37" s="143">
        <v>47.405000000000001</v>
      </c>
      <c r="R37" s="143">
        <v>52.155000000000001</v>
      </c>
      <c r="S37" s="143">
        <v>54.201000000000001</v>
      </c>
      <c r="T37" s="143">
        <v>56.531999999999996</v>
      </c>
      <c r="U37" s="143">
        <v>58.82</v>
      </c>
      <c r="V37" s="143">
        <v>63.643000000000001</v>
      </c>
      <c r="W37" s="144">
        <v>67.828000000000003</v>
      </c>
      <c r="X37" s="143">
        <v>72.680999999999997</v>
      </c>
      <c r="Y37" s="144">
        <v>76.084999999999994</v>
      </c>
      <c r="Z37" s="144">
        <v>104.9</v>
      </c>
      <c r="AA37" s="144">
        <v>160.69999999999999</v>
      </c>
      <c r="AB37" s="144">
        <v>170.4</v>
      </c>
      <c r="AC37" s="144">
        <v>174.2</v>
      </c>
      <c r="AD37" s="144">
        <v>196.20500000000001</v>
      </c>
      <c r="AE37" s="144">
        <v>222.971</v>
      </c>
      <c r="AF37" s="144">
        <v>105.212</v>
      </c>
      <c r="AG37" s="245">
        <f>108897/1000</f>
        <v>108.89700000000001</v>
      </c>
      <c r="AH37" s="266">
        <v>100.7</v>
      </c>
      <c r="AI37" s="262">
        <v>133.505</v>
      </c>
    </row>
    <row r="38" spans="2:35" ht="21.75" customHeight="1">
      <c r="B38" s="145" t="s">
        <v>4</v>
      </c>
      <c r="C38" s="146">
        <v>51.7</v>
      </c>
      <c r="D38" s="146">
        <v>53.863</v>
      </c>
      <c r="E38" s="146">
        <v>65.153999999999996</v>
      </c>
      <c r="F38" s="146">
        <v>61.719000000000001</v>
      </c>
      <c r="G38" s="146">
        <v>59</v>
      </c>
      <c r="H38" s="146">
        <v>66.072000000000003</v>
      </c>
      <c r="I38" s="147">
        <v>64.028999999999996</v>
      </c>
      <c r="J38" s="147">
        <v>61.054000000000002</v>
      </c>
      <c r="K38" s="147">
        <v>50.4</v>
      </c>
      <c r="L38" s="148">
        <v>66.3</v>
      </c>
      <c r="M38" s="148">
        <v>70.2</v>
      </c>
      <c r="N38" s="148">
        <v>69.188999999999993</v>
      </c>
      <c r="O38" s="148">
        <v>60.841000000000001</v>
      </c>
      <c r="P38" s="148">
        <v>73.608000000000004</v>
      </c>
      <c r="Q38" s="148">
        <v>74.507000000000005</v>
      </c>
      <c r="R38" s="148">
        <v>78.445999999999998</v>
      </c>
      <c r="S38" s="148">
        <v>79.671999999999997</v>
      </c>
      <c r="T38" s="148">
        <v>80.123000000000005</v>
      </c>
      <c r="U38" s="148">
        <v>82.927000000000007</v>
      </c>
      <c r="V38" s="148">
        <v>87.444999999999993</v>
      </c>
      <c r="W38" s="149">
        <v>90.245999999999995</v>
      </c>
      <c r="X38" s="148">
        <v>96.266000000000005</v>
      </c>
      <c r="Y38" s="149">
        <v>100.724</v>
      </c>
      <c r="Z38" s="149">
        <v>171.4</v>
      </c>
      <c r="AA38" s="149">
        <v>224.3</v>
      </c>
      <c r="AB38" s="149">
        <v>239.5</v>
      </c>
      <c r="AC38" s="149">
        <v>248.1</v>
      </c>
      <c r="AD38" s="149">
        <v>293.65300000000002</v>
      </c>
      <c r="AE38" s="149">
        <v>333.70699999999999</v>
      </c>
      <c r="AF38" s="149">
        <v>124.511</v>
      </c>
      <c r="AG38" s="244">
        <f>112084/1000</f>
        <v>112.084</v>
      </c>
      <c r="AH38" s="265">
        <v>110.4</v>
      </c>
      <c r="AI38" s="261">
        <v>156.24799999999999</v>
      </c>
    </row>
    <row r="39" spans="2:35" ht="18.75" customHeight="1">
      <c r="B39" s="140" t="s">
        <v>5</v>
      </c>
      <c r="C39" s="141">
        <v>3.1589999999999998</v>
      </c>
      <c r="D39" s="141">
        <v>2.3260000000000001</v>
      </c>
      <c r="E39" s="141">
        <v>3.117</v>
      </c>
      <c r="F39" s="141">
        <v>4.1470000000000002</v>
      </c>
      <c r="G39" s="141">
        <v>3.0310000000000001</v>
      </c>
      <c r="H39" s="141">
        <v>3.24</v>
      </c>
      <c r="I39" s="142">
        <v>3.5859999999999999</v>
      </c>
      <c r="J39" s="142">
        <v>4.109</v>
      </c>
      <c r="K39" s="142">
        <v>3.3</v>
      </c>
      <c r="L39" s="143">
        <v>3.3159999999999998</v>
      </c>
      <c r="M39" s="143">
        <v>3.294</v>
      </c>
      <c r="N39" s="143">
        <v>4.0410000000000004</v>
      </c>
      <c r="O39" s="143">
        <v>3.5489999999999999</v>
      </c>
      <c r="P39" s="143">
        <v>3.887</v>
      </c>
      <c r="Q39" s="143">
        <v>3.823</v>
      </c>
      <c r="R39" s="143">
        <v>3.1579999999999999</v>
      </c>
      <c r="S39" s="143">
        <v>3.22</v>
      </c>
      <c r="T39" s="143">
        <v>3.7080000000000002</v>
      </c>
      <c r="U39" s="143">
        <v>3.1560000000000001</v>
      </c>
      <c r="V39" s="143">
        <v>9.1639999999999997</v>
      </c>
      <c r="W39" s="144">
        <v>3.4329999999999998</v>
      </c>
      <c r="X39" s="143">
        <v>4.032</v>
      </c>
      <c r="Y39" s="144">
        <v>11.303000000000001</v>
      </c>
      <c r="Z39" s="144">
        <v>21.2</v>
      </c>
      <c r="AA39" s="144">
        <v>5.9</v>
      </c>
      <c r="AB39" s="144">
        <v>3.7</v>
      </c>
      <c r="AC39" s="144">
        <v>3.2</v>
      </c>
      <c r="AD39" s="144">
        <v>6.577</v>
      </c>
      <c r="AE39" s="144">
        <v>8.0210000000000008</v>
      </c>
      <c r="AF39" s="144">
        <v>4.4610000000000003</v>
      </c>
      <c r="AG39" s="245">
        <f>6018/1000</f>
        <v>6.0179999999999998</v>
      </c>
      <c r="AH39" s="267">
        <v>3.8</v>
      </c>
      <c r="AI39" s="262">
        <v>4.8949999999999996</v>
      </c>
    </row>
    <row r="40" spans="2:35" ht="23.25" customHeight="1">
      <c r="B40" s="150" t="s">
        <v>72</v>
      </c>
      <c r="C40" s="151">
        <v>634.62300000000005</v>
      </c>
      <c r="D40" s="151">
        <v>700.32699999999988</v>
      </c>
      <c r="E40" s="151">
        <v>595.55600000000004</v>
      </c>
      <c r="F40" s="151">
        <v>618.46799999999996</v>
      </c>
      <c r="G40" s="151">
        <v>630.87199999999996</v>
      </c>
      <c r="H40" s="151">
        <v>640.92499999999995</v>
      </c>
      <c r="I40" s="152">
        <v>678.16800000000001</v>
      </c>
      <c r="J40" s="152">
        <v>687.72299999999996</v>
      </c>
      <c r="K40" s="152">
        <v>676.09799999999996</v>
      </c>
      <c r="L40" s="153">
        <v>744.99900000000002</v>
      </c>
      <c r="M40" s="153">
        <v>780.21500000000003</v>
      </c>
      <c r="N40" s="153">
        <v>793.48199999999997</v>
      </c>
      <c r="O40" s="153">
        <v>830.625</v>
      </c>
      <c r="P40" s="153">
        <v>859.89499999999998</v>
      </c>
      <c r="Q40" s="153">
        <v>875.51900000000001</v>
      </c>
      <c r="R40" s="153">
        <v>900.625</v>
      </c>
      <c r="S40" s="153">
        <v>889.53200000000004</v>
      </c>
      <c r="T40" s="153">
        <v>966.505</v>
      </c>
      <c r="U40" s="153">
        <v>952.83399999999995</v>
      </c>
      <c r="V40" s="153">
        <v>977.91399999999999</v>
      </c>
      <c r="W40" s="164">
        <v>949.69299999999998</v>
      </c>
      <c r="X40" s="153">
        <v>947.14200000000005</v>
      </c>
      <c r="Y40" s="164">
        <v>956.59</v>
      </c>
      <c r="Z40" s="164">
        <v>965.3</v>
      </c>
      <c r="AA40" s="164">
        <f>AA41+AA42+AA43</f>
        <v>970.6</v>
      </c>
      <c r="AB40" s="164">
        <v>951</v>
      </c>
      <c r="AC40" s="164">
        <v>1039.8</v>
      </c>
      <c r="AD40" s="164">
        <f>AD41+AD42+AD43</f>
        <v>1100.5540000000001</v>
      </c>
      <c r="AE40" s="164">
        <f>AE41+AE42+AE43</f>
        <v>1135.32</v>
      </c>
      <c r="AF40" s="164">
        <v>1146.049</v>
      </c>
      <c r="AG40" s="249">
        <f>1230723/1000</f>
        <v>1230.723</v>
      </c>
      <c r="AH40" s="268">
        <f>AH41+AH42+AH43</f>
        <v>1348.1000000000001</v>
      </c>
      <c r="AI40" s="263">
        <v>1435.135</v>
      </c>
    </row>
    <row r="41" spans="2:35" ht="24" customHeight="1">
      <c r="B41" s="140" t="s">
        <v>3</v>
      </c>
      <c r="C41" s="141">
        <v>252.38499999999999</v>
      </c>
      <c r="D41" s="141">
        <v>266.24199999999996</v>
      </c>
      <c r="E41" s="141">
        <v>213.49400000000003</v>
      </c>
      <c r="F41" s="141">
        <v>224.24299999999999</v>
      </c>
      <c r="G41" s="141">
        <v>222.84800000000001</v>
      </c>
      <c r="H41" s="141">
        <v>227.12</v>
      </c>
      <c r="I41" s="142">
        <v>240.86699999999999</v>
      </c>
      <c r="J41" s="142">
        <v>244.12700000000001</v>
      </c>
      <c r="K41" s="142">
        <v>241.99700000000001</v>
      </c>
      <c r="L41" s="143">
        <v>268.02800000000002</v>
      </c>
      <c r="M41" s="143">
        <v>270.154</v>
      </c>
      <c r="N41" s="143">
        <v>285.964</v>
      </c>
      <c r="O41" s="143">
        <v>308.93101000000001</v>
      </c>
      <c r="P41" s="143">
        <v>324.51301000000001</v>
      </c>
      <c r="Q41" s="143">
        <v>333.64</v>
      </c>
      <c r="R41" s="143">
        <v>339.48079999999999</v>
      </c>
      <c r="S41" s="143">
        <v>335.39400000000001</v>
      </c>
      <c r="T41" s="143">
        <v>374.19799999999998</v>
      </c>
      <c r="U41" s="143">
        <v>358.27300000000002</v>
      </c>
      <c r="V41" s="143">
        <v>375.32799999999997</v>
      </c>
      <c r="W41" s="144">
        <v>365.40199999999999</v>
      </c>
      <c r="X41" s="143">
        <v>347.11700000000002</v>
      </c>
      <c r="Y41" s="144">
        <v>366.73500000000001</v>
      </c>
      <c r="Z41" s="144">
        <v>382</v>
      </c>
      <c r="AA41" s="144">
        <v>377.9</v>
      </c>
      <c r="AB41" s="144">
        <v>369.4</v>
      </c>
      <c r="AC41" s="144">
        <v>404.6</v>
      </c>
      <c r="AD41" s="144">
        <v>428.34199999999998</v>
      </c>
      <c r="AE41" s="144">
        <v>437.85599999999999</v>
      </c>
      <c r="AF41" s="144">
        <v>454.84399999999999</v>
      </c>
      <c r="AG41" s="245">
        <f>517166/1000</f>
        <v>517.16600000000005</v>
      </c>
      <c r="AH41" s="267">
        <v>552</v>
      </c>
      <c r="AI41" s="262">
        <v>580.94799999999998</v>
      </c>
    </row>
    <row r="42" spans="2:35" ht="28.5" customHeight="1">
      <c r="B42" s="145" t="s">
        <v>4</v>
      </c>
      <c r="C42" s="146">
        <v>354.18200000000002</v>
      </c>
      <c r="D42" s="146">
        <v>382.28599999999994</v>
      </c>
      <c r="E42" s="146">
        <v>340.10599999999999</v>
      </c>
      <c r="F42" s="146">
        <v>359.63299999999998</v>
      </c>
      <c r="G42" s="146">
        <v>355.60300000000001</v>
      </c>
      <c r="H42" s="146">
        <v>360.49900000000002</v>
      </c>
      <c r="I42" s="147">
        <v>380.74400000000003</v>
      </c>
      <c r="J42" s="147">
        <v>384.35300000000001</v>
      </c>
      <c r="K42" s="147">
        <v>372.57499999999999</v>
      </c>
      <c r="L42" s="148">
        <v>410.76600000000002</v>
      </c>
      <c r="M42" s="148">
        <v>433.60199999999998</v>
      </c>
      <c r="N42" s="148">
        <v>435.63299999999998</v>
      </c>
      <c r="O42" s="148">
        <v>462.81698999999998</v>
      </c>
      <c r="P42" s="148">
        <v>473.69299000000001</v>
      </c>
      <c r="Q42" s="148">
        <v>480.03699999999998</v>
      </c>
      <c r="R42" s="148">
        <v>496.35720000000003</v>
      </c>
      <c r="S42" s="148">
        <v>496.6</v>
      </c>
      <c r="T42" s="148">
        <v>531.005</v>
      </c>
      <c r="U42" s="148">
        <v>525.04600000000005</v>
      </c>
      <c r="V42" s="148">
        <v>534.83299999999997</v>
      </c>
      <c r="W42" s="149">
        <v>518.49599999999998</v>
      </c>
      <c r="X42" s="148">
        <v>517.05899999999997</v>
      </c>
      <c r="Y42" s="149">
        <v>513.12699999999995</v>
      </c>
      <c r="Z42" s="149">
        <v>511.8</v>
      </c>
      <c r="AA42" s="149">
        <v>518</v>
      </c>
      <c r="AB42" s="149">
        <v>514.20000000000005</v>
      </c>
      <c r="AC42" s="149">
        <v>561.1</v>
      </c>
      <c r="AD42" s="149">
        <v>591.19000000000005</v>
      </c>
      <c r="AE42" s="149">
        <v>612.45100000000002</v>
      </c>
      <c r="AF42" s="149">
        <v>608.47299999999996</v>
      </c>
      <c r="AG42" s="244">
        <f>628795/1000</f>
        <v>628.79499999999996</v>
      </c>
      <c r="AH42" s="265">
        <v>703.4</v>
      </c>
      <c r="AI42" s="261">
        <v>747.78800000000001</v>
      </c>
    </row>
    <row r="43" spans="2:35" ht="22.5" customHeight="1" thickBot="1">
      <c r="B43" s="154" t="s">
        <v>5</v>
      </c>
      <c r="C43" s="155">
        <v>28.055999999999997</v>
      </c>
      <c r="D43" s="155">
        <v>51.799000000000007</v>
      </c>
      <c r="E43" s="155">
        <v>41.955999999999989</v>
      </c>
      <c r="F43" s="155">
        <v>34.591999999999999</v>
      </c>
      <c r="G43" s="155">
        <v>52.420999999999999</v>
      </c>
      <c r="H43" s="155">
        <v>53.305999999999997</v>
      </c>
      <c r="I43" s="156">
        <v>56.557000000000002</v>
      </c>
      <c r="J43" s="156">
        <v>59.243000000000002</v>
      </c>
      <c r="K43" s="156">
        <v>61.526000000000003</v>
      </c>
      <c r="L43" s="157">
        <v>66.204999999999998</v>
      </c>
      <c r="M43" s="157">
        <v>76.459000000000003</v>
      </c>
      <c r="N43" s="157">
        <v>71.885000000000005</v>
      </c>
      <c r="O43" s="157">
        <v>58.877000000000002</v>
      </c>
      <c r="P43" s="157">
        <v>61.689</v>
      </c>
      <c r="Q43" s="157">
        <v>61.841999999999999</v>
      </c>
      <c r="R43" s="157">
        <v>64.787000000000006</v>
      </c>
      <c r="S43" s="157">
        <v>57.484000000000002</v>
      </c>
      <c r="T43" s="157">
        <v>61.302</v>
      </c>
      <c r="U43" s="157">
        <v>69.515000000000001</v>
      </c>
      <c r="V43" s="157">
        <v>67.753</v>
      </c>
      <c r="W43" s="165">
        <v>65.795000000000002</v>
      </c>
      <c r="X43" s="157">
        <v>82.965999999999994</v>
      </c>
      <c r="Y43" s="165">
        <v>76.727999999999994</v>
      </c>
      <c r="Z43" s="165">
        <v>71.5</v>
      </c>
      <c r="AA43" s="165">
        <v>74.7</v>
      </c>
      <c r="AB43" s="165">
        <v>67.400000000000006</v>
      </c>
      <c r="AC43" s="165">
        <v>74.099999999999994</v>
      </c>
      <c r="AD43" s="165">
        <v>81.022000000000006</v>
      </c>
      <c r="AE43" s="165">
        <v>85.013000000000005</v>
      </c>
      <c r="AF43" s="165">
        <v>82.731999999999999</v>
      </c>
      <c r="AG43" s="250">
        <f>84762/1000</f>
        <v>84.762</v>
      </c>
      <c r="AH43" s="267">
        <v>92.7</v>
      </c>
      <c r="AI43" s="262">
        <v>106.399</v>
      </c>
    </row>
    <row r="44" spans="2:35">
      <c r="B44" s="162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7"/>
      <c r="V44" s="167"/>
    </row>
    <row r="46" spans="2:35" ht="15.75">
      <c r="B46" s="134"/>
    </row>
    <row r="47" spans="2:35" ht="15.75">
      <c r="B47" s="174"/>
      <c r="C47" s="174"/>
      <c r="D47" s="174"/>
      <c r="E47" s="174"/>
      <c r="F47" s="175"/>
      <c r="G47" s="175"/>
      <c r="H47" s="176"/>
      <c r="I47" s="176"/>
      <c r="J47" s="176"/>
      <c r="K47" s="176"/>
      <c r="L47" s="175"/>
      <c r="M47" s="175"/>
    </row>
    <row r="50" spans="2:27" s="168" customFormat="1" ht="15.75"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2:27" s="169" customFormat="1" ht="15.75"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2:27" s="170" customFormat="1"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2:27" s="170" customFormat="1"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2:27" s="172" customFormat="1" ht="15.75"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2:27" s="173" customFormat="1" ht="15.75"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9" spans="2:27" ht="15" customHeight="1"/>
    <row r="62" spans="2:27" ht="27.75" customHeight="1">
      <c r="B62" s="175"/>
      <c r="C62" s="175"/>
      <c r="D62" s="175"/>
    </row>
    <row r="63" spans="2:27">
      <c r="B63" s="175"/>
      <c r="C63" s="175"/>
      <c r="D63" s="175"/>
    </row>
    <row r="64" spans="2:27" ht="20.25" customHeight="1">
      <c r="B64" s="175"/>
      <c r="C64" s="175"/>
      <c r="D64" s="175"/>
    </row>
    <row r="65" spans="2:17">
      <c r="B65" s="175"/>
      <c r="C65" s="175"/>
      <c r="D65" s="175"/>
    </row>
    <row r="66" spans="2:17">
      <c r="B66" s="175"/>
      <c r="C66" s="175"/>
      <c r="D66" s="175"/>
    </row>
    <row r="67" spans="2:17">
      <c r="B67" s="175"/>
      <c r="C67" s="175"/>
      <c r="D67" s="175"/>
    </row>
    <row r="69" spans="2:17" ht="15" customHeight="1"/>
    <row r="74" spans="2:17" ht="21" customHeight="1"/>
    <row r="78" spans="2:17">
      <c r="Q78" s="175"/>
    </row>
    <row r="79" spans="2:17" ht="15" customHeight="1"/>
    <row r="82" ht="27" customHeight="1"/>
    <row r="84" ht="27" customHeight="1"/>
  </sheetData>
  <pageMargins left="0.7" right="0.7" top="0.75" bottom="0.75" header="0.3" footer="0.3"/>
  <pageSetup scale="15" orientation="portrait" r:id="rId1"/>
  <headerFooter>
    <oddHeader xml:space="preserve">&amp;C 
</oddHeader>
    <oddFooter xml:space="preserve">&amp;C 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9"/>
  <sheetViews>
    <sheetView zoomScaleNormal="100" workbookViewId="0">
      <selection activeCell="AH44" sqref="AH44"/>
    </sheetView>
  </sheetViews>
  <sheetFormatPr defaultRowHeight="13.5"/>
  <cols>
    <col min="1" max="1" width="4.83203125" style="130" customWidth="1"/>
    <col min="2" max="2" width="67.33203125" style="130" customWidth="1"/>
    <col min="3" max="3" width="32" style="130" customWidth="1"/>
    <col min="4" max="4" width="9.33203125" style="130" bestFit="1" customWidth="1"/>
    <col min="5" max="5" width="9.6640625" style="130" hidden="1" customWidth="1"/>
    <col min="6" max="6" width="9.5" style="130" hidden="1" customWidth="1"/>
    <col min="7" max="8" width="9.1640625" style="130" hidden="1" customWidth="1"/>
    <col min="9" max="9" width="9.6640625" style="130" hidden="1" customWidth="1"/>
    <col min="10" max="10" width="9.5" style="130" hidden="1" customWidth="1"/>
    <col min="11" max="12" width="9.1640625" style="130" hidden="1" customWidth="1"/>
    <col min="13" max="13" width="9.83203125" style="130" hidden="1" customWidth="1"/>
    <col min="14" max="14" width="8.6640625" style="130" hidden="1" customWidth="1"/>
    <col min="15" max="15" width="8.83203125" style="130" hidden="1" customWidth="1"/>
    <col min="16" max="16" width="8.6640625" style="130" hidden="1" customWidth="1"/>
    <col min="17" max="17" width="9.1640625" style="130" hidden="1" customWidth="1"/>
    <col min="18" max="18" width="8.5" style="130" hidden="1" customWidth="1"/>
    <col min="19" max="19" width="10" style="130" hidden="1" customWidth="1"/>
    <col min="20" max="20" width="9.83203125" style="130" hidden="1" customWidth="1"/>
    <col min="21" max="21" width="8.6640625" style="130" hidden="1" customWidth="1"/>
    <col min="22" max="22" width="9" style="130" hidden="1" customWidth="1"/>
    <col min="23" max="23" width="10.33203125" style="130" hidden="1" customWidth="1"/>
    <col min="24" max="24" width="10" style="130" hidden="1" customWidth="1"/>
    <col min="25" max="25" width="12.5" style="130" hidden="1" customWidth="1"/>
    <col min="26" max="26" width="10.5" style="130" hidden="1" customWidth="1"/>
    <col min="27" max="27" width="10.83203125" style="130" hidden="1" customWidth="1"/>
    <col min="28" max="28" width="11.33203125" style="130" customWidth="1"/>
    <col min="29" max="29" width="9.83203125" style="130" customWidth="1"/>
    <col min="30" max="30" width="16.6640625" style="130" customWidth="1"/>
    <col min="31" max="31" width="19.83203125" style="130" customWidth="1"/>
    <col min="32" max="32" width="16.6640625" style="130" customWidth="1"/>
    <col min="33" max="16384" width="9.33203125" style="130"/>
  </cols>
  <sheetData>
    <row r="2" spans="2:32">
      <c r="B2" s="128"/>
      <c r="C2" s="129"/>
      <c r="D2" s="129"/>
      <c r="E2" s="129"/>
      <c r="F2" s="129"/>
    </row>
    <row r="3" spans="2:32">
      <c r="B3" s="128"/>
      <c r="C3" s="129"/>
      <c r="D3" s="129"/>
      <c r="E3" s="129"/>
      <c r="F3" s="129"/>
    </row>
    <row r="4" spans="2:32">
      <c r="B4" s="128"/>
      <c r="C4" s="129"/>
      <c r="D4" s="129"/>
      <c r="E4" s="129"/>
      <c r="F4" s="129"/>
    </row>
    <row r="5" spans="2:32">
      <c r="B5" s="128"/>
      <c r="C5" s="129"/>
      <c r="D5" s="129"/>
      <c r="E5" s="129"/>
      <c r="F5" s="129"/>
    </row>
    <row r="6" spans="2:32">
      <c r="B6" s="128"/>
      <c r="C6" s="129"/>
      <c r="D6" s="129"/>
      <c r="E6" s="129"/>
      <c r="F6" s="129"/>
    </row>
    <row r="7" spans="2:32">
      <c r="B7" s="128"/>
      <c r="C7" s="129"/>
      <c r="D7" s="129"/>
      <c r="E7" s="129"/>
      <c r="F7" s="129"/>
    </row>
    <row r="8" spans="2:32">
      <c r="B8" s="127" t="s">
        <v>85</v>
      </c>
      <c r="C8" s="126"/>
      <c r="D8" s="126"/>
      <c r="E8" s="129"/>
      <c r="F8" s="129"/>
      <c r="G8" s="179"/>
      <c r="H8" s="129"/>
      <c r="I8" s="129"/>
      <c r="J8" s="129"/>
    </row>
    <row r="9" spans="2:32">
      <c r="B9" s="128" t="s">
        <v>76</v>
      </c>
      <c r="C9" s="129"/>
      <c r="D9" s="129"/>
      <c r="E9" s="129"/>
    </row>
    <row r="10" spans="2:32">
      <c r="B10" s="129"/>
      <c r="C10" s="129"/>
      <c r="D10" s="129"/>
      <c r="E10" s="129"/>
    </row>
    <row r="11" spans="2:32">
      <c r="B11" s="131" t="s">
        <v>86</v>
      </c>
    </row>
    <row r="12" spans="2:32" ht="15.75" thickBot="1">
      <c r="B12" s="257" t="s">
        <v>90</v>
      </c>
    </row>
    <row r="13" spans="2:32" ht="26.25" customHeight="1">
      <c r="B13" s="282" t="s">
        <v>87</v>
      </c>
      <c r="C13" s="207" t="s">
        <v>73</v>
      </c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34"/>
      <c r="U13" s="234"/>
      <c r="V13" s="234"/>
      <c r="W13" s="234"/>
      <c r="X13" s="234"/>
      <c r="Y13" s="234"/>
      <c r="Z13" s="234"/>
      <c r="AA13" s="234"/>
      <c r="AB13" s="234"/>
      <c r="AC13" s="285"/>
      <c r="AD13" s="285"/>
      <c r="AE13" s="273"/>
      <c r="AF13" s="273"/>
    </row>
    <row r="14" spans="2:32" ht="17.25" customHeight="1">
      <c r="B14" s="284"/>
      <c r="C14" s="229">
        <v>41883</v>
      </c>
      <c r="D14" s="180">
        <v>41974</v>
      </c>
      <c r="E14" s="180">
        <v>42064</v>
      </c>
      <c r="F14" s="180">
        <v>42156</v>
      </c>
      <c r="G14" s="180">
        <v>42248</v>
      </c>
      <c r="H14" s="180">
        <v>42339</v>
      </c>
      <c r="I14" s="180">
        <v>42430</v>
      </c>
      <c r="J14" s="180">
        <v>42522</v>
      </c>
      <c r="K14" s="180">
        <v>42614</v>
      </c>
      <c r="L14" s="180">
        <v>42705</v>
      </c>
      <c r="M14" s="180">
        <v>42795</v>
      </c>
      <c r="N14" s="180">
        <v>42887</v>
      </c>
      <c r="O14" s="180">
        <v>42979</v>
      </c>
      <c r="P14" s="180">
        <v>43070</v>
      </c>
      <c r="Q14" s="180">
        <v>43190</v>
      </c>
      <c r="R14" s="180">
        <v>43281</v>
      </c>
      <c r="S14" s="180">
        <v>43373</v>
      </c>
      <c r="T14" s="180">
        <v>43465</v>
      </c>
      <c r="U14" s="180">
        <v>43555</v>
      </c>
      <c r="V14" s="180">
        <v>43644</v>
      </c>
      <c r="W14" s="216">
        <v>43727</v>
      </c>
      <c r="X14" s="180">
        <v>43818</v>
      </c>
      <c r="Y14" s="180">
        <v>43909</v>
      </c>
      <c r="Z14" s="180">
        <v>44001</v>
      </c>
      <c r="AA14" s="180">
        <v>44093</v>
      </c>
      <c r="AB14" s="180">
        <v>44184</v>
      </c>
      <c r="AC14" s="180">
        <v>44274</v>
      </c>
      <c r="AD14" s="180">
        <v>44377</v>
      </c>
      <c r="AE14" s="180">
        <v>44469</v>
      </c>
      <c r="AF14" s="180">
        <v>44561</v>
      </c>
    </row>
    <row r="15" spans="2:32" ht="19.5" customHeight="1">
      <c r="B15" s="181" t="s">
        <v>9</v>
      </c>
      <c r="C15" s="182">
        <v>5.51</v>
      </c>
      <c r="D15" s="182">
        <v>6.31</v>
      </c>
      <c r="E15" s="182">
        <v>6.4</v>
      </c>
      <c r="F15" s="182">
        <v>7.09</v>
      </c>
      <c r="G15" s="182">
        <v>8.6878893363333347</v>
      </c>
      <c r="H15" s="182">
        <v>10.1</v>
      </c>
      <c r="I15" s="182">
        <v>9.9919951309999995</v>
      </c>
      <c r="J15" s="182">
        <v>10.504586391749999</v>
      </c>
      <c r="K15" s="182">
        <v>10.816080120000001</v>
      </c>
      <c r="L15" s="182">
        <v>11</v>
      </c>
      <c r="M15" s="182">
        <v>10.299764529000001</v>
      </c>
      <c r="N15" s="182">
        <v>10.668099819</v>
      </c>
      <c r="O15" s="182">
        <v>11.194142966999999</v>
      </c>
      <c r="P15" s="182">
        <v>11.894940142999999</v>
      </c>
      <c r="Q15" s="182">
        <v>11.735211439</v>
      </c>
      <c r="R15" s="182">
        <v>12.498342303477394</v>
      </c>
      <c r="S15" s="182">
        <v>13.198508061</v>
      </c>
      <c r="T15" s="182">
        <v>14.177634545</v>
      </c>
      <c r="U15" s="182">
        <v>14.6</v>
      </c>
      <c r="V15" s="182">
        <v>16.600000000000001</v>
      </c>
      <c r="W15" s="217">
        <v>14.7</v>
      </c>
      <c r="X15" s="217">
        <v>15.5</v>
      </c>
      <c r="Y15" s="182">
        <v>15.4</v>
      </c>
      <c r="Z15" s="182">
        <v>14.9</v>
      </c>
      <c r="AA15" s="212">
        <v>15.836455701189999</v>
      </c>
      <c r="AB15" s="212">
        <v>16.688315120479999</v>
      </c>
      <c r="AC15" s="212">
        <v>16.429899882000001</v>
      </c>
      <c r="AD15" s="212">
        <f>17064780252/1000000000</f>
        <v>17.064780251999998</v>
      </c>
      <c r="AE15" s="254">
        <v>17.5</v>
      </c>
      <c r="AF15" s="269">
        <v>18.785638734999999</v>
      </c>
    </row>
    <row r="16" spans="2:32" ht="22.5" customHeight="1">
      <c r="B16" s="183" t="s">
        <v>10</v>
      </c>
      <c r="C16" s="184">
        <v>3.22</v>
      </c>
      <c r="D16" s="184">
        <v>3.42</v>
      </c>
      <c r="E16" s="184">
        <v>3.2</v>
      </c>
      <c r="F16" s="184">
        <v>3.49</v>
      </c>
      <c r="G16" s="184">
        <v>3.6821628617799997</v>
      </c>
      <c r="H16" s="184">
        <v>3.8</v>
      </c>
      <c r="I16" s="184">
        <v>3.5099996779999998</v>
      </c>
      <c r="J16" s="184">
        <v>3.754389771</v>
      </c>
      <c r="K16" s="184">
        <v>3.6550652100000001</v>
      </c>
      <c r="L16" s="184">
        <v>3.8221038850000002</v>
      </c>
      <c r="M16" s="184">
        <v>3.7914128549999999</v>
      </c>
      <c r="N16" s="184">
        <v>4.0832588779999996</v>
      </c>
      <c r="O16" s="184">
        <v>4.2533308480000001</v>
      </c>
      <c r="P16" s="184">
        <v>4.4243862859999998</v>
      </c>
      <c r="Q16" s="184">
        <v>4.3071007549999996</v>
      </c>
      <c r="R16" s="184">
        <v>4.6263415009324911</v>
      </c>
      <c r="S16" s="184">
        <v>4.8953934869999998</v>
      </c>
      <c r="T16" s="184">
        <v>5.2683469509999998</v>
      </c>
      <c r="U16" s="184">
        <v>4.7</v>
      </c>
      <c r="V16" s="184">
        <v>4.5</v>
      </c>
      <c r="W16" s="218">
        <v>4.8</v>
      </c>
      <c r="X16" s="218">
        <v>5.7</v>
      </c>
      <c r="Y16" s="184">
        <v>5.2</v>
      </c>
      <c r="Z16" s="184">
        <v>5</v>
      </c>
      <c r="AA16" s="211">
        <v>5.5561637073680004</v>
      </c>
      <c r="AB16" s="211">
        <v>6.2490047572879996</v>
      </c>
      <c r="AC16" s="211">
        <v>6.3821266899999998</v>
      </c>
      <c r="AD16" s="211">
        <f>6851655060/1000000000</f>
        <v>6.8516550599999997</v>
      </c>
      <c r="AE16" s="252">
        <v>8</v>
      </c>
      <c r="AF16" s="270">
        <v>8.7715588479999997</v>
      </c>
    </row>
    <row r="17" spans="2:32" ht="21" customHeight="1">
      <c r="B17" s="181" t="s">
        <v>11</v>
      </c>
      <c r="C17" s="182">
        <v>13.55</v>
      </c>
      <c r="D17" s="182">
        <v>13.6</v>
      </c>
      <c r="E17" s="182">
        <v>12.9</v>
      </c>
      <c r="F17" s="182">
        <v>13.97</v>
      </c>
      <c r="G17" s="182">
        <v>14.789434453</v>
      </c>
      <c r="H17" s="182">
        <v>15.1</v>
      </c>
      <c r="I17" s="182">
        <v>14.174459281000001</v>
      </c>
      <c r="J17" s="182">
        <v>15.328992203</v>
      </c>
      <c r="K17" s="182">
        <v>15.81632814</v>
      </c>
      <c r="L17" s="182">
        <v>16.435176834</v>
      </c>
      <c r="M17" s="182">
        <v>15.994997532999999</v>
      </c>
      <c r="N17" s="182">
        <v>17.355597705000001</v>
      </c>
      <c r="O17" s="182">
        <v>18.182480314999999</v>
      </c>
      <c r="P17" s="182">
        <v>18.811073707999999</v>
      </c>
      <c r="Q17" s="182">
        <v>18.588046074000001</v>
      </c>
      <c r="R17" s="182">
        <v>20.218639930904846</v>
      </c>
      <c r="S17" s="182">
        <v>20.489003197999999</v>
      </c>
      <c r="T17" s="182">
        <v>21.727945091999999</v>
      </c>
      <c r="U17" s="182">
        <v>21.1</v>
      </c>
      <c r="V17" s="182">
        <v>19.8</v>
      </c>
      <c r="W17" s="217">
        <v>22.2</v>
      </c>
      <c r="X17" s="217">
        <v>22.8</v>
      </c>
      <c r="Y17" s="182">
        <v>22.4</v>
      </c>
      <c r="Z17" s="182">
        <v>21.9</v>
      </c>
      <c r="AA17" s="212">
        <v>22.786460178812</v>
      </c>
      <c r="AB17" s="212">
        <v>23.745154056712</v>
      </c>
      <c r="AC17" s="212">
        <v>24.345030378000001</v>
      </c>
      <c r="AD17" s="212">
        <f>26664824561/1000000000</f>
        <v>26.664824561</v>
      </c>
      <c r="AE17" s="255">
        <v>27.9</v>
      </c>
      <c r="AF17" s="269">
        <v>30.204708888999999</v>
      </c>
    </row>
    <row r="18" spans="2:32" ht="21" customHeight="1">
      <c r="B18" s="183" t="s">
        <v>12</v>
      </c>
      <c r="C18" s="184">
        <v>1.49</v>
      </c>
      <c r="D18" s="184">
        <v>1.57</v>
      </c>
      <c r="E18" s="184">
        <v>1.6</v>
      </c>
      <c r="F18" s="184">
        <v>1.64</v>
      </c>
      <c r="G18" s="184">
        <v>1.7386779263333334</v>
      </c>
      <c r="H18" s="184">
        <v>1.8</v>
      </c>
      <c r="I18" s="184">
        <v>1.650575771</v>
      </c>
      <c r="J18" s="184">
        <v>1.7641932739999999</v>
      </c>
      <c r="K18" s="184">
        <v>1.742558762</v>
      </c>
      <c r="L18" s="184">
        <v>1.781984703</v>
      </c>
      <c r="M18" s="184">
        <v>1.7003821059999999</v>
      </c>
      <c r="N18" s="184">
        <v>1.828538633</v>
      </c>
      <c r="O18" s="184">
        <v>1.8626505440000001</v>
      </c>
      <c r="P18" s="184">
        <v>2.0024028170000001</v>
      </c>
      <c r="Q18" s="184">
        <v>2.0298064600000001</v>
      </c>
      <c r="R18" s="184">
        <v>2.3334389843925343</v>
      </c>
      <c r="S18" s="184">
        <v>2.3494553499999999</v>
      </c>
      <c r="T18" s="184">
        <v>2.4133871679999999</v>
      </c>
      <c r="U18" s="184">
        <v>2.2000000000000002</v>
      </c>
      <c r="V18" s="184">
        <v>2.2000000000000002</v>
      </c>
      <c r="W18" s="218">
        <v>2.4</v>
      </c>
      <c r="X18" s="218">
        <v>2.8</v>
      </c>
      <c r="Y18" s="184">
        <v>2.7</v>
      </c>
      <c r="Z18" s="184">
        <v>2.8</v>
      </c>
      <c r="AA18" s="211">
        <v>3.0113048001</v>
      </c>
      <c r="AB18" s="211">
        <v>3.1286512812999998</v>
      </c>
      <c r="AC18" s="211">
        <v>3.1313667399999998</v>
      </c>
      <c r="AD18" s="211">
        <f>3238830334/1000000000</f>
        <v>3.2388303340000002</v>
      </c>
      <c r="AE18" s="252">
        <v>3.1</v>
      </c>
      <c r="AF18" s="270">
        <v>3.3421555540000001</v>
      </c>
    </row>
    <row r="19" spans="2:32" ht="21.75" customHeight="1" thickBot="1">
      <c r="B19" s="181" t="s">
        <v>13</v>
      </c>
      <c r="C19" s="185">
        <v>2.76</v>
      </c>
      <c r="D19" s="185">
        <v>2.78</v>
      </c>
      <c r="E19" s="185">
        <v>2.6</v>
      </c>
      <c r="F19" s="185">
        <v>2.73</v>
      </c>
      <c r="G19" s="185">
        <v>2.9190713696666664</v>
      </c>
      <c r="H19" s="185">
        <v>3.2</v>
      </c>
      <c r="I19" s="185">
        <v>2.9</v>
      </c>
      <c r="J19" s="185">
        <v>3</v>
      </c>
      <c r="K19" s="185">
        <v>3.3586779760000001</v>
      </c>
      <c r="L19" s="185">
        <v>3.7100415330000001</v>
      </c>
      <c r="M19" s="185">
        <v>3.6628649718999999</v>
      </c>
      <c r="N19" s="185">
        <v>3.719065654</v>
      </c>
      <c r="O19" s="185">
        <v>3.7888380424000001</v>
      </c>
      <c r="P19" s="185">
        <v>3.8707760409</v>
      </c>
      <c r="Q19" s="185">
        <v>3.6528101999999998</v>
      </c>
      <c r="R19" s="185">
        <v>3.8619178052927352</v>
      </c>
      <c r="S19" s="185">
        <v>4.0872368019999996</v>
      </c>
      <c r="T19" s="185">
        <v>4.2865436700000004</v>
      </c>
      <c r="U19" s="185">
        <v>3.9</v>
      </c>
      <c r="V19" s="185">
        <v>4.2</v>
      </c>
      <c r="W19" s="219">
        <v>4.5</v>
      </c>
      <c r="X19" s="219">
        <v>5.2</v>
      </c>
      <c r="Y19" s="185">
        <v>4.7</v>
      </c>
      <c r="Z19" s="185">
        <v>4.3</v>
      </c>
      <c r="AA19" s="213">
        <v>4.9941717848699998</v>
      </c>
      <c r="AB19" s="213">
        <v>5.1159553762199996</v>
      </c>
      <c r="AC19" s="213">
        <v>5.0371572413500001</v>
      </c>
      <c r="AD19" s="213">
        <f>5381677456/1000000000</f>
        <v>5.3816774560000002</v>
      </c>
      <c r="AE19" s="256">
        <v>5.9</v>
      </c>
      <c r="AF19" s="271">
        <v>6.2377713970000004</v>
      </c>
    </row>
    <row r="20" spans="2:32" ht="18" customHeight="1" thickBot="1">
      <c r="B20" s="186" t="s">
        <v>8</v>
      </c>
      <c r="C20" s="187">
        <v>26.6</v>
      </c>
      <c r="D20" s="187">
        <v>27.7</v>
      </c>
      <c r="E20" s="187">
        <v>26.7</v>
      </c>
      <c r="F20" s="187">
        <v>28.9</v>
      </c>
      <c r="G20" s="187">
        <v>31.817235947113335</v>
      </c>
      <c r="H20" s="187">
        <v>34</v>
      </c>
      <c r="I20" s="187">
        <v>32.317230334999998</v>
      </c>
      <c r="J20" s="187">
        <v>34.447002744750002</v>
      </c>
      <c r="K20" s="187">
        <v>35.388710207999999</v>
      </c>
      <c r="L20" s="187">
        <v>36.680694492000001</v>
      </c>
      <c r="M20" s="187">
        <v>35.4494219949</v>
      </c>
      <c r="N20" s="187">
        <v>37.654560689</v>
      </c>
      <c r="O20" s="187">
        <v>39.281442716400001</v>
      </c>
      <c r="P20" s="187">
        <v>41.003578994900003</v>
      </c>
      <c r="Q20" s="187">
        <v>40.312974928000003</v>
      </c>
      <c r="R20" s="187">
        <v>43.538680524999997</v>
      </c>
      <c r="S20" s="187">
        <v>45.019596898000003</v>
      </c>
      <c r="T20" s="187">
        <v>47.873857426000001</v>
      </c>
      <c r="U20" s="187">
        <v>46.5</v>
      </c>
      <c r="V20" s="187">
        <v>47.3</v>
      </c>
      <c r="W20" s="200">
        <f>SUM(W15:W19)</f>
        <v>48.6</v>
      </c>
      <c r="X20" s="200">
        <f>SUM(X15:X19)</f>
        <v>52</v>
      </c>
      <c r="Y20" s="187">
        <f>SUM(Y15:Y19)</f>
        <v>50.400000000000006</v>
      </c>
      <c r="Z20" s="187">
        <f>SUM(Z15:Z19)</f>
        <v>48.899999999999991</v>
      </c>
      <c r="AA20" s="187">
        <v>52.184556172339995</v>
      </c>
      <c r="AB20" s="187">
        <v>54.927080592000003</v>
      </c>
      <c r="AC20" s="233">
        <f>SUM(AC15:AC19)</f>
        <v>55.325580931349997</v>
      </c>
      <c r="AD20" s="187">
        <f>59201767663/1000000000</f>
        <v>59.201767662999998</v>
      </c>
      <c r="AE20" s="253">
        <f>SUM(AE15:AE19)</f>
        <v>62.4</v>
      </c>
      <c r="AF20" s="272">
        <v>67.341833422999997</v>
      </c>
    </row>
    <row r="21" spans="2:32" ht="18" customHeight="1">
      <c r="B21" s="209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</row>
    <row r="22" spans="2:32"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</row>
    <row r="23" spans="2:32"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</row>
    <row r="24" spans="2:32">
      <c r="B24" s="129" t="s">
        <v>89</v>
      </c>
    </row>
    <row r="25" spans="2:32" ht="3.75" customHeight="1" thickBot="1">
      <c r="D25" s="188"/>
      <c r="E25" s="188"/>
      <c r="U25" s="188"/>
    </row>
    <row r="26" spans="2:32" ht="27" customHeight="1">
      <c r="B26" s="282" t="s">
        <v>87</v>
      </c>
      <c r="C26" s="206" t="s">
        <v>74</v>
      </c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280"/>
      <c r="W26" s="280"/>
      <c r="X26" s="280"/>
      <c r="Y26" s="280"/>
      <c r="Z26" s="280"/>
      <c r="AA26" s="280"/>
      <c r="AB26" s="280"/>
      <c r="AC26" s="281"/>
      <c r="AD26" s="232"/>
      <c r="AE26" s="232"/>
      <c r="AF26" s="273"/>
    </row>
    <row r="27" spans="2:32" ht="20.25" customHeight="1">
      <c r="B27" s="283"/>
      <c r="C27" s="230">
        <v>41883</v>
      </c>
      <c r="D27" s="189">
        <v>41974</v>
      </c>
      <c r="E27" s="189">
        <v>42064</v>
      </c>
      <c r="F27" s="189">
        <v>42156</v>
      </c>
      <c r="G27" s="189">
        <v>42248</v>
      </c>
      <c r="H27" s="189">
        <v>42339</v>
      </c>
      <c r="I27" s="189">
        <v>42430</v>
      </c>
      <c r="J27" s="189">
        <v>42522</v>
      </c>
      <c r="K27" s="189">
        <v>42614</v>
      </c>
      <c r="L27" s="189">
        <v>42705</v>
      </c>
      <c r="M27" s="189">
        <v>42795</v>
      </c>
      <c r="N27" s="189">
        <v>42887</v>
      </c>
      <c r="O27" s="190">
        <v>42979</v>
      </c>
      <c r="P27" s="180">
        <v>43070</v>
      </c>
      <c r="Q27" s="180">
        <v>43160</v>
      </c>
      <c r="R27" s="180">
        <v>43281</v>
      </c>
      <c r="S27" s="180">
        <v>43373</v>
      </c>
      <c r="T27" s="180">
        <v>43465</v>
      </c>
      <c r="U27" s="180">
        <v>43555</v>
      </c>
      <c r="V27" s="180">
        <v>43646</v>
      </c>
      <c r="W27" s="180">
        <v>44093</v>
      </c>
      <c r="X27" s="180">
        <v>43818</v>
      </c>
      <c r="Y27" s="180">
        <v>43909</v>
      </c>
      <c r="Z27" s="180">
        <v>44001</v>
      </c>
      <c r="AA27" s="180">
        <v>44093</v>
      </c>
      <c r="AB27" s="180">
        <v>44184</v>
      </c>
      <c r="AC27" s="180">
        <v>44274</v>
      </c>
      <c r="AD27" s="180">
        <v>44377</v>
      </c>
      <c r="AE27" s="180">
        <v>44469</v>
      </c>
      <c r="AF27" s="180">
        <v>44561</v>
      </c>
    </row>
    <row r="28" spans="2:32" ht="30" customHeight="1">
      <c r="B28" s="191" t="s">
        <v>9</v>
      </c>
      <c r="C28" s="182">
        <v>5.7</v>
      </c>
      <c r="D28" s="182">
        <v>5.81</v>
      </c>
      <c r="E28" s="182">
        <v>6.1</v>
      </c>
      <c r="F28" s="182">
        <v>6.9</v>
      </c>
      <c r="G28" s="182">
        <v>8.0592127741700015</v>
      </c>
      <c r="H28" s="182">
        <v>9.1</v>
      </c>
      <c r="I28" s="182">
        <v>11.5</v>
      </c>
      <c r="J28" s="182">
        <v>10.06081225178</v>
      </c>
      <c r="K28" s="182">
        <v>10.39034534942</v>
      </c>
      <c r="L28" s="182">
        <v>9.0489772465699989</v>
      </c>
      <c r="M28" s="182">
        <v>10.08629111017</v>
      </c>
      <c r="N28" s="182">
        <v>10.122775526750001</v>
      </c>
      <c r="O28" s="182">
        <v>10.518426337990002</v>
      </c>
      <c r="P28" s="182">
        <v>10.413557130440001</v>
      </c>
      <c r="Q28" s="182">
        <v>10.408999502320002</v>
      </c>
      <c r="R28" s="182">
        <v>9.1808232844600006</v>
      </c>
      <c r="S28" s="182">
        <v>10.325248243330002</v>
      </c>
      <c r="T28" s="182">
        <v>10.68925110094</v>
      </c>
      <c r="U28" s="182">
        <v>9.1</v>
      </c>
      <c r="V28" s="182">
        <v>57.2</v>
      </c>
      <c r="W28" s="212">
        <v>52.9</v>
      </c>
      <c r="X28" s="212">
        <v>48.7</v>
      </c>
      <c r="Y28" s="212">
        <v>15.9</v>
      </c>
      <c r="Z28" s="212">
        <v>14.7</v>
      </c>
      <c r="AA28" s="212">
        <v>17.653542013389998</v>
      </c>
      <c r="AB28" s="212">
        <v>17.111476592990002</v>
      </c>
      <c r="AC28" s="212">
        <v>14.221638098970001</v>
      </c>
      <c r="AD28" s="212">
        <f>17198725627.54/1000000000</f>
        <v>17.19872562754</v>
      </c>
      <c r="AE28" s="274">
        <v>15.8</v>
      </c>
      <c r="AF28" s="269">
        <v>17.48293912998</v>
      </c>
    </row>
    <row r="29" spans="2:32" ht="24" customHeight="1">
      <c r="B29" s="192" t="s">
        <v>10</v>
      </c>
      <c r="C29" s="184">
        <v>24.17</v>
      </c>
      <c r="D29" s="184">
        <v>25.3</v>
      </c>
      <c r="E29" s="184">
        <v>25.6</v>
      </c>
      <c r="F29" s="184">
        <v>26.7</v>
      </c>
      <c r="G29" s="184">
        <v>29.568511757669999</v>
      </c>
      <c r="H29" s="184">
        <v>32.700000000000003</v>
      </c>
      <c r="I29" s="184">
        <v>32.853729336850002</v>
      </c>
      <c r="J29" s="184">
        <v>33.729216971269999</v>
      </c>
      <c r="K29" s="184">
        <v>36.17493741242</v>
      </c>
      <c r="L29" s="184">
        <v>36.970516192510004</v>
      </c>
      <c r="M29" s="184">
        <v>36.012248824520007</v>
      </c>
      <c r="N29" s="184">
        <v>35.360582709339994</v>
      </c>
      <c r="O29" s="184">
        <v>35.405976641610003</v>
      </c>
      <c r="P29" s="184">
        <v>35.041056033879997</v>
      </c>
      <c r="Q29" s="184">
        <v>31.366050656490003</v>
      </c>
      <c r="R29" s="184">
        <v>30.883927952720001</v>
      </c>
      <c r="S29" s="184">
        <v>31.052965140959998</v>
      </c>
      <c r="T29" s="184">
        <v>33.495709136610003</v>
      </c>
      <c r="U29" s="184">
        <v>8.3000000000000007</v>
      </c>
      <c r="V29" s="184">
        <v>12.8</v>
      </c>
      <c r="W29" s="211">
        <v>17.2</v>
      </c>
      <c r="X29" s="211">
        <v>18.3</v>
      </c>
      <c r="Y29" s="211">
        <v>42.5</v>
      </c>
      <c r="Z29" s="211">
        <v>41.7</v>
      </c>
      <c r="AA29" s="211">
        <v>44.482395238590001</v>
      </c>
      <c r="AB29" s="211">
        <v>47.47563208879</v>
      </c>
      <c r="AC29" s="211">
        <v>17.564545499520001</v>
      </c>
      <c r="AD29" s="211">
        <f>19120949986.88/1000000000</f>
        <v>19.120949986879999</v>
      </c>
      <c r="AE29" s="275">
        <v>18.100000000000001</v>
      </c>
      <c r="AF29" s="270">
        <v>22.478503350310003</v>
      </c>
    </row>
    <row r="30" spans="2:32" ht="27.75" customHeight="1">
      <c r="B30" s="191" t="s">
        <v>11</v>
      </c>
      <c r="C30" s="182">
        <v>18.23</v>
      </c>
      <c r="D30" s="182">
        <v>19.11</v>
      </c>
      <c r="E30" s="182">
        <v>19.5</v>
      </c>
      <c r="F30" s="182">
        <v>20.8</v>
      </c>
      <c r="G30" s="182">
        <v>22.598357590839999</v>
      </c>
      <c r="H30" s="182">
        <v>25.7</v>
      </c>
      <c r="I30" s="182">
        <v>25.517018817629999</v>
      </c>
      <c r="J30" s="182">
        <v>26.880230153909991</v>
      </c>
      <c r="K30" s="182">
        <v>29.4121246353</v>
      </c>
      <c r="L30" s="182">
        <v>29.141561870350003</v>
      </c>
      <c r="M30" s="182">
        <v>31.433166500249996</v>
      </c>
      <c r="N30" s="182">
        <v>32.860534844198995</v>
      </c>
      <c r="O30" s="182">
        <v>28.057793090419999</v>
      </c>
      <c r="P30" s="182">
        <v>28.569256271580002</v>
      </c>
      <c r="Q30" s="182">
        <v>21.682935702580004</v>
      </c>
      <c r="R30" s="182">
        <v>21.592042027620003</v>
      </c>
      <c r="S30" s="182">
        <v>23.432530529659999</v>
      </c>
      <c r="T30" s="182">
        <v>29.462369421660018</v>
      </c>
      <c r="U30" s="182">
        <v>26.1</v>
      </c>
      <c r="V30" s="182">
        <v>24.4</v>
      </c>
      <c r="W30" s="212">
        <v>25.5</v>
      </c>
      <c r="X30" s="212">
        <v>29.8</v>
      </c>
      <c r="Y30" s="212">
        <v>25.2</v>
      </c>
      <c r="Z30" s="212">
        <v>28.9</v>
      </c>
      <c r="AA30" s="212">
        <v>29.051443422999998</v>
      </c>
      <c r="AB30" s="212">
        <v>19.314620113019998</v>
      </c>
      <c r="AC30" s="212">
        <v>34.809374461579999</v>
      </c>
      <c r="AD30" s="212">
        <f>29729878223.17/1000000000</f>
        <v>29.729878223169997</v>
      </c>
      <c r="AE30" s="276">
        <v>40</v>
      </c>
      <c r="AF30" s="269">
        <v>30.432175775220003</v>
      </c>
    </row>
    <row r="31" spans="2:32" ht="27.75" customHeight="1">
      <c r="B31" s="192" t="s">
        <v>12</v>
      </c>
      <c r="C31" s="184">
        <v>1.84</v>
      </c>
      <c r="D31" s="184">
        <v>1.86</v>
      </c>
      <c r="E31" s="184">
        <v>2.1</v>
      </c>
      <c r="F31" s="184">
        <v>2.4</v>
      </c>
      <c r="G31" s="184">
        <v>2.6492503684400002</v>
      </c>
      <c r="H31" s="184">
        <v>2.8</v>
      </c>
      <c r="I31" s="184">
        <v>3.04767367004</v>
      </c>
      <c r="J31" s="184">
        <v>3.32951</v>
      </c>
      <c r="K31" s="184">
        <v>3.77682578764</v>
      </c>
      <c r="L31" s="184">
        <v>3.8072924273899997</v>
      </c>
      <c r="M31" s="184">
        <v>3.9</v>
      </c>
      <c r="N31" s="184">
        <v>3.1725402700599998</v>
      </c>
      <c r="O31" s="184">
        <v>3.0786273147499998</v>
      </c>
      <c r="P31" s="184">
        <v>2.8391020289600002</v>
      </c>
      <c r="Q31" s="184">
        <v>2.0313461667100001</v>
      </c>
      <c r="R31" s="184">
        <v>2.0167738098900001</v>
      </c>
      <c r="S31" s="184">
        <v>2.1864927275199997</v>
      </c>
      <c r="T31" s="184">
        <v>4.2571147934699995</v>
      </c>
      <c r="U31" s="184">
        <v>3.3</v>
      </c>
      <c r="V31" s="184">
        <v>3.2</v>
      </c>
      <c r="W31" s="211">
        <v>3.8</v>
      </c>
      <c r="X31" s="211">
        <v>4.3</v>
      </c>
      <c r="Y31" s="211">
        <v>6.1</v>
      </c>
      <c r="Z31" s="211">
        <v>4.8</v>
      </c>
      <c r="AA31" s="211">
        <v>4.1103537342900003</v>
      </c>
      <c r="AB31" s="211">
        <v>4.5536218603599998</v>
      </c>
      <c r="AC31" s="211">
        <v>5.0997905143700004</v>
      </c>
      <c r="AD31" s="211">
        <f>4733973067.5/1000000000</f>
        <v>4.7339730675</v>
      </c>
      <c r="AE31" s="275">
        <v>3.4</v>
      </c>
      <c r="AF31" s="270">
        <v>4.8374145336199996</v>
      </c>
    </row>
    <row r="32" spans="2:32" ht="27.75" customHeight="1" thickBot="1">
      <c r="B32" s="191" t="s">
        <v>13</v>
      </c>
      <c r="C32" s="185">
        <v>10.51</v>
      </c>
      <c r="D32" s="185">
        <v>10.14</v>
      </c>
      <c r="E32" s="185">
        <v>11.3</v>
      </c>
      <c r="F32" s="185">
        <v>11.4</v>
      </c>
      <c r="G32" s="185">
        <v>12.13520457591</v>
      </c>
      <c r="H32" s="185">
        <v>12.2</v>
      </c>
      <c r="I32" s="185">
        <v>11.81087046889</v>
      </c>
      <c r="J32" s="185">
        <v>16.100000000000001</v>
      </c>
      <c r="K32" s="185">
        <v>15.9137458531</v>
      </c>
      <c r="L32" s="185">
        <v>18.3521016497</v>
      </c>
      <c r="M32" s="185">
        <v>19.25518642634</v>
      </c>
      <c r="N32" s="185">
        <v>19.502819001530998</v>
      </c>
      <c r="O32" s="185">
        <v>21.10788051155</v>
      </c>
      <c r="P32" s="185">
        <v>20.418517004680002</v>
      </c>
      <c r="Q32" s="185">
        <v>33.428449386712501</v>
      </c>
      <c r="R32" s="185">
        <v>43.210493659240001</v>
      </c>
      <c r="S32" s="185">
        <v>47.263668044279996</v>
      </c>
      <c r="T32" s="185">
        <v>38.256714883590007</v>
      </c>
      <c r="U32" s="185">
        <v>68.8</v>
      </c>
      <c r="V32" s="185">
        <v>22.1</v>
      </c>
      <c r="W32" s="213">
        <v>27.5</v>
      </c>
      <c r="X32" s="213">
        <v>30</v>
      </c>
      <c r="Y32" s="213">
        <v>42.1</v>
      </c>
      <c r="Z32" s="213">
        <v>42.3</v>
      </c>
      <c r="AA32" s="213">
        <v>45.823503496009998</v>
      </c>
      <c r="AB32" s="213">
        <v>58.97942952535</v>
      </c>
      <c r="AC32" s="213">
        <v>77.988413381070004</v>
      </c>
      <c r="AD32" s="213">
        <f>85195412334.18/1000000000</f>
        <v>85.195412334179991</v>
      </c>
      <c r="AE32" s="277">
        <v>83.8</v>
      </c>
      <c r="AF32" s="271">
        <v>92.562320136899999</v>
      </c>
    </row>
    <row r="33" spans="2:32" ht="16.5" thickBot="1">
      <c r="B33" s="193" t="s">
        <v>8</v>
      </c>
      <c r="C33" s="194">
        <v>60.4</v>
      </c>
      <c r="D33" s="194">
        <v>62.2</v>
      </c>
      <c r="E33" s="194">
        <v>64.599999999999994</v>
      </c>
      <c r="F33" s="194">
        <v>68.2</v>
      </c>
      <c r="G33" s="187">
        <v>75.01053706703</v>
      </c>
      <c r="H33" s="187">
        <v>82.5</v>
      </c>
      <c r="I33" s="187">
        <v>84.800556843500004</v>
      </c>
      <c r="J33" s="187">
        <v>90.100016101509979</v>
      </c>
      <c r="K33" s="187">
        <v>95.667979037880002</v>
      </c>
      <c r="L33" s="187">
        <v>97.320449386520011</v>
      </c>
      <c r="M33" s="187">
        <v>100.7</v>
      </c>
      <c r="N33" s="187">
        <v>101.01925235188</v>
      </c>
      <c r="O33" s="187">
        <v>98.168703896320011</v>
      </c>
      <c r="P33" s="187">
        <v>97.281488469540008</v>
      </c>
      <c r="Q33" s="187">
        <v>98.917781414812495</v>
      </c>
      <c r="R33" s="187">
        <v>106.88406073393</v>
      </c>
      <c r="S33" s="187">
        <v>114.26090468575001</v>
      </c>
      <c r="T33" s="187">
        <v>116.16115933627002</v>
      </c>
      <c r="U33" s="187">
        <v>115.6</v>
      </c>
      <c r="V33" s="187">
        <v>119.7</v>
      </c>
      <c r="W33" s="187">
        <f t="shared" ref="W33:AB33" si="0">SUM(W28:W32)</f>
        <v>126.89999999999999</v>
      </c>
      <c r="X33" s="187">
        <f t="shared" si="0"/>
        <v>131.1</v>
      </c>
      <c r="Y33" s="187">
        <f t="shared" si="0"/>
        <v>131.79999999999998</v>
      </c>
      <c r="Z33" s="187">
        <f t="shared" si="0"/>
        <v>132.4</v>
      </c>
      <c r="AA33" s="187">
        <f t="shared" si="0"/>
        <v>141.12123790528</v>
      </c>
      <c r="AB33" s="187">
        <f t="shared" si="0"/>
        <v>147.43478018050999</v>
      </c>
      <c r="AC33" s="187">
        <f>SUM(AC28:AC32)</f>
        <v>149.68376195551002</v>
      </c>
      <c r="AD33" s="187">
        <f>155978939239.27/1000000000</f>
        <v>155.97893923926998</v>
      </c>
      <c r="AE33" s="278">
        <f>SUM(AE28:AE32)</f>
        <v>161.10000000000002</v>
      </c>
      <c r="AF33" s="272">
        <v>167.79335292603</v>
      </c>
    </row>
    <row r="37" spans="2:32" ht="14.25" thickBot="1"/>
    <row r="38" spans="2:32" ht="24.75" customHeight="1">
      <c r="B38" s="282" t="s">
        <v>88</v>
      </c>
      <c r="C38" s="195" t="s">
        <v>79</v>
      </c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79"/>
      <c r="AF38" s="279"/>
    </row>
    <row r="39" spans="2:32" ht="15.75" customHeight="1">
      <c r="B39" s="283"/>
      <c r="C39" s="229">
        <v>41883</v>
      </c>
      <c r="D39" s="189">
        <v>41974</v>
      </c>
      <c r="E39" s="189">
        <v>42064</v>
      </c>
      <c r="F39" s="189">
        <v>42156</v>
      </c>
      <c r="G39" s="189">
        <v>42248</v>
      </c>
      <c r="H39" s="189">
        <v>42339</v>
      </c>
      <c r="I39" s="189">
        <v>42430</v>
      </c>
      <c r="J39" s="189">
        <v>42522</v>
      </c>
      <c r="K39" s="189">
        <v>42614</v>
      </c>
      <c r="L39" s="189">
        <v>42705</v>
      </c>
      <c r="M39" s="189">
        <v>42795</v>
      </c>
      <c r="N39" s="189">
        <v>42887</v>
      </c>
      <c r="O39" s="190">
        <v>42979</v>
      </c>
      <c r="P39" s="180">
        <v>43070</v>
      </c>
      <c r="Q39" s="180">
        <v>43160</v>
      </c>
      <c r="R39" s="180">
        <v>43281</v>
      </c>
      <c r="S39" s="180">
        <v>43373</v>
      </c>
      <c r="T39" s="180">
        <v>43465</v>
      </c>
      <c r="U39" s="180">
        <v>43555</v>
      </c>
      <c r="V39" s="180">
        <v>43646</v>
      </c>
      <c r="W39" s="180">
        <v>43709</v>
      </c>
      <c r="X39" s="180">
        <v>43818</v>
      </c>
      <c r="Y39" s="180">
        <v>43909</v>
      </c>
      <c r="Z39" s="180">
        <v>44001</v>
      </c>
      <c r="AA39" s="180">
        <v>44093</v>
      </c>
      <c r="AB39" s="180">
        <v>44184</v>
      </c>
      <c r="AC39" s="180">
        <v>44274</v>
      </c>
      <c r="AD39" s="180">
        <v>44377</v>
      </c>
      <c r="AE39" s="180">
        <v>44469</v>
      </c>
      <c r="AF39" s="180">
        <v>44561</v>
      </c>
    </row>
    <row r="40" spans="2:32" ht="26.25" customHeight="1">
      <c r="B40" s="191" t="s">
        <v>9</v>
      </c>
      <c r="C40" s="182">
        <v>11.22</v>
      </c>
      <c r="D40" s="182">
        <v>12.12</v>
      </c>
      <c r="E40" s="182">
        <v>12.5</v>
      </c>
      <c r="F40" s="182">
        <v>13.99</v>
      </c>
      <c r="G40" s="18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      </c>
      <c r="L40" s="182">
        <v>20</v>
      </c>
      <c r="M40" s="182">
        <v>20.386055639170003</v>
      </c>
      <c r="N40" s="182">
        <v>20.790875345750003</v>
      </c>
      <c r="O40" s="197">
        <v>21.712569304990001</v>
      </c>
      <c r="P40" s="182">
        <v>22.308497273440004</v>
      </c>
      <c r="Q40" s="182">
        <v>22.144210941320004</v>
      </c>
      <c r="R40" s="182">
        <v>21.679165587937394</v>
      </c>
      <c r="S40" s="182">
        <v>23.52375630433</v>
      </c>
      <c r="T40" s="182">
        <v>24.855140102939998</v>
      </c>
      <c r="U40" s="182">
        <v>23.7</v>
      </c>
      <c r="V40" s="182">
        <v>73.800000000000011</v>
      </c>
      <c r="W40" s="182">
        <v>67.5</v>
      </c>
      <c r="X40" s="212">
        <v>64.2</v>
      </c>
      <c r="Y40" s="212">
        <v>31.3</v>
      </c>
      <c r="Z40" s="212">
        <f>Z15+Z28</f>
        <v>29.6</v>
      </c>
      <c r="AA40" s="212">
        <v>33.489997714579999</v>
      </c>
      <c r="AB40" s="212">
        <v>33.79979171347</v>
      </c>
      <c r="AC40" s="212">
        <v>30.651537980970001</v>
      </c>
      <c r="AD40" s="212">
        <f>34263505879.54/1000000000</f>
        <v>34.263505879539998</v>
      </c>
      <c r="AE40" s="212">
        <v>32.700000000000003</v>
      </c>
      <c r="AF40" s="269">
        <v>36.268577864979996</v>
      </c>
    </row>
    <row r="41" spans="2:32" ht="27" customHeight="1">
      <c r="B41" s="192" t="s">
        <v>10</v>
      </c>
      <c r="C41" s="184">
        <v>27.39</v>
      </c>
      <c r="D41" s="184">
        <v>28.72</v>
      </c>
      <c r="E41" s="184">
        <v>28.8</v>
      </c>
      <c r="F41" s="184">
        <v>30.189999999999998</v>
      </c>
      <c r="G41" s="184">
        <v>33.250674619449995</v>
      </c>
      <c r="H41" s="184">
        <v>36.5</v>
      </c>
      <c r="I41" s="184">
        <v>36.363729014850001</v>
      </c>
      <c r="J41" s="184">
        <v>37.483606742270005</v>
      </c>
      <c r="K41" s="184">
        <v>39.9</v>
      </c>
      <c r="L41" s="184">
        <v>40.792620077510001</v>
      </c>
      <c r="M41" s="184">
        <v>39.803661679520005</v>
      </c>
      <c r="N41" s="184">
        <v>39.443841587339996</v>
      </c>
      <c r="O41" s="198">
        <v>39.659307489610001</v>
      </c>
      <c r="P41" s="184">
        <v>39.465442319879998</v>
      </c>
      <c r="Q41" s="184">
        <v>35.673151411490004</v>
      </c>
      <c r="R41" s="184">
        <v>35.510269453652491</v>
      </c>
      <c r="S41" s="184">
        <v>35.948358627959998</v>
      </c>
      <c r="T41" s="184">
        <v>38.776906593610001</v>
      </c>
      <c r="U41" s="184">
        <v>13</v>
      </c>
      <c r="V41" s="184">
        <v>17.3</v>
      </c>
      <c r="W41" s="184">
        <v>22.1</v>
      </c>
      <c r="X41" s="211">
        <v>24</v>
      </c>
      <c r="Y41" s="211">
        <v>47.7</v>
      </c>
      <c r="Z41" s="211">
        <f>Z16+Z29</f>
        <v>46.7</v>
      </c>
      <c r="AA41" s="211">
        <v>50.038558945958002</v>
      </c>
      <c r="AB41" s="211">
        <v>53.724636846077999</v>
      </c>
      <c r="AC41" s="211">
        <v>23.946672189520001</v>
      </c>
      <c r="AD41" s="211">
        <f>25972605046.88/1000000000</f>
        <v>25.972605046880002</v>
      </c>
      <c r="AE41" s="211">
        <f>25972605046.88/1000000000</f>
        <v>25.972605046880002</v>
      </c>
      <c r="AF41" s="270">
        <v>31.2</v>
      </c>
    </row>
    <row r="42" spans="2:32" ht="24.75" customHeight="1">
      <c r="B42" s="191" t="s">
        <v>11</v>
      </c>
      <c r="C42" s="182">
        <v>31.78</v>
      </c>
      <c r="D42" s="182">
        <v>32.700000000000003</v>
      </c>
      <c r="E42" s="182">
        <v>32.4</v>
      </c>
      <c r="F42" s="182">
        <v>34.770000000000003</v>
      </c>
      <c r="G42" s="182">
        <v>37.387792043839994</v>
      </c>
      <c r="H42" s="182">
        <v>40.799999999999997</v>
      </c>
      <c r="I42" s="182">
        <v>39.691478098630007</v>
      </c>
      <c r="J42" s="182">
        <v>42.20922235690999</v>
      </c>
      <c r="K42" s="182">
        <v>45.228452775299999</v>
      </c>
      <c r="L42" s="182">
        <v>45.5</v>
      </c>
      <c r="M42" s="182">
        <v>47.428164033249999</v>
      </c>
      <c r="N42" s="182">
        <v>50.216132549198996</v>
      </c>
      <c r="O42" s="197">
        <v>46.240273405419998</v>
      </c>
      <c r="P42" s="182">
        <v>47.380329979580004</v>
      </c>
      <c r="Q42" s="182">
        <v>40.270981776580001</v>
      </c>
      <c r="R42" s="182">
        <v>41.810681958524853</v>
      </c>
      <c r="S42" s="182">
        <v>43.921533727659998</v>
      </c>
      <c r="T42" s="182">
        <v>51.210294524660014</v>
      </c>
      <c r="U42" s="182">
        <v>47.2</v>
      </c>
      <c r="V42" s="182">
        <v>44.2</v>
      </c>
      <c r="W42" s="182">
        <v>47.8</v>
      </c>
      <c r="X42" s="212">
        <v>52.4</v>
      </c>
      <c r="Y42" s="212">
        <v>47.6</v>
      </c>
      <c r="Z42" s="212">
        <f>Z17+Z30</f>
        <v>50.8</v>
      </c>
      <c r="AA42" s="212">
        <v>51.837903601812002</v>
      </c>
      <c r="AB42" s="212">
        <v>43.059774169732002</v>
      </c>
      <c r="AC42" s="212">
        <v>59.154404839580003</v>
      </c>
      <c r="AD42" s="212">
        <f>56394702784.17/1000000000</f>
        <v>56.394702784170001</v>
      </c>
      <c r="AE42" s="258">
        <v>67.900000000000006</v>
      </c>
      <c r="AF42" s="269">
        <v>60.636884664219998</v>
      </c>
    </row>
    <row r="43" spans="2:32" ht="23.25" customHeight="1">
      <c r="B43" s="192" t="s">
        <v>12</v>
      </c>
      <c r="C43" s="184">
        <v>3.34</v>
      </c>
      <c r="D43" s="184">
        <v>3.5</v>
      </c>
      <c r="E43" s="184">
        <v>3.7</v>
      </c>
      <c r="F43" s="184">
        <v>4.04</v>
      </c>
      <c r="G43" s="184">
        <v>4.3</v>
      </c>
      <c r="H43" s="184">
        <v>4.5999999999999996</v>
      </c>
      <c r="I43" s="184">
        <v>4.6982494410399998</v>
      </c>
      <c r="J43" s="184">
        <v>5.13260020351</v>
      </c>
      <c r="K43" s="184">
        <v>5.5193845496399998</v>
      </c>
      <c r="L43" s="184">
        <v>5.5892771303899993</v>
      </c>
      <c r="M43" s="184">
        <v>5.6003821059999996</v>
      </c>
      <c r="N43" s="184">
        <v>5.0010789030599998</v>
      </c>
      <c r="O43" s="198">
        <v>4.9412778587500004</v>
      </c>
      <c r="P43" s="184">
        <v>4.8415048459600003</v>
      </c>
      <c r="Q43" s="184">
        <v>4.0611526267100002</v>
      </c>
      <c r="R43" s="184">
        <v>4.3502127942825339</v>
      </c>
      <c r="S43" s="184">
        <v>4.5359480775199996</v>
      </c>
      <c r="T43" s="184">
        <v>6.6849449594700001</v>
      </c>
      <c r="U43" s="184">
        <v>5.5</v>
      </c>
      <c r="V43" s="184">
        <v>5.4</v>
      </c>
      <c r="W43" s="184">
        <v>6.2</v>
      </c>
      <c r="X43" s="211">
        <v>7.1</v>
      </c>
      <c r="Y43" s="211">
        <v>8.9</v>
      </c>
      <c r="Z43" s="211">
        <f>Z18+Z31</f>
        <v>7.6</v>
      </c>
      <c r="AA43" s="211">
        <v>7.1216585343899999</v>
      </c>
      <c r="AB43" s="211">
        <v>7.6822731416599996</v>
      </c>
      <c r="AC43" s="211">
        <v>8.2311572543700002</v>
      </c>
      <c r="AD43" s="211">
        <f>7972803401.5/1000000000</f>
        <v>7.9728034015000002</v>
      </c>
      <c r="AE43" s="211">
        <v>8.5</v>
      </c>
      <c r="AF43" s="270">
        <v>8.1795700876200002</v>
      </c>
    </row>
    <row r="44" spans="2:32" ht="21" customHeight="1">
      <c r="B44" s="191" t="s">
        <v>13</v>
      </c>
      <c r="C44" s="185">
        <v>13.28</v>
      </c>
      <c r="D44" s="185">
        <v>12.92</v>
      </c>
      <c r="E44" s="185">
        <v>13.9</v>
      </c>
      <c r="F44" s="185">
        <v>14.13</v>
      </c>
      <c r="G44" s="185">
        <v>15</v>
      </c>
      <c r="H44" s="185">
        <v>15.399999999999999</v>
      </c>
      <c r="I44" s="185">
        <v>14.80107094289</v>
      </c>
      <c r="J44" s="185">
        <v>19.100000000000001</v>
      </c>
      <c r="K44" s="185">
        <v>19.272423829099999</v>
      </c>
      <c r="L44" s="185">
        <v>22.062143182700002</v>
      </c>
      <c r="M44" s="185">
        <v>22.918051398239999</v>
      </c>
      <c r="N44" s="185">
        <v>23.221884655530999</v>
      </c>
      <c r="O44" s="199">
        <v>24.896718553950002</v>
      </c>
      <c r="P44" s="185">
        <v>24.289293045580003</v>
      </c>
      <c r="Q44" s="185">
        <v>37.081259586712498</v>
      </c>
      <c r="R44" s="185">
        <v>47.072411464532735</v>
      </c>
      <c r="S44" s="185">
        <v>51.350904846279995</v>
      </c>
      <c r="T44" s="185">
        <v>42.543252389590009</v>
      </c>
      <c r="U44" s="185">
        <v>72.7</v>
      </c>
      <c r="V44" s="185">
        <v>26.3</v>
      </c>
      <c r="W44" s="185">
        <v>32.1</v>
      </c>
      <c r="X44" s="213">
        <v>35.200000000000003</v>
      </c>
      <c r="Y44" s="213">
        <v>46.9</v>
      </c>
      <c r="Z44" s="213">
        <f>Z19+Z32</f>
        <v>46.599999999999994</v>
      </c>
      <c r="AA44" s="213">
        <v>50.817675280880003</v>
      </c>
      <c r="AB44" s="213">
        <v>64.09538490157</v>
      </c>
      <c r="AC44" s="213">
        <v>83.025570622420005</v>
      </c>
      <c r="AD44" s="213">
        <f>90577089790.18/1000000000</f>
        <v>90.577089790179997</v>
      </c>
      <c r="AE44" s="213">
        <v>89.6</v>
      </c>
      <c r="AF44" s="271">
        <v>98.800091533899987</v>
      </c>
    </row>
    <row r="45" spans="2:32" ht="23.25" customHeight="1" thickBot="1">
      <c r="B45" s="193" t="s">
        <v>8</v>
      </c>
      <c r="C45" s="187">
        <v>87</v>
      </c>
      <c r="D45" s="194">
        <v>89.9</v>
      </c>
      <c r="E45" s="194">
        <v>91.3</v>
      </c>
      <c r="F45" s="194">
        <v>97.1</v>
      </c>
      <c r="G45" s="187">
        <v>106.82777301414335</v>
      </c>
      <c r="H45" s="194">
        <v>116.5</v>
      </c>
      <c r="I45" s="187">
        <v>117.1177871785</v>
      </c>
      <c r="J45" s="187">
        <v>124.54701884625997</v>
      </c>
      <c r="K45" s="187">
        <v>131.05668924587999</v>
      </c>
      <c r="L45" s="187">
        <v>134.00114387852</v>
      </c>
      <c r="M45" s="187">
        <v>136.1494219949</v>
      </c>
      <c r="N45" s="187">
        <v>138.67381304087999</v>
      </c>
      <c r="O45" s="200">
        <v>137.45014661272</v>
      </c>
      <c r="P45" s="187">
        <v>138.28506746444</v>
      </c>
      <c r="Q45" s="187">
        <v>139.2307563428125</v>
      </c>
      <c r="R45" s="187">
        <v>150.42274125892999</v>
      </c>
      <c r="S45" s="187">
        <v>159.28050158375001</v>
      </c>
      <c r="T45" s="187">
        <v>164.07053857027</v>
      </c>
      <c r="U45" s="187">
        <v>162.1</v>
      </c>
      <c r="V45" s="187">
        <v>167</v>
      </c>
      <c r="W45" s="187">
        <v>175.7</v>
      </c>
      <c r="X45" s="187">
        <f t="shared" ref="X45:AC45" si="1">SUM(X40:X44)</f>
        <v>182.89999999999998</v>
      </c>
      <c r="Y45" s="187">
        <f t="shared" si="1"/>
        <v>182.4</v>
      </c>
      <c r="Z45" s="187">
        <f t="shared" si="1"/>
        <v>181.3</v>
      </c>
      <c r="AA45" s="187">
        <f t="shared" si="1"/>
        <v>193.30579407762002</v>
      </c>
      <c r="AB45" s="187">
        <f t="shared" si="1"/>
        <v>202.36186077251</v>
      </c>
      <c r="AC45" s="187">
        <f t="shared" si="1"/>
        <v>205.00934288686</v>
      </c>
      <c r="AD45" s="187">
        <f>215180706902.27/1000000000</f>
        <v>215.18070690226997</v>
      </c>
      <c r="AE45" s="187">
        <v>224.9</v>
      </c>
      <c r="AF45" s="272">
        <v>235.13518634902999</v>
      </c>
    </row>
    <row r="57" spans="13:15">
      <c r="M57" s="201"/>
      <c r="N57" s="201"/>
      <c r="O57" s="201"/>
    </row>
    <row r="58" spans="13:15">
      <c r="M58" s="202"/>
      <c r="N58" s="202"/>
      <c r="O58" s="202"/>
    </row>
    <row r="59" spans="13:15">
      <c r="M59" s="203"/>
      <c r="N59" s="203"/>
      <c r="O59" s="203"/>
    </row>
  </sheetData>
  <mergeCells count="7">
    <mergeCell ref="AE38:AF38"/>
    <mergeCell ref="S38:AD38"/>
    <mergeCell ref="V26:AC26"/>
    <mergeCell ref="B38:B39"/>
    <mergeCell ref="B13:B14"/>
    <mergeCell ref="B26:B27"/>
    <mergeCell ref="AC13:AD13"/>
  </mergeCells>
  <pageMargins left="0.7" right="0.7" top="0.75" bottom="0.75" header="0.3" footer="0.3"/>
  <pageSetup scale="25" orientation="portrait" r:id="rId1"/>
  <headerFooter>
    <oddHeader xml:space="preserve">&amp;C 
</oddHeader>
    <oddFooter xml:space="preserve">&amp;C 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workbookViewId="0">
      <selection activeCell="B16" sqref="B16"/>
    </sheetView>
  </sheetViews>
  <sheetFormatPr defaultRowHeight="15.75"/>
  <cols>
    <col min="1" max="1" width="3.33203125" style="1" customWidth="1"/>
    <col min="2" max="2" width="56.1640625" style="52" customWidth="1"/>
    <col min="3" max="16384" width="9.33203125" style="1"/>
  </cols>
  <sheetData>
    <row r="1" spans="1:46">
      <c r="B1" s="47" t="s">
        <v>39</v>
      </c>
    </row>
    <row r="3" spans="1:46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</row>
    <row r="4" spans="1:46" ht="16.5" thickBot="1">
      <c r="B4" s="41"/>
      <c r="C4" s="42">
        <v>38779</v>
      </c>
      <c r="D4" s="42">
        <v>38871</v>
      </c>
      <c r="E4" s="42">
        <v>38963</v>
      </c>
      <c r="F4" s="42">
        <v>39054</v>
      </c>
      <c r="G4" s="42">
        <v>39144</v>
      </c>
      <c r="H4" s="42">
        <v>39236</v>
      </c>
      <c r="I4" s="42">
        <v>39328</v>
      </c>
      <c r="J4" s="42">
        <v>39419</v>
      </c>
      <c r="K4" s="42">
        <v>39510</v>
      </c>
      <c r="L4" s="42">
        <v>39602</v>
      </c>
      <c r="M4" s="42">
        <v>39694</v>
      </c>
      <c r="N4" s="42">
        <v>39785</v>
      </c>
      <c r="O4" s="42">
        <v>39875</v>
      </c>
      <c r="P4" s="42">
        <v>39967</v>
      </c>
      <c r="Q4" s="42">
        <v>40059</v>
      </c>
      <c r="R4" s="42">
        <v>40150</v>
      </c>
      <c r="S4" s="42">
        <v>40240</v>
      </c>
      <c r="T4" s="42">
        <v>40332</v>
      </c>
      <c r="U4" s="42">
        <v>40424</v>
      </c>
      <c r="V4" s="42">
        <v>40515</v>
      </c>
      <c r="W4" s="42">
        <v>40605</v>
      </c>
      <c r="X4" s="42">
        <v>40697</v>
      </c>
      <c r="Y4" s="42">
        <v>40789</v>
      </c>
      <c r="Z4" s="42">
        <v>40878</v>
      </c>
      <c r="AA4" s="42">
        <v>40969</v>
      </c>
      <c r="AB4" s="42">
        <v>41061</v>
      </c>
      <c r="AC4" s="42">
        <v>41153</v>
      </c>
      <c r="AD4" s="42">
        <v>41244</v>
      </c>
      <c r="AE4" s="42">
        <v>41334</v>
      </c>
      <c r="AF4" s="42">
        <v>41426</v>
      </c>
      <c r="AG4" s="42">
        <v>41518</v>
      </c>
      <c r="AH4" s="42">
        <v>41609</v>
      </c>
      <c r="AI4" s="42">
        <v>41699</v>
      </c>
      <c r="AJ4" s="42">
        <v>41791</v>
      </c>
      <c r="AK4" s="42">
        <v>41883</v>
      </c>
      <c r="AL4" s="42">
        <v>42004</v>
      </c>
      <c r="AM4" s="42">
        <v>42094</v>
      </c>
      <c r="AN4" s="42">
        <v>42185</v>
      </c>
      <c r="AO4" s="42">
        <v>42248</v>
      </c>
      <c r="AP4" s="42">
        <v>42369</v>
      </c>
      <c r="AQ4" s="42">
        <v>42460</v>
      </c>
      <c r="AR4" s="42">
        <v>42551</v>
      </c>
      <c r="AS4" s="42">
        <v>42643</v>
      </c>
      <c r="AT4" s="42">
        <v>42735</v>
      </c>
    </row>
    <row r="5" spans="1:46" s="44" customFormat="1">
      <c r="A5" s="1"/>
      <c r="B5" s="43" t="s">
        <v>40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6" s="48" customFormat="1">
      <c r="A6" s="48">
        <v>1</v>
      </c>
      <c r="B6" s="49" t="s">
        <v>54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1"/>
      <c r="AQ6" s="51"/>
      <c r="AR6" s="51"/>
      <c r="AS6" s="51"/>
      <c r="AT6" s="51"/>
    </row>
    <row r="7" spans="1:46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6" s="44" customFormat="1">
      <c r="A8" s="1"/>
      <c r="B8" s="43" t="s">
        <v>41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</row>
    <row r="9" spans="1:46" s="48" customFormat="1">
      <c r="A9" s="48">
        <v>2</v>
      </c>
      <c r="B9" s="49" t="s">
        <v>42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1"/>
      <c r="AQ9" s="51"/>
      <c r="AR9" s="51"/>
      <c r="AS9" s="51"/>
      <c r="AT9" s="51"/>
    </row>
    <row r="10" spans="1:46">
      <c r="B10" s="54" t="s">
        <v>55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6"/>
      <c r="AQ10" s="56"/>
      <c r="AR10" s="56"/>
      <c r="AS10" s="56"/>
      <c r="AT10" s="56"/>
    </row>
    <row r="11" spans="1:46">
      <c r="B11" s="54" t="s">
        <v>43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6"/>
      <c r="AQ11" s="56"/>
      <c r="AR11" s="56"/>
      <c r="AS11" s="56"/>
      <c r="AT11" s="56"/>
    </row>
    <row r="12" spans="1:46">
      <c r="B12" s="54" t="s">
        <v>44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6"/>
      <c r="AQ12" s="56"/>
      <c r="AR12" s="56"/>
      <c r="AS12" s="56"/>
      <c r="AT12" s="56"/>
    </row>
    <row r="13" spans="1:46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</row>
    <row r="14" spans="1:46" s="44" customFormat="1">
      <c r="A14" s="1"/>
      <c r="B14" s="43" t="s">
        <v>45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</row>
    <row r="15" spans="1:46" s="48" customFormat="1">
      <c r="A15" s="48">
        <v>3</v>
      </c>
      <c r="B15" s="49" t="s">
        <v>46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1"/>
      <c r="AQ15" s="51"/>
      <c r="AR15" s="51"/>
      <c r="AS15" s="51"/>
      <c r="AT15" s="51"/>
    </row>
    <row r="16" spans="1:46" s="48" customFormat="1">
      <c r="A16" s="48">
        <v>4</v>
      </c>
      <c r="B16" s="49" t="s">
        <v>47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1"/>
      <c r="AQ16" s="51"/>
      <c r="AR16" s="51"/>
      <c r="AS16" s="51"/>
      <c r="AT16" s="51"/>
    </row>
    <row r="17" spans="1:46">
      <c r="B17" s="54" t="s">
        <v>48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6"/>
      <c r="AQ17" s="56"/>
      <c r="AR17" s="56"/>
      <c r="AS17" s="56"/>
      <c r="AT17" s="56"/>
    </row>
    <row r="18" spans="1:46">
      <c r="B18" s="54" t="s">
        <v>49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6"/>
      <c r="AQ18" s="56"/>
      <c r="AR18" s="56"/>
      <c r="AS18" s="56"/>
      <c r="AT18" s="56"/>
    </row>
    <row r="19" spans="1:46"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</row>
    <row r="20" spans="1:46" s="44" customFormat="1">
      <c r="A20" s="1"/>
      <c r="B20" s="43" t="s">
        <v>50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</row>
    <row r="21" spans="1:46">
      <c r="B21" s="54" t="s">
        <v>51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</row>
    <row r="22" spans="1:46" s="48" customFormat="1">
      <c r="A22" s="48">
        <v>5</v>
      </c>
      <c r="B22" s="49" t="s">
        <v>58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</row>
    <row r="23" spans="1:46">
      <c r="B23" s="54" t="s">
        <v>52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</row>
    <row r="24" spans="1:46">
      <c r="B24" s="54" t="s">
        <v>53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1:46">
      <c r="B25" s="54" t="s">
        <v>56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</row>
    <row r="26" spans="1:46" ht="16.5" thickBot="1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</row>
    <row r="28" spans="1:46">
      <c r="B28" s="52" t="s">
        <v>57</v>
      </c>
    </row>
  </sheetData>
  <pageMargins left="0.7" right="0.7" top="0.75" bottom="0.75" header="0.3" footer="0.3"/>
  <pageSetup orientation="portrait" horizontalDpi="300" verticalDpi="300" r:id="rId1"/>
  <headerFooter>
    <oddHeader xml:space="preserve">&amp;C 
</oddHeader>
    <oddFooter xml:space="preserve">&amp;C 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M10" sqref="M10"/>
    </sheetView>
  </sheetViews>
  <sheetFormatPr defaultRowHeight="15"/>
  <cols>
    <col min="1" max="1" width="9.33203125" style="59"/>
    <col min="2" max="2" width="27.6640625" style="59" customWidth="1"/>
    <col min="3" max="3" width="15.5" style="60" customWidth="1"/>
    <col min="4" max="4" width="17.1640625" style="60" customWidth="1"/>
    <col min="5" max="5" width="15.5" style="60" customWidth="1"/>
    <col min="6" max="6" width="16.33203125" style="60" customWidth="1"/>
    <col min="7" max="7" width="17.33203125" style="60" customWidth="1"/>
    <col min="8" max="8" width="15.5" style="60" customWidth="1"/>
    <col min="9" max="9" width="9.33203125" style="59"/>
    <col min="10" max="10" width="23.5" style="59" customWidth="1"/>
    <col min="11" max="11" width="22.1640625" style="59" customWidth="1"/>
    <col min="12" max="12" width="19" style="59" customWidth="1"/>
    <col min="13" max="13" width="23" style="59" customWidth="1"/>
    <col min="14" max="14" width="19.6640625" style="59" customWidth="1"/>
    <col min="15" max="16384" width="9.33203125" style="59"/>
  </cols>
  <sheetData>
    <row r="2" spans="2:14" ht="15.75" thickBot="1"/>
    <row r="3" spans="2:14" ht="16.5" customHeight="1" thickBot="1">
      <c r="B3" s="286" t="s">
        <v>60</v>
      </c>
      <c r="C3" s="288">
        <v>42369</v>
      </c>
      <c r="D3" s="288"/>
      <c r="E3" s="288"/>
      <c r="F3" s="289">
        <v>42735</v>
      </c>
      <c r="G3" s="288"/>
      <c r="H3" s="290"/>
      <c r="J3" s="291" t="s">
        <v>70</v>
      </c>
      <c r="K3" s="289">
        <v>42369</v>
      </c>
      <c r="L3" s="290"/>
      <c r="M3" s="289">
        <v>42735</v>
      </c>
      <c r="N3" s="290"/>
    </row>
    <row r="4" spans="2:14" ht="16.5" customHeight="1" thickBot="1">
      <c r="B4" s="287"/>
      <c r="C4" s="61" t="s">
        <v>61</v>
      </c>
      <c r="D4" s="62" t="s">
        <v>62</v>
      </c>
      <c r="E4" s="62" t="s">
        <v>8</v>
      </c>
      <c r="F4" s="63" t="s">
        <v>61</v>
      </c>
      <c r="G4" s="62" t="s">
        <v>62</v>
      </c>
      <c r="H4" s="64" t="s">
        <v>8</v>
      </c>
      <c r="J4" s="292"/>
      <c r="K4" s="112" t="s">
        <v>68</v>
      </c>
      <c r="L4" s="117" t="s">
        <v>69</v>
      </c>
      <c r="M4" s="112" t="s">
        <v>68</v>
      </c>
      <c r="N4" s="117" t="s">
        <v>69</v>
      </c>
    </row>
    <row r="5" spans="2:14">
      <c r="B5" s="65" t="s">
        <v>63</v>
      </c>
      <c r="C5" s="66">
        <v>1090715</v>
      </c>
      <c r="D5" s="67">
        <v>205811</v>
      </c>
      <c r="E5" s="68">
        <f>C5+D5</f>
        <v>1296526</v>
      </c>
      <c r="F5" s="69">
        <v>1200301</v>
      </c>
      <c r="G5" s="70">
        <v>166147</v>
      </c>
      <c r="H5" s="71">
        <f>F5+G5</f>
        <v>1366448</v>
      </c>
      <c r="J5" s="65" t="s">
        <v>63</v>
      </c>
      <c r="K5" s="122">
        <v>1296526</v>
      </c>
      <c r="L5" s="118">
        <v>1367209</v>
      </c>
      <c r="M5" s="122">
        <v>1366448</v>
      </c>
      <c r="N5" s="118">
        <v>1381993</v>
      </c>
    </row>
    <row r="6" spans="2:14">
      <c r="B6" s="72" t="s">
        <v>64</v>
      </c>
      <c r="C6" s="73">
        <v>839834</v>
      </c>
      <c r="D6" s="74">
        <v>134364</v>
      </c>
      <c r="E6" s="75">
        <f>C6+D6</f>
        <v>974198</v>
      </c>
      <c r="F6" s="76">
        <v>940489</v>
      </c>
      <c r="G6" s="77">
        <v>103172</v>
      </c>
      <c r="H6" s="78">
        <f>F6+G6</f>
        <v>1043661</v>
      </c>
      <c r="J6" s="72" t="s">
        <v>64</v>
      </c>
      <c r="K6" s="123">
        <v>974198</v>
      </c>
      <c r="L6" s="119">
        <v>1025235</v>
      </c>
      <c r="M6" s="123">
        <v>1043661</v>
      </c>
      <c r="N6" s="119">
        <v>1057285</v>
      </c>
    </row>
    <row r="7" spans="2:14" ht="15.75" thickBot="1">
      <c r="B7" s="79" t="s">
        <v>65</v>
      </c>
      <c r="C7" s="80">
        <v>187234</v>
      </c>
      <c r="D7" s="81">
        <v>33146</v>
      </c>
      <c r="E7" s="82">
        <f>C7+D7</f>
        <v>220380</v>
      </c>
      <c r="F7" s="83">
        <v>208862</v>
      </c>
      <c r="G7" s="84">
        <v>11132</v>
      </c>
      <c r="H7" s="85">
        <f>F7+G7</f>
        <v>219994</v>
      </c>
      <c r="J7" s="79" t="s">
        <v>65</v>
      </c>
      <c r="K7" s="124">
        <v>220380</v>
      </c>
      <c r="L7" s="120">
        <v>244996</v>
      </c>
      <c r="M7" s="124">
        <v>219994</v>
      </c>
      <c r="N7" s="120">
        <v>215627</v>
      </c>
    </row>
    <row r="8" spans="2:14" ht="15.75" thickBot="1">
      <c r="B8" s="86" t="s">
        <v>8</v>
      </c>
      <c r="C8" s="87">
        <v>2117783</v>
      </c>
      <c r="D8" s="88">
        <f>SUM(D5:D7)</f>
        <v>373321</v>
      </c>
      <c r="E8" s="88">
        <f>C8+D8</f>
        <v>2491104</v>
      </c>
      <c r="F8" s="89">
        <v>2349652</v>
      </c>
      <c r="G8" s="88">
        <f>SUM(G5:G7)</f>
        <v>280451</v>
      </c>
      <c r="H8" s="90">
        <f>F8+G8</f>
        <v>2630103</v>
      </c>
      <c r="J8" s="86" t="s">
        <v>8</v>
      </c>
      <c r="K8" s="125">
        <v>2491104</v>
      </c>
      <c r="L8" s="121">
        <v>2637440</v>
      </c>
      <c r="M8" s="125">
        <v>2630103</v>
      </c>
      <c r="N8" s="121">
        <v>2654905</v>
      </c>
    </row>
    <row r="9" spans="2:14" s="93" customFormat="1" ht="15.75" thickBot="1">
      <c r="B9" s="91"/>
      <c r="C9" s="92"/>
      <c r="D9" s="92"/>
      <c r="E9" s="92"/>
      <c r="F9" s="92"/>
      <c r="G9" s="92"/>
      <c r="H9" s="92"/>
      <c r="J9" s="91"/>
      <c r="K9" s="92"/>
      <c r="L9" s="92"/>
      <c r="M9" s="92"/>
      <c r="N9" s="92"/>
    </row>
    <row r="10" spans="2:14" ht="15" customHeight="1" thickBot="1">
      <c r="B10" s="286" t="s">
        <v>67</v>
      </c>
      <c r="C10" s="288">
        <v>42369</v>
      </c>
      <c r="D10" s="288"/>
      <c r="E10" s="288"/>
      <c r="F10" s="289">
        <v>42735</v>
      </c>
      <c r="G10" s="288"/>
      <c r="H10" s="290"/>
      <c r="J10" s="91"/>
      <c r="K10" s="92"/>
      <c r="L10" s="92"/>
      <c r="M10" s="92" t="e">
        <f>#REF!-Sheet1!M8</f>
        <v>#REF!</v>
      </c>
      <c r="N10" s="92"/>
    </row>
    <row r="11" spans="2:14" ht="16.5" customHeight="1" thickBot="1">
      <c r="B11" s="287"/>
      <c r="C11" s="112" t="s">
        <v>61</v>
      </c>
      <c r="D11" s="113" t="s">
        <v>62</v>
      </c>
      <c r="E11" s="112" t="s">
        <v>8</v>
      </c>
      <c r="F11" s="63" t="s">
        <v>61</v>
      </c>
      <c r="G11" s="62" t="s">
        <v>62</v>
      </c>
      <c r="H11" s="64" t="s">
        <v>8</v>
      </c>
      <c r="J11" s="91"/>
      <c r="K11" s="92"/>
      <c r="L11" s="92"/>
      <c r="M11" s="92"/>
      <c r="N11" s="92"/>
    </row>
    <row r="12" spans="2:14">
      <c r="B12" s="65" t="s">
        <v>63</v>
      </c>
      <c r="C12" s="66">
        <v>1207151</v>
      </c>
      <c r="D12" s="114">
        <v>160058</v>
      </c>
      <c r="E12" s="68">
        <f>C12+D12</f>
        <v>1367209</v>
      </c>
      <c r="F12" s="69">
        <v>1274222</v>
      </c>
      <c r="G12" s="70">
        <v>107771</v>
      </c>
      <c r="H12" s="71">
        <f>F12+G12</f>
        <v>1381993</v>
      </c>
      <c r="J12" s="91"/>
      <c r="K12" s="92"/>
      <c r="L12" s="92"/>
      <c r="M12" s="92"/>
      <c r="N12" s="92"/>
    </row>
    <row r="13" spans="2:14">
      <c r="B13" s="94" t="s">
        <v>64</v>
      </c>
      <c r="C13" s="73">
        <v>919253</v>
      </c>
      <c r="D13" s="115">
        <v>105982</v>
      </c>
      <c r="E13" s="75">
        <f>C13+D13</f>
        <v>1025235</v>
      </c>
      <c r="F13" s="76">
        <v>991005</v>
      </c>
      <c r="G13" s="77">
        <v>66280</v>
      </c>
      <c r="H13" s="78">
        <f>F13+G13</f>
        <v>1057285</v>
      </c>
      <c r="J13" s="91"/>
      <c r="K13" s="92"/>
      <c r="L13" s="92"/>
      <c r="M13" s="92"/>
      <c r="N13" s="92"/>
    </row>
    <row r="14" spans="2:14" ht="15.75" thickBot="1">
      <c r="B14" s="95" t="s">
        <v>65</v>
      </c>
      <c r="C14" s="80">
        <v>186544</v>
      </c>
      <c r="D14" s="116">
        <v>58452</v>
      </c>
      <c r="E14" s="82">
        <f>C14+D14</f>
        <v>244996</v>
      </c>
      <c r="F14" s="96">
        <v>207865</v>
      </c>
      <c r="G14" s="84">
        <v>7762</v>
      </c>
      <c r="H14" s="97">
        <f>F14+G14</f>
        <v>215627</v>
      </c>
      <c r="J14" s="91"/>
      <c r="K14" s="92"/>
      <c r="L14" s="92"/>
      <c r="M14" s="92"/>
      <c r="N14" s="92"/>
    </row>
    <row r="15" spans="2:14" ht="15.75" thickBot="1">
      <c r="B15" s="86" t="s">
        <v>8</v>
      </c>
      <c r="C15" s="87">
        <v>2312948</v>
      </c>
      <c r="D15" s="88">
        <f>SUM(D12:D14)</f>
        <v>324492</v>
      </c>
      <c r="E15" s="88">
        <f>C15+D15</f>
        <v>2637440</v>
      </c>
      <c r="F15" s="89">
        <v>2473092</v>
      </c>
      <c r="G15" s="88">
        <f>SUM(G12:G14)</f>
        <v>181813</v>
      </c>
      <c r="H15" s="90">
        <f>F15+G15</f>
        <v>2654905</v>
      </c>
      <c r="J15" s="93"/>
      <c r="K15" s="93"/>
      <c r="L15" s="93"/>
      <c r="M15" s="93"/>
      <c r="N15" s="93"/>
    </row>
    <row r="16" spans="2:14" s="93" customFormat="1" ht="15.75" thickBot="1">
      <c r="B16" s="91"/>
      <c r="C16" s="92"/>
      <c r="D16" s="92"/>
      <c r="E16" s="92"/>
      <c r="F16" s="92"/>
      <c r="G16" s="92"/>
      <c r="H16" s="92"/>
      <c r="J16" s="59"/>
      <c r="K16" s="59"/>
      <c r="L16" s="59"/>
      <c r="M16" s="59"/>
      <c r="N16" s="59"/>
    </row>
    <row r="17" spans="2:8" ht="27.75" thickBot="1">
      <c r="B17" s="98" t="s">
        <v>66</v>
      </c>
      <c r="C17" s="99">
        <v>42369</v>
      </c>
      <c r="D17" s="62"/>
      <c r="E17" s="62"/>
      <c r="F17" s="64">
        <v>42735</v>
      </c>
      <c r="G17" s="62"/>
      <c r="H17" s="62"/>
    </row>
    <row r="18" spans="2:8">
      <c r="B18" s="100" t="s">
        <v>63</v>
      </c>
      <c r="C18" s="101">
        <v>747602</v>
      </c>
      <c r="D18" s="67"/>
      <c r="E18" s="67"/>
      <c r="F18" s="102">
        <v>841414</v>
      </c>
      <c r="G18" s="67"/>
      <c r="H18" s="67"/>
    </row>
    <row r="19" spans="2:8">
      <c r="B19" s="103" t="s">
        <v>64</v>
      </c>
      <c r="C19" s="104">
        <v>576035</v>
      </c>
      <c r="D19" s="74"/>
      <c r="E19" s="74"/>
      <c r="F19" s="105">
        <v>661945</v>
      </c>
      <c r="G19" s="74"/>
      <c r="H19" s="74"/>
    </row>
    <row r="20" spans="2:8" ht="15.75" thickBot="1">
      <c r="B20" s="106" t="s">
        <v>65</v>
      </c>
      <c r="C20" s="107">
        <v>140717</v>
      </c>
      <c r="D20" s="108"/>
      <c r="E20" s="108"/>
      <c r="F20" s="109">
        <v>162727</v>
      </c>
      <c r="G20" s="108"/>
      <c r="H20" s="108"/>
    </row>
    <row r="21" spans="2:8" ht="15.75" thickBot="1">
      <c r="B21" s="110" t="s">
        <v>8</v>
      </c>
      <c r="C21" s="111">
        <v>1464354</v>
      </c>
      <c r="D21" s="88">
        <f>SUM(D18:D20)</f>
        <v>0</v>
      </c>
      <c r="E21" s="88"/>
      <c r="F21" s="90">
        <v>1666086</v>
      </c>
      <c r="G21" s="88"/>
      <c r="H21" s="88"/>
    </row>
  </sheetData>
  <mergeCells count="9">
    <mergeCell ref="B10:B11"/>
    <mergeCell ref="C10:E10"/>
    <mergeCell ref="F10:H10"/>
    <mergeCell ref="J3:J4"/>
    <mergeCell ref="M3:N3"/>
    <mergeCell ref="K3:L3"/>
    <mergeCell ref="B3:B4"/>
    <mergeCell ref="C3:E3"/>
    <mergeCell ref="F3:H3"/>
  </mergeCells>
  <pageMargins left="0.7" right="0.7" top="0.75" bottom="0.75" header="0.3" footer="0.3"/>
  <pageSetup orientation="portrait" horizontalDpi="300" verticalDpi="300" r:id="rId1"/>
  <headerFooter>
    <oddHeader xml:space="preserve">&amp;C 
</oddHeader>
    <oddFooter xml:space="preserve">&amp;C 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S1. Selected data</vt:lpstr>
      <vt:lpstr>MFI_Access &amp; Usage</vt:lpstr>
      <vt:lpstr>MFI_Sectoral Loans</vt:lpstr>
      <vt:lpstr>FSIs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emukiza@bnr.rw</dc:creator>
  <cp:lastModifiedBy>Wame Raseonyana</cp:lastModifiedBy>
  <cp:lastPrinted>2021-04-20T09:17:22Z</cp:lastPrinted>
  <dcterms:created xsi:type="dcterms:W3CDTF">2014-07-23T15:06:54Z</dcterms:created>
  <dcterms:modified xsi:type="dcterms:W3CDTF">2022-05-19T17:54:34Z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512f5058-0d59-4a98-b368-78086c64cdd8</vt:lpwstr>
  </property>
  <property fmtid="{D5CDD505-2E9C-101B-9397-08002B2CF9AE}" pid="3" name="Classification">
    <vt:lpwstr>PUBLIC</vt:lpwstr>
  </property>
</Properties>
</file>